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mol.sharepoint.com/sites/bemol.internacional/Documentos Compartilhados/BAUMON/"/>
    </mc:Choice>
  </mc:AlternateContent>
  <xr:revisionPtr revIDLastSave="884" documentId="6_{5FF0C622-DE6D-47E6-BD27-69A0405C455A}" xr6:coauthVersionLast="47" xr6:coauthVersionMax="47" xr10:uidLastSave="{C624CFB5-C321-4A3A-9693-496738BC3F58}"/>
  <bookViews>
    <workbookView xWindow="-108" yWindow="-108" windowWidth="23256" windowHeight="12456" firstSheet="5" activeTab="5" xr2:uid="{F87DF86B-E3A6-4CD1-8DBB-624A11000691}"/>
  </bookViews>
  <sheets>
    <sheet name="MOQ" sheetId="1" r:id="rId1"/>
    <sheet name="MRP NACIONAL" sheetId="17" r:id="rId2"/>
    <sheet name="Pedidos - Bemol Lovers" sheetId="3" r:id="rId3"/>
    <sheet name="Consolidado" sheetId="11" r:id="rId4"/>
    <sheet name="MRP IMP" sheetId="15" r:id="rId5"/>
    <sheet name="Base de Dados" sheetId="18" r:id="rId6"/>
    <sheet name="Precificação" sheetId="14" r:id="rId7"/>
    <sheet name="Markup" sheetId="19" r:id="rId8"/>
  </sheets>
  <externalReferences>
    <externalReference r:id="rId9"/>
  </externalReferences>
  <definedNames>
    <definedName name="_xlnm._FilterDatabase" localSheetId="3" hidden="1">Consolidado!$A$2:$VH$2</definedName>
    <definedName name="_xlnm._FilterDatabase" localSheetId="4" hidden="1">'MRP IMP'!$A$4:$AT$201</definedName>
    <definedName name="_xlnm._FilterDatabase" localSheetId="1" hidden="1">'MRP NACIONAL'!$A$1:$AS$37</definedName>
    <definedName name="_xlnm._FilterDatabase" localSheetId="2" hidden="1">'Pedidos - Bemol Lovers'!$A$2:$J$2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8" l="1"/>
  <c r="U52" i="18"/>
  <c r="W52" i="18"/>
  <c r="X52" i="18"/>
  <c r="Z52" i="18"/>
  <c r="Y52" i="18" s="1"/>
  <c r="Z57" i="18"/>
  <c r="I437" i="14"/>
  <c r="B440" i="14"/>
  <c r="B439" i="14"/>
  <c r="B438" i="14"/>
  <c r="B437" i="14"/>
  <c r="C440" i="14"/>
  <c r="C439" i="14"/>
  <c r="C438" i="14"/>
  <c r="C437" i="14"/>
  <c r="C436" i="14"/>
  <c r="J437" i="14"/>
  <c r="I438" i="14"/>
  <c r="J438" i="14" s="1"/>
  <c r="I439" i="14"/>
  <c r="J439" i="14" s="1"/>
  <c r="I440" i="14"/>
  <c r="J440" i="14" s="1"/>
  <c r="K440" i="14" s="1"/>
  <c r="L440" i="14" s="1"/>
  <c r="O437" i="14"/>
  <c r="O438" i="14"/>
  <c r="O439" i="14"/>
  <c r="O440" i="14"/>
  <c r="G52" i="18"/>
  <c r="I52" i="18"/>
  <c r="U81" i="18"/>
  <c r="U80" i="18"/>
  <c r="U79" i="18"/>
  <c r="W436" i="14"/>
  <c r="W435" i="14"/>
  <c r="W434" i="14"/>
  <c r="W433" i="14"/>
  <c r="W432" i="14"/>
  <c r="W431" i="14"/>
  <c r="B436" i="14"/>
  <c r="B435" i="14"/>
  <c r="B434" i="14"/>
  <c r="B433" i="14"/>
  <c r="B432" i="14"/>
  <c r="B431" i="14"/>
  <c r="B430" i="14"/>
  <c r="B429" i="14"/>
  <c r="C434" i="14"/>
  <c r="I431" i="14"/>
  <c r="J431" i="14" s="1"/>
  <c r="I432" i="14"/>
  <c r="J432" i="14" s="1"/>
  <c r="I433" i="14"/>
  <c r="J433" i="14" s="1"/>
  <c r="K433" i="14" s="1"/>
  <c r="L433" i="14" s="1"/>
  <c r="M433" i="14" s="1"/>
  <c r="N433" i="14" s="1"/>
  <c r="P433" i="14" s="1"/>
  <c r="I434" i="14"/>
  <c r="J434" i="14" s="1"/>
  <c r="K434" i="14" s="1"/>
  <c r="L434" i="14" s="1"/>
  <c r="M434" i="14" s="1"/>
  <c r="N434" i="14" s="1"/>
  <c r="P434" i="14" s="1"/>
  <c r="I435" i="14"/>
  <c r="J435" i="14" s="1"/>
  <c r="K435" i="14" s="1"/>
  <c r="L435" i="14" s="1"/>
  <c r="M435" i="14" s="1"/>
  <c r="N435" i="14" s="1"/>
  <c r="P435" i="14" s="1"/>
  <c r="I436" i="14"/>
  <c r="J436" i="14" s="1"/>
  <c r="O431" i="14"/>
  <c r="O432" i="14"/>
  <c r="O433" i="14"/>
  <c r="O434" i="14"/>
  <c r="O435" i="14"/>
  <c r="O436" i="14"/>
  <c r="Z81" i="18"/>
  <c r="Y81" i="18" s="1"/>
  <c r="Z80" i="18"/>
  <c r="Y80" i="18" s="1"/>
  <c r="Z79" i="18"/>
  <c r="AA81" i="18"/>
  <c r="G81" i="18"/>
  <c r="I81" i="18"/>
  <c r="X81" i="18"/>
  <c r="C435" i="14" s="1"/>
  <c r="G80" i="18"/>
  <c r="I80" i="18"/>
  <c r="X80" i="18"/>
  <c r="C433" i="14" s="1"/>
  <c r="G79" i="18"/>
  <c r="I79" i="18"/>
  <c r="X79" i="18"/>
  <c r="C432" i="14" s="1"/>
  <c r="Y79" i="18"/>
  <c r="U78" i="18"/>
  <c r="U77" i="18"/>
  <c r="G77" i="18"/>
  <c r="G78" i="18"/>
  <c r="I77" i="18"/>
  <c r="I78" i="18"/>
  <c r="X77" i="18"/>
  <c r="C429" i="14" s="1"/>
  <c r="X78" i="18"/>
  <c r="C430" i="14" s="1"/>
  <c r="I430" i="14"/>
  <c r="J430" i="14"/>
  <c r="K430" i="14"/>
  <c r="L430" i="14" s="1"/>
  <c r="M430" i="14" s="1"/>
  <c r="N430" i="14" s="1"/>
  <c r="P430" i="14" s="1"/>
  <c r="O430" i="14"/>
  <c r="I429" i="14"/>
  <c r="J429" i="14"/>
  <c r="K429" i="14"/>
  <c r="L429" i="14" s="1"/>
  <c r="M429" i="14" s="1"/>
  <c r="N429" i="14" s="1"/>
  <c r="P429" i="14" s="1"/>
  <c r="O429" i="14"/>
  <c r="B427" i="14"/>
  <c r="B428" i="14"/>
  <c r="I428" i="14"/>
  <c r="J428" i="14"/>
  <c r="K428" i="14"/>
  <c r="L428" i="14" s="1"/>
  <c r="M428" i="14" s="1"/>
  <c r="N428" i="14" s="1"/>
  <c r="P428" i="14" s="1"/>
  <c r="O428" i="14"/>
  <c r="I427" i="14"/>
  <c r="J427" i="14"/>
  <c r="K427" i="14"/>
  <c r="L427" i="14" s="1"/>
  <c r="M427" i="14" s="1"/>
  <c r="N427" i="14" s="1"/>
  <c r="P427" i="14" s="1"/>
  <c r="O427" i="14"/>
  <c r="U76" i="18"/>
  <c r="G76" i="18"/>
  <c r="I76" i="18"/>
  <c r="X76" i="18"/>
  <c r="B426" i="14"/>
  <c r="I426" i="14"/>
  <c r="J426" i="14"/>
  <c r="K426" i="14"/>
  <c r="L426" i="14" s="1"/>
  <c r="M426" i="14" s="1"/>
  <c r="N426" i="14" s="1"/>
  <c r="P426" i="14" s="1"/>
  <c r="O426" i="14"/>
  <c r="U75" i="18"/>
  <c r="U74" i="18"/>
  <c r="X74" i="18"/>
  <c r="C424" i="14" s="1"/>
  <c r="Y75" i="18"/>
  <c r="G75" i="18"/>
  <c r="I75" i="18"/>
  <c r="X75" i="18"/>
  <c r="C426" i="14" s="1"/>
  <c r="B425" i="14"/>
  <c r="I425" i="14"/>
  <c r="J425" i="14"/>
  <c r="K425" i="14"/>
  <c r="L425" i="14" s="1"/>
  <c r="M425" i="14" s="1"/>
  <c r="N425" i="14" s="1"/>
  <c r="P425" i="14" s="1"/>
  <c r="Q425" i="14" s="1"/>
  <c r="S425" i="14" s="1"/>
  <c r="O425" i="14"/>
  <c r="I424" i="14"/>
  <c r="B424" i="14"/>
  <c r="J424" i="14"/>
  <c r="K424" i="14"/>
  <c r="L424" i="14" s="1"/>
  <c r="M424" i="14" s="1"/>
  <c r="N424" i="14" s="1"/>
  <c r="P424" i="14" s="1"/>
  <c r="O424" i="14"/>
  <c r="G74" i="18"/>
  <c r="I74" i="18"/>
  <c r="Y70" i="18"/>
  <c r="Y71" i="18"/>
  <c r="W423" i="14"/>
  <c r="W422" i="14"/>
  <c r="W421" i="14"/>
  <c r="W420" i="14"/>
  <c r="W419" i="14"/>
  <c r="B419" i="14"/>
  <c r="B423" i="14"/>
  <c r="I423" i="14"/>
  <c r="J423" i="14" s="1"/>
  <c r="O423" i="14"/>
  <c r="B422" i="14"/>
  <c r="I422" i="14"/>
  <c r="J422" i="14" s="1"/>
  <c r="K422" i="14" s="1"/>
  <c r="L422" i="14" s="1"/>
  <c r="M422" i="14" s="1"/>
  <c r="N422" i="14" s="1"/>
  <c r="O422" i="14"/>
  <c r="B421" i="14"/>
  <c r="I421" i="14"/>
  <c r="J421" i="14" s="1"/>
  <c r="K421" i="14" s="1"/>
  <c r="L421" i="14" s="1"/>
  <c r="M421" i="14" s="1"/>
  <c r="N421" i="14" s="1"/>
  <c r="O421" i="14"/>
  <c r="B420" i="14"/>
  <c r="I420" i="14"/>
  <c r="J420" i="14" s="1"/>
  <c r="K420" i="14" s="1"/>
  <c r="L420" i="14" s="1"/>
  <c r="M420" i="14" s="1"/>
  <c r="N420" i="14" s="1"/>
  <c r="O420" i="14"/>
  <c r="I419" i="14"/>
  <c r="J419" i="14" s="1"/>
  <c r="O419" i="14"/>
  <c r="I73" i="18"/>
  <c r="U73" i="18"/>
  <c r="U72" i="18"/>
  <c r="Z73" i="18"/>
  <c r="Y73" i="18" s="1"/>
  <c r="G73" i="18"/>
  <c r="X73" i="18"/>
  <c r="W418" i="14"/>
  <c r="W417" i="14"/>
  <c r="W416" i="14"/>
  <c r="W415" i="14"/>
  <c r="W414" i="14"/>
  <c r="W413" i="14"/>
  <c r="W412" i="14"/>
  <c r="W411" i="14"/>
  <c r="W410" i="14"/>
  <c r="W409" i="14"/>
  <c r="W408" i="14"/>
  <c r="W407" i="14"/>
  <c r="W406" i="14"/>
  <c r="W405" i="14"/>
  <c r="W404" i="14"/>
  <c r="W403" i="14"/>
  <c r="W402" i="14"/>
  <c r="W401" i="14"/>
  <c r="W400" i="14"/>
  <c r="W399" i="14"/>
  <c r="W398" i="14"/>
  <c r="W397" i="14"/>
  <c r="W396" i="14"/>
  <c r="W395" i="14"/>
  <c r="W394" i="14"/>
  <c r="W393" i="14"/>
  <c r="W392" i="14"/>
  <c r="W391" i="14"/>
  <c r="W390" i="14"/>
  <c r="W389" i="14"/>
  <c r="W388" i="14"/>
  <c r="W387" i="14"/>
  <c r="W386" i="14"/>
  <c r="W385" i="14"/>
  <c r="W384" i="14"/>
  <c r="W383" i="14"/>
  <c r="W382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I72" i="18"/>
  <c r="G418" i="14"/>
  <c r="I418" i="14" s="1"/>
  <c r="J418" i="14" s="1"/>
  <c r="G417" i="14"/>
  <c r="I417" i="14" s="1"/>
  <c r="J417" i="14" s="1"/>
  <c r="K417" i="14" s="1"/>
  <c r="L417" i="14" s="1"/>
  <c r="G416" i="14"/>
  <c r="I416" i="14" s="1"/>
  <c r="J416" i="14" s="1"/>
  <c r="G415" i="14"/>
  <c r="G414" i="14"/>
  <c r="I414" i="14" s="1"/>
  <c r="J414" i="14" s="1"/>
  <c r="K414" i="14" s="1"/>
  <c r="L414" i="14" s="1"/>
  <c r="M414" i="14" s="1"/>
  <c r="N414" i="14" s="1"/>
  <c r="P414" i="14" s="1"/>
  <c r="G413" i="14"/>
  <c r="I413" i="14" s="1"/>
  <c r="J413" i="14" s="1"/>
  <c r="K413" i="14" s="1"/>
  <c r="L413" i="14" s="1"/>
  <c r="M413" i="14" s="1"/>
  <c r="N413" i="14" s="1"/>
  <c r="P413" i="14" s="1"/>
  <c r="G412" i="14"/>
  <c r="I412" i="14" s="1"/>
  <c r="J412" i="14" s="1"/>
  <c r="K412" i="14" s="1"/>
  <c r="L412" i="14" s="1"/>
  <c r="G411" i="14"/>
  <c r="I411" i="14" s="1"/>
  <c r="J411" i="14" s="1"/>
  <c r="G410" i="14"/>
  <c r="I410" i="14" s="1"/>
  <c r="J410" i="14" s="1"/>
  <c r="G409" i="14"/>
  <c r="I409" i="14" s="1"/>
  <c r="J409" i="14" s="1"/>
  <c r="K409" i="14" s="1"/>
  <c r="L409" i="14" s="1"/>
  <c r="G408" i="14"/>
  <c r="I408" i="14" s="1"/>
  <c r="J408" i="14" s="1"/>
  <c r="G407" i="14"/>
  <c r="G406" i="14"/>
  <c r="I406" i="14" s="1"/>
  <c r="J406" i="14" s="1"/>
  <c r="K406" i="14" s="1"/>
  <c r="L406" i="14" s="1"/>
  <c r="M406" i="14" s="1"/>
  <c r="N406" i="14" s="1"/>
  <c r="P406" i="14" s="1"/>
  <c r="G405" i="14"/>
  <c r="I405" i="14" s="1"/>
  <c r="J405" i="14" s="1"/>
  <c r="K405" i="14" s="1"/>
  <c r="L405" i="14" s="1"/>
  <c r="M405" i="14" s="1"/>
  <c r="N405" i="14" s="1"/>
  <c r="P405" i="14" s="1"/>
  <c r="G404" i="14"/>
  <c r="I404" i="14" s="1"/>
  <c r="J404" i="14" s="1"/>
  <c r="K404" i="14" s="1"/>
  <c r="L404" i="14" s="1"/>
  <c r="G403" i="14"/>
  <c r="I403" i="14" s="1"/>
  <c r="J403" i="14" s="1"/>
  <c r="G402" i="14"/>
  <c r="I402" i="14" s="1"/>
  <c r="J402" i="14" s="1"/>
  <c r="G401" i="14"/>
  <c r="I401" i="14" s="1"/>
  <c r="J401" i="14" s="1"/>
  <c r="K401" i="14" s="1"/>
  <c r="L401" i="14" s="1"/>
  <c r="G400" i="14"/>
  <c r="I400" i="14" s="1"/>
  <c r="J400" i="14" s="1"/>
  <c r="K400" i="14" s="1"/>
  <c r="L400" i="14" s="1"/>
  <c r="M400" i="14" s="1"/>
  <c r="N400" i="14" s="1"/>
  <c r="P400" i="14" s="1"/>
  <c r="G399" i="14"/>
  <c r="G398" i="14"/>
  <c r="I398" i="14" s="1"/>
  <c r="J398" i="14" s="1"/>
  <c r="G397" i="14"/>
  <c r="I397" i="14" s="1"/>
  <c r="J397" i="14" s="1"/>
  <c r="K397" i="14" s="1"/>
  <c r="L397" i="14" s="1"/>
  <c r="M397" i="14" s="1"/>
  <c r="N397" i="14" s="1"/>
  <c r="P397" i="14" s="1"/>
  <c r="G396" i="14"/>
  <c r="I396" i="14" s="1"/>
  <c r="J396" i="14" s="1"/>
  <c r="K396" i="14" s="1"/>
  <c r="L396" i="14" s="1"/>
  <c r="M396" i="14" s="1"/>
  <c r="N396" i="14" s="1"/>
  <c r="P396" i="14" s="1"/>
  <c r="G395" i="14"/>
  <c r="I395" i="14" s="1"/>
  <c r="J395" i="14" s="1"/>
  <c r="K395" i="14" s="1"/>
  <c r="L395" i="14" s="1"/>
  <c r="G394" i="14"/>
  <c r="I394" i="14" s="1"/>
  <c r="J394" i="14" s="1"/>
  <c r="K394" i="14" s="1"/>
  <c r="L394" i="14" s="1"/>
  <c r="M394" i="14" s="1"/>
  <c r="N394" i="14" s="1"/>
  <c r="P394" i="14" s="1"/>
  <c r="G393" i="14"/>
  <c r="I393" i="14" s="1"/>
  <c r="J393" i="14" s="1"/>
  <c r="K393" i="14" s="1"/>
  <c r="L393" i="14" s="1"/>
  <c r="M393" i="14" s="1"/>
  <c r="N393" i="14" s="1"/>
  <c r="P393" i="14" s="1"/>
  <c r="Q393" i="14" s="1"/>
  <c r="S393" i="14" s="1"/>
  <c r="G392" i="14"/>
  <c r="I392" i="14" s="1"/>
  <c r="J392" i="14" s="1"/>
  <c r="K392" i="14" s="1"/>
  <c r="L392" i="14" s="1"/>
  <c r="M392" i="14" s="1"/>
  <c r="N392" i="14" s="1"/>
  <c r="P392" i="14" s="1"/>
  <c r="G391" i="14"/>
  <c r="G390" i="14"/>
  <c r="I390" i="14" s="1"/>
  <c r="J390" i="14" s="1"/>
  <c r="G389" i="14"/>
  <c r="G388" i="14"/>
  <c r="I388" i="14" s="1"/>
  <c r="J388" i="14" s="1"/>
  <c r="G387" i="14"/>
  <c r="I387" i="14" s="1"/>
  <c r="J387" i="14" s="1"/>
  <c r="K387" i="14" s="1"/>
  <c r="L387" i="14" s="1"/>
  <c r="G386" i="14"/>
  <c r="I386" i="14" s="1"/>
  <c r="J386" i="14" s="1"/>
  <c r="K386" i="14" s="1"/>
  <c r="L386" i="14" s="1"/>
  <c r="M386" i="14" s="1"/>
  <c r="N386" i="14" s="1"/>
  <c r="P386" i="14" s="1"/>
  <c r="G385" i="14"/>
  <c r="I385" i="14" s="1"/>
  <c r="J385" i="14" s="1"/>
  <c r="K385" i="14" s="1"/>
  <c r="L385" i="14" s="1"/>
  <c r="M385" i="14" s="1"/>
  <c r="N385" i="14" s="1"/>
  <c r="P385" i="14" s="1"/>
  <c r="Q385" i="14" s="1"/>
  <c r="S385" i="14" s="1"/>
  <c r="G384" i="14"/>
  <c r="I384" i="14" s="1"/>
  <c r="J384" i="14" s="1"/>
  <c r="K384" i="14" s="1"/>
  <c r="L384" i="14" s="1"/>
  <c r="M384" i="14" s="1"/>
  <c r="N384" i="14" s="1"/>
  <c r="P384" i="14" s="1"/>
  <c r="G383" i="14"/>
  <c r="G382" i="14"/>
  <c r="I382" i="14" s="1"/>
  <c r="J382" i="14" s="1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I407" i="14"/>
  <c r="J407" i="14" s="1"/>
  <c r="I415" i="14"/>
  <c r="J415" i="14" s="1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C382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I383" i="14"/>
  <c r="J383" i="14" s="1"/>
  <c r="K383" i="14" s="1"/>
  <c r="L383" i="14" s="1"/>
  <c r="M383" i="14" s="1"/>
  <c r="N383" i="14" s="1"/>
  <c r="P383" i="14" s="1"/>
  <c r="I389" i="14"/>
  <c r="J389" i="14" s="1"/>
  <c r="K389" i="14" s="1"/>
  <c r="L389" i="14" s="1"/>
  <c r="M389" i="14" s="1"/>
  <c r="N389" i="14" s="1"/>
  <c r="P389" i="14" s="1"/>
  <c r="I391" i="14"/>
  <c r="J391" i="14" s="1"/>
  <c r="K391" i="14" s="1"/>
  <c r="L391" i="14" s="1"/>
  <c r="M391" i="14" s="1"/>
  <c r="N391" i="14" s="1"/>
  <c r="P391" i="14" s="1"/>
  <c r="I399" i="14"/>
  <c r="J399" i="14" s="1"/>
  <c r="K399" i="14" s="1"/>
  <c r="L399" i="14" s="1"/>
  <c r="M399" i="14" s="1"/>
  <c r="N399" i="14" s="1"/>
  <c r="P399" i="14" s="1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Z72" i="18"/>
  <c r="Y72" i="18" s="1"/>
  <c r="Z68" i="18"/>
  <c r="Z67" i="18"/>
  <c r="Y67" i="18" s="1"/>
  <c r="Z66" i="18"/>
  <c r="Y66" i="18" s="1"/>
  <c r="Z65" i="18"/>
  <c r="Z64" i="18"/>
  <c r="Y64" i="18" s="1"/>
  <c r="Z63" i="18"/>
  <c r="Y63" i="18" s="1"/>
  <c r="Z62" i="18"/>
  <c r="Y62" i="18" s="1"/>
  <c r="Z61" i="18"/>
  <c r="Y61" i="18" s="1"/>
  <c r="Z54" i="18"/>
  <c r="Z51" i="18"/>
  <c r="Z56" i="18"/>
  <c r="Z58" i="18"/>
  <c r="Z60" i="18"/>
  <c r="K437" i="14" l="1"/>
  <c r="L437" i="14" s="1"/>
  <c r="M437" i="14" s="1"/>
  <c r="N437" i="14" s="1"/>
  <c r="P437" i="14" s="1"/>
  <c r="K439" i="14"/>
  <c r="L439" i="14" s="1"/>
  <c r="M439" i="14" s="1"/>
  <c r="N439" i="14" s="1"/>
  <c r="P439" i="14" s="1"/>
  <c r="K438" i="14"/>
  <c r="L438" i="14" s="1"/>
  <c r="M438" i="14" s="1"/>
  <c r="N438" i="14" s="1"/>
  <c r="P438" i="14" s="1"/>
  <c r="M440" i="14"/>
  <c r="N440" i="14" s="1"/>
  <c r="P440" i="14" s="1"/>
  <c r="C431" i="14"/>
  <c r="K436" i="14"/>
  <c r="L436" i="14" s="1"/>
  <c r="M436" i="14" s="1"/>
  <c r="N436" i="14" s="1"/>
  <c r="P436" i="14" s="1"/>
  <c r="Q434" i="14"/>
  <c r="S434" i="14" s="1"/>
  <c r="U434" i="14"/>
  <c r="Q433" i="14"/>
  <c r="S433" i="14" s="1"/>
  <c r="U433" i="14"/>
  <c r="U435" i="14"/>
  <c r="Q435" i="14"/>
  <c r="S435" i="14" s="1"/>
  <c r="K432" i="14"/>
  <c r="L432" i="14" s="1"/>
  <c r="M432" i="14" s="1"/>
  <c r="N432" i="14" s="1"/>
  <c r="P432" i="14" s="1"/>
  <c r="K431" i="14"/>
  <c r="L431" i="14" s="1"/>
  <c r="M431" i="14" s="1"/>
  <c r="N431" i="14" s="1"/>
  <c r="P431" i="14" s="1"/>
  <c r="C425" i="14"/>
  <c r="Q430" i="14"/>
  <c r="S430" i="14" s="1"/>
  <c r="U430" i="14"/>
  <c r="Q429" i="14"/>
  <c r="S429" i="14" s="1"/>
  <c r="U429" i="14"/>
  <c r="Q428" i="14"/>
  <c r="S428" i="14" s="1"/>
  <c r="U428" i="14"/>
  <c r="Q426" i="14"/>
  <c r="S426" i="14" s="1"/>
  <c r="U426" i="14"/>
  <c r="U424" i="14"/>
  <c r="Q424" i="14"/>
  <c r="S424" i="14" s="1"/>
  <c r="Q427" i="14"/>
  <c r="S427" i="14" s="1"/>
  <c r="U427" i="14"/>
  <c r="U425" i="14"/>
  <c r="P420" i="14"/>
  <c r="Q420" i="14" s="1"/>
  <c r="S420" i="14" s="1"/>
  <c r="P421" i="14"/>
  <c r="Q421" i="14" s="1"/>
  <c r="S421" i="14" s="1"/>
  <c r="P422" i="14"/>
  <c r="Q422" i="14" s="1"/>
  <c r="S422" i="14" s="1"/>
  <c r="C427" i="14"/>
  <c r="C428" i="14"/>
  <c r="C423" i="14"/>
  <c r="C422" i="14"/>
  <c r="C421" i="14"/>
  <c r="C420" i="14"/>
  <c r="C419" i="14"/>
  <c r="K423" i="14"/>
  <c r="L423" i="14" s="1"/>
  <c r="M423" i="14" s="1"/>
  <c r="N423" i="14" s="1"/>
  <c r="P423" i="14" s="1"/>
  <c r="K419" i="14"/>
  <c r="L419" i="14" s="1"/>
  <c r="M419" i="14" s="1"/>
  <c r="N419" i="14" s="1"/>
  <c r="P419" i="14" s="1"/>
  <c r="M404" i="14"/>
  <c r="N404" i="14" s="1"/>
  <c r="P404" i="14" s="1"/>
  <c r="U404" i="14" s="1"/>
  <c r="M412" i="14"/>
  <c r="N412" i="14" s="1"/>
  <c r="P412" i="14" s="1"/>
  <c r="Q412" i="14" s="1"/>
  <c r="S412" i="14" s="1"/>
  <c r="K411" i="14"/>
  <c r="L411" i="14" s="1"/>
  <c r="M411" i="14" s="1"/>
  <c r="N411" i="14" s="1"/>
  <c r="P411" i="14" s="1"/>
  <c r="K403" i="14"/>
  <c r="L403" i="14" s="1"/>
  <c r="M403" i="14" s="1"/>
  <c r="N403" i="14" s="1"/>
  <c r="P403" i="14" s="1"/>
  <c r="Q413" i="14"/>
  <c r="S413" i="14" s="1"/>
  <c r="U413" i="14"/>
  <c r="K418" i="14"/>
  <c r="L418" i="14" s="1"/>
  <c r="M418" i="14" s="1"/>
  <c r="N418" i="14" s="1"/>
  <c r="P418" i="14" s="1"/>
  <c r="K410" i="14"/>
  <c r="L410" i="14" s="1"/>
  <c r="M410" i="14" s="1"/>
  <c r="N410" i="14" s="1"/>
  <c r="P410" i="14" s="1"/>
  <c r="K402" i="14"/>
  <c r="L402" i="14" s="1"/>
  <c r="M402" i="14" s="1"/>
  <c r="N402" i="14" s="1"/>
  <c r="P402" i="14" s="1"/>
  <c r="Q406" i="14"/>
  <c r="S406" i="14" s="1"/>
  <c r="U406" i="14"/>
  <c r="K407" i="14"/>
  <c r="L407" i="14" s="1"/>
  <c r="M407" i="14" s="1"/>
  <c r="N407" i="14" s="1"/>
  <c r="P407" i="14" s="1"/>
  <c r="Q414" i="14"/>
  <c r="S414" i="14" s="1"/>
  <c r="U414" i="14"/>
  <c r="K415" i="14"/>
  <c r="L415" i="14" s="1"/>
  <c r="M415" i="14" s="1"/>
  <c r="N415" i="14" s="1"/>
  <c r="P415" i="14" s="1"/>
  <c r="Q405" i="14"/>
  <c r="S405" i="14" s="1"/>
  <c r="U405" i="14"/>
  <c r="K416" i="14"/>
  <c r="L416" i="14" s="1"/>
  <c r="M416" i="14" s="1"/>
  <c r="N416" i="14" s="1"/>
  <c r="P416" i="14" s="1"/>
  <c r="K408" i="14"/>
  <c r="L408" i="14" s="1"/>
  <c r="M408" i="14" s="1"/>
  <c r="N408" i="14" s="1"/>
  <c r="P408" i="14" s="1"/>
  <c r="M417" i="14"/>
  <c r="N417" i="14" s="1"/>
  <c r="P417" i="14" s="1"/>
  <c r="M409" i="14"/>
  <c r="N409" i="14" s="1"/>
  <c r="P409" i="14" s="1"/>
  <c r="M401" i="14"/>
  <c r="N401" i="14" s="1"/>
  <c r="P401" i="14" s="1"/>
  <c r="U383" i="14"/>
  <c r="Q383" i="14"/>
  <c r="S383" i="14" s="1"/>
  <c r="U396" i="14"/>
  <c r="Q396" i="14"/>
  <c r="S396" i="14" s="1"/>
  <c r="U392" i="14"/>
  <c r="Q392" i="14"/>
  <c r="S392" i="14" s="1"/>
  <c r="K390" i="14"/>
  <c r="L390" i="14" s="1"/>
  <c r="M390" i="14" s="1"/>
  <c r="N390" i="14" s="1"/>
  <c r="P390" i="14" s="1"/>
  <c r="K382" i="14"/>
  <c r="L382" i="14" s="1"/>
  <c r="M382" i="14" s="1"/>
  <c r="N382" i="14" s="1"/>
  <c r="P382" i="14" s="1"/>
  <c r="U397" i="14"/>
  <c r="Q397" i="14"/>
  <c r="S397" i="14" s="1"/>
  <c r="Q394" i="14"/>
  <c r="S394" i="14" s="1"/>
  <c r="U394" i="14"/>
  <c r="K388" i="14"/>
  <c r="L388" i="14" s="1"/>
  <c r="M388" i="14" s="1"/>
  <c r="N388" i="14" s="1"/>
  <c r="P388" i="14" s="1"/>
  <c r="U400" i="14"/>
  <c r="Q400" i="14"/>
  <c r="S400" i="14" s="1"/>
  <c r="U384" i="14"/>
  <c r="Q384" i="14"/>
  <c r="S384" i="14" s="1"/>
  <c r="U399" i="14"/>
  <c r="Q399" i="14"/>
  <c r="S399" i="14" s="1"/>
  <c r="K398" i="14"/>
  <c r="L398" i="14" s="1"/>
  <c r="M398" i="14" s="1"/>
  <c r="N398" i="14" s="1"/>
  <c r="P398" i="14" s="1"/>
  <c r="Q386" i="14"/>
  <c r="S386" i="14" s="1"/>
  <c r="U386" i="14"/>
  <c r="U391" i="14"/>
  <c r="Q391" i="14"/>
  <c r="S391" i="14" s="1"/>
  <c r="U389" i="14"/>
  <c r="Q389" i="14"/>
  <c r="S389" i="14" s="1"/>
  <c r="U393" i="14"/>
  <c r="U385" i="14"/>
  <c r="M395" i="14"/>
  <c r="N395" i="14" s="1"/>
  <c r="P395" i="14" s="1"/>
  <c r="M387" i="14"/>
  <c r="N387" i="14" s="1"/>
  <c r="P387" i="14" s="1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2" i="18"/>
  <c r="U71" i="18"/>
  <c r="Y60" i="18"/>
  <c r="Z59" i="18"/>
  <c r="Y59" i="18" s="1"/>
  <c r="Y57" i="18"/>
  <c r="Z55" i="18"/>
  <c r="Y55" i="18" s="1"/>
  <c r="Z30" i="18"/>
  <c r="Y30" i="18" s="1"/>
  <c r="Z28" i="18"/>
  <c r="Y28" i="18" s="1"/>
  <c r="Y34" i="18"/>
  <c r="Y38" i="18"/>
  <c r="Y39" i="18"/>
  <c r="Y41" i="18"/>
  <c r="Y42" i="18"/>
  <c r="Y43" i="18"/>
  <c r="Y44" i="18"/>
  <c r="Y45" i="18"/>
  <c r="Y46" i="18"/>
  <c r="Y47" i="18"/>
  <c r="Y48" i="18"/>
  <c r="Y49" i="18"/>
  <c r="Y50" i="18"/>
  <c r="Y51" i="18"/>
  <c r="Y53" i="18"/>
  <c r="Y54" i="18"/>
  <c r="Y56" i="18"/>
  <c r="Y58" i="18"/>
  <c r="Y27" i="18"/>
  <c r="U59" i="18"/>
  <c r="U58" i="18"/>
  <c r="U33" i="18"/>
  <c r="U34" i="18"/>
  <c r="U40" i="18"/>
  <c r="U42" i="18"/>
  <c r="U44" i="18"/>
  <c r="U46" i="18"/>
  <c r="U47" i="18"/>
  <c r="U48" i="18"/>
  <c r="U49" i="18"/>
  <c r="U50" i="18"/>
  <c r="U51" i="18"/>
  <c r="U53" i="18"/>
  <c r="U54" i="18"/>
  <c r="U55" i="18"/>
  <c r="U56" i="18"/>
  <c r="U57" i="18"/>
  <c r="U60" i="18"/>
  <c r="U61" i="18"/>
  <c r="U62" i="18"/>
  <c r="U63" i="18"/>
  <c r="U64" i="18"/>
  <c r="U65" i="18"/>
  <c r="U66" i="18"/>
  <c r="U67" i="18"/>
  <c r="U68" i="18"/>
  <c r="Q437" i="14" l="1"/>
  <c r="S437" i="14" s="1"/>
  <c r="U437" i="14"/>
  <c r="Q439" i="14"/>
  <c r="S439" i="14" s="1"/>
  <c r="U439" i="14"/>
  <c r="Q438" i="14"/>
  <c r="S438" i="14" s="1"/>
  <c r="U438" i="14"/>
  <c r="Q440" i="14"/>
  <c r="S440" i="14" s="1"/>
  <c r="U440" i="14"/>
  <c r="Q432" i="14"/>
  <c r="S432" i="14" s="1"/>
  <c r="U432" i="14"/>
  <c r="Q431" i="14"/>
  <c r="S431" i="14" s="1"/>
  <c r="U431" i="14"/>
  <c r="U436" i="14"/>
  <c r="Q436" i="14"/>
  <c r="S436" i="14" s="1"/>
  <c r="U420" i="14"/>
  <c r="U421" i="14"/>
  <c r="U422" i="14"/>
  <c r="Q423" i="14"/>
  <c r="S423" i="14" s="1"/>
  <c r="U423" i="14"/>
  <c r="Q419" i="14"/>
  <c r="S419" i="14" s="1"/>
  <c r="U419" i="14"/>
  <c r="U412" i="14"/>
  <c r="Q404" i="14"/>
  <c r="S404" i="14" s="1"/>
  <c r="U402" i="14"/>
  <c r="Q402" i="14"/>
  <c r="S402" i="14" s="1"/>
  <c r="Q407" i="14"/>
  <c r="S407" i="14" s="1"/>
  <c r="U407" i="14"/>
  <c r="U403" i="14"/>
  <c r="Q403" i="14"/>
  <c r="S403" i="14" s="1"/>
  <c r="Q408" i="14"/>
  <c r="S408" i="14" s="1"/>
  <c r="U408" i="14"/>
  <c r="U418" i="14"/>
  <c r="Q418" i="14"/>
  <c r="S418" i="14" s="1"/>
  <c r="U415" i="14"/>
  <c r="Q415" i="14"/>
  <c r="S415" i="14" s="1"/>
  <c r="U410" i="14"/>
  <c r="Q410" i="14"/>
  <c r="S410" i="14" s="1"/>
  <c r="Q416" i="14"/>
  <c r="S416" i="14" s="1"/>
  <c r="U416" i="14"/>
  <c r="U401" i="14"/>
  <c r="Q401" i="14"/>
  <c r="S401" i="14" s="1"/>
  <c r="U411" i="14"/>
  <c r="Q411" i="14"/>
  <c r="S411" i="14" s="1"/>
  <c r="U409" i="14"/>
  <c r="Q409" i="14"/>
  <c r="S409" i="14" s="1"/>
  <c r="U417" i="14"/>
  <c r="Q417" i="14"/>
  <c r="S417" i="14" s="1"/>
  <c r="U390" i="14"/>
  <c r="Q390" i="14"/>
  <c r="S390" i="14" s="1"/>
  <c r="U382" i="14"/>
  <c r="Q382" i="14"/>
  <c r="S382" i="14" s="1"/>
  <c r="U388" i="14"/>
  <c r="Q388" i="14"/>
  <c r="S388" i="14" s="1"/>
  <c r="Q398" i="14"/>
  <c r="S398" i="14" s="1"/>
  <c r="U398" i="14"/>
  <c r="U387" i="14"/>
  <c r="Q387" i="14"/>
  <c r="S387" i="14" s="1"/>
  <c r="U395" i="14"/>
  <c r="Q395" i="14"/>
  <c r="S395" i="14" s="1"/>
  <c r="Z32" i="18"/>
  <c r="Y32" i="18" s="1"/>
  <c r="W381" i="14"/>
  <c r="W380" i="14"/>
  <c r="W379" i="14"/>
  <c r="W378" i="14"/>
  <c r="W377" i="14"/>
  <c r="W376" i="14"/>
  <c r="W375" i="14"/>
  <c r="W374" i="14"/>
  <c r="W373" i="14"/>
  <c r="W372" i="14"/>
  <c r="W371" i="14"/>
  <c r="W370" i="14"/>
  <c r="W369" i="14"/>
  <c r="W368" i="14"/>
  <c r="W367" i="14"/>
  <c r="W366" i="14"/>
  <c r="W365" i="14"/>
  <c r="W364" i="14"/>
  <c r="W363" i="14"/>
  <c r="W362" i="14"/>
  <c r="W361" i="14"/>
  <c r="W360" i="14"/>
  <c r="W359" i="14"/>
  <c r="W358" i="14"/>
  <c r="W357" i="14"/>
  <c r="W356" i="14"/>
  <c r="W355" i="14"/>
  <c r="W354" i="14"/>
  <c r="W353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I365" i="14"/>
  <c r="J365" i="14" s="1"/>
  <c r="K365" i="14" s="1"/>
  <c r="L365" i="14" s="1"/>
  <c r="M365" i="14" s="1"/>
  <c r="N365" i="14" s="1"/>
  <c r="I366" i="14"/>
  <c r="I367" i="14"/>
  <c r="J367" i="14" s="1"/>
  <c r="K367" i="14" s="1"/>
  <c r="L367" i="14" s="1"/>
  <c r="I368" i="14"/>
  <c r="I369" i="14"/>
  <c r="J369" i="14" s="1"/>
  <c r="K369" i="14" s="1"/>
  <c r="L369" i="14" s="1"/>
  <c r="I370" i="14"/>
  <c r="J370" i="14" s="1"/>
  <c r="I371" i="14"/>
  <c r="J371" i="14" s="1"/>
  <c r="K371" i="14" s="1"/>
  <c r="L371" i="14" s="1"/>
  <c r="M371" i="14" s="1"/>
  <c r="N371" i="14" s="1"/>
  <c r="I372" i="14"/>
  <c r="J372" i="14" s="1"/>
  <c r="I373" i="14"/>
  <c r="J373" i="14" s="1"/>
  <c r="K373" i="14" s="1"/>
  <c r="L373" i="14" s="1"/>
  <c r="M373" i="14" s="1"/>
  <c r="N373" i="14" s="1"/>
  <c r="I374" i="14"/>
  <c r="J374" i="14" s="1"/>
  <c r="K374" i="14" s="1"/>
  <c r="L374" i="14" s="1"/>
  <c r="M374" i="14" s="1"/>
  <c r="N374" i="14" s="1"/>
  <c r="I375" i="14"/>
  <c r="J375" i="14" s="1"/>
  <c r="K375" i="14" s="1"/>
  <c r="L375" i="14" s="1"/>
  <c r="I376" i="14"/>
  <c r="J376" i="14" s="1"/>
  <c r="K376" i="14" s="1"/>
  <c r="L376" i="14" s="1"/>
  <c r="I377" i="14"/>
  <c r="J377" i="14" s="1"/>
  <c r="K377" i="14" s="1"/>
  <c r="L377" i="14" s="1"/>
  <c r="I378" i="14"/>
  <c r="J378" i="14" s="1"/>
  <c r="I379" i="14"/>
  <c r="J379" i="14" s="1"/>
  <c r="K379" i="14" s="1"/>
  <c r="L379" i="14" s="1"/>
  <c r="M379" i="14" s="1"/>
  <c r="N379" i="14" s="1"/>
  <c r="I380" i="14"/>
  <c r="J380" i="14" s="1"/>
  <c r="I381" i="14"/>
  <c r="J381" i="14" s="1"/>
  <c r="K381" i="14" s="1"/>
  <c r="L381" i="14" s="1"/>
  <c r="M381" i="14" s="1"/>
  <c r="N381" i="14" s="1"/>
  <c r="J366" i="14"/>
  <c r="K366" i="14" s="1"/>
  <c r="L366" i="14" s="1"/>
  <c r="M366" i="14" s="1"/>
  <c r="N366" i="14" s="1"/>
  <c r="J368" i="14"/>
  <c r="K368" i="14" s="1"/>
  <c r="L368" i="14" s="1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B364" i="14"/>
  <c r="I364" i="14"/>
  <c r="J364" i="14" s="1"/>
  <c r="O364" i="14"/>
  <c r="P381" i="14" l="1"/>
  <c r="U381" i="14" s="1"/>
  <c r="P373" i="14"/>
  <c r="Q373" i="14" s="1"/>
  <c r="S373" i="14" s="1"/>
  <c r="P365" i="14"/>
  <c r="U365" i="14" s="1"/>
  <c r="P374" i="14"/>
  <c r="Q374" i="14" s="1"/>
  <c r="S374" i="14" s="1"/>
  <c r="P366" i="14"/>
  <c r="Q366" i="14" s="1"/>
  <c r="S366" i="14" s="1"/>
  <c r="P379" i="14"/>
  <c r="Q379" i="14" s="1"/>
  <c r="S379" i="14" s="1"/>
  <c r="P371" i="14"/>
  <c r="U371" i="14" s="1"/>
  <c r="M367" i="14"/>
  <c r="N367" i="14" s="1"/>
  <c r="P367" i="14" s="1"/>
  <c r="U367" i="14" s="1"/>
  <c r="M375" i="14"/>
  <c r="N375" i="14" s="1"/>
  <c r="P375" i="14" s="1"/>
  <c r="Q375" i="14" s="1"/>
  <c r="S375" i="14" s="1"/>
  <c r="K370" i="14"/>
  <c r="L370" i="14" s="1"/>
  <c r="M370" i="14" s="1"/>
  <c r="N370" i="14" s="1"/>
  <c r="P370" i="14" s="1"/>
  <c r="M368" i="14"/>
  <c r="N368" i="14" s="1"/>
  <c r="P368" i="14" s="1"/>
  <c r="K378" i="14"/>
  <c r="L378" i="14" s="1"/>
  <c r="M378" i="14" s="1"/>
  <c r="N378" i="14" s="1"/>
  <c r="P378" i="14" s="1"/>
  <c r="M376" i="14"/>
  <c r="N376" i="14" s="1"/>
  <c r="P376" i="14" s="1"/>
  <c r="K380" i="14"/>
  <c r="L380" i="14" s="1"/>
  <c r="M380" i="14" s="1"/>
  <c r="N380" i="14" s="1"/>
  <c r="P380" i="14" s="1"/>
  <c r="K372" i="14"/>
  <c r="L372" i="14" s="1"/>
  <c r="M372" i="14" s="1"/>
  <c r="N372" i="14" s="1"/>
  <c r="P372" i="14" s="1"/>
  <c r="M377" i="14"/>
  <c r="N377" i="14" s="1"/>
  <c r="P377" i="14" s="1"/>
  <c r="M369" i="14"/>
  <c r="N369" i="14" s="1"/>
  <c r="P369" i="14" s="1"/>
  <c r="K364" i="14"/>
  <c r="L364" i="14" s="1"/>
  <c r="M364" i="14" s="1"/>
  <c r="N364" i="14" s="1"/>
  <c r="P364" i="14" s="1"/>
  <c r="B353" i="14"/>
  <c r="B354" i="14"/>
  <c r="B355" i="14"/>
  <c r="B356" i="14"/>
  <c r="B357" i="14"/>
  <c r="B358" i="14"/>
  <c r="B359" i="14"/>
  <c r="B360" i="14"/>
  <c r="B361" i="14"/>
  <c r="B362" i="14"/>
  <c r="B363" i="14"/>
  <c r="I353" i="14"/>
  <c r="J353" i="14" s="1"/>
  <c r="I354" i="14"/>
  <c r="J354" i="14" s="1"/>
  <c r="K354" i="14" s="1"/>
  <c r="L354" i="14" s="1"/>
  <c r="M354" i="14" s="1"/>
  <c r="N354" i="14" s="1"/>
  <c r="I355" i="14"/>
  <c r="J355" i="14" s="1"/>
  <c r="K355" i="14" s="1"/>
  <c r="L355" i="14" s="1"/>
  <c r="M355" i="14" s="1"/>
  <c r="N355" i="14" s="1"/>
  <c r="I356" i="14"/>
  <c r="J356" i="14" s="1"/>
  <c r="I357" i="14"/>
  <c r="J357" i="14" s="1"/>
  <c r="I358" i="14"/>
  <c r="J358" i="14" s="1"/>
  <c r="K358" i="14" s="1"/>
  <c r="L358" i="14" s="1"/>
  <c r="I359" i="14"/>
  <c r="J359" i="14" s="1"/>
  <c r="I360" i="14"/>
  <c r="J360" i="14" s="1"/>
  <c r="I361" i="14"/>
  <c r="J361" i="14" s="1"/>
  <c r="I362" i="14"/>
  <c r="J362" i="14" s="1"/>
  <c r="K362" i="14" s="1"/>
  <c r="L362" i="14" s="1"/>
  <c r="M362" i="14" s="1"/>
  <c r="N362" i="14" s="1"/>
  <c r="I363" i="14"/>
  <c r="J363" i="14" s="1"/>
  <c r="K363" i="14" s="1"/>
  <c r="L363" i="14" s="1"/>
  <c r="M363" i="14" s="1"/>
  <c r="N363" i="14" s="1"/>
  <c r="O353" i="14"/>
  <c r="O354" i="14"/>
  <c r="O355" i="14"/>
  <c r="O356" i="14"/>
  <c r="O357" i="14"/>
  <c r="O358" i="14"/>
  <c r="O359" i="14"/>
  <c r="O360" i="14"/>
  <c r="O361" i="14"/>
  <c r="O362" i="14"/>
  <c r="O363" i="14"/>
  <c r="U373" i="14" l="1"/>
  <c r="Q381" i="14"/>
  <c r="S381" i="14" s="1"/>
  <c r="U366" i="14"/>
  <c r="Q365" i="14"/>
  <c r="S365" i="14" s="1"/>
  <c r="U374" i="14"/>
  <c r="P362" i="14"/>
  <c r="Q362" i="14" s="1"/>
  <c r="S362" i="14" s="1"/>
  <c r="Q371" i="14"/>
  <c r="S371" i="14" s="1"/>
  <c r="U379" i="14"/>
  <c r="P363" i="14"/>
  <c r="Q363" i="14" s="1"/>
  <c r="S363" i="14" s="1"/>
  <c r="P355" i="14"/>
  <c r="U355" i="14" s="1"/>
  <c r="P354" i="14"/>
  <c r="U354" i="14" s="1"/>
  <c r="Q367" i="14"/>
  <c r="S367" i="14" s="1"/>
  <c r="U375" i="14"/>
  <c r="U378" i="14"/>
  <c r="Q378" i="14"/>
  <c r="S378" i="14" s="1"/>
  <c r="Q372" i="14"/>
  <c r="S372" i="14" s="1"/>
  <c r="U372" i="14"/>
  <c r="Q370" i="14"/>
  <c r="S370" i="14" s="1"/>
  <c r="U370" i="14"/>
  <c r="Q368" i="14"/>
  <c r="S368" i="14" s="1"/>
  <c r="U368" i="14"/>
  <c r="U369" i="14"/>
  <c r="Q369" i="14"/>
  <c r="S369" i="14" s="1"/>
  <c r="U377" i="14"/>
  <c r="Q377" i="14"/>
  <c r="S377" i="14" s="1"/>
  <c r="U376" i="14"/>
  <c r="Q376" i="14"/>
  <c r="S376" i="14" s="1"/>
  <c r="Q380" i="14"/>
  <c r="S380" i="14" s="1"/>
  <c r="U380" i="14"/>
  <c r="U364" i="14"/>
  <c r="Q364" i="14"/>
  <c r="S364" i="14" s="1"/>
  <c r="K361" i="14"/>
  <c r="L361" i="14" s="1"/>
  <c r="M361" i="14" s="1"/>
  <c r="N361" i="14" s="1"/>
  <c r="P361" i="14" s="1"/>
  <c r="K360" i="14"/>
  <c r="L360" i="14" s="1"/>
  <c r="M360" i="14" s="1"/>
  <c r="N360" i="14" s="1"/>
  <c r="P360" i="14" s="1"/>
  <c r="K353" i="14"/>
  <c r="L353" i="14" s="1"/>
  <c r="M353" i="14" s="1"/>
  <c r="N353" i="14" s="1"/>
  <c r="P353" i="14" s="1"/>
  <c r="K359" i="14"/>
  <c r="L359" i="14" s="1"/>
  <c r="M359" i="14" s="1"/>
  <c r="N359" i="14" s="1"/>
  <c r="P359" i="14" s="1"/>
  <c r="K357" i="14"/>
  <c r="L357" i="14" s="1"/>
  <c r="M357" i="14" s="1"/>
  <c r="N357" i="14" s="1"/>
  <c r="P357" i="14" s="1"/>
  <c r="K356" i="14"/>
  <c r="L356" i="14" s="1"/>
  <c r="M356" i="14" s="1"/>
  <c r="N356" i="14" s="1"/>
  <c r="P356" i="14" s="1"/>
  <c r="M358" i="14"/>
  <c r="N358" i="14" s="1"/>
  <c r="P358" i="14" s="1"/>
  <c r="U363" i="14" l="1"/>
  <c r="Q354" i="14"/>
  <c r="S354" i="14" s="1"/>
  <c r="U362" i="14"/>
  <c r="Q355" i="14"/>
  <c r="S355" i="14" s="1"/>
  <c r="U360" i="14"/>
  <c r="Q360" i="14"/>
  <c r="S360" i="14" s="1"/>
  <c r="U359" i="14"/>
  <c r="Q359" i="14"/>
  <c r="S359" i="14" s="1"/>
  <c r="Q353" i="14"/>
  <c r="S353" i="14" s="1"/>
  <c r="U353" i="14"/>
  <c r="Q356" i="14"/>
  <c r="S356" i="14" s="1"/>
  <c r="U356" i="14"/>
  <c r="Q361" i="14"/>
  <c r="S361" i="14" s="1"/>
  <c r="U361" i="14"/>
  <c r="U357" i="14"/>
  <c r="Q357" i="14"/>
  <c r="S357" i="14" s="1"/>
  <c r="U358" i="14"/>
  <c r="Q358" i="14"/>
  <c r="S358" i="14" s="1"/>
  <c r="I324" i="14"/>
  <c r="J324" i="14" s="1"/>
  <c r="I325" i="14"/>
  <c r="J325" i="14" s="1"/>
  <c r="K325" i="14" s="1"/>
  <c r="L325" i="14" s="1"/>
  <c r="M325" i="14" s="1"/>
  <c r="N325" i="14" s="1"/>
  <c r="W352" i="14"/>
  <c r="W351" i="14"/>
  <c r="W350" i="14"/>
  <c r="W349" i="14"/>
  <c r="W348" i="14"/>
  <c r="B348" i="14"/>
  <c r="B349" i="14"/>
  <c r="B350" i="14"/>
  <c r="B351" i="14"/>
  <c r="B352" i="14"/>
  <c r="I348" i="14"/>
  <c r="J348" i="14" s="1"/>
  <c r="I349" i="14"/>
  <c r="J349" i="14" s="1"/>
  <c r="K349" i="14" s="1"/>
  <c r="L349" i="14" s="1"/>
  <c r="M349" i="14" s="1"/>
  <c r="N349" i="14" s="1"/>
  <c r="I350" i="14"/>
  <c r="J350" i="14" s="1"/>
  <c r="K350" i="14" s="1"/>
  <c r="L350" i="14" s="1"/>
  <c r="M350" i="14" s="1"/>
  <c r="N350" i="14" s="1"/>
  <c r="I351" i="14"/>
  <c r="J351" i="14" s="1"/>
  <c r="K351" i="14" s="1"/>
  <c r="L351" i="14" s="1"/>
  <c r="M351" i="14" s="1"/>
  <c r="N351" i="14" s="1"/>
  <c r="I352" i="14"/>
  <c r="J352" i="14" s="1"/>
  <c r="O348" i="14"/>
  <c r="O349" i="14"/>
  <c r="O350" i="14"/>
  <c r="O351" i="14"/>
  <c r="O352" i="14"/>
  <c r="G71" i="18"/>
  <c r="X71" i="18"/>
  <c r="W316" i="14"/>
  <c r="W317" i="14"/>
  <c r="W318" i="14"/>
  <c r="W319" i="14"/>
  <c r="W320" i="14"/>
  <c r="W321" i="14"/>
  <c r="W322" i="14"/>
  <c r="W323" i="14"/>
  <c r="W347" i="14"/>
  <c r="W346" i="14"/>
  <c r="W345" i="14"/>
  <c r="W344" i="14"/>
  <c r="W343" i="14"/>
  <c r="W342" i="14"/>
  <c r="W341" i="14"/>
  <c r="W340" i="14"/>
  <c r="W339" i="14"/>
  <c r="W338" i="14"/>
  <c r="W337" i="14"/>
  <c r="W336" i="14"/>
  <c r="W335" i="14"/>
  <c r="W334" i="14"/>
  <c r="W333" i="14"/>
  <c r="W332" i="14"/>
  <c r="W331" i="14"/>
  <c r="W330" i="14"/>
  <c r="W329" i="14"/>
  <c r="W328" i="14"/>
  <c r="W327" i="14"/>
  <c r="W326" i="14"/>
  <c r="W325" i="14"/>
  <c r="W324" i="14"/>
  <c r="B345" i="14"/>
  <c r="B346" i="14"/>
  <c r="B347" i="14"/>
  <c r="I345" i="14"/>
  <c r="J345" i="14" s="1"/>
  <c r="I346" i="14"/>
  <c r="J346" i="14" s="1"/>
  <c r="I347" i="14"/>
  <c r="J347" i="14" s="1"/>
  <c r="O345" i="14"/>
  <c r="O346" i="14"/>
  <c r="O347" i="14"/>
  <c r="U70" i="18"/>
  <c r="V70" i="18"/>
  <c r="V69" i="18"/>
  <c r="U69" i="18"/>
  <c r="B341" i="14"/>
  <c r="B342" i="14"/>
  <c r="B343" i="14"/>
  <c r="B344" i="14"/>
  <c r="I341" i="14"/>
  <c r="J341" i="14" s="1"/>
  <c r="K341" i="14" s="1"/>
  <c r="L341" i="14" s="1"/>
  <c r="I342" i="14"/>
  <c r="J342" i="14" s="1"/>
  <c r="K342" i="14" s="1"/>
  <c r="L342" i="14" s="1"/>
  <c r="M342" i="14" s="1"/>
  <c r="N342" i="14" s="1"/>
  <c r="I343" i="14"/>
  <c r="J343" i="14" s="1"/>
  <c r="I344" i="14"/>
  <c r="J344" i="14" s="1"/>
  <c r="K344" i="14" s="1"/>
  <c r="L344" i="14" s="1"/>
  <c r="O341" i="14"/>
  <c r="O342" i="14"/>
  <c r="O343" i="14"/>
  <c r="O344" i="14"/>
  <c r="G70" i="18"/>
  <c r="X70" i="18"/>
  <c r="G69" i="18"/>
  <c r="X69" i="18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G62" i="18"/>
  <c r="G63" i="18"/>
  <c r="G64" i="18"/>
  <c r="G65" i="18"/>
  <c r="G66" i="18"/>
  <c r="G67" i="18"/>
  <c r="G68" i="18"/>
  <c r="X62" i="18"/>
  <c r="C325" i="14" s="1"/>
  <c r="X63" i="18"/>
  <c r="C328" i="14" s="1"/>
  <c r="X66" i="18"/>
  <c r="C333" i="14" s="1"/>
  <c r="X67" i="18"/>
  <c r="C337" i="14" s="1"/>
  <c r="X68" i="18"/>
  <c r="C339" i="14" s="1"/>
  <c r="I326" i="14"/>
  <c r="J326" i="14" s="1"/>
  <c r="K326" i="14" s="1"/>
  <c r="L326" i="14" s="1"/>
  <c r="M326" i="14" s="1"/>
  <c r="N326" i="14" s="1"/>
  <c r="I327" i="14"/>
  <c r="J327" i="14" s="1"/>
  <c r="K327" i="14" s="1"/>
  <c r="L327" i="14" s="1"/>
  <c r="M327" i="14" s="1"/>
  <c r="N327" i="14" s="1"/>
  <c r="I328" i="14"/>
  <c r="J328" i="14" s="1"/>
  <c r="I329" i="14"/>
  <c r="J329" i="14" s="1"/>
  <c r="I330" i="14"/>
  <c r="J330" i="14" s="1"/>
  <c r="K330" i="14" s="1"/>
  <c r="L330" i="14" s="1"/>
  <c r="I331" i="14"/>
  <c r="J331" i="14" s="1"/>
  <c r="K331" i="14" s="1"/>
  <c r="L331" i="14" s="1"/>
  <c r="M331" i="14" s="1"/>
  <c r="N331" i="14" s="1"/>
  <c r="I332" i="14"/>
  <c r="J332" i="14" s="1"/>
  <c r="I333" i="14"/>
  <c r="J333" i="14" s="1"/>
  <c r="I334" i="14"/>
  <c r="J334" i="14" s="1"/>
  <c r="K334" i="14" s="1"/>
  <c r="L334" i="14" s="1"/>
  <c r="M334" i="14" s="1"/>
  <c r="N334" i="14" s="1"/>
  <c r="I335" i="14"/>
  <c r="J335" i="14" s="1"/>
  <c r="K335" i="14" s="1"/>
  <c r="L335" i="14" s="1"/>
  <c r="M335" i="14" s="1"/>
  <c r="N335" i="14" s="1"/>
  <c r="I336" i="14"/>
  <c r="J336" i="14" s="1"/>
  <c r="K336" i="14" s="1"/>
  <c r="L336" i="14" s="1"/>
  <c r="M336" i="14" s="1"/>
  <c r="N336" i="14" s="1"/>
  <c r="I337" i="14"/>
  <c r="I338" i="14"/>
  <c r="J338" i="14" s="1"/>
  <c r="K338" i="14" s="1"/>
  <c r="L338" i="14" s="1"/>
  <c r="M338" i="14" s="1"/>
  <c r="N338" i="14" s="1"/>
  <c r="I339" i="14"/>
  <c r="J339" i="14" s="1"/>
  <c r="K339" i="14" s="1"/>
  <c r="L339" i="14" s="1"/>
  <c r="M339" i="14" s="1"/>
  <c r="N339" i="14" s="1"/>
  <c r="I340" i="14"/>
  <c r="J340" i="14" s="1"/>
  <c r="J337" i="14"/>
  <c r="K337" i="14" s="1"/>
  <c r="L337" i="14" s="1"/>
  <c r="M337" i="14" s="1"/>
  <c r="N337" i="14" s="1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24" i="14"/>
  <c r="G61" i="18"/>
  <c r="V25" i="18"/>
  <c r="O322" i="14"/>
  <c r="O323" i="14"/>
  <c r="O321" i="14"/>
  <c r="O320" i="14"/>
  <c r="I323" i="14"/>
  <c r="J323" i="14" s="1"/>
  <c r="K323" i="14" s="1"/>
  <c r="L323" i="14" s="1"/>
  <c r="M323" i="14" s="1"/>
  <c r="N323" i="14" s="1"/>
  <c r="I322" i="14"/>
  <c r="J322" i="14" s="1"/>
  <c r="K322" i="14" s="1"/>
  <c r="L322" i="14" s="1"/>
  <c r="M322" i="14" s="1"/>
  <c r="N322" i="14" s="1"/>
  <c r="I321" i="14"/>
  <c r="J321" i="14" s="1"/>
  <c r="I320" i="14"/>
  <c r="J320" i="14" s="1"/>
  <c r="K320" i="14" s="1"/>
  <c r="L320" i="14" s="1"/>
  <c r="M320" i="14" s="1"/>
  <c r="N320" i="14" s="1"/>
  <c r="I319" i="14"/>
  <c r="J319" i="14" s="1"/>
  <c r="K319" i="14" s="1"/>
  <c r="L319" i="14" s="1"/>
  <c r="M319" i="14" s="1"/>
  <c r="N319" i="14" s="1"/>
  <c r="O319" i="14"/>
  <c r="O318" i="14"/>
  <c r="O316" i="14"/>
  <c r="O317" i="14"/>
  <c r="I318" i="14"/>
  <c r="J318" i="14" s="1"/>
  <c r="K318" i="14" s="1"/>
  <c r="L318" i="14" s="1"/>
  <c r="M318" i="14" s="1"/>
  <c r="N318" i="14" s="1"/>
  <c r="I317" i="14"/>
  <c r="J317" i="14" s="1"/>
  <c r="K317" i="14" s="1"/>
  <c r="L317" i="14" s="1"/>
  <c r="M317" i="14" s="1"/>
  <c r="N317" i="14" s="1"/>
  <c r="I316" i="14"/>
  <c r="J316" i="14" s="1"/>
  <c r="K316" i="14" s="1"/>
  <c r="L316" i="14" s="1"/>
  <c r="M316" i="14" s="1"/>
  <c r="N316" i="14" s="1"/>
  <c r="O315" i="14"/>
  <c r="I315" i="14"/>
  <c r="J315" i="14" s="1"/>
  <c r="K315" i="14" s="1"/>
  <c r="L315" i="14" s="1"/>
  <c r="M315" i="14" s="1"/>
  <c r="N315" i="14" s="1"/>
  <c r="I314" i="14"/>
  <c r="J314" i="14" s="1"/>
  <c r="K314" i="14" s="1"/>
  <c r="L314" i="14" s="1"/>
  <c r="M314" i="14" s="1"/>
  <c r="N314" i="14" s="1"/>
  <c r="O314" i="14"/>
  <c r="I313" i="14"/>
  <c r="J313" i="14" s="1"/>
  <c r="K313" i="14" s="1"/>
  <c r="L313" i="14" s="1"/>
  <c r="M313" i="14" s="1"/>
  <c r="N313" i="14" s="1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I312" i="14"/>
  <c r="J312" i="14" s="1"/>
  <c r="K312" i="14" s="1"/>
  <c r="L312" i="14" s="1"/>
  <c r="M312" i="14" s="1"/>
  <c r="N312" i="14" s="1"/>
  <c r="P312" i="14" s="1"/>
  <c r="U312" i="14" s="1"/>
  <c r="I311" i="14"/>
  <c r="J311" i="14" s="1"/>
  <c r="K311" i="14" s="1"/>
  <c r="L311" i="14" s="1"/>
  <c r="M311" i="14" s="1"/>
  <c r="N311" i="14" s="1"/>
  <c r="P311" i="14" s="1"/>
  <c r="U311" i="14" s="1"/>
  <c r="I310" i="14"/>
  <c r="J310" i="14" s="1"/>
  <c r="K310" i="14" s="1"/>
  <c r="L310" i="14" s="1"/>
  <c r="M310" i="14" s="1"/>
  <c r="N310" i="14" s="1"/>
  <c r="P310" i="14" s="1"/>
  <c r="I309" i="14"/>
  <c r="J309" i="14" s="1"/>
  <c r="K309" i="14" s="1"/>
  <c r="L309" i="14" s="1"/>
  <c r="M309" i="14" s="1"/>
  <c r="N309" i="14" s="1"/>
  <c r="P309" i="14" s="1"/>
  <c r="U309" i="14" s="1"/>
  <c r="I308" i="14"/>
  <c r="J308" i="14" s="1"/>
  <c r="I307" i="14"/>
  <c r="J307" i="14" s="1"/>
  <c r="K307" i="14" s="1"/>
  <c r="L307" i="14" s="1"/>
  <c r="M307" i="14" s="1"/>
  <c r="N307" i="14" s="1"/>
  <c r="I306" i="14"/>
  <c r="J306" i="14" s="1"/>
  <c r="K306" i="14" s="1"/>
  <c r="L306" i="14" s="1"/>
  <c r="M306" i="14" s="1"/>
  <c r="N306" i="14" s="1"/>
  <c r="P306" i="14" s="1"/>
  <c r="U306" i="14" s="1"/>
  <c r="I305" i="14"/>
  <c r="J305" i="14" s="1"/>
  <c r="K305" i="14" s="1"/>
  <c r="L305" i="14" s="1"/>
  <c r="M305" i="14" s="1"/>
  <c r="N305" i="14" s="1"/>
  <c r="I304" i="14"/>
  <c r="J304" i="14" s="1"/>
  <c r="I303" i="14"/>
  <c r="J303" i="14" s="1"/>
  <c r="K303" i="14" s="1"/>
  <c r="L303" i="14" s="1"/>
  <c r="M303" i="14" s="1"/>
  <c r="N303" i="14" s="1"/>
  <c r="I302" i="14"/>
  <c r="J302" i="14" s="1"/>
  <c r="K302" i="14" s="1"/>
  <c r="L302" i="14" s="1"/>
  <c r="M302" i="14" s="1"/>
  <c r="N302" i="14" s="1"/>
  <c r="P302" i="14" s="1"/>
  <c r="I301" i="14"/>
  <c r="J301" i="14" s="1"/>
  <c r="K301" i="14" s="1"/>
  <c r="L301" i="14" s="1"/>
  <c r="M301" i="14" s="1"/>
  <c r="N301" i="14" s="1"/>
  <c r="P301" i="14" s="1"/>
  <c r="Q301" i="14" s="1"/>
  <c r="S301" i="14" s="1"/>
  <c r="I300" i="14"/>
  <c r="J300" i="14" s="1"/>
  <c r="I299" i="14"/>
  <c r="J299" i="14" s="1"/>
  <c r="K299" i="14" s="1"/>
  <c r="L299" i="14" s="1"/>
  <c r="M299" i="14" s="1"/>
  <c r="N299" i="14" s="1"/>
  <c r="I298" i="14"/>
  <c r="J298" i="14" s="1"/>
  <c r="K298" i="14" s="1"/>
  <c r="L298" i="14" s="1"/>
  <c r="M298" i="14" s="1"/>
  <c r="N298" i="14" s="1"/>
  <c r="I297" i="14"/>
  <c r="J297" i="14" s="1"/>
  <c r="K297" i="14" s="1"/>
  <c r="L297" i="14" s="1"/>
  <c r="M297" i="14" s="1"/>
  <c r="N297" i="14" s="1"/>
  <c r="I296" i="14"/>
  <c r="J296" i="14" s="1"/>
  <c r="K296" i="14" s="1"/>
  <c r="L296" i="14" s="1"/>
  <c r="M296" i="14" s="1"/>
  <c r="N296" i="14" s="1"/>
  <c r="I295" i="14"/>
  <c r="J295" i="14" s="1"/>
  <c r="K295" i="14" s="1"/>
  <c r="L295" i="14" s="1"/>
  <c r="M295" i="14" s="1"/>
  <c r="N295" i="14" s="1"/>
  <c r="I294" i="14"/>
  <c r="J294" i="14" s="1"/>
  <c r="K294" i="14" s="1"/>
  <c r="L294" i="14" s="1"/>
  <c r="M294" i="14" s="1"/>
  <c r="N294" i="14" s="1"/>
  <c r="P294" i="14" s="1"/>
  <c r="I293" i="14"/>
  <c r="J293" i="14" s="1"/>
  <c r="K293" i="14" s="1"/>
  <c r="L293" i="14" s="1"/>
  <c r="M293" i="14" s="1"/>
  <c r="N293" i="14" s="1"/>
  <c r="P293" i="14" s="1"/>
  <c r="I292" i="14"/>
  <c r="J292" i="14" s="1"/>
  <c r="K292" i="14" s="1"/>
  <c r="L292" i="14" s="1"/>
  <c r="M292" i="14" s="1"/>
  <c r="N292" i="14" s="1"/>
  <c r="P292" i="14" s="1"/>
  <c r="U292" i="14" s="1"/>
  <c r="I291" i="14"/>
  <c r="J291" i="14" s="1"/>
  <c r="K291" i="14" s="1"/>
  <c r="L291" i="14" s="1"/>
  <c r="M291" i="14" s="1"/>
  <c r="N291" i="14" s="1"/>
  <c r="I290" i="14"/>
  <c r="J290" i="14" s="1"/>
  <c r="K290" i="14" s="1"/>
  <c r="L290" i="14" s="1"/>
  <c r="M290" i="14" s="1"/>
  <c r="N290" i="14" s="1"/>
  <c r="I289" i="14"/>
  <c r="J289" i="14" s="1"/>
  <c r="K289" i="14" s="1"/>
  <c r="L289" i="14" s="1"/>
  <c r="M289" i="14" s="1"/>
  <c r="N289" i="14" s="1"/>
  <c r="I288" i="14"/>
  <c r="J288" i="14" s="1"/>
  <c r="K288" i="14" s="1"/>
  <c r="L288" i="14" s="1"/>
  <c r="M288" i="14" s="1"/>
  <c r="N288" i="14" s="1"/>
  <c r="O288" i="14"/>
  <c r="I287" i="14"/>
  <c r="J287" i="14" s="1"/>
  <c r="K287" i="14" s="1"/>
  <c r="L287" i="14" s="1"/>
  <c r="M287" i="14" s="1"/>
  <c r="N287" i="14" s="1"/>
  <c r="O287" i="14"/>
  <c r="O285" i="14"/>
  <c r="O284" i="14"/>
  <c r="O283" i="14"/>
  <c r="O280" i="14"/>
  <c r="O278" i="14"/>
  <c r="O277" i="14"/>
  <c r="O269" i="14"/>
  <c r="O286" i="14"/>
  <c r="O282" i="14"/>
  <c r="O281" i="14"/>
  <c r="O279" i="14"/>
  <c r="O276" i="14"/>
  <c r="O275" i="14"/>
  <c r="O274" i="14"/>
  <c r="O273" i="14"/>
  <c r="O272" i="14"/>
  <c r="O271" i="14"/>
  <c r="O270" i="14"/>
  <c r="I286" i="14"/>
  <c r="J286" i="14" s="1"/>
  <c r="K286" i="14" s="1"/>
  <c r="L286" i="14" s="1"/>
  <c r="M286" i="14" s="1"/>
  <c r="N286" i="14" s="1"/>
  <c r="I285" i="14"/>
  <c r="J285" i="14" s="1"/>
  <c r="K285" i="14" s="1"/>
  <c r="L285" i="14" s="1"/>
  <c r="M285" i="14" s="1"/>
  <c r="N285" i="14" s="1"/>
  <c r="I284" i="14"/>
  <c r="J284" i="14" s="1"/>
  <c r="K284" i="14" s="1"/>
  <c r="L284" i="14" s="1"/>
  <c r="M284" i="14" s="1"/>
  <c r="N284" i="14" s="1"/>
  <c r="I283" i="14"/>
  <c r="J283" i="14" s="1"/>
  <c r="K283" i="14" s="1"/>
  <c r="L283" i="14" s="1"/>
  <c r="M283" i="14" s="1"/>
  <c r="N283" i="14" s="1"/>
  <c r="I282" i="14"/>
  <c r="J282" i="14" s="1"/>
  <c r="K282" i="14" s="1"/>
  <c r="L282" i="14" s="1"/>
  <c r="M282" i="14" s="1"/>
  <c r="N282" i="14" s="1"/>
  <c r="I281" i="14"/>
  <c r="J281" i="14" s="1"/>
  <c r="K281" i="14" s="1"/>
  <c r="L281" i="14" s="1"/>
  <c r="M281" i="14" s="1"/>
  <c r="N281" i="14" s="1"/>
  <c r="I280" i="14"/>
  <c r="J280" i="14" s="1"/>
  <c r="K280" i="14" s="1"/>
  <c r="L280" i="14" s="1"/>
  <c r="M280" i="14" s="1"/>
  <c r="N280" i="14" s="1"/>
  <c r="I279" i="14"/>
  <c r="J279" i="14" s="1"/>
  <c r="K279" i="14" s="1"/>
  <c r="L279" i="14" s="1"/>
  <c r="M279" i="14" s="1"/>
  <c r="N279" i="14" s="1"/>
  <c r="I278" i="14"/>
  <c r="J278" i="14" s="1"/>
  <c r="K278" i="14" s="1"/>
  <c r="L278" i="14" s="1"/>
  <c r="M278" i="14" s="1"/>
  <c r="N278" i="14" s="1"/>
  <c r="I277" i="14"/>
  <c r="J277" i="14" s="1"/>
  <c r="K277" i="14" s="1"/>
  <c r="L277" i="14" s="1"/>
  <c r="M277" i="14" s="1"/>
  <c r="N277" i="14" s="1"/>
  <c r="I276" i="14"/>
  <c r="J276" i="14" s="1"/>
  <c r="K276" i="14" s="1"/>
  <c r="L276" i="14" s="1"/>
  <c r="M276" i="14" s="1"/>
  <c r="N276" i="14" s="1"/>
  <c r="I275" i="14"/>
  <c r="J275" i="14" s="1"/>
  <c r="K275" i="14" s="1"/>
  <c r="L275" i="14" s="1"/>
  <c r="M275" i="14" s="1"/>
  <c r="N275" i="14" s="1"/>
  <c r="I274" i="14"/>
  <c r="J274" i="14" s="1"/>
  <c r="K274" i="14" s="1"/>
  <c r="L274" i="14" s="1"/>
  <c r="M274" i="14" s="1"/>
  <c r="N274" i="14" s="1"/>
  <c r="I273" i="14"/>
  <c r="J273" i="14" s="1"/>
  <c r="K273" i="14" s="1"/>
  <c r="L273" i="14" s="1"/>
  <c r="M273" i="14" s="1"/>
  <c r="N273" i="14" s="1"/>
  <c r="I272" i="14"/>
  <c r="J272" i="14" s="1"/>
  <c r="K272" i="14" s="1"/>
  <c r="L272" i="14" s="1"/>
  <c r="M272" i="14" s="1"/>
  <c r="N272" i="14" s="1"/>
  <c r="I271" i="14"/>
  <c r="J271" i="14" s="1"/>
  <c r="K271" i="14" s="1"/>
  <c r="L271" i="14" s="1"/>
  <c r="M271" i="14" s="1"/>
  <c r="N271" i="14" s="1"/>
  <c r="I270" i="14"/>
  <c r="J270" i="14" s="1"/>
  <c r="K270" i="14" s="1"/>
  <c r="L270" i="14" s="1"/>
  <c r="M270" i="14" s="1"/>
  <c r="N270" i="14" s="1"/>
  <c r="I269" i="14"/>
  <c r="J269" i="14" s="1"/>
  <c r="K269" i="14" s="1"/>
  <c r="L269" i="14" s="1"/>
  <c r="M269" i="14" s="1"/>
  <c r="N269" i="14" s="1"/>
  <c r="I268" i="14"/>
  <c r="J268" i="14" s="1"/>
  <c r="K268" i="14" s="1"/>
  <c r="L268" i="14" s="1"/>
  <c r="M268" i="14" s="1"/>
  <c r="N268" i="14" s="1"/>
  <c r="O268" i="14"/>
  <c r="I265" i="14"/>
  <c r="J265" i="14" s="1"/>
  <c r="K265" i="14" s="1"/>
  <c r="L265" i="14" s="1"/>
  <c r="M265" i="14" s="1"/>
  <c r="N265" i="14" s="1"/>
  <c r="I266" i="14"/>
  <c r="J266" i="14" s="1"/>
  <c r="K266" i="14" s="1"/>
  <c r="L266" i="14" s="1"/>
  <c r="M266" i="14" s="1"/>
  <c r="N266" i="14" s="1"/>
  <c r="I267" i="14"/>
  <c r="J267" i="14" s="1"/>
  <c r="K267" i="14" s="1"/>
  <c r="L267" i="14" s="1"/>
  <c r="M267" i="14" s="1"/>
  <c r="N267" i="14" s="1"/>
  <c r="O265" i="14"/>
  <c r="O266" i="14"/>
  <c r="O267" i="14"/>
  <c r="I264" i="14"/>
  <c r="J264" i="14" s="1"/>
  <c r="K264" i="14" s="1"/>
  <c r="L264" i="14" s="1"/>
  <c r="M264" i="14" s="1"/>
  <c r="N264" i="14" s="1"/>
  <c r="O264" i="14"/>
  <c r="I263" i="14"/>
  <c r="J263" i="14" s="1"/>
  <c r="K263" i="14" s="1"/>
  <c r="L263" i="14" s="1"/>
  <c r="M263" i="14" s="1"/>
  <c r="N263" i="14" s="1"/>
  <c r="O263" i="14"/>
  <c r="O262" i="14"/>
  <c r="O261" i="14"/>
  <c r="O260" i="14"/>
  <c r="I262" i="14"/>
  <c r="J262" i="14" s="1"/>
  <c r="K262" i="14" s="1"/>
  <c r="L262" i="14" s="1"/>
  <c r="M262" i="14" s="1"/>
  <c r="N262" i="14" s="1"/>
  <c r="I261" i="14"/>
  <c r="J261" i="14" s="1"/>
  <c r="K261" i="14" s="1"/>
  <c r="L261" i="14" s="1"/>
  <c r="M261" i="14" s="1"/>
  <c r="N261" i="14" s="1"/>
  <c r="I260" i="14"/>
  <c r="J260" i="14" s="1"/>
  <c r="K260" i="14" s="1"/>
  <c r="L260" i="14" s="1"/>
  <c r="M260" i="14" s="1"/>
  <c r="N260" i="14" s="1"/>
  <c r="I259" i="14"/>
  <c r="J259" i="14" s="1"/>
  <c r="K259" i="14" s="1"/>
  <c r="L259" i="14" s="1"/>
  <c r="M259" i="14" s="1"/>
  <c r="N259" i="14" s="1"/>
  <c r="O259" i="14"/>
  <c r="O257" i="14"/>
  <c r="O255" i="14"/>
  <c r="O258" i="14"/>
  <c r="O256" i="14"/>
  <c r="O254" i="14"/>
  <c r="I258" i="14"/>
  <c r="J258" i="14" s="1"/>
  <c r="I257" i="14"/>
  <c r="J257" i="14" s="1"/>
  <c r="K257" i="14" s="1"/>
  <c r="L257" i="14" s="1"/>
  <c r="M257" i="14" s="1"/>
  <c r="N257" i="14" s="1"/>
  <c r="I256" i="14"/>
  <c r="J256" i="14" s="1"/>
  <c r="K256" i="14" s="1"/>
  <c r="L256" i="14" s="1"/>
  <c r="M256" i="14" s="1"/>
  <c r="N256" i="14" s="1"/>
  <c r="I255" i="14"/>
  <c r="J255" i="14" s="1"/>
  <c r="K255" i="14" s="1"/>
  <c r="L255" i="14" s="1"/>
  <c r="M255" i="14" s="1"/>
  <c r="N255" i="14" s="1"/>
  <c r="I254" i="14"/>
  <c r="J254" i="14" s="1"/>
  <c r="K254" i="14" s="1"/>
  <c r="L254" i="14" s="1"/>
  <c r="M254" i="14" s="1"/>
  <c r="N254" i="14" s="1"/>
  <c r="I253" i="14"/>
  <c r="J253" i="14" s="1"/>
  <c r="K253" i="14" s="1"/>
  <c r="L253" i="14" s="1"/>
  <c r="M253" i="14" s="1"/>
  <c r="N253" i="14" s="1"/>
  <c r="O253" i="14"/>
  <c r="I252" i="14"/>
  <c r="J252" i="14" s="1"/>
  <c r="K252" i="14" s="1"/>
  <c r="L252" i="14" s="1"/>
  <c r="M252" i="14" s="1"/>
  <c r="N252" i="14" s="1"/>
  <c r="O252" i="14"/>
  <c r="I251" i="14"/>
  <c r="J251" i="14" s="1"/>
  <c r="K251" i="14" s="1"/>
  <c r="L251" i="14" s="1"/>
  <c r="M251" i="14" s="1"/>
  <c r="N251" i="14" s="1"/>
  <c r="O251" i="14"/>
  <c r="I250" i="14"/>
  <c r="J250" i="14" s="1"/>
  <c r="K250" i="14" s="1"/>
  <c r="L250" i="14" s="1"/>
  <c r="M250" i="14" s="1"/>
  <c r="N250" i="14" s="1"/>
  <c r="O250" i="14"/>
  <c r="I249" i="14"/>
  <c r="J249" i="14" s="1"/>
  <c r="K249" i="14" s="1"/>
  <c r="L249" i="14" s="1"/>
  <c r="M249" i="14" s="1"/>
  <c r="N249" i="14" s="1"/>
  <c r="O249" i="14"/>
  <c r="I248" i="14"/>
  <c r="J248" i="14" s="1"/>
  <c r="K248" i="14" s="1"/>
  <c r="L248" i="14" s="1"/>
  <c r="M248" i="14" s="1"/>
  <c r="N248" i="14" s="1"/>
  <c r="O248" i="14"/>
  <c r="I247" i="14"/>
  <c r="J247" i="14" s="1"/>
  <c r="K247" i="14" s="1"/>
  <c r="L247" i="14" s="1"/>
  <c r="M247" i="14" s="1"/>
  <c r="N247" i="14" s="1"/>
  <c r="O247" i="14"/>
  <c r="I246" i="14"/>
  <c r="J246" i="14" s="1"/>
  <c r="K246" i="14" s="1"/>
  <c r="L246" i="14" s="1"/>
  <c r="M246" i="14" s="1"/>
  <c r="N246" i="14" s="1"/>
  <c r="O246" i="14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I238" i="14"/>
  <c r="J238" i="14" s="1"/>
  <c r="K238" i="14" s="1"/>
  <c r="L238" i="14" s="1"/>
  <c r="M238" i="14" s="1"/>
  <c r="N238" i="14" s="1"/>
  <c r="X8" i="18"/>
  <c r="C110" i="14" s="1"/>
  <c r="X21" i="18"/>
  <c r="C176" i="14" s="1"/>
  <c r="X15" i="18"/>
  <c r="C166" i="14" s="1"/>
  <c r="X18" i="18"/>
  <c r="C172" i="14" s="1"/>
  <c r="X16" i="18"/>
  <c r="C171" i="14" s="1"/>
  <c r="X11" i="18"/>
  <c r="C133" i="14" s="1"/>
  <c r="X17" i="18"/>
  <c r="C9" i="14" s="1"/>
  <c r="X19" i="18"/>
  <c r="X12" i="18"/>
  <c r="C137" i="14" s="1"/>
  <c r="X13" i="18"/>
  <c r="C158" i="14" s="1"/>
  <c r="X7" i="18"/>
  <c r="C16" i="14" s="1"/>
  <c r="X26" i="18"/>
  <c r="C187" i="14" s="1"/>
  <c r="X24" i="18"/>
  <c r="C245" i="14" s="1"/>
  <c r="X20" i="18"/>
  <c r="C76" i="14" s="1"/>
  <c r="X14" i="18"/>
  <c r="C30" i="14" s="1"/>
  <c r="X22" i="18"/>
  <c r="C179" i="14" s="1"/>
  <c r="X23" i="18"/>
  <c r="C4" i="14" s="1"/>
  <c r="X31" i="18"/>
  <c r="C84" i="14" s="1"/>
  <c r="X29" i="18"/>
  <c r="C47" i="14" s="1"/>
  <c r="X6" i="18"/>
  <c r="C101" i="14" s="1"/>
  <c r="X5" i="18"/>
  <c r="C93" i="14" s="1"/>
  <c r="X10" i="18"/>
  <c r="C127" i="14" s="1"/>
  <c r="X2" i="18"/>
  <c r="X3" i="18"/>
  <c r="X4" i="18"/>
  <c r="X25" i="18"/>
  <c r="C180" i="14" s="1"/>
  <c r="X45" i="18"/>
  <c r="C233" i="14" s="1"/>
  <c r="X43" i="18"/>
  <c r="C232" i="14" s="1"/>
  <c r="X27" i="18"/>
  <c r="C190" i="14" s="1"/>
  <c r="X30" i="18"/>
  <c r="X35" i="18"/>
  <c r="C205" i="14" s="1"/>
  <c r="X32" i="18"/>
  <c r="C204" i="14" s="1"/>
  <c r="X36" i="18"/>
  <c r="C206" i="14" s="1"/>
  <c r="X37" i="18"/>
  <c r="C207" i="14" s="1"/>
  <c r="X38" i="18"/>
  <c r="C213" i="14" s="1"/>
  <c r="X28" i="18"/>
  <c r="C203" i="14" s="1"/>
  <c r="X39" i="18"/>
  <c r="C222" i="14" s="1"/>
  <c r="X41" i="18"/>
  <c r="C231" i="14" s="1"/>
  <c r="X59" i="18"/>
  <c r="C239" i="14" s="1"/>
  <c r="X58" i="18"/>
  <c r="C235" i="14" s="1"/>
  <c r="X33" i="18"/>
  <c r="C247" i="14" s="1"/>
  <c r="X34" i="18"/>
  <c r="X40" i="18"/>
  <c r="C250" i="14" s="1"/>
  <c r="X42" i="18"/>
  <c r="C251" i="14" s="1"/>
  <c r="X44" i="18"/>
  <c r="C252" i="14" s="1"/>
  <c r="X46" i="18"/>
  <c r="C260" i="14" s="1"/>
  <c r="X47" i="18"/>
  <c r="C263" i="14" s="1"/>
  <c r="X48" i="18"/>
  <c r="C264" i="14" s="1"/>
  <c r="X49" i="18"/>
  <c r="C266" i="14" s="1"/>
  <c r="X50" i="18"/>
  <c r="X51" i="18"/>
  <c r="C274" i="14" s="1"/>
  <c r="X53" i="18"/>
  <c r="C304" i="14" s="1"/>
  <c r="X54" i="18"/>
  <c r="C313" i="14" s="1"/>
  <c r="X55" i="18"/>
  <c r="C314" i="14" s="1"/>
  <c r="X56" i="18"/>
  <c r="C315" i="14" s="1"/>
  <c r="X57" i="18"/>
  <c r="C318" i="14" s="1"/>
  <c r="X60" i="18"/>
  <c r="C321" i="14" s="1"/>
  <c r="X9" i="18"/>
  <c r="C113" i="14" s="1"/>
  <c r="I225" i="14"/>
  <c r="J225" i="14" s="1"/>
  <c r="K225" i="14" s="1"/>
  <c r="L225" i="14" s="1"/>
  <c r="M225" i="14" s="1"/>
  <c r="N225" i="14" s="1"/>
  <c r="I226" i="14"/>
  <c r="J226" i="14" s="1"/>
  <c r="K226" i="14" s="1"/>
  <c r="L226" i="14" s="1"/>
  <c r="M226" i="14" s="1"/>
  <c r="N226" i="14" s="1"/>
  <c r="I227" i="14"/>
  <c r="J227" i="14" s="1"/>
  <c r="K227" i="14" s="1"/>
  <c r="L227" i="14" s="1"/>
  <c r="M227" i="14" s="1"/>
  <c r="N227" i="14" s="1"/>
  <c r="I228" i="14"/>
  <c r="J228" i="14" s="1"/>
  <c r="K228" i="14" s="1"/>
  <c r="L228" i="14" s="1"/>
  <c r="M228" i="14" s="1"/>
  <c r="N228" i="14" s="1"/>
  <c r="I229" i="14"/>
  <c r="J229" i="14" s="1"/>
  <c r="K229" i="14" s="1"/>
  <c r="L229" i="14" s="1"/>
  <c r="M229" i="14" s="1"/>
  <c r="N229" i="14" s="1"/>
  <c r="I230" i="14"/>
  <c r="J230" i="14" s="1"/>
  <c r="K230" i="14" s="1"/>
  <c r="L230" i="14" s="1"/>
  <c r="M230" i="14" s="1"/>
  <c r="N230" i="14" s="1"/>
  <c r="I231" i="14"/>
  <c r="J231" i="14" s="1"/>
  <c r="K231" i="14" s="1"/>
  <c r="L231" i="14" s="1"/>
  <c r="M231" i="14" s="1"/>
  <c r="N231" i="14" s="1"/>
  <c r="O229" i="14"/>
  <c r="I221" i="14"/>
  <c r="J221" i="14" s="1"/>
  <c r="K221" i="14" s="1"/>
  <c r="L221" i="14" s="1"/>
  <c r="M221" i="14" s="1"/>
  <c r="N221" i="14" s="1"/>
  <c r="I222" i="14"/>
  <c r="J222" i="14" s="1"/>
  <c r="K222" i="14" s="1"/>
  <c r="L222" i="14" s="1"/>
  <c r="M222" i="14" s="1"/>
  <c r="N222" i="14" s="1"/>
  <c r="I223" i="14"/>
  <c r="J223" i="14" s="1"/>
  <c r="K223" i="14" s="1"/>
  <c r="L223" i="14" s="1"/>
  <c r="M223" i="14" s="1"/>
  <c r="N223" i="14" s="1"/>
  <c r="I224" i="14"/>
  <c r="J224" i="14" s="1"/>
  <c r="K224" i="14" s="1"/>
  <c r="L224" i="14" s="1"/>
  <c r="M224" i="14" s="1"/>
  <c r="N224" i="14" s="1"/>
  <c r="I233" i="14"/>
  <c r="J233" i="14" s="1"/>
  <c r="K233" i="14" s="1"/>
  <c r="L233" i="14" s="1"/>
  <c r="M233" i="14" s="1"/>
  <c r="N233" i="14" s="1"/>
  <c r="AT169" i="15"/>
  <c r="AT168" i="15"/>
  <c r="AT166" i="15"/>
  <c r="AT165" i="15"/>
  <c r="AT160" i="15"/>
  <c r="AT156" i="15"/>
  <c r="AT151" i="15"/>
  <c r="AT148" i="15"/>
  <c r="AT147" i="15"/>
  <c r="AT145" i="15"/>
  <c r="AT141" i="15"/>
  <c r="AT136" i="15"/>
  <c r="AT135" i="15"/>
  <c r="AT132" i="15"/>
  <c r="AT130" i="15"/>
  <c r="AT129" i="15"/>
  <c r="AT120" i="15"/>
  <c r="AT117" i="15"/>
  <c r="AT114" i="15"/>
  <c r="AT111" i="15"/>
  <c r="AT105" i="15"/>
  <c r="AT103" i="15"/>
  <c r="AT102" i="15"/>
  <c r="AT99" i="15"/>
  <c r="AT90" i="15"/>
  <c r="AT85" i="15"/>
  <c r="AT84" i="15"/>
  <c r="AT82" i="15"/>
  <c r="AT81" i="15"/>
  <c r="AT75" i="15"/>
  <c r="AT73" i="15"/>
  <c r="AT72" i="15"/>
  <c r="AT69" i="15"/>
  <c r="AT63" i="15"/>
  <c r="AT60" i="15"/>
  <c r="AT57" i="15"/>
  <c r="AT54" i="15"/>
  <c r="AT51" i="15"/>
  <c r="AT49" i="15"/>
  <c r="AT48" i="15"/>
  <c r="AT40" i="15"/>
  <c r="AT39" i="15"/>
  <c r="AT34" i="15"/>
  <c r="AT33" i="15"/>
  <c r="AT27" i="15"/>
  <c r="AT24" i="15"/>
  <c r="AT21" i="15"/>
  <c r="AT18" i="15"/>
  <c r="AT15" i="15"/>
  <c r="AT12" i="15"/>
  <c r="AT159" i="15"/>
  <c r="AT154" i="15"/>
  <c r="AT153" i="15"/>
  <c r="AT144" i="15"/>
  <c r="AT133" i="15"/>
  <c r="AT123" i="15"/>
  <c r="AT112" i="15"/>
  <c r="AT109" i="15"/>
  <c r="AT108" i="15"/>
  <c r="AT96" i="15"/>
  <c r="AT88" i="15"/>
  <c r="AT87" i="15"/>
  <c r="AT78" i="15"/>
  <c r="AT70" i="15"/>
  <c r="AT66" i="15"/>
  <c r="AT61" i="15"/>
  <c r="AT58" i="15"/>
  <c r="AT45" i="15"/>
  <c r="AT36" i="15"/>
  <c r="AT31" i="15"/>
  <c r="AT30" i="15"/>
  <c r="AT25" i="15"/>
  <c r="AT22" i="15"/>
  <c r="AT16" i="15"/>
  <c r="AT7" i="15"/>
  <c r="AT6" i="15"/>
  <c r="AT17" i="15"/>
  <c r="AT14" i="15"/>
  <c r="AT162" i="15"/>
  <c r="AT142" i="15"/>
  <c r="AT138" i="15"/>
  <c r="AT127" i="15"/>
  <c r="AT115" i="15"/>
  <c r="AT93" i="15"/>
  <c r="AT76" i="15"/>
  <c r="AT67" i="15"/>
  <c r="AT118" i="15"/>
  <c r="AT97" i="15"/>
  <c r="AT79" i="15"/>
  <c r="AT55" i="15"/>
  <c r="AT43" i="15"/>
  <c r="AT42" i="15"/>
  <c r="AT9" i="15"/>
  <c r="AT121" i="15"/>
  <c r="AT94" i="15"/>
  <c r="AT52" i="15"/>
  <c r="AT28" i="15"/>
  <c r="AT19" i="15"/>
  <c r="AT46" i="15"/>
  <c r="AT13" i="15"/>
  <c r="AT64" i="15"/>
  <c r="AT37" i="15"/>
  <c r="L2" i="15"/>
  <c r="AT157" i="15"/>
  <c r="AT89" i="15"/>
  <c r="AT83" i="15"/>
  <c r="AT77" i="15"/>
  <c r="AT74" i="15"/>
  <c r="AT71" i="15"/>
  <c r="AT68" i="15"/>
  <c r="AT56" i="15"/>
  <c r="AT53" i="15"/>
  <c r="AT47" i="15"/>
  <c r="AT44" i="15"/>
  <c r="AT41" i="15"/>
  <c r="AT38" i="15"/>
  <c r="AT32" i="15"/>
  <c r="AT29" i="15"/>
  <c r="AT23" i="15"/>
  <c r="AT8" i="15"/>
  <c r="AT106" i="15"/>
  <c r="AT163" i="15"/>
  <c r="AT172" i="15"/>
  <c r="AT175" i="15"/>
  <c r="AT180" i="15"/>
  <c r="AT181" i="15"/>
  <c r="AT184" i="15"/>
  <c r="AT186" i="15"/>
  <c r="AT187" i="15"/>
  <c r="AT189" i="15"/>
  <c r="AT190" i="15"/>
  <c r="AT195" i="15"/>
  <c r="AT196" i="15"/>
  <c r="AT199" i="15"/>
  <c r="U4" i="18"/>
  <c r="G60" i="18"/>
  <c r="G57" i="18"/>
  <c r="G56" i="18"/>
  <c r="G55" i="18"/>
  <c r="G54" i="18"/>
  <c r="G53" i="18"/>
  <c r="G51" i="18"/>
  <c r="G50" i="18"/>
  <c r="G49" i="18"/>
  <c r="G48" i="18"/>
  <c r="G47" i="18"/>
  <c r="G46" i="18"/>
  <c r="G44" i="18"/>
  <c r="G42" i="18"/>
  <c r="G40" i="18"/>
  <c r="G34" i="18"/>
  <c r="G33" i="18"/>
  <c r="U180" i="14"/>
  <c r="G8" i="18"/>
  <c r="G21" i="18"/>
  <c r="G15" i="18"/>
  <c r="G18" i="18"/>
  <c r="G16" i="18"/>
  <c r="G11" i="18"/>
  <c r="G17" i="18"/>
  <c r="G19" i="18"/>
  <c r="G12" i="18"/>
  <c r="G13" i="18"/>
  <c r="G7" i="18"/>
  <c r="G26" i="18"/>
  <c r="G24" i="18"/>
  <c r="G20" i="18"/>
  <c r="G14" i="18"/>
  <c r="G22" i="18"/>
  <c r="G23" i="18"/>
  <c r="G31" i="18"/>
  <c r="G29" i="18"/>
  <c r="G6" i="18"/>
  <c r="G5" i="18"/>
  <c r="G10" i="18"/>
  <c r="G2" i="18"/>
  <c r="G3" i="18"/>
  <c r="G4" i="18"/>
  <c r="G25" i="18"/>
  <c r="G45" i="18"/>
  <c r="G27" i="18"/>
  <c r="G30" i="18"/>
  <c r="G35" i="18"/>
  <c r="G32" i="18"/>
  <c r="G36" i="18"/>
  <c r="G37" i="18"/>
  <c r="G38" i="18"/>
  <c r="G28" i="18"/>
  <c r="G39" i="18"/>
  <c r="G41" i="18"/>
  <c r="G59" i="18"/>
  <c r="G58" i="18"/>
  <c r="G9" i="18"/>
  <c r="O112" i="14"/>
  <c r="I112" i="14"/>
  <c r="J112" i="14" s="1"/>
  <c r="K112" i="14" s="1"/>
  <c r="L112" i="14" s="1"/>
  <c r="M112" i="14" s="1"/>
  <c r="N112" i="14" s="1"/>
  <c r="I116" i="14"/>
  <c r="J116" i="14" s="1"/>
  <c r="K116" i="14" s="1"/>
  <c r="L116" i="14" s="1"/>
  <c r="M116" i="14" s="1"/>
  <c r="N116" i="14" s="1"/>
  <c r="I115" i="14"/>
  <c r="J115" i="14" s="1"/>
  <c r="K115" i="14" s="1"/>
  <c r="L115" i="14" s="1"/>
  <c r="M115" i="14" s="1"/>
  <c r="N115" i="14" s="1"/>
  <c r="I114" i="14"/>
  <c r="J114" i="14" s="1"/>
  <c r="K114" i="14" s="1"/>
  <c r="L114" i="14" s="1"/>
  <c r="M114" i="14" s="1"/>
  <c r="N114" i="14" s="1"/>
  <c r="I113" i="14"/>
  <c r="J113" i="14" s="1"/>
  <c r="K113" i="14" s="1"/>
  <c r="L113" i="14" s="1"/>
  <c r="M113" i="14" s="1"/>
  <c r="N113" i="14" s="1"/>
  <c r="O238" i="14"/>
  <c r="O237" i="14"/>
  <c r="I237" i="14"/>
  <c r="J237" i="14" s="1"/>
  <c r="K237" i="14" s="1"/>
  <c r="L237" i="14" s="1"/>
  <c r="M237" i="14" s="1"/>
  <c r="N237" i="14" s="1"/>
  <c r="O236" i="14"/>
  <c r="I236" i="14"/>
  <c r="J236" i="14" s="1"/>
  <c r="K236" i="14" s="1"/>
  <c r="L236" i="14" s="1"/>
  <c r="M236" i="14" s="1"/>
  <c r="N236" i="14" s="1"/>
  <c r="O235" i="14"/>
  <c r="I235" i="14"/>
  <c r="J235" i="14" s="1"/>
  <c r="K235" i="14" s="1"/>
  <c r="L235" i="14" s="1"/>
  <c r="M235" i="14" s="1"/>
  <c r="N235" i="14" s="1"/>
  <c r="O243" i="14"/>
  <c r="I243" i="14"/>
  <c r="J243" i="14" s="1"/>
  <c r="K243" i="14" s="1"/>
  <c r="L243" i="14" s="1"/>
  <c r="M243" i="14" s="1"/>
  <c r="N243" i="14" s="1"/>
  <c r="O242" i="14"/>
  <c r="I242" i="14"/>
  <c r="J242" i="14" s="1"/>
  <c r="K242" i="14" s="1"/>
  <c r="L242" i="14" s="1"/>
  <c r="M242" i="14" s="1"/>
  <c r="N242" i="14" s="1"/>
  <c r="O241" i="14"/>
  <c r="I241" i="14"/>
  <c r="J241" i="14" s="1"/>
  <c r="K241" i="14" s="1"/>
  <c r="L241" i="14" s="1"/>
  <c r="M241" i="14" s="1"/>
  <c r="N241" i="14" s="1"/>
  <c r="O240" i="14"/>
  <c r="I240" i="14"/>
  <c r="J240" i="14" s="1"/>
  <c r="K240" i="14" s="1"/>
  <c r="L240" i="14" s="1"/>
  <c r="M240" i="14" s="1"/>
  <c r="N240" i="14" s="1"/>
  <c r="O239" i="14"/>
  <c r="I239" i="14"/>
  <c r="J239" i="14" s="1"/>
  <c r="K239" i="14" s="1"/>
  <c r="L239" i="14" s="1"/>
  <c r="M239" i="14" s="1"/>
  <c r="N239" i="14" s="1"/>
  <c r="O231" i="14"/>
  <c r="O230" i="14"/>
  <c r="O228" i="14"/>
  <c r="O227" i="14"/>
  <c r="O226" i="14"/>
  <c r="O225" i="14"/>
  <c r="O224" i="14"/>
  <c r="O223" i="14"/>
  <c r="O222" i="14"/>
  <c r="O221" i="14"/>
  <c r="O203" i="14"/>
  <c r="I203" i="14"/>
  <c r="J203" i="14" s="1"/>
  <c r="K203" i="14" s="1"/>
  <c r="L203" i="14" s="1"/>
  <c r="M203" i="14" s="1"/>
  <c r="N203" i="14" s="1"/>
  <c r="O220" i="14"/>
  <c r="I220" i="14"/>
  <c r="J220" i="14" s="1"/>
  <c r="K220" i="14" s="1"/>
  <c r="L220" i="14" s="1"/>
  <c r="M220" i="14" s="1"/>
  <c r="N220" i="14" s="1"/>
  <c r="O219" i="14"/>
  <c r="I219" i="14"/>
  <c r="J219" i="14" s="1"/>
  <c r="K219" i="14" s="1"/>
  <c r="L219" i="14" s="1"/>
  <c r="M219" i="14" s="1"/>
  <c r="N219" i="14" s="1"/>
  <c r="O218" i="14"/>
  <c r="I218" i="14"/>
  <c r="J218" i="14" s="1"/>
  <c r="K218" i="14" s="1"/>
  <c r="L218" i="14" s="1"/>
  <c r="M218" i="14" s="1"/>
  <c r="N218" i="14" s="1"/>
  <c r="O217" i="14"/>
  <c r="I217" i="14"/>
  <c r="J217" i="14" s="1"/>
  <c r="K217" i="14" s="1"/>
  <c r="L217" i="14" s="1"/>
  <c r="M217" i="14" s="1"/>
  <c r="N217" i="14" s="1"/>
  <c r="O216" i="14"/>
  <c r="I216" i="14"/>
  <c r="J216" i="14" s="1"/>
  <c r="K216" i="14" s="1"/>
  <c r="L216" i="14" s="1"/>
  <c r="M216" i="14" s="1"/>
  <c r="N216" i="14" s="1"/>
  <c r="O215" i="14"/>
  <c r="I215" i="14"/>
  <c r="J215" i="14" s="1"/>
  <c r="K215" i="14" s="1"/>
  <c r="L215" i="14" s="1"/>
  <c r="O214" i="14"/>
  <c r="I214" i="14"/>
  <c r="J214" i="14" s="1"/>
  <c r="K214" i="14" s="1"/>
  <c r="L214" i="14" s="1"/>
  <c r="M214" i="14" s="1"/>
  <c r="N214" i="14" s="1"/>
  <c r="O213" i="14"/>
  <c r="I213" i="14"/>
  <c r="J213" i="14" s="1"/>
  <c r="K213" i="14" s="1"/>
  <c r="L213" i="14" s="1"/>
  <c r="M213" i="14" s="1"/>
  <c r="N213" i="14" s="1"/>
  <c r="O212" i="14"/>
  <c r="I212" i="14"/>
  <c r="J212" i="14" s="1"/>
  <c r="K212" i="14" s="1"/>
  <c r="L212" i="14" s="1"/>
  <c r="M212" i="14" s="1"/>
  <c r="N212" i="14" s="1"/>
  <c r="O211" i="14"/>
  <c r="I211" i="14"/>
  <c r="J211" i="14" s="1"/>
  <c r="K211" i="14" s="1"/>
  <c r="L211" i="14" s="1"/>
  <c r="M211" i="14" s="1"/>
  <c r="N211" i="14" s="1"/>
  <c r="O210" i="14"/>
  <c r="I210" i="14"/>
  <c r="J210" i="14" s="1"/>
  <c r="K210" i="14" s="1"/>
  <c r="L210" i="14" s="1"/>
  <c r="M210" i="14" s="1"/>
  <c r="N210" i="14" s="1"/>
  <c r="O209" i="14"/>
  <c r="I209" i="14"/>
  <c r="J209" i="14" s="1"/>
  <c r="K209" i="14" s="1"/>
  <c r="L209" i="14" s="1"/>
  <c r="M209" i="14" s="1"/>
  <c r="N209" i="14" s="1"/>
  <c r="O208" i="14"/>
  <c r="I208" i="14"/>
  <c r="J208" i="14" s="1"/>
  <c r="K208" i="14" s="1"/>
  <c r="L208" i="14" s="1"/>
  <c r="M208" i="14" s="1"/>
  <c r="N208" i="14" s="1"/>
  <c r="O207" i="14"/>
  <c r="I207" i="14"/>
  <c r="J207" i="14" s="1"/>
  <c r="K207" i="14" s="1"/>
  <c r="L207" i="14" s="1"/>
  <c r="M207" i="14" s="1"/>
  <c r="N207" i="14" s="1"/>
  <c r="O206" i="14"/>
  <c r="I206" i="14"/>
  <c r="J206" i="14" s="1"/>
  <c r="K206" i="14" s="1"/>
  <c r="L206" i="14" s="1"/>
  <c r="M206" i="14" s="1"/>
  <c r="N206" i="14" s="1"/>
  <c r="O204" i="14"/>
  <c r="I204" i="14"/>
  <c r="J204" i="14" s="1"/>
  <c r="O205" i="14"/>
  <c r="I205" i="14"/>
  <c r="J205" i="14" s="1"/>
  <c r="K205" i="14" s="1"/>
  <c r="L205" i="14" s="1"/>
  <c r="M205" i="14" s="1"/>
  <c r="N205" i="14" s="1"/>
  <c r="O202" i="14"/>
  <c r="I202" i="14"/>
  <c r="J202" i="14" s="1"/>
  <c r="K202" i="14" s="1"/>
  <c r="L202" i="14" s="1"/>
  <c r="M202" i="14" s="1"/>
  <c r="N202" i="14" s="1"/>
  <c r="O201" i="14"/>
  <c r="I201" i="14"/>
  <c r="J201" i="14" s="1"/>
  <c r="K201" i="14" s="1"/>
  <c r="L201" i="14" s="1"/>
  <c r="M201" i="14" s="1"/>
  <c r="N201" i="14" s="1"/>
  <c r="O200" i="14"/>
  <c r="I200" i="14"/>
  <c r="J200" i="14" s="1"/>
  <c r="K200" i="14" s="1"/>
  <c r="L200" i="14" s="1"/>
  <c r="M200" i="14" s="1"/>
  <c r="N200" i="14" s="1"/>
  <c r="O199" i="14"/>
  <c r="I199" i="14"/>
  <c r="J199" i="14" s="1"/>
  <c r="K199" i="14" s="1"/>
  <c r="L199" i="14" s="1"/>
  <c r="M199" i="14" s="1"/>
  <c r="N199" i="14" s="1"/>
  <c r="O198" i="14"/>
  <c r="I198" i="14"/>
  <c r="J198" i="14" s="1"/>
  <c r="K198" i="14" s="1"/>
  <c r="L198" i="14" s="1"/>
  <c r="M198" i="14" s="1"/>
  <c r="N198" i="14" s="1"/>
  <c r="O197" i="14"/>
  <c r="I197" i="14"/>
  <c r="J197" i="14" s="1"/>
  <c r="K197" i="14" s="1"/>
  <c r="L197" i="14" s="1"/>
  <c r="M197" i="14" s="1"/>
  <c r="N197" i="14" s="1"/>
  <c r="O196" i="14"/>
  <c r="I196" i="14"/>
  <c r="J196" i="14" s="1"/>
  <c r="K196" i="14" s="1"/>
  <c r="L196" i="14" s="1"/>
  <c r="M196" i="14" s="1"/>
  <c r="N196" i="14" s="1"/>
  <c r="O195" i="14"/>
  <c r="I195" i="14"/>
  <c r="J195" i="14" s="1"/>
  <c r="K195" i="14" s="1"/>
  <c r="L195" i="14" s="1"/>
  <c r="M195" i="14" s="1"/>
  <c r="N195" i="14" s="1"/>
  <c r="O194" i="14"/>
  <c r="I194" i="14"/>
  <c r="J194" i="14" s="1"/>
  <c r="K194" i="14" s="1"/>
  <c r="L194" i="14" s="1"/>
  <c r="M194" i="14" s="1"/>
  <c r="N194" i="14" s="1"/>
  <c r="O193" i="14"/>
  <c r="I193" i="14"/>
  <c r="J193" i="14" s="1"/>
  <c r="K193" i="14" s="1"/>
  <c r="L193" i="14" s="1"/>
  <c r="M193" i="14" s="1"/>
  <c r="N193" i="14" s="1"/>
  <c r="O192" i="14"/>
  <c r="I192" i="14"/>
  <c r="J192" i="14" s="1"/>
  <c r="K192" i="14" s="1"/>
  <c r="L192" i="14" s="1"/>
  <c r="M192" i="14" s="1"/>
  <c r="N192" i="14" s="1"/>
  <c r="O191" i="14"/>
  <c r="I191" i="14"/>
  <c r="J191" i="14" s="1"/>
  <c r="K191" i="14" s="1"/>
  <c r="L191" i="14" s="1"/>
  <c r="M191" i="14" s="1"/>
  <c r="N191" i="14" s="1"/>
  <c r="O190" i="14"/>
  <c r="I190" i="14"/>
  <c r="J190" i="14" s="1"/>
  <c r="K190" i="14" s="1"/>
  <c r="L190" i="14" s="1"/>
  <c r="M190" i="14" s="1"/>
  <c r="N190" i="14" s="1"/>
  <c r="O189" i="14"/>
  <c r="I189" i="14"/>
  <c r="J189" i="14" s="1"/>
  <c r="M189" i="14" s="1"/>
  <c r="N189" i="14" s="1"/>
  <c r="O188" i="14"/>
  <c r="I188" i="14"/>
  <c r="J188" i="14" s="1"/>
  <c r="K188" i="14" s="1"/>
  <c r="L188" i="14" s="1"/>
  <c r="M188" i="14" s="1"/>
  <c r="N188" i="14" s="1"/>
  <c r="O232" i="14"/>
  <c r="I232" i="14"/>
  <c r="J232" i="14" s="1"/>
  <c r="K232" i="14" s="1"/>
  <c r="L232" i="14" s="1"/>
  <c r="M232" i="14" s="1"/>
  <c r="N232" i="14" s="1"/>
  <c r="O234" i="14"/>
  <c r="I234" i="14"/>
  <c r="J234" i="14" s="1"/>
  <c r="K234" i="14" s="1"/>
  <c r="L234" i="14" s="1"/>
  <c r="M234" i="14" s="1"/>
  <c r="N234" i="14" s="1"/>
  <c r="I73" i="14"/>
  <c r="J73" i="14" s="1"/>
  <c r="K73" i="14" s="1"/>
  <c r="L73" i="14" s="1"/>
  <c r="M73" i="14" s="1"/>
  <c r="N73" i="14" s="1"/>
  <c r="I72" i="14"/>
  <c r="J72" i="14" s="1"/>
  <c r="K72" i="14" s="1"/>
  <c r="L72" i="14" s="1"/>
  <c r="M72" i="14" s="1"/>
  <c r="N72" i="14" s="1"/>
  <c r="I71" i="14"/>
  <c r="J71" i="14" s="1"/>
  <c r="K71" i="14" s="1"/>
  <c r="L71" i="14" s="1"/>
  <c r="M71" i="14" s="1"/>
  <c r="N71" i="14" s="1"/>
  <c r="I70" i="14"/>
  <c r="J70" i="14" s="1"/>
  <c r="K70" i="14" s="1"/>
  <c r="L70" i="14" s="1"/>
  <c r="M70" i="14" s="1"/>
  <c r="N70" i="14" s="1"/>
  <c r="I69" i="14"/>
  <c r="J69" i="14" s="1"/>
  <c r="K69" i="14" s="1"/>
  <c r="L69" i="14" s="1"/>
  <c r="M69" i="14" s="1"/>
  <c r="N69" i="14" s="1"/>
  <c r="I68" i="14"/>
  <c r="J68" i="14" s="1"/>
  <c r="K68" i="14" s="1"/>
  <c r="L68" i="14" s="1"/>
  <c r="M68" i="14" s="1"/>
  <c r="N68" i="14" s="1"/>
  <c r="I67" i="14"/>
  <c r="J67" i="14" s="1"/>
  <c r="K67" i="14" s="1"/>
  <c r="L67" i="14" s="1"/>
  <c r="M67" i="14" s="1"/>
  <c r="N67" i="14" s="1"/>
  <c r="I66" i="14"/>
  <c r="J66" i="14" s="1"/>
  <c r="K66" i="14" s="1"/>
  <c r="L66" i="14" s="1"/>
  <c r="M66" i="14" s="1"/>
  <c r="N66" i="14" s="1"/>
  <c r="I65" i="14"/>
  <c r="J65" i="14" s="1"/>
  <c r="K65" i="14" s="1"/>
  <c r="L65" i="14" s="1"/>
  <c r="M65" i="14" s="1"/>
  <c r="N65" i="14" s="1"/>
  <c r="I64" i="14"/>
  <c r="J64" i="14" s="1"/>
  <c r="K64" i="14" s="1"/>
  <c r="L64" i="14" s="1"/>
  <c r="M64" i="14" s="1"/>
  <c r="N64" i="14" s="1"/>
  <c r="I63" i="14"/>
  <c r="J63" i="14" s="1"/>
  <c r="K63" i="14" s="1"/>
  <c r="L63" i="14" s="1"/>
  <c r="M63" i="14" s="1"/>
  <c r="N63" i="14" s="1"/>
  <c r="I62" i="14"/>
  <c r="J62" i="14" s="1"/>
  <c r="K62" i="14" s="1"/>
  <c r="L62" i="14" s="1"/>
  <c r="M62" i="14" s="1"/>
  <c r="N62" i="14" s="1"/>
  <c r="I61" i="14"/>
  <c r="J61" i="14" s="1"/>
  <c r="K61" i="14" s="1"/>
  <c r="L61" i="14" s="1"/>
  <c r="M61" i="14" s="1"/>
  <c r="N61" i="14" s="1"/>
  <c r="I60" i="14"/>
  <c r="J60" i="14" s="1"/>
  <c r="K60" i="14" s="1"/>
  <c r="L60" i="14" s="1"/>
  <c r="M60" i="14" s="1"/>
  <c r="N60" i="14" s="1"/>
  <c r="I59" i="14"/>
  <c r="J59" i="14" s="1"/>
  <c r="K59" i="14" s="1"/>
  <c r="L59" i="14" s="1"/>
  <c r="M59" i="14" s="1"/>
  <c r="N59" i="14" s="1"/>
  <c r="I58" i="14"/>
  <c r="J58" i="14" s="1"/>
  <c r="K58" i="14" s="1"/>
  <c r="L58" i="14" s="1"/>
  <c r="M58" i="14" s="1"/>
  <c r="N58" i="14" s="1"/>
  <c r="I57" i="14"/>
  <c r="J57" i="14" s="1"/>
  <c r="K57" i="14" s="1"/>
  <c r="L57" i="14" s="1"/>
  <c r="M57" i="14" s="1"/>
  <c r="N57" i="14" s="1"/>
  <c r="I56" i="14"/>
  <c r="J56" i="14" s="1"/>
  <c r="I55" i="14"/>
  <c r="J55" i="14" s="1"/>
  <c r="K55" i="14" s="1"/>
  <c r="L55" i="14" s="1"/>
  <c r="M55" i="14" s="1"/>
  <c r="N55" i="14" s="1"/>
  <c r="O186" i="14"/>
  <c r="I186" i="14"/>
  <c r="J186" i="14" s="1"/>
  <c r="K186" i="14" s="1"/>
  <c r="L186" i="14" s="1"/>
  <c r="M186" i="14" s="1"/>
  <c r="N186" i="14" s="1"/>
  <c r="Q186" i="14" s="1"/>
  <c r="S186" i="14" s="1"/>
  <c r="O185" i="14"/>
  <c r="I185" i="14"/>
  <c r="J185" i="14" s="1"/>
  <c r="K185" i="14" s="1"/>
  <c r="L185" i="14" s="1"/>
  <c r="M185" i="14" s="1"/>
  <c r="N185" i="14" s="1"/>
  <c r="Q185" i="14" s="1"/>
  <c r="O184" i="14"/>
  <c r="I184" i="14"/>
  <c r="J184" i="14" s="1"/>
  <c r="K184" i="14" s="1"/>
  <c r="L184" i="14" s="1"/>
  <c r="M184" i="14" s="1"/>
  <c r="N184" i="14" s="1"/>
  <c r="Q184" i="14" s="1"/>
  <c r="O183" i="14"/>
  <c r="I183" i="14"/>
  <c r="J183" i="14" s="1"/>
  <c r="K183" i="14" s="1"/>
  <c r="L183" i="14" s="1"/>
  <c r="M183" i="14" s="1"/>
  <c r="N183" i="14" s="1"/>
  <c r="Q183" i="14" s="1"/>
  <c r="O182" i="14"/>
  <c r="I182" i="14"/>
  <c r="J182" i="14" s="1"/>
  <c r="K182" i="14" s="1"/>
  <c r="L182" i="14" s="1"/>
  <c r="M182" i="14" s="1"/>
  <c r="N182" i="14" s="1"/>
  <c r="Q182" i="14" s="1"/>
  <c r="O181" i="14"/>
  <c r="I181" i="14"/>
  <c r="J181" i="14" s="1"/>
  <c r="K181" i="14" s="1"/>
  <c r="L181" i="14" s="1"/>
  <c r="M181" i="14" s="1"/>
  <c r="N181" i="14" s="1"/>
  <c r="Q181" i="14" s="1"/>
  <c r="S181" i="14" s="1"/>
  <c r="O180" i="14"/>
  <c r="I180" i="14"/>
  <c r="J180" i="14" s="1"/>
  <c r="K180" i="14" s="1"/>
  <c r="L180" i="14" s="1"/>
  <c r="M180" i="14" s="1"/>
  <c r="N180" i="14" s="1"/>
  <c r="Q180" i="14" s="1"/>
  <c r="S180" i="14" s="1"/>
  <c r="O51" i="14"/>
  <c r="I51" i="14"/>
  <c r="J51" i="14" s="1"/>
  <c r="K51" i="14" s="1"/>
  <c r="L51" i="14" s="1"/>
  <c r="M51" i="14" s="1"/>
  <c r="N51" i="14" s="1"/>
  <c r="O50" i="14"/>
  <c r="I50" i="14"/>
  <c r="J50" i="14" s="1"/>
  <c r="K50" i="14" s="1"/>
  <c r="L50" i="14" s="1"/>
  <c r="M50" i="14" s="1"/>
  <c r="N50" i="14" s="1"/>
  <c r="O49" i="14"/>
  <c r="G49" i="14"/>
  <c r="I49" i="14" s="1"/>
  <c r="J49" i="14" s="1"/>
  <c r="K49" i="14" s="1"/>
  <c r="L49" i="14" s="1"/>
  <c r="M49" i="14" s="1"/>
  <c r="N49" i="14" s="1"/>
  <c r="O48" i="14"/>
  <c r="G48" i="14"/>
  <c r="I48" i="14" s="1"/>
  <c r="J48" i="14" s="1"/>
  <c r="K48" i="14" s="1"/>
  <c r="L48" i="14" s="1"/>
  <c r="M48" i="14" s="1"/>
  <c r="N48" i="14" s="1"/>
  <c r="O54" i="14"/>
  <c r="I54" i="14"/>
  <c r="J54" i="14" s="1"/>
  <c r="K54" i="14" s="1"/>
  <c r="L54" i="14" s="1"/>
  <c r="M54" i="14" s="1"/>
  <c r="N54" i="14" s="1"/>
  <c r="O53" i="14"/>
  <c r="I53" i="14"/>
  <c r="J53" i="14" s="1"/>
  <c r="K53" i="14" s="1"/>
  <c r="L53" i="14" s="1"/>
  <c r="M53" i="14" s="1"/>
  <c r="N53" i="14" s="1"/>
  <c r="O52" i="14"/>
  <c r="I52" i="14"/>
  <c r="J52" i="14" s="1"/>
  <c r="K52" i="14" s="1"/>
  <c r="L52" i="14" s="1"/>
  <c r="M52" i="14" s="1"/>
  <c r="N52" i="14" s="1"/>
  <c r="O129" i="14"/>
  <c r="I129" i="14"/>
  <c r="J129" i="14" s="1"/>
  <c r="K129" i="14" s="1"/>
  <c r="L129" i="14" s="1"/>
  <c r="M129" i="14" s="1"/>
  <c r="N129" i="14" s="1"/>
  <c r="O128" i="14"/>
  <c r="I128" i="14"/>
  <c r="J128" i="14" s="1"/>
  <c r="K128" i="14" s="1"/>
  <c r="L128" i="14" s="1"/>
  <c r="M128" i="14" s="1"/>
  <c r="N128" i="14" s="1"/>
  <c r="O127" i="14"/>
  <c r="I127" i="14"/>
  <c r="J127" i="14" s="1"/>
  <c r="K127" i="14" s="1"/>
  <c r="L127" i="14" s="1"/>
  <c r="M127" i="14" s="1"/>
  <c r="N127" i="14" s="1"/>
  <c r="O93" i="14"/>
  <c r="I93" i="14"/>
  <c r="J93" i="14" s="1"/>
  <c r="K93" i="14" s="1"/>
  <c r="L93" i="14" s="1"/>
  <c r="M93" i="14" s="1"/>
  <c r="N93" i="14" s="1"/>
  <c r="O92" i="14"/>
  <c r="I92" i="14"/>
  <c r="J92" i="14" s="1"/>
  <c r="K92" i="14" s="1"/>
  <c r="L92" i="14" s="1"/>
  <c r="M92" i="14" s="1"/>
  <c r="N92" i="14" s="1"/>
  <c r="O91" i="14"/>
  <c r="I91" i="14"/>
  <c r="J91" i="14" s="1"/>
  <c r="K91" i="14" s="1"/>
  <c r="L91" i="14" s="1"/>
  <c r="M91" i="14" s="1"/>
  <c r="N91" i="14" s="1"/>
  <c r="O90" i="14"/>
  <c r="I90" i="14"/>
  <c r="J90" i="14" s="1"/>
  <c r="O89" i="14"/>
  <c r="I89" i="14"/>
  <c r="J89" i="14" s="1"/>
  <c r="K89" i="14" s="1"/>
  <c r="L89" i="14" s="1"/>
  <c r="M89" i="14" s="1"/>
  <c r="N89" i="14" s="1"/>
  <c r="O107" i="14"/>
  <c r="I107" i="14"/>
  <c r="J107" i="14" s="1"/>
  <c r="K107" i="14" s="1"/>
  <c r="L107" i="14" s="1"/>
  <c r="M107" i="14" s="1"/>
  <c r="N107" i="14" s="1"/>
  <c r="O106" i="14"/>
  <c r="I106" i="14"/>
  <c r="J106" i="14" s="1"/>
  <c r="K106" i="14" s="1"/>
  <c r="L106" i="14" s="1"/>
  <c r="M106" i="14" s="1"/>
  <c r="N106" i="14" s="1"/>
  <c r="O105" i="14"/>
  <c r="I105" i="14"/>
  <c r="J105" i="14" s="1"/>
  <c r="K105" i="14" s="1"/>
  <c r="L105" i="14" s="1"/>
  <c r="M105" i="14" s="1"/>
  <c r="N105" i="14" s="1"/>
  <c r="O104" i="14"/>
  <c r="I104" i="14"/>
  <c r="J104" i="14" s="1"/>
  <c r="K104" i="14" s="1"/>
  <c r="L104" i="14" s="1"/>
  <c r="M104" i="14" s="1"/>
  <c r="N104" i="14" s="1"/>
  <c r="O103" i="14"/>
  <c r="I103" i="14"/>
  <c r="J103" i="14" s="1"/>
  <c r="K103" i="14" s="1"/>
  <c r="L103" i="14" s="1"/>
  <c r="M103" i="14" s="1"/>
  <c r="N103" i="14" s="1"/>
  <c r="O102" i="14"/>
  <c r="I102" i="14"/>
  <c r="J102" i="14" s="1"/>
  <c r="K102" i="14" s="1"/>
  <c r="L102" i="14" s="1"/>
  <c r="M102" i="14" s="1"/>
  <c r="N102" i="14" s="1"/>
  <c r="O101" i="14"/>
  <c r="I101" i="14"/>
  <c r="J101" i="14" s="1"/>
  <c r="K101" i="14" s="1"/>
  <c r="L101" i="14" s="1"/>
  <c r="M101" i="14" s="1"/>
  <c r="N101" i="14" s="1"/>
  <c r="O100" i="14"/>
  <c r="I100" i="14"/>
  <c r="J100" i="14" s="1"/>
  <c r="K100" i="14" s="1"/>
  <c r="L100" i="14" s="1"/>
  <c r="M100" i="14" s="1"/>
  <c r="N100" i="14" s="1"/>
  <c r="O99" i="14"/>
  <c r="I99" i="14"/>
  <c r="J99" i="14" s="1"/>
  <c r="K99" i="14" s="1"/>
  <c r="L99" i="14" s="1"/>
  <c r="M99" i="14" s="1"/>
  <c r="N99" i="14" s="1"/>
  <c r="O98" i="14"/>
  <c r="I98" i="14"/>
  <c r="J98" i="14" s="1"/>
  <c r="K98" i="14" s="1"/>
  <c r="L98" i="14" s="1"/>
  <c r="M98" i="14" s="1"/>
  <c r="N98" i="14" s="1"/>
  <c r="O97" i="14"/>
  <c r="I97" i="14"/>
  <c r="J97" i="14" s="1"/>
  <c r="K97" i="14" s="1"/>
  <c r="L97" i="14" s="1"/>
  <c r="M97" i="14" s="1"/>
  <c r="N97" i="14" s="1"/>
  <c r="O96" i="14"/>
  <c r="I96" i="14"/>
  <c r="J96" i="14" s="1"/>
  <c r="K96" i="14" s="1"/>
  <c r="L96" i="14" s="1"/>
  <c r="O95" i="14"/>
  <c r="I95" i="14"/>
  <c r="J95" i="14" s="1"/>
  <c r="K95" i="14" s="1"/>
  <c r="L95" i="14" s="1"/>
  <c r="M95" i="14" s="1"/>
  <c r="N95" i="14" s="1"/>
  <c r="O94" i="14"/>
  <c r="I94" i="14"/>
  <c r="J94" i="14" s="1"/>
  <c r="K94" i="14" s="1"/>
  <c r="L94" i="14" s="1"/>
  <c r="M94" i="14" s="1"/>
  <c r="N94" i="14" s="1"/>
  <c r="O47" i="14"/>
  <c r="I47" i="14"/>
  <c r="J47" i="14" s="1"/>
  <c r="K47" i="14" s="1"/>
  <c r="L47" i="14" s="1"/>
  <c r="M47" i="14" s="1"/>
  <c r="N47" i="14" s="1"/>
  <c r="O88" i="14"/>
  <c r="I88" i="14"/>
  <c r="J88" i="14" s="1"/>
  <c r="K88" i="14" s="1"/>
  <c r="L88" i="14" s="1"/>
  <c r="M88" i="14" s="1"/>
  <c r="N88" i="14" s="1"/>
  <c r="O87" i="14"/>
  <c r="I87" i="14"/>
  <c r="J87" i="14" s="1"/>
  <c r="K87" i="14" s="1"/>
  <c r="L87" i="14" s="1"/>
  <c r="M87" i="14" s="1"/>
  <c r="N87" i="14" s="1"/>
  <c r="O86" i="14"/>
  <c r="I86" i="14"/>
  <c r="J86" i="14" s="1"/>
  <c r="K86" i="14" s="1"/>
  <c r="L86" i="14" s="1"/>
  <c r="M86" i="14" s="1"/>
  <c r="N86" i="14" s="1"/>
  <c r="O85" i="14"/>
  <c r="I85" i="14"/>
  <c r="J85" i="14" s="1"/>
  <c r="K85" i="14" s="1"/>
  <c r="L85" i="14" s="1"/>
  <c r="M85" i="14" s="1"/>
  <c r="N85" i="14" s="1"/>
  <c r="O84" i="14"/>
  <c r="I84" i="14"/>
  <c r="J84" i="14" s="1"/>
  <c r="K84" i="14" s="1"/>
  <c r="L84" i="14" s="1"/>
  <c r="M84" i="14" s="1"/>
  <c r="N84" i="14" s="1"/>
  <c r="O83" i="14"/>
  <c r="I83" i="14"/>
  <c r="J83" i="14" s="1"/>
  <c r="K83" i="14" s="1"/>
  <c r="L83" i="14" s="1"/>
  <c r="M83" i="14" s="1"/>
  <c r="N83" i="14" s="1"/>
  <c r="O8" i="14"/>
  <c r="I8" i="14"/>
  <c r="J8" i="14" s="1"/>
  <c r="K8" i="14" s="1"/>
  <c r="L8" i="14" s="1"/>
  <c r="M8" i="14" s="1"/>
  <c r="N8" i="14" s="1"/>
  <c r="O7" i="14"/>
  <c r="I7" i="14"/>
  <c r="J7" i="14" s="1"/>
  <c r="K7" i="14" s="1"/>
  <c r="L7" i="14" s="1"/>
  <c r="M7" i="14" s="1"/>
  <c r="N7" i="14" s="1"/>
  <c r="O6" i="14"/>
  <c r="I6" i="14"/>
  <c r="J6" i="14" s="1"/>
  <c r="K6" i="14" s="1"/>
  <c r="L6" i="14" s="1"/>
  <c r="O5" i="14"/>
  <c r="I5" i="14"/>
  <c r="J5" i="14" s="1"/>
  <c r="K5" i="14" s="1"/>
  <c r="L5" i="14" s="1"/>
  <c r="M5" i="14" s="1"/>
  <c r="N5" i="14" s="1"/>
  <c r="O4" i="14"/>
  <c r="I4" i="14"/>
  <c r="J4" i="14" s="1"/>
  <c r="K4" i="14" s="1"/>
  <c r="L4" i="14" s="1"/>
  <c r="M4" i="14" s="1"/>
  <c r="N4" i="14" s="1"/>
  <c r="O3" i="14"/>
  <c r="I3" i="14"/>
  <c r="J3" i="14" s="1"/>
  <c r="K3" i="14" s="1"/>
  <c r="L3" i="14" s="1"/>
  <c r="M3" i="14" s="1"/>
  <c r="N3" i="14" s="1"/>
  <c r="O2" i="14"/>
  <c r="I2" i="14"/>
  <c r="J2" i="14" s="1"/>
  <c r="K2" i="14" s="1"/>
  <c r="L2" i="14" s="1"/>
  <c r="M2" i="14" s="1"/>
  <c r="N2" i="14" s="1"/>
  <c r="O179" i="14"/>
  <c r="I179" i="14"/>
  <c r="J179" i="14" s="1"/>
  <c r="K179" i="14" s="1"/>
  <c r="L179" i="14" s="1"/>
  <c r="M179" i="14" s="1"/>
  <c r="N179" i="14" s="1"/>
  <c r="O46" i="14"/>
  <c r="I46" i="14"/>
  <c r="J46" i="14" s="1"/>
  <c r="K46" i="14" s="1"/>
  <c r="L46" i="14" s="1"/>
  <c r="M46" i="14" s="1"/>
  <c r="N46" i="14" s="1"/>
  <c r="O45" i="14"/>
  <c r="I45" i="14"/>
  <c r="J45" i="14" s="1"/>
  <c r="K45" i="14" s="1"/>
  <c r="L45" i="14" s="1"/>
  <c r="M45" i="14" s="1"/>
  <c r="N45" i="14" s="1"/>
  <c r="O44" i="14"/>
  <c r="I44" i="14"/>
  <c r="J44" i="14" s="1"/>
  <c r="O43" i="14"/>
  <c r="I43" i="14"/>
  <c r="J43" i="14" s="1"/>
  <c r="K43" i="14" s="1"/>
  <c r="L43" i="14" s="1"/>
  <c r="M43" i="14" s="1"/>
  <c r="N43" i="14" s="1"/>
  <c r="O42" i="14"/>
  <c r="I42" i="14"/>
  <c r="J42" i="14" s="1"/>
  <c r="K42" i="14" s="1"/>
  <c r="L42" i="14" s="1"/>
  <c r="M42" i="14" s="1"/>
  <c r="N42" i="14" s="1"/>
  <c r="O41" i="14"/>
  <c r="I41" i="14"/>
  <c r="J41" i="14" s="1"/>
  <c r="K41" i="14" s="1"/>
  <c r="L41" i="14" s="1"/>
  <c r="M41" i="14" s="1"/>
  <c r="N41" i="14" s="1"/>
  <c r="O40" i="14"/>
  <c r="I40" i="14"/>
  <c r="J40" i="14" s="1"/>
  <c r="K40" i="14" s="1"/>
  <c r="L40" i="14" s="1"/>
  <c r="M40" i="14" s="1"/>
  <c r="N40" i="14" s="1"/>
  <c r="O39" i="14"/>
  <c r="I39" i="14"/>
  <c r="J39" i="14" s="1"/>
  <c r="K39" i="14" s="1"/>
  <c r="L39" i="14" s="1"/>
  <c r="M39" i="14" s="1"/>
  <c r="N39" i="14" s="1"/>
  <c r="O38" i="14"/>
  <c r="I38" i="14"/>
  <c r="J38" i="14" s="1"/>
  <c r="O37" i="14"/>
  <c r="I37" i="14"/>
  <c r="J37" i="14" s="1"/>
  <c r="K37" i="14" s="1"/>
  <c r="L37" i="14" s="1"/>
  <c r="M37" i="14" s="1"/>
  <c r="N37" i="14" s="1"/>
  <c r="O36" i="14"/>
  <c r="I36" i="14"/>
  <c r="J36" i="14" s="1"/>
  <c r="K36" i="14" s="1"/>
  <c r="L36" i="14" s="1"/>
  <c r="M36" i="14" s="1"/>
  <c r="N36" i="14" s="1"/>
  <c r="O35" i="14"/>
  <c r="I35" i="14"/>
  <c r="J35" i="14" s="1"/>
  <c r="K35" i="14" s="1"/>
  <c r="L35" i="14" s="1"/>
  <c r="M35" i="14" s="1"/>
  <c r="N35" i="14" s="1"/>
  <c r="O34" i="14"/>
  <c r="I34" i="14"/>
  <c r="J34" i="14" s="1"/>
  <c r="K34" i="14" s="1"/>
  <c r="L34" i="14" s="1"/>
  <c r="M34" i="14" s="1"/>
  <c r="N34" i="14" s="1"/>
  <c r="O33" i="14"/>
  <c r="I33" i="14"/>
  <c r="J33" i="14" s="1"/>
  <c r="K33" i="14" s="1"/>
  <c r="L33" i="14" s="1"/>
  <c r="M33" i="14" s="1"/>
  <c r="N33" i="14" s="1"/>
  <c r="O32" i="14"/>
  <c r="I32" i="14"/>
  <c r="J32" i="14" s="1"/>
  <c r="K32" i="14" s="1"/>
  <c r="L32" i="14" s="1"/>
  <c r="M32" i="14" s="1"/>
  <c r="N32" i="14" s="1"/>
  <c r="O31" i="14"/>
  <c r="I31" i="14"/>
  <c r="J31" i="14" s="1"/>
  <c r="K31" i="14" s="1"/>
  <c r="L31" i="14" s="1"/>
  <c r="M31" i="14" s="1"/>
  <c r="N31" i="14" s="1"/>
  <c r="O30" i="14"/>
  <c r="I30" i="14"/>
  <c r="J30" i="14" s="1"/>
  <c r="K30" i="14" s="1"/>
  <c r="L30" i="14" s="1"/>
  <c r="O29" i="14"/>
  <c r="I29" i="14"/>
  <c r="J29" i="14" s="1"/>
  <c r="K29" i="14" s="1"/>
  <c r="L29" i="14" s="1"/>
  <c r="M29" i="14" s="1"/>
  <c r="N29" i="14" s="1"/>
  <c r="O82" i="14"/>
  <c r="I82" i="14"/>
  <c r="J82" i="14" s="1"/>
  <c r="K82" i="14" s="1"/>
  <c r="L82" i="14" s="1"/>
  <c r="M82" i="14" s="1"/>
  <c r="N82" i="14" s="1"/>
  <c r="O81" i="14"/>
  <c r="I81" i="14"/>
  <c r="J81" i="14" s="1"/>
  <c r="K81" i="14" s="1"/>
  <c r="L81" i="14" s="1"/>
  <c r="M81" i="14" s="1"/>
  <c r="N81" i="14" s="1"/>
  <c r="O80" i="14"/>
  <c r="I80" i="14"/>
  <c r="J80" i="14" s="1"/>
  <c r="K80" i="14" s="1"/>
  <c r="L80" i="14" s="1"/>
  <c r="M80" i="14" s="1"/>
  <c r="N80" i="14" s="1"/>
  <c r="O79" i="14"/>
  <c r="I79" i="14"/>
  <c r="J79" i="14" s="1"/>
  <c r="K79" i="14" s="1"/>
  <c r="L79" i="14" s="1"/>
  <c r="M79" i="14" s="1"/>
  <c r="N79" i="14" s="1"/>
  <c r="O78" i="14"/>
  <c r="I78" i="14"/>
  <c r="J78" i="14" s="1"/>
  <c r="K78" i="14" s="1"/>
  <c r="L78" i="14" s="1"/>
  <c r="M78" i="14" s="1"/>
  <c r="N78" i="14" s="1"/>
  <c r="O77" i="14"/>
  <c r="I77" i="14"/>
  <c r="J77" i="14" s="1"/>
  <c r="K77" i="14" s="1"/>
  <c r="L77" i="14" s="1"/>
  <c r="M77" i="14" s="1"/>
  <c r="N77" i="14" s="1"/>
  <c r="O76" i="14"/>
  <c r="I76" i="14"/>
  <c r="J76" i="14" s="1"/>
  <c r="K76" i="14" s="1"/>
  <c r="L76" i="14" s="1"/>
  <c r="M76" i="14" s="1"/>
  <c r="N76" i="14" s="1"/>
  <c r="O75" i="14"/>
  <c r="I75" i="14"/>
  <c r="J75" i="14" s="1"/>
  <c r="K75" i="14" s="1"/>
  <c r="L75" i="14" s="1"/>
  <c r="M75" i="14" s="1"/>
  <c r="N75" i="14" s="1"/>
  <c r="O74" i="14"/>
  <c r="I74" i="14"/>
  <c r="J74" i="14" s="1"/>
  <c r="K74" i="14" s="1"/>
  <c r="L74" i="14" s="1"/>
  <c r="M74" i="14" s="1"/>
  <c r="N74" i="14" s="1"/>
  <c r="O245" i="14"/>
  <c r="I245" i="14"/>
  <c r="J245" i="14" s="1"/>
  <c r="K245" i="14" s="1"/>
  <c r="L245" i="14" s="1"/>
  <c r="M245" i="14" s="1"/>
  <c r="N245" i="14" s="1"/>
  <c r="P245" i="14" s="1"/>
  <c r="Q245" i="14" s="1"/>
  <c r="S245" i="14" s="1"/>
  <c r="O244" i="14"/>
  <c r="G244" i="14"/>
  <c r="I244" i="14" s="1"/>
  <c r="J244" i="14" s="1"/>
  <c r="K244" i="14" s="1"/>
  <c r="L244" i="14" s="1"/>
  <c r="M244" i="14" s="1"/>
  <c r="N244" i="14" s="1"/>
  <c r="O187" i="14"/>
  <c r="I187" i="14"/>
  <c r="J187" i="14" s="1"/>
  <c r="K187" i="14" s="1"/>
  <c r="L187" i="14" s="1"/>
  <c r="M187" i="14" s="1"/>
  <c r="N187" i="14" s="1"/>
  <c r="O28" i="14"/>
  <c r="I28" i="14"/>
  <c r="J28" i="14" s="1"/>
  <c r="O27" i="14"/>
  <c r="I27" i="14"/>
  <c r="J27" i="14" s="1"/>
  <c r="K27" i="14" s="1"/>
  <c r="L27" i="14" s="1"/>
  <c r="M27" i="14" s="1"/>
  <c r="N27" i="14" s="1"/>
  <c r="O26" i="14"/>
  <c r="I26" i="14"/>
  <c r="J26" i="14" s="1"/>
  <c r="K26" i="14" s="1"/>
  <c r="L26" i="14" s="1"/>
  <c r="M26" i="14" s="1"/>
  <c r="N26" i="14" s="1"/>
  <c r="O25" i="14"/>
  <c r="I25" i="14"/>
  <c r="J25" i="14" s="1"/>
  <c r="K25" i="14" s="1"/>
  <c r="L25" i="14" s="1"/>
  <c r="O24" i="14"/>
  <c r="I24" i="14"/>
  <c r="J24" i="14" s="1"/>
  <c r="K24" i="14" s="1"/>
  <c r="L24" i="14" s="1"/>
  <c r="M24" i="14" s="1"/>
  <c r="N24" i="14" s="1"/>
  <c r="O23" i="14"/>
  <c r="I23" i="14"/>
  <c r="J23" i="14" s="1"/>
  <c r="K23" i="14" s="1"/>
  <c r="L23" i="14" s="1"/>
  <c r="M23" i="14" s="1"/>
  <c r="N23" i="14" s="1"/>
  <c r="O22" i="14"/>
  <c r="I22" i="14"/>
  <c r="J22" i="14" s="1"/>
  <c r="K22" i="14" s="1"/>
  <c r="L22" i="14" s="1"/>
  <c r="M22" i="14" s="1"/>
  <c r="N22" i="14" s="1"/>
  <c r="O21" i="14"/>
  <c r="I21" i="14"/>
  <c r="J21" i="14" s="1"/>
  <c r="K21" i="14" s="1"/>
  <c r="L21" i="14" s="1"/>
  <c r="M21" i="14" s="1"/>
  <c r="N21" i="14" s="1"/>
  <c r="O20" i="14"/>
  <c r="I20" i="14"/>
  <c r="J20" i="14" s="1"/>
  <c r="K20" i="14" s="1"/>
  <c r="L20" i="14" s="1"/>
  <c r="M20" i="14" s="1"/>
  <c r="N20" i="14" s="1"/>
  <c r="O19" i="14"/>
  <c r="I19" i="14"/>
  <c r="J19" i="14" s="1"/>
  <c r="K19" i="14" s="1"/>
  <c r="L19" i="14" s="1"/>
  <c r="M19" i="14" s="1"/>
  <c r="N19" i="14" s="1"/>
  <c r="O18" i="14"/>
  <c r="I18" i="14"/>
  <c r="J18" i="14" s="1"/>
  <c r="K18" i="14" s="1"/>
  <c r="L18" i="14" s="1"/>
  <c r="M18" i="14" s="1"/>
  <c r="N18" i="14" s="1"/>
  <c r="O17" i="14"/>
  <c r="I17" i="14"/>
  <c r="J17" i="14" s="1"/>
  <c r="O16" i="14"/>
  <c r="I16" i="14"/>
  <c r="J16" i="14" s="1"/>
  <c r="K16" i="14" s="1"/>
  <c r="L16" i="14" s="1"/>
  <c r="M16" i="14" s="1"/>
  <c r="N16" i="14" s="1"/>
  <c r="O15" i="14"/>
  <c r="I15" i="14"/>
  <c r="J15" i="14" s="1"/>
  <c r="K15" i="14" s="1"/>
  <c r="L15" i="14" s="1"/>
  <c r="M15" i="14" s="1"/>
  <c r="N15" i="14" s="1"/>
  <c r="O14" i="14"/>
  <c r="I14" i="14"/>
  <c r="J14" i="14" s="1"/>
  <c r="O13" i="14"/>
  <c r="I13" i="14"/>
  <c r="J13" i="14" s="1"/>
  <c r="K13" i="14" s="1"/>
  <c r="L13" i="14" s="1"/>
  <c r="M13" i="14" s="1"/>
  <c r="N13" i="14" s="1"/>
  <c r="O12" i="14"/>
  <c r="I12" i="14"/>
  <c r="J12" i="14" s="1"/>
  <c r="K12" i="14" s="1"/>
  <c r="L12" i="14" s="1"/>
  <c r="M12" i="14" s="1"/>
  <c r="N12" i="14" s="1"/>
  <c r="O161" i="14"/>
  <c r="I161" i="14"/>
  <c r="J161" i="14" s="1"/>
  <c r="K161" i="14" s="1"/>
  <c r="L161" i="14" s="1"/>
  <c r="M161" i="14" s="1"/>
  <c r="N161" i="14" s="1"/>
  <c r="P161" i="14" s="1"/>
  <c r="Q161" i="14" s="1"/>
  <c r="S161" i="14" s="1"/>
  <c r="O160" i="14"/>
  <c r="I160" i="14"/>
  <c r="J160" i="14" s="1"/>
  <c r="K160" i="14" s="1"/>
  <c r="L160" i="14" s="1"/>
  <c r="M160" i="14" s="1"/>
  <c r="N160" i="14" s="1"/>
  <c r="O159" i="14"/>
  <c r="I159" i="14"/>
  <c r="J159" i="14" s="1"/>
  <c r="K159" i="14" s="1"/>
  <c r="L159" i="14" s="1"/>
  <c r="M159" i="14" s="1"/>
  <c r="N159" i="14" s="1"/>
  <c r="O158" i="14"/>
  <c r="I158" i="14"/>
  <c r="J158" i="14" s="1"/>
  <c r="K158" i="14" s="1"/>
  <c r="L158" i="14" s="1"/>
  <c r="M158" i="14" s="1"/>
  <c r="N158" i="14" s="1"/>
  <c r="O157" i="14"/>
  <c r="I157" i="14"/>
  <c r="J157" i="14" s="1"/>
  <c r="K157" i="14" s="1"/>
  <c r="L157" i="14" s="1"/>
  <c r="M157" i="14" s="1"/>
  <c r="N157" i="14" s="1"/>
  <c r="O156" i="14"/>
  <c r="I156" i="14"/>
  <c r="J156" i="14" s="1"/>
  <c r="K156" i="14" s="1"/>
  <c r="L156" i="14" s="1"/>
  <c r="M156" i="14" s="1"/>
  <c r="N156" i="14" s="1"/>
  <c r="O155" i="14"/>
  <c r="I155" i="14"/>
  <c r="J155" i="14" s="1"/>
  <c r="K155" i="14" s="1"/>
  <c r="L155" i="14" s="1"/>
  <c r="M155" i="14" s="1"/>
  <c r="N155" i="14" s="1"/>
  <c r="O154" i="14"/>
  <c r="I154" i="14"/>
  <c r="J154" i="14" s="1"/>
  <c r="K154" i="14" s="1"/>
  <c r="L154" i="14" s="1"/>
  <c r="M154" i="14" s="1"/>
  <c r="N154" i="14" s="1"/>
  <c r="O153" i="14"/>
  <c r="I153" i="14"/>
  <c r="J153" i="14" s="1"/>
  <c r="K153" i="14" s="1"/>
  <c r="L153" i="14" s="1"/>
  <c r="M153" i="14" s="1"/>
  <c r="N153" i="14" s="1"/>
  <c r="O152" i="14"/>
  <c r="I152" i="14"/>
  <c r="J152" i="14" s="1"/>
  <c r="K152" i="14" s="1"/>
  <c r="L152" i="14" s="1"/>
  <c r="M152" i="14" s="1"/>
  <c r="N152" i="14" s="1"/>
  <c r="O151" i="14"/>
  <c r="I151" i="14"/>
  <c r="J151" i="14" s="1"/>
  <c r="K151" i="14" s="1"/>
  <c r="L151" i="14" s="1"/>
  <c r="M151" i="14" s="1"/>
  <c r="N151" i="14" s="1"/>
  <c r="O150" i="14"/>
  <c r="I150" i="14"/>
  <c r="J150" i="14" s="1"/>
  <c r="K150" i="14" s="1"/>
  <c r="L150" i="14" s="1"/>
  <c r="M150" i="14" s="1"/>
  <c r="N150" i="14" s="1"/>
  <c r="O149" i="14"/>
  <c r="I149" i="14"/>
  <c r="J149" i="14" s="1"/>
  <c r="O148" i="14"/>
  <c r="I148" i="14"/>
  <c r="J148" i="14" s="1"/>
  <c r="K148" i="14" s="1"/>
  <c r="L148" i="14" s="1"/>
  <c r="M148" i="14" s="1"/>
  <c r="N148" i="14" s="1"/>
  <c r="O147" i="14"/>
  <c r="I147" i="14"/>
  <c r="J147" i="14" s="1"/>
  <c r="K147" i="14" s="1"/>
  <c r="L147" i="14" s="1"/>
  <c r="M147" i="14" s="1"/>
  <c r="N147" i="14" s="1"/>
  <c r="O146" i="14"/>
  <c r="I146" i="14"/>
  <c r="J146" i="14" s="1"/>
  <c r="K146" i="14" s="1"/>
  <c r="L146" i="14" s="1"/>
  <c r="M146" i="14" s="1"/>
  <c r="N146" i="14" s="1"/>
  <c r="O145" i="14"/>
  <c r="I145" i="14"/>
  <c r="J145" i="14" s="1"/>
  <c r="K145" i="14" s="1"/>
  <c r="L145" i="14" s="1"/>
  <c r="M145" i="14" s="1"/>
  <c r="N145" i="14" s="1"/>
  <c r="O144" i="14"/>
  <c r="I144" i="14"/>
  <c r="J144" i="14" s="1"/>
  <c r="K144" i="14" s="1"/>
  <c r="L144" i="14" s="1"/>
  <c r="M144" i="14" s="1"/>
  <c r="N144" i="14" s="1"/>
  <c r="O143" i="14"/>
  <c r="I143" i="14"/>
  <c r="J143" i="14" s="1"/>
  <c r="O142" i="14"/>
  <c r="I142" i="14"/>
  <c r="J142" i="14" s="1"/>
  <c r="K142" i="14" s="1"/>
  <c r="L142" i="14" s="1"/>
  <c r="O141" i="14"/>
  <c r="I141" i="14"/>
  <c r="J141" i="14" s="1"/>
  <c r="K141" i="14" s="1"/>
  <c r="L141" i="14" s="1"/>
  <c r="M141" i="14" s="1"/>
  <c r="N141" i="14" s="1"/>
  <c r="O140" i="14"/>
  <c r="I140" i="14"/>
  <c r="J140" i="14" s="1"/>
  <c r="K140" i="14" s="1"/>
  <c r="L140" i="14" s="1"/>
  <c r="M140" i="14" s="1"/>
  <c r="N140" i="14" s="1"/>
  <c r="O139" i="14"/>
  <c r="I139" i="14"/>
  <c r="J139" i="14" s="1"/>
  <c r="K139" i="14" s="1"/>
  <c r="L139" i="14" s="1"/>
  <c r="M139" i="14" s="1"/>
  <c r="N139" i="14" s="1"/>
  <c r="O138" i="14"/>
  <c r="I138" i="14"/>
  <c r="J138" i="14" s="1"/>
  <c r="K138" i="14" s="1"/>
  <c r="L138" i="14" s="1"/>
  <c r="M138" i="14" s="1"/>
  <c r="N138" i="14" s="1"/>
  <c r="O137" i="14"/>
  <c r="I137" i="14"/>
  <c r="J137" i="14" s="1"/>
  <c r="K137" i="14" s="1"/>
  <c r="L137" i="14" s="1"/>
  <c r="M137" i="14" s="1"/>
  <c r="N137" i="14" s="1"/>
  <c r="P137" i="14" s="1"/>
  <c r="T137" i="14" s="1"/>
  <c r="U137" i="14" s="1"/>
  <c r="O11" i="14"/>
  <c r="I11" i="14"/>
  <c r="J11" i="14" s="1"/>
  <c r="K11" i="14" s="1"/>
  <c r="L11" i="14" s="1"/>
  <c r="M11" i="14" s="1"/>
  <c r="N11" i="14" s="1"/>
  <c r="O10" i="14"/>
  <c r="I10" i="14"/>
  <c r="J10" i="14" s="1"/>
  <c r="O9" i="14"/>
  <c r="I9" i="14"/>
  <c r="J9" i="14" s="1"/>
  <c r="K9" i="14" s="1"/>
  <c r="L9" i="14" s="1"/>
  <c r="M9" i="14" s="1"/>
  <c r="N9" i="14" s="1"/>
  <c r="O136" i="14"/>
  <c r="I136" i="14"/>
  <c r="J136" i="14" s="1"/>
  <c r="K136" i="14" s="1"/>
  <c r="L136" i="14" s="1"/>
  <c r="M136" i="14" s="1"/>
  <c r="N136" i="14" s="1"/>
  <c r="O135" i="14"/>
  <c r="I135" i="14"/>
  <c r="J135" i="14" s="1"/>
  <c r="K135" i="14" s="1"/>
  <c r="L135" i="14" s="1"/>
  <c r="O134" i="14"/>
  <c r="I134" i="14"/>
  <c r="J134" i="14" s="1"/>
  <c r="K134" i="14" s="1"/>
  <c r="L134" i="14" s="1"/>
  <c r="M134" i="14" s="1"/>
  <c r="N134" i="14" s="1"/>
  <c r="O133" i="14"/>
  <c r="I133" i="14"/>
  <c r="J133" i="14" s="1"/>
  <c r="K133" i="14" s="1"/>
  <c r="L133" i="14" s="1"/>
  <c r="O132" i="14"/>
  <c r="I132" i="14"/>
  <c r="J132" i="14" s="1"/>
  <c r="K132" i="14" s="1"/>
  <c r="L132" i="14" s="1"/>
  <c r="M132" i="14" s="1"/>
  <c r="N132" i="14" s="1"/>
  <c r="O131" i="14"/>
  <c r="I131" i="14"/>
  <c r="J131" i="14" s="1"/>
  <c r="K131" i="14" s="1"/>
  <c r="L131" i="14" s="1"/>
  <c r="M131" i="14" s="1"/>
  <c r="N131" i="14" s="1"/>
  <c r="O130" i="14"/>
  <c r="I130" i="14"/>
  <c r="J130" i="14" s="1"/>
  <c r="K130" i="14" s="1"/>
  <c r="L130" i="14" s="1"/>
  <c r="M130" i="14" s="1"/>
  <c r="N130" i="14" s="1"/>
  <c r="O171" i="14"/>
  <c r="I171" i="14"/>
  <c r="J171" i="14" s="1"/>
  <c r="K171" i="14" s="1"/>
  <c r="L171" i="14" s="1"/>
  <c r="M171" i="14" s="1"/>
  <c r="N171" i="14" s="1"/>
  <c r="O172" i="14"/>
  <c r="I172" i="14"/>
  <c r="J172" i="14" s="1"/>
  <c r="K172" i="14" s="1"/>
  <c r="L172" i="14" s="1"/>
  <c r="M172" i="14" s="1"/>
  <c r="N172" i="14" s="1"/>
  <c r="O170" i="14"/>
  <c r="I170" i="14"/>
  <c r="J170" i="14" s="1"/>
  <c r="K170" i="14" s="1"/>
  <c r="L170" i="14" s="1"/>
  <c r="M170" i="14" s="1"/>
  <c r="N170" i="14" s="1"/>
  <c r="O169" i="14"/>
  <c r="I169" i="14"/>
  <c r="J169" i="14" s="1"/>
  <c r="K169" i="14" s="1"/>
  <c r="L169" i="14" s="1"/>
  <c r="O168" i="14"/>
  <c r="I168" i="14"/>
  <c r="J168" i="14" s="1"/>
  <c r="K168" i="14" s="1"/>
  <c r="L168" i="14" s="1"/>
  <c r="M168" i="14" s="1"/>
  <c r="N168" i="14" s="1"/>
  <c r="O167" i="14"/>
  <c r="I167" i="14"/>
  <c r="J167" i="14" s="1"/>
  <c r="K167" i="14" s="1"/>
  <c r="L167" i="14" s="1"/>
  <c r="M167" i="14" s="1"/>
  <c r="N167" i="14" s="1"/>
  <c r="O166" i="14"/>
  <c r="I166" i="14"/>
  <c r="J166" i="14" s="1"/>
  <c r="K166" i="14" s="1"/>
  <c r="L166" i="14" s="1"/>
  <c r="M166" i="14" s="1"/>
  <c r="N166" i="14" s="1"/>
  <c r="O165" i="14"/>
  <c r="I165" i="14"/>
  <c r="J165" i="14" s="1"/>
  <c r="K165" i="14" s="1"/>
  <c r="L165" i="14" s="1"/>
  <c r="M165" i="14" s="1"/>
  <c r="N165" i="14" s="1"/>
  <c r="O164" i="14"/>
  <c r="I164" i="14"/>
  <c r="J164" i="14" s="1"/>
  <c r="K164" i="14" s="1"/>
  <c r="L164" i="14" s="1"/>
  <c r="M164" i="14" s="1"/>
  <c r="N164" i="14" s="1"/>
  <c r="O163" i="14"/>
  <c r="I163" i="14"/>
  <c r="J163" i="14" s="1"/>
  <c r="O162" i="14"/>
  <c r="I162" i="14"/>
  <c r="J162" i="14" s="1"/>
  <c r="K162" i="14" s="1"/>
  <c r="L162" i="14" s="1"/>
  <c r="M162" i="14" s="1"/>
  <c r="N162" i="14" s="1"/>
  <c r="O178" i="14"/>
  <c r="I178" i="14"/>
  <c r="J178" i="14" s="1"/>
  <c r="K178" i="14" s="1"/>
  <c r="L178" i="14" s="1"/>
  <c r="M178" i="14" s="1"/>
  <c r="N178" i="14" s="1"/>
  <c r="O177" i="14"/>
  <c r="I177" i="14"/>
  <c r="J177" i="14" s="1"/>
  <c r="K177" i="14" s="1"/>
  <c r="L177" i="14" s="1"/>
  <c r="M177" i="14" s="1"/>
  <c r="N177" i="14" s="1"/>
  <c r="O176" i="14"/>
  <c r="I176" i="14"/>
  <c r="J176" i="14" s="1"/>
  <c r="K176" i="14" s="1"/>
  <c r="L176" i="14" s="1"/>
  <c r="M176" i="14" s="1"/>
  <c r="N176" i="14" s="1"/>
  <c r="O175" i="14"/>
  <c r="I175" i="14"/>
  <c r="J175" i="14" s="1"/>
  <c r="K175" i="14" s="1"/>
  <c r="L175" i="14" s="1"/>
  <c r="O174" i="14"/>
  <c r="I174" i="14"/>
  <c r="J174" i="14" s="1"/>
  <c r="O173" i="14"/>
  <c r="I173" i="14"/>
  <c r="J173" i="14" s="1"/>
  <c r="K173" i="14" s="1"/>
  <c r="L173" i="14" s="1"/>
  <c r="M173" i="14" s="1"/>
  <c r="N173" i="14" s="1"/>
  <c r="O111" i="14"/>
  <c r="I111" i="14"/>
  <c r="J111" i="14" s="1"/>
  <c r="K111" i="14" s="1"/>
  <c r="L111" i="14" s="1"/>
  <c r="M111" i="14" s="1"/>
  <c r="N111" i="14" s="1"/>
  <c r="O110" i="14"/>
  <c r="I110" i="14"/>
  <c r="J110" i="14" s="1"/>
  <c r="K110" i="14" s="1"/>
  <c r="L110" i="14" s="1"/>
  <c r="M110" i="14" s="1"/>
  <c r="N110" i="14" s="1"/>
  <c r="O109" i="14"/>
  <c r="I109" i="14"/>
  <c r="J109" i="14" s="1"/>
  <c r="O108" i="14"/>
  <c r="I108" i="14"/>
  <c r="J108" i="14" s="1"/>
  <c r="K108" i="14" s="1"/>
  <c r="L108" i="14" s="1"/>
  <c r="M108" i="14" s="1"/>
  <c r="N108" i="14" s="1"/>
  <c r="O126" i="14"/>
  <c r="I126" i="14"/>
  <c r="J126" i="14" s="1"/>
  <c r="K126" i="14" s="1"/>
  <c r="L126" i="14" s="1"/>
  <c r="M126" i="14" s="1"/>
  <c r="N126" i="14" s="1"/>
  <c r="O125" i="14"/>
  <c r="I125" i="14"/>
  <c r="J125" i="14" s="1"/>
  <c r="K125" i="14" s="1"/>
  <c r="L125" i="14" s="1"/>
  <c r="M125" i="14" s="1"/>
  <c r="N125" i="14" s="1"/>
  <c r="O124" i="14"/>
  <c r="I124" i="14"/>
  <c r="J124" i="14" s="1"/>
  <c r="K124" i="14" s="1"/>
  <c r="L124" i="14" s="1"/>
  <c r="M124" i="14" s="1"/>
  <c r="N124" i="14" s="1"/>
  <c r="O123" i="14"/>
  <c r="I123" i="14"/>
  <c r="J123" i="14" s="1"/>
  <c r="O122" i="14"/>
  <c r="I122" i="14"/>
  <c r="J122" i="14" s="1"/>
  <c r="K122" i="14" s="1"/>
  <c r="L122" i="14" s="1"/>
  <c r="M122" i="14" s="1"/>
  <c r="N122" i="14" s="1"/>
  <c r="O121" i="14"/>
  <c r="I121" i="14"/>
  <c r="J121" i="14" s="1"/>
  <c r="K121" i="14" s="1"/>
  <c r="L121" i="14" s="1"/>
  <c r="M121" i="14" s="1"/>
  <c r="N121" i="14" s="1"/>
  <c r="O120" i="14"/>
  <c r="I120" i="14"/>
  <c r="J120" i="14" s="1"/>
  <c r="K120" i="14" s="1"/>
  <c r="L120" i="14" s="1"/>
  <c r="M120" i="14" s="1"/>
  <c r="N120" i="14" s="1"/>
  <c r="O119" i="14"/>
  <c r="I119" i="14"/>
  <c r="J119" i="14" s="1"/>
  <c r="K119" i="14" s="1"/>
  <c r="L119" i="14" s="1"/>
  <c r="M119" i="14" s="1"/>
  <c r="N119" i="14" s="1"/>
  <c r="O118" i="14"/>
  <c r="I118" i="14"/>
  <c r="J118" i="14" s="1"/>
  <c r="K118" i="14" s="1"/>
  <c r="L118" i="14" s="1"/>
  <c r="O117" i="14"/>
  <c r="I117" i="14"/>
  <c r="J117" i="14" s="1"/>
  <c r="K117" i="14" s="1"/>
  <c r="L117" i="14" s="1"/>
  <c r="M117" i="14" s="1"/>
  <c r="N117" i="14" s="1"/>
  <c r="O116" i="14"/>
  <c r="O115" i="14"/>
  <c r="O114" i="14"/>
  <c r="O113" i="14"/>
  <c r="U41" i="18"/>
  <c r="U39" i="18"/>
  <c r="U28" i="18"/>
  <c r="U38" i="18"/>
  <c r="U37" i="18"/>
  <c r="U36" i="18"/>
  <c r="U32" i="18"/>
  <c r="U35" i="18"/>
  <c r="U30" i="18"/>
  <c r="U27" i="18"/>
  <c r="U43" i="18"/>
  <c r="U45" i="18"/>
  <c r="U25" i="18"/>
  <c r="V4" i="18"/>
  <c r="V3" i="18"/>
  <c r="U3" i="18"/>
  <c r="V2" i="18"/>
  <c r="U2" i="18"/>
  <c r="V10" i="18"/>
  <c r="U10" i="18"/>
  <c r="V5" i="18"/>
  <c r="U5" i="18"/>
  <c r="V6" i="18"/>
  <c r="U6" i="18"/>
  <c r="V29" i="18"/>
  <c r="U29" i="18"/>
  <c r="V31" i="18"/>
  <c r="U31" i="18"/>
  <c r="V23" i="18"/>
  <c r="U23" i="18"/>
  <c r="V22" i="18"/>
  <c r="U22" i="18"/>
  <c r="V14" i="18"/>
  <c r="U14" i="18"/>
  <c r="V20" i="18"/>
  <c r="U20" i="18"/>
  <c r="V24" i="18"/>
  <c r="U24" i="18"/>
  <c r="V26" i="18"/>
  <c r="U26" i="18"/>
  <c r="V7" i="18"/>
  <c r="U7" i="18"/>
  <c r="V13" i="18"/>
  <c r="U13" i="18"/>
  <c r="V12" i="18"/>
  <c r="U12" i="18"/>
  <c r="V19" i="18"/>
  <c r="U19" i="18"/>
  <c r="V17" i="18"/>
  <c r="U17" i="18"/>
  <c r="V11" i="18"/>
  <c r="U11" i="18"/>
  <c r="V16" i="18"/>
  <c r="U16" i="18"/>
  <c r="V18" i="18"/>
  <c r="U18" i="18"/>
  <c r="V15" i="18"/>
  <c r="U15" i="18"/>
  <c r="V21" i="18"/>
  <c r="U21" i="18"/>
  <c r="V8" i="18"/>
  <c r="U8" i="18"/>
  <c r="V9" i="18"/>
  <c r="U9" i="18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I1" i="15"/>
  <c r="J1" i="15"/>
  <c r="K1" i="15"/>
  <c r="H1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N3" i="15"/>
  <c r="AO2" i="15"/>
  <c r="AO3" i="15"/>
  <c r="AP2" i="15"/>
  <c r="AP3" i="15"/>
  <c r="AQ2" i="15"/>
  <c r="AR2" i="15"/>
  <c r="AS2" i="15"/>
  <c r="AS3" i="15"/>
  <c r="Q2" i="15"/>
  <c r="R2" i="15"/>
  <c r="S2" i="15"/>
  <c r="S3" i="15"/>
  <c r="T2" i="15"/>
  <c r="U2" i="15"/>
  <c r="V2" i="15"/>
  <c r="V3" i="15"/>
  <c r="W2" i="15"/>
  <c r="P2" i="15"/>
  <c r="O2" i="15"/>
  <c r="O3" i="15"/>
  <c r="N2" i="15"/>
  <c r="M2" i="15"/>
  <c r="K2" i="15"/>
  <c r="K3" i="15"/>
  <c r="N3" i="15"/>
  <c r="AR3" i="15"/>
  <c r="AQ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U3" i="15"/>
  <c r="T3" i="15"/>
  <c r="R3" i="15"/>
  <c r="Q3" i="15"/>
  <c r="AT91" i="15"/>
  <c r="AT86" i="15"/>
  <c r="AT26" i="15"/>
  <c r="AT50" i="15"/>
  <c r="AT80" i="15"/>
  <c r="AT35" i="15"/>
  <c r="AT65" i="15"/>
  <c r="AT59" i="15"/>
  <c r="AT100" i="15"/>
  <c r="AT126" i="15"/>
  <c r="AT198" i="15"/>
  <c r="AT62" i="15"/>
  <c r="AT95" i="15"/>
  <c r="AT98" i="15"/>
  <c r="AT101" i="15"/>
  <c r="AT104" i="15"/>
  <c r="AT107" i="15"/>
  <c r="AT110" i="15"/>
  <c r="AT113" i="15"/>
  <c r="AT116" i="15"/>
  <c r="AT119" i="15"/>
  <c r="AT131" i="15"/>
  <c r="AT134" i="15"/>
  <c r="AT137" i="15"/>
  <c r="AT140" i="15"/>
  <c r="AT143" i="15"/>
  <c r="AT146" i="15"/>
  <c r="AT150" i="15"/>
  <c r="AT152" i="15"/>
  <c r="AT155" i="15"/>
  <c r="AT158" i="15"/>
  <c r="AT161" i="15"/>
  <c r="AT164" i="15"/>
  <c r="AT167" i="15"/>
  <c r="AT170" i="15"/>
  <c r="AT173" i="15"/>
  <c r="AT174" i="15"/>
  <c r="AT176" i="15"/>
  <c r="AT5" i="15"/>
  <c r="AT125" i="15"/>
  <c r="AT171" i="15"/>
  <c r="AT177" i="15"/>
  <c r="AT183" i="15"/>
  <c r="AT185" i="15"/>
  <c r="AT192" i="15"/>
  <c r="AT194" i="15"/>
  <c r="AT201" i="15"/>
  <c r="AT149" i="15"/>
  <c r="G2" i="15"/>
  <c r="G3" i="15"/>
  <c r="AT200" i="15"/>
  <c r="AT197" i="15"/>
  <c r="AT193" i="15"/>
  <c r="AT191" i="15"/>
  <c r="AT188" i="15"/>
  <c r="AT182" i="15"/>
  <c r="AT179" i="15"/>
  <c r="AT178" i="15"/>
  <c r="AT139" i="15"/>
  <c r="AT128" i="15"/>
  <c r="AT122" i="15"/>
  <c r="AT92" i="15"/>
  <c r="AT20" i="15"/>
  <c r="AT11" i="15"/>
  <c r="AT10" i="15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K82" i="11"/>
  <c r="K81" i="11"/>
  <c r="K80" i="11"/>
  <c r="K79" i="11"/>
  <c r="K78" i="11"/>
  <c r="K77" i="11"/>
  <c r="K76" i="11"/>
  <c r="K75" i="11"/>
  <c r="K74" i="11"/>
  <c r="K73" i="11"/>
  <c r="K72" i="11"/>
  <c r="K71" i="11"/>
  <c r="J5" i="3"/>
  <c r="J4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3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59" i="1"/>
  <c r="G6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" i="1"/>
  <c r="G3" i="1"/>
  <c r="L3" i="15"/>
  <c r="M3" i="15"/>
  <c r="AT124" i="15"/>
  <c r="U182" i="14"/>
  <c r="U183" i="14"/>
  <c r="U185" i="14"/>
  <c r="U181" i="14"/>
  <c r="U184" i="14"/>
  <c r="U186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233" i="14"/>
  <c r="K204" i="14"/>
  <c r="L204" i="14" s="1"/>
  <c r="M204" i="14" s="1"/>
  <c r="N204" i="14" s="1"/>
  <c r="C280" i="14"/>
  <c r="C277" i="14"/>
  <c r="K321" i="14"/>
  <c r="L321" i="14" s="1"/>
  <c r="M321" i="14" s="1"/>
  <c r="N321" i="14" s="1"/>
  <c r="P321" i="14" s="1"/>
  <c r="K300" i="14"/>
  <c r="L300" i="14" s="1"/>
  <c r="M300" i="14" s="1"/>
  <c r="N300" i="14" s="1"/>
  <c r="K304" i="14"/>
  <c r="L304" i="14" s="1"/>
  <c r="M304" i="14" s="1"/>
  <c r="N304" i="14" s="1"/>
  <c r="P304" i="14" s="1"/>
  <c r="U304" i="14" s="1"/>
  <c r="K308" i="14"/>
  <c r="L308" i="14" s="1"/>
  <c r="M308" i="14" s="1"/>
  <c r="N308" i="14" s="1"/>
  <c r="K258" i="14"/>
  <c r="L258" i="14" s="1"/>
  <c r="M258" i="14" s="1"/>
  <c r="N258" i="14" s="1"/>
  <c r="C119" i="14"/>
  <c r="C120" i="14"/>
  <c r="C121" i="14"/>
  <c r="C227" i="14"/>
  <c r="C7" i="14"/>
  <c r="C29" i="14"/>
  <c r="C21" i="14"/>
  <c r="C139" i="14"/>
  <c r="C145" i="14"/>
  <c r="C148" i="14"/>
  <c r="C150" i="14"/>
  <c r="C10" i="14"/>
  <c r="C11" i="14"/>
  <c r="C135" i="14"/>
  <c r="C178" i="14"/>
  <c r="C109" i="14"/>
  <c r="C212" i="14"/>
  <c r="C214" i="14"/>
  <c r="C230" i="14" l="1"/>
  <c r="C229" i="14"/>
  <c r="C136" i="14"/>
  <c r="C151" i="14"/>
  <c r="C228" i="14"/>
  <c r="C134" i="14"/>
  <c r="C129" i="14"/>
  <c r="C226" i="14"/>
  <c r="C132" i="14"/>
  <c r="C128" i="14"/>
  <c r="C131" i="14"/>
  <c r="C142" i="14"/>
  <c r="C225" i="14"/>
  <c r="C130" i="14"/>
  <c r="C140" i="14"/>
  <c r="C45" i="14"/>
  <c r="C38" i="14"/>
  <c r="C36" i="14"/>
  <c r="C46" i="14"/>
  <c r="C37" i="14"/>
  <c r="C198" i="14"/>
  <c r="C43" i="14"/>
  <c r="C34" i="14"/>
  <c r="C42" i="14"/>
  <c r="C32" i="14"/>
  <c r="C44" i="14"/>
  <c r="C31" i="14"/>
  <c r="C35" i="14"/>
  <c r="C40" i="14"/>
  <c r="C39" i="14"/>
  <c r="C345" i="14"/>
  <c r="P279" i="14"/>
  <c r="Q279" i="14" s="1"/>
  <c r="S279" i="14" s="1"/>
  <c r="P270" i="14"/>
  <c r="U270" i="14" s="1"/>
  <c r="P318" i="14"/>
  <c r="Q318" i="14" s="1"/>
  <c r="S318" i="14" s="1"/>
  <c r="P140" i="14"/>
  <c r="P112" i="14"/>
  <c r="P320" i="14"/>
  <c r="Q320" i="14" s="1"/>
  <c r="S320" i="14" s="1"/>
  <c r="C189" i="14"/>
  <c r="C256" i="14"/>
  <c r="C257" i="14"/>
  <c r="C297" i="14"/>
  <c r="P12" i="14"/>
  <c r="Q12" i="14" s="1"/>
  <c r="S12" i="14" s="1"/>
  <c r="P36" i="14"/>
  <c r="T36" i="14" s="1"/>
  <c r="U36" i="14" s="1"/>
  <c r="P261" i="14"/>
  <c r="U261" i="14" s="1"/>
  <c r="P101" i="14"/>
  <c r="T101" i="14" s="1"/>
  <c r="U101" i="14" s="1"/>
  <c r="C220" i="14"/>
  <c r="C244" i="14"/>
  <c r="C299" i="14"/>
  <c r="C118" i="14"/>
  <c r="C285" i="14"/>
  <c r="C305" i="14"/>
  <c r="C218" i="14"/>
  <c r="C306" i="14"/>
  <c r="C202" i="14"/>
  <c r="C193" i="14"/>
  <c r="C217" i="14"/>
  <c r="C167" i="14"/>
  <c r="C85" i="14"/>
  <c r="C268" i="14"/>
  <c r="C289" i="14"/>
  <c r="C307" i="14"/>
  <c r="C197" i="14"/>
  <c r="C219" i="14"/>
  <c r="C287" i="14"/>
  <c r="C194" i="14"/>
  <c r="C112" i="14"/>
  <c r="C192" i="14"/>
  <c r="C165" i="14"/>
  <c r="C308" i="14"/>
  <c r="C188" i="14"/>
  <c r="C298" i="14"/>
  <c r="C196" i="14"/>
  <c r="C195" i="14"/>
  <c r="C168" i="14"/>
  <c r="C87" i="14"/>
  <c r="C288" i="14"/>
  <c r="C201" i="14"/>
  <c r="C216" i="14"/>
  <c r="C99" i="14"/>
  <c r="C271" i="14"/>
  <c r="C290" i="14"/>
  <c r="C200" i="14"/>
  <c r="C215" i="14"/>
  <c r="C164" i="14"/>
  <c r="C22" i="14"/>
  <c r="C91" i="14"/>
  <c r="C276" i="14"/>
  <c r="C296" i="14"/>
  <c r="C319" i="14"/>
  <c r="C20" i="14"/>
  <c r="C211" i="14"/>
  <c r="C95" i="14"/>
  <c r="C15" i="14"/>
  <c r="C94" i="14"/>
  <c r="C234" i="14"/>
  <c r="C163" i="14"/>
  <c r="C98" i="14"/>
  <c r="C248" i="14"/>
  <c r="C14" i="14"/>
  <c r="C162" i="14"/>
  <c r="C153" i="14"/>
  <c r="C13" i="14"/>
  <c r="C104" i="14"/>
  <c r="C241" i="14"/>
  <c r="C107" i="14"/>
  <c r="C28" i="14"/>
  <c r="C103" i="14"/>
  <c r="C240" i="14"/>
  <c r="C261" i="14"/>
  <c r="C316" i="14"/>
  <c r="C170" i="14"/>
  <c r="C12" i="14"/>
  <c r="C169" i="14"/>
  <c r="C23" i="14"/>
  <c r="C100" i="14"/>
  <c r="C238" i="14"/>
  <c r="C262" i="14"/>
  <c r="P204" i="14"/>
  <c r="U204" i="14" s="1"/>
  <c r="P258" i="14"/>
  <c r="U258" i="14" s="1"/>
  <c r="P120" i="14"/>
  <c r="T120" i="14" s="1"/>
  <c r="U120" i="14" s="1"/>
  <c r="P80" i="14"/>
  <c r="T80" i="14" s="1"/>
  <c r="U80" i="14" s="1"/>
  <c r="P272" i="14"/>
  <c r="Q272" i="14" s="1"/>
  <c r="S272" i="14" s="1"/>
  <c r="P106" i="14"/>
  <c r="T106" i="14" s="1"/>
  <c r="U106" i="14" s="1"/>
  <c r="P128" i="14"/>
  <c r="T128" i="14" s="1"/>
  <c r="U128" i="14" s="1"/>
  <c r="P188" i="14"/>
  <c r="T188" i="14" s="1"/>
  <c r="U188" i="14" s="1"/>
  <c r="P235" i="14"/>
  <c r="Q235" i="14" s="1"/>
  <c r="S235" i="14" s="1"/>
  <c r="P119" i="14"/>
  <c r="Q119" i="14" s="1"/>
  <c r="S119" i="14" s="1"/>
  <c r="P155" i="14"/>
  <c r="T155" i="14" s="1"/>
  <c r="U155" i="14" s="1"/>
  <c r="P277" i="14"/>
  <c r="Q277" i="14" s="1"/>
  <c r="S277" i="14" s="1"/>
  <c r="P319" i="14"/>
  <c r="U319" i="14" s="1"/>
  <c r="P177" i="14"/>
  <c r="T177" i="14" s="1"/>
  <c r="U177" i="14" s="1"/>
  <c r="P136" i="14"/>
  <c r="T136" i="14" s="1"/>
  <c r="U136" i="14" s="1"/>
  <c r="P205" i="14"/>
  <c r="U205" i="14" s="1"/>
  <c r="P219" i="14"/>
  <c r="U219" i="14" s="1"/>
  <c r="P256" i="14"/>
  <c r="Q256" i="14" s="1"/>
  <c r="S256" i="14" s="1"/>
  <c r="P267" i="14"/>
  <c r="Q267" i="14" s="1"/>
  <c r="S267" i="14" s="1"/>
  <c r="P75" i="14"/>
  <c r="T75" i="14" s="1"/>
  <c r="U75" i="14" s="1"/>
  <c r="P79" i="14"/>
  <c r="Q79" i="14" s="1"/>
  <c r="S79" i="14" s="1"/>
  <c r="P217" i="14"/>
  <c r="Q217" i="14" s="1"/>
  <c r="S217" i="14" s="1"/>
  <c r="P260" i="14"/>
  <c r="U260" i="14" s="1"/>
  <c r="P274" i="14"/>
  <c r="Q274" i="14" s="1"/>
  <c r="S274" i="14" s="1"/>
  <c r="P166" i="14"/>
  <c r="T166" i="14" s="1"/>
  <c r="U166" i="14" s="1"/>
  <c r="P154" i="14"/>
  <c r="Q154" i="14" s="1"/>
  <c r="S154" i="14" s="1"/>
  <c r="P104" i="14"/>
  <c r="T104" i="14" s="1"/>
  <c r="U104" i="14" s="1"/>
  <c r="P275" i="14"/>
  <c r="U275" i="14" s="1"/>
  <c r="P282" i="14"/>
  <c r="U282" i="14" s="1"/>
  <c r="P296" i="14"/>
  <c r="Q296" i="14" s="1"/>
  <c r="S296" i="14" s="1"/>
  <c r="P299" i="14"/>
  <c r="U299" i="14" s="1"/>
  <c r="P145" i="14"/>
  <c r="Q145" i="14" s="1"/>
  <c r="S145" i="14" s="1"/>
  <c r="P13" i="14"/>
  <c r="T13" i="14" s="1"/>
  <c r="U13" i="14" s="1"/>
  <c r="P5" i="14"/>
  <c r="Q5" i="14" s="1"/>
  <c r="S5" i="14" s="1"/>
  <c r="P83" i="14"/>
  <c r="T83" i="14" s="1"/>
  <c r="U83" i="14" s="1"/>
  <c r="P98" i="14"/>
  <c r="T98" i="14" s="1"/>
  <c r="U98" i="14" s="1"/>
  <c r="P276" i="14"/>
  <c r="U276" i="14" s="1"/>
  <c r="P315" i="14"/>
  <c r="Q315" i="14" s="1"/>
  <c r="S315" i="14" s="1"/>
  <c r="P189" i="14"/>
  <c r="Q189" i="14" s="1"/>
  <c r="S189" i="14" s="1"/>
  <c r="P295" i="14"/>
  <c r="U295" i="14" s="1"/>
  <c r="P303" i="14"/>
  <c r="U303" i="14" s="1"/>
  <c r="P251" i="14"/>
  <c r="Q251" i="14" s="1"/>
  <c r="S251" i="14" s="1"/>
  <c r="P76" i="14"/>
  <c r="T76" i="14" s="1"/>
  <c r="U76" i="14" s="1"/>
  <c r="P89" i="14"/>
  <c r="T89" i="14" s="1"/>
  <c r="U89" i="14" s="1"/>
  <c r="P197" i="14"/>
  <c r="Q197" i="14" s="1"/>
  <c r="S197" i="14" s="1"/>
  <c r="P201" i="14"/>
  <c r="U201" i="14" s="1"/>
  <c r="P242" i="14"/>
  <c r="Q242" i="14" s="1"/>
  <c r="S242" i="14" s="1"/>
  <c r="P239" i="14"/>
  <c r="Q239" i="14" s="1"/>
  <c r="S239" i="14" s="1"/>
  <c r="P314" i="14"/>
  <c r="Q314" i="14" s="1"/>
  <c r="S314" i="14" s="1"/>
  <c r="P157" i="14"/>
  <c r="Q157" i="14" s="1"/>
  <c r="S157" i="14" s="1"/>
  <c r="P117" i="14"/>
  <c r="T117" i="14" s="1"/>
  <c r="U117" i="14" s="1"/>
  <c r="P138" i="14"/>
  <c r="Q138" i="14" s="1"/>
  <c r="S138" i="14" s="1"/>
  <c r="P148" i="14"/>
  <c r="Q148" i="14" s="1"/>
  <c r="S148" i="14" s="1"/>
  <c r="P20" i="14"/>
  <c r="T20" i="14" s="1"/>
  <c r="U20" i="14" s="1"/>
  <c r="P77" i="14"/>
  <c r="T77" i="14" s="1"/>
  <c r="U77" i="14" s="1"/>
  <c r="P207" i="14"/>
  <c r="Q207" i="14" s="1"/>
  <c r="S207" i="14" s="1"/>
  <c r="P214" i="14"/>
  <c r="Q214" i="14" s="1"/>
  <c r="S214" i="14" s="1"/>
  <c r="P273" i="14"/>
  <c r="U273" i="14" s="1"/>
  <c r="P289" i="14"/>
  <c r="Q289" i="14" s="1"/>
  <c r="S289" i="14" s="1"/>
  <c r="P124" i="14"/>
  <c r="Q124" i="14" s="1"/>
  <c r="S124" i="14" s="1"/>
  <c r="P134" i="14"/>
  <c r="T134" i="14" s="1"/>
  <c r="U134" i="14" s="1"/>
  <c r="P41" i="14"/>
  <c r="T41" i="14" s="1"/>
  <c r="U41" i="14" s="1"/>
  <c r="P45" i="14"/>
  <c r="T45" i="14" s="1"/>
  <c r="U45" i="14" s="1"/>
  <c r="P191" i="14"/>
  <c r="Q191" i="14" s="1"/>
  <c r="S191" i="14" s="1"/>
  <c r="P286" i="14"/>
  <c r="U286" i="14" s="1"/>
  <c r="P290" i="14"/>
  <c r="Q290" i="14" s="1"/>
  <c r="S290" i="14" s="1"/>
  <c r="P164" i="14"/>
  <c r="T164" i="14" s="1"/>
  <c r="U164" i="14" s="1"/>
  <c r="P170" i="14"/>
  <c r="Q170" i="14" s="1"/>
  <c r="S170" i="14" s="1"/>
  <c r="P291" i="14"/>
  <c r="Q291" i="14" s="1"/>
  <c r="S291" i="14" s="1"/>
  <c r="P297" i="14"/>
  <c r="Q297" i="14" s="1"/>
  <c r="S297" i="14" s="1"/>
  <c r="P125" i="14"/>
  <c r="T125" i="14" s="1"/>
  <c r="U125" i="14" s="1"/>
  <c r="P110" i="14"/>
  <c r="T110" i="14" s="1"/>
  <c r="U110" i="14" s="1"/>
  <c r="P131" i="14"/>
  <c r="Q131" i="14" s="1"/>
  <c r="S131" i="14" s="1"/>
  <c r="P11" i="14"/>
  <c r="Q11" i="14" s="1"/>
  <c r="S11" i="14" s="1"/>
  <c r="P46" i="14"/>
  <c r="Q46" i="14" s="1"/>
  <c r="S46" i="14" s="1"/>
  <c r="P85" i="14"/>
  <c r="T85" i="14" s="1"/>
  <c r="U85" i="14" s="1"/>
  <c r="P47" i="14"/>
  <c r="T47" i="14" s="1"/>
  <c r="U47" i="14" s="1"/>
  <c r="P54" i="14"/>
  <c r="T54" i="14" s="1"/>
  <c r="U54" i="14" s="1"/>
  <c r="P298" i="14"/>
  <c r="Q298" i="14" s="1"/>
  <c r="S298" i="14" s="1"/>
  <c r="P305" i="14"/>
  <c r="U305" i="14" s="1"/>
  <c r="C27" i="14"/>
  <c r="C117" i="14"/>
  <c r="C291" i="14"/>
  <c r="C300" i="14"/>
  <c r="C309" i="14"/>
  <c r="C26" i="14"/>
  <c r="C18" i="14"/>
  <c r="C184" i="14"/>
  <c r="C125" i="14"/>
  <c r="C116" i="14"/>
  <c r="C292" i="14"/>
  <c r="C301" i="14"/>
  <c r="C311" i="14"/>
  <c r="C237" i="14"/>
  <c r="C19" i="14"/>
  <c r="C185" i="14"/>
  <c r="C126" i="14"/>
  <c r="C25" i="14"/>
  <c r="C182" i="14"/>
  <c r="C293" i="14"/>
  <c r="C312" i="14"/>
  <c r="C17" i="14"/>
  <c r="C243" i="14"/>
  <c r="C124" i="14"/>
  <c r="C114" i="14"/>
  <c r="C303" i="14"/>
  <c r="C24" i="14"/>
  <c r="C88" i="14"/>
  <c r="C242" i="14"/>
  <c r="C122" i="14"/>
  <c r="C259" i="14"/>
  <c r="C295" i="14"/>
  <c r="C342" i="14"/>
  <c r="C341" i="14"/>
  <c r="C343" i="14"/>
  <c r="C344" i="14"/>
  <c r="C352" i="14"/>
  <c r="C350" i="14"/>
  <c r="C351" i="14"/>
  <c r="C152" i="14"/>
  <c r="C317" i="14"/>
  <c r="C3" i="14"/>
  <c r="C108" i="14"/>
  <c r="C144" i="14"/>
  <c r="C157" i="14"/>
  <c r="C80" i="14"/>
  <c r="C2" i="14"/>
  <c r="C340" i="14"/>
  <c r="C355" i="14"/>
  <c r="C363" i="14"/>
  <c r="C356" i="14"/>
  <c r="C357" i="14"/>
  <c r="C361" i="14"/>
  <c r="C362" i="14"/>
  <c r="C358" i="14"/>
  <c r="C359" i="14"/>
  <c r="C360" i="14"/>
  <c r="C353" i="14"/>
  <c r="C354" i="14"/>
  <c r="C143" i="14"/>
  <c r="C156" i="14"/>
  <c r="C74" i="14"/>
  <c r="C221" i="14"/>
  <c r="C349" i="14"/>
  <c r="C6" i="14"/>
  <c r="C161" i="14"/>
  <c r="C154" i="14"/>
  <c r="C8" i="14"/>
  <c r="C348" i="14"/>
  <c r="C347" i="14"/>
  <c r="C346" i="14"/>
  <c r="C111" i="14"/>
  <c r="C138" i="14"/>
  <c r="C147" i="14"/>
  <c r="C5" i="14"/>
  <c r="C265" i="14"/>
  <c r="C146" i="14"/>
  <c r="C367" i="14"/>
  <c r="C375" i="14"/>
  <c r="C364" i="14"/>
  <c r="C368" i="14"/>
  <c r="C376" i="14"/>
  <c r="C369" i="14"/>
  <c r="C377" i="14"/>
  <c r="C370" i="14"/>
  <c r="C378" i="14"/>
  <c r="C371" i="14"/>
  <c r="C379" i="14"/>
  <c r="C372" i="14"/>
  <c r="C380" i="14"/>
  <c r="C365" i="14"/>
  <c r="C373" i="14"/>
  <c r="C381" i="14"/>
  <c r="C374" i="14"/>
  <c r="C366" i="14"/>
  <c r="P300" i="14"/>
  <c r="U300" i="14" s="1"/>
  <c r="P179" i="14"/>
  <c r="Q179" i="14" s="1"/>
  <c r="S179" i="14" s="1"/>
  <c r="P173" i="14"/>
  <c r="Q173" i="14" s="1"/>
  <c r="S173" i="14" s="1"/>
  <c r="P171" i="14"/>
  <c r="Q171" i="14" s="1"/>
  <c r="S171" i="14" s="1"/>
  <c r="P9" i="14"/>
  <c r="T9" i="14" s="1"/>
  <c r="U9" i="14" s="1"/>
  <c r="P144" i="14"/>
  <c r="Q144" i="14" s="1"/>
  <c r="S144" i="14" s="1"/>
  <c r="P151" i="14"/>
  <c r="T151" i="14" s="1"/>
  <c r="U151" i="14" s="1"/>
  <c r="P199" i="14"/>
  <c r="Q199" i="14" s="1"/>
  <c r="S199" i="14" s="1"/>
  <c r="P243" i="14"/>
  <c r="Q243" i="14" s="1"/>
  <c r="S243" i="14" s="1"/>
  <c r="P228" i="14"/>
  <c r="Q228" i="14" s="1"/>
  <c r="S228" i="14" s="1"/>
  <c r="P271" i="14"/>
  <c r="Q271" i="14" s="1"/>
  <c r="S271" i="14" s="1"/>
  <c r="P57" i="14"/>
  <c r="T57" i="14" s="1"/>
  <c r="U57" i="14" s="1"/>
  <c r="P231" i="14"/>
  <c r="Q231" i="14" s="1"/>
  <c r="S231" i="14" s="1"/>
  <c r="P34" i="14"/>
  <c r="Q34" i="14" s="1"/>
  <c r="S34" i="14" s="1"/>
  <c r="P308" i="14"/>
  <c r="Q308" i="14" s="1"/>
  <c r="S308" i="14" s="1"/>
  <c r="P146" i="14"/>
  <c r="T146" i="14" s="1"/>
  <c r="U146" i="14" s="1"/>
  <c r="P74" i="14"/>
  <c r="T74" i="14" s="1"/>
  <c r="U74" i="14" s="1"/>
  <c r="P84" i="14"/>
  <c r="T84" i="14" s="1"/>
  <c r="U84" i="14" s="1"/>
  <c r="P59" i="14"/>
  <c r="T59" i="14" s="1"/>
  <c r="U59" i="14" s="1"/>
  <c r="P206" i="14"/>
  <c r="Q206" i="14" s="1"/>
  <c r="S206" i="14" s="1"/>
  <c r="P317" i="14"/>
  <c r="U317" i="14" s="1"/>
  <c r="P342" i="14"/>
  <c r="U342" i="14" s="1"/>
  <c r="P307" i="14"/>
  <c r="U307" i="14" s="1"/>
  <c r="P165" i="14"/>
  <c r="T165" i="14" s="1"/>
  <c r="U165" i="14" s="1"/>
  <c r="P158" i="14"/>
  <c r="Q158" i="14" s="1"/>
  <c r="S158" i="14" s="1"/>
  <c r="P32" i="14"/>
  <c r="Q32" i="14" s="1"/>
  <c r="S32" i="14" s="1"/>
  <c r="P35" i="14"/>
  <c r="Q35" i="14" s="1"/>
  <c r="S35" i="14" s="1"/>
  <c r="P350" i="14"/>
  <c r="U350" i="14" s="1"/>
  <c r="P349" i="14"/>
  <c r="Q349" i="14" s="1"/>
  <c r="S349" i="14" s="1"/>
  <c r="K352" i="14"/>
  <c r="L352" i="14" s="1"/>
  <c r="M352" i="14" s="1"/>
  <c r="N352" i="14" s="1"/>
  <c r="P352" i="14" s="1"/>
  <c r="P351" i="14"/>
  <c r="K348" i="14"/>
  <c r="L348" i="14" s="1"/>
  <c r="M348" i="14" s="1"/>
  <c r="N348" i="14" s="1"/>
  <c r="P348" i="14" s="1"/>
  <c r="K346" i="14"/>
  <c r="L346" i="14" s="1"/>
  <c r="M346" i="14" s="1"/>
  <c r="N346" i="14" s="1"/>
  <c r="P346" i="14" s="1"/>
  <c r="K347" i="14"/>
  <c r="L347" i="14" s="1"/>
  <c r="M347" i="14" s="1"/>
  <c r="N347" i="14" s="1"/>
  <c r="P347" i="14" s="1"/>
  <c r="K345" i="14"/>
  <c r="L345" i="14" s="1"/>
  <c r="M345" i="14" s="1"/>
  <c r="N345" i="14" s="1"/>
  <c r="P345" i="14" s="1"/>
  <c r="K343" i="14"/>
  <c r="L343" i="14" s="1"/>
  <c r="M343" i="14" s="1"/>
  <c r="N343" i="14" s="1"/>
  <c r="P343" i="14" s="1"/>
  <c r="M344" i="14"/>
  <c r="N344" i="14" s="1"/>
  <c r="P344" i="14" s="1"/>
  <c r="M341" i="14"/>
  <c r="N341" i="14" s="1"/>
  <c r="P341" i="14" s="1"/>
  <c r="P264" i="14"/>
  <c r="U264" i="14" s="1"/>
  <c r="P339" i="14"/>
  <c r="Q339" i="14" s="1"/>
  <c r="S339" i="14" s="1"/>
  <c r="P255" i="14"/>
  <c r="U255" i="14" s="1"/>
  <c r="P280" i="14"/>
  <c r="Q280" i="14" s="1"/>
  <c r="S280" i="14" s="1"/>
  <c r="P227" i="14"/>
  <c r="U227" i="14" s="1"/>
  <c r="P283" i="14"/>
  <c r="Q283" i="14" s="1"/>
  <c r="S283" i="14" s="1"/>
  <c r="P190" i="14"/>
  <c r="Q190" i="14" s="1"/>
  <c r="S190" i="14" s="1"/>
  <c r="P64" i="14"/>
  <c r="T64" i="14" s="1"/>
  <c r="U64" i="14" s="1"/>
  <c r="P116" i="14"/>
  <c r="T116" i="14" s="1"/>
  <c r="U116" i="14" s="1"/>
  <c r="P230" i="14"/>
  <c r="U230" i="14" s="1"/>
  <c r="P259" i="14"/>
  <c r="Q259" i="14" s="1"/>
  <c r="S259" i="14" s="1"/>
  <c r="P281" i="14"/>
  <c r="Q281" i="14" s="1"/>
  <c r="S281" i="14" s="1"/>
  <c r="P323" i="14"/>
  <c r="U323" i="14" s="1"/>
  <c r="P338" i="14"/>
  <c r="Q338" i="14" s="1"/>
  <c r="S338" i="14" s="1"/>
  <c r="P284" i="14"/>
  <c r="U284" i="14" s="1"/>
  <c r="P200" i="14"/>
  <c r="Q200" i="14" s="1"/>
  <c r="S200" i="14" s="1"/>
  <c r="P224" i="14"/>
  <c r="U224" i="14" s="1"/>
  <c r="P337" i="14"/>
  <c r="U337" i="14" s="1"/>
  <c r="P257" i="14"/>
  <c r="Q257" i="14" s="1"/>
  <c r="S257" i="14" s="1"/>
  <c r="P278" i="14"/>
  <c r="U278" i="14" s="1"/>
  <c r="P139" i="14"/>
  <c r="Q139" i="14" s="1"/>
  <c r="S139" i="14" s="1"/>
  <c r="P150" i="14"/>
  <c r="T150" i="14" s="1"/>
  <c r="U150" i="14" s="1"/>
  <c r="P244" i="14"/>
  <c r="Q244" i="14" s="1"/>
  <c r="S244" i="14" s="1"/>
  <c r="P88" i="14"/>
  <c r="Q88" i="14" s="1"/>
  <c r="S88" i="14" s="1"/>
  <c r="P100" i="14"/>
  <c r="T100" i="14" s="1"/>
  <c r="U100" i="14" s="1"/>
  <c r="P51" i="14"/>
  <c r="T51" i="14" s="1"/>
  <c r="U51" i="14" s="1"/>
  <c r="P69" i="14"/>
  <c r="T69" i="14" s="1"/>
  <c r="U69" i="14" s="1"/>
  <c r="P192" i="14"/>
  <c r="Q192" i="14" s="1"/>
  <c r="S192" i="14" s="1"/>
  <c r="P254" i="14"/>
  <c r="U254" i="14" s="1"/>
  <c r="P147" i="14"/>
  <c r="T147" i="14" s="1"/>
  <c r="U147" i="14" s="1"/>
  <c r="P159" i="14"/>
  <c r="T159" i="14" s="1"/>
  <c r="U159" i="14" s="1"/>
  <c r="P24" i="14"/>
  <c r="Q24" i="14" s="1"/>
  <c r="S24" i="14" s="1"/>
  <c r="P7" i="14"/>
  <c r="T7" i="14" s="1"/>
  <c r="U7" i="14" s="1"/>
  <c r="P49" i="14"/>
  <c r="Q49" i="14" s="1"/>
  <c r="S49" i="14" s="1"/>
  <c r="P210" i="14"/>
  <c r="U210" i="14" s="1"/>
  <c r="P250" i="14"/>
  <c r="Q250" i="14" s="1"/>
  <c r="S250" i="14" s="1"/>
  <c r="P313" i="14"/>
  <c r="Q313" i="14" s="1"/>
  <c r="S313" i="14" s="1"/>
  <c r="P232" i="14"/>
  <c r="U232" i="14" s="1"/>
  <c r="P316" i="14"/>
  <c r="Q316" i="14" s="1"/>
  <c r="S316" i="14" s="1"/>
  <c r="P322" i="14"/>
  <c r="U322" i="14" s="1"/>
  <c r="P218" i="14"/>
  <c r="Q218" i="14" s="1"/>
  <c r="S218" i="14" s="1"/>
  <c r="P121" i="14"/>
  <c r="Q121" i="14" s="1"/>
  <c r="S121" i="14" s="1"/>
  <c r="P126" i="14"/>
  <c r="Q126" i="14" s="1"/>
  <c r="S126" i="14" s="1"/>
  <c r="P40" i="14"/>
  <c r="T40" i="14" s="1"/>
  <c r="U40" i="14" s="1"/>
  <c r="P8" i="14"/>
  <c r="T8" i="14" s="1"/>
  <c r="U8" i="14" s="1"/>
  <c r="P107" i="14"/>
  <c r="T107" i="14" s="1"/>
  <c r="U107" i="14" s="1"/>
  <c r="P50" i="14"/>
  <c r="Q50" i="14" s="1"/>
  <c r="S50" i="14" s="1"/>
  <c r="P193" i="14"/>
  <c r="U193" i="14" s="1"/>
  <c r="P263" i="14"/>
  <c r="Q263" i="14" s="1"/>
  <c r="S263" i="14" s="1"/>
  <c r="P266" i="14"/>
  <c r="Q266" i="14" s="1"/>
  <c r="S266" i="14" s="1"/>
  <c r="P27" i="14"/>
  <c r="T27" i="14" s="1"/>
  <c r="U27" i="14" s="1"/>
  <c r="P167" i="14"/>
  <c r="Q167" i="14" s="1"/>
  <c r="S167" i="14" s="1"/>
  <c r="P213" i="14"/>
  <c r="U213" i="14" s="1"/>
  <c r="P195" i="14"/>
  <c r="U195" i="14" s="1"/>
  <c r="P130" i="14"/>
  <c r="T130" i="14" s="1"/>
  <c r="U130" i="14" s="1"/>
  <c r="P82" i="14"/>
  <c r="Q82" i="14" s="1"/>
  <c r="S82" i="14" s="1"/>
  <c r="P3" i="14"/>
  <c r="T3" i="14" s="1"/>
  <c r="U3" i="14" s="1"/>
  <c r="P91" i="14"/>
  <c r="T91" i="14" s="1"/>
  <c r="U91" i="14" s="1"/>
  <c r="K189" i="14"/>
  <c r="P202" i="14"/>
  <c r="Q202" i="14" s="1"/>
  <c r="S202" i="14" s="1"/>
  <c r="P240" i="14"/>
  <c r="U240" i="14" s="1"/>
  <c r="P225" i="14"/>
  <c r="Q225" i="14" s="1"/>
  <c r="S225" i="14" s="1"/>
  <c r="P81" i="14"/>
  <c r="Q81" i="14" s="1"/>
  <c r="S81" i="14" s="1"/>
  <c r="S184" i="14"/>
  <c r="P108" i="14"/>
  <c r="Q108" i="14" s="1"/>
  <c r="S108" i="14" s="1"/>
  <c r="P60" i="14"/>
  <c r="Q60" i="14" s="1"/>
  <c r="S60" i="14" s="1"/>
  <c r="P268" i="14"/>
  <c r="Q268" i="14" s="1"/>
  <c r="S268" i="14" s="1"/>
  <c r="P223" i="14"/>
  <c r="Q223" i="14" s="1"/>
  <c r="S223" i="14" s="1"/>
  <c r="P229" i="14"/>
  <c r="Q229" i="14" s="1"/>
  <c r="S229" i="14" s="1"/>
  <c r="P92" i="14"/>
  <c r="Q92" i="14" s="1"/>
  <c r="S92" i="14" s="1"/>
  <c r="P129" i="14"/>
  <c r="Q129" i="14" s="1"/>
  <c r="S129" i="14" s="1"/>
  <c r="P78" i="14"/>
  <c r="T78" i="14" s="1"/>
  <c r="U78" i="14" s="1"/>
  <c r="S183" i="14"/>
  <c r="P141" i="14"/>
  <c r="T141" i="14" s="1"/>
  <c r="U141" i="14" s="1"/>
  <c r="P2" i="14"/>
  <c r="T2" i="14" s="1"/>
  <c r="U2" i="14" s="1"/>
  <c r="S182" i="14"/>
  <c r="P70" i="14"/>
  <c r="T70" i="14" s="1"/>
  <c r="U70" i="14" s="1"/>
  <c r="P238" i="14"/>
  <c r="U238" i="14" s="1"/>
  <c r="P269" i="14"/>
  <c r="U269" i="14" s="1"/>
  <c r="P103" i="14"/>
  <c r="Q103" i="14" s="1"/>
  <c r="S103" i="14" s="1"/>
  <c r="P162" i="14"/>
  <c r="Q162" i="14" s="1"/>
  <c r="S162" i="14" s="1"/>
  <c r="P111" i="14"/>
  <c r="Q111" i="14" s="1"/>
  <c r="S111" i="14" s="1"/>
  <c r="P168" i="14"/>
  <c r="T168" i="14" s="1"/>
  <c r="U168" i="14" s="1"/>
  <c r="P22" i="14"/>
  <c r="T22" i="14" s="1"/>
  <c r="U22" i="14" s="1"/>
  <c r="P42" i="14"/>
  <c r="T42" i="14" s="1"/>
  <c r="U42" i="14" s="1"/>
  <c r="P95" i="14"/>
  <c r="T95" i="14" s="1"/>
  <c r="U95" i="14" s="1"/>
  <c r="P203" i="14"/>
  <c r="Q203" i="14" s="1"/>
  <c r="S203" i="14" s="1"/>
  <c r="P221" i="14"/>
  <c r="U221" i="14" s="1"/>
  <c r="P253" i="14"/>
  <c r="U253" i="14" s="1"/>
  <c r="P287" i="14"/>
  <c r="U287" i="14" s="1"/>
  <c r="P52" i="14"/>
  <c r="T52" i="14" s="1"/>
  <c r="U52" i="14" s="1"/>
  <c r="P114" i="14"/>
  <c r="Q114" i="14" s="1"/>
  <c r="S114" i="14" s="1"/>
  <c r="P288" i="14"/>
  <c r="Q288" i="14" s="1"/>
  <c r="S288" i="14" s="1"/>
  <c r="P156" i="14"/>
  <c r="Q156" i="14" s="1"/>
  <c r="S156" i="14" s="1"/>
  <c r="P187" i="14"/>
  <c r="Q187" i="14" s="1"/>
  <c r="S187" i="14" s="1"/>
  <c r="P37" i="14"/>
  <c r="T37" i="14" s="1"/>
  <c r="U37" i="14" s="1"/>
  <c r="P43" i="14"/>
  <c r="T43" i="14" s="1"/>
  <c r="U43" i="14" s="1"/>
  <c r="P48" i="14"/>
  <c r="T48" i="14" s="1"/>
  <c r="U48" i="14" s="1"/>
  <c r="P67" i="14"/>
  <c r="Q67" i="14" s="1"/>
  <c r="S67" i="14" s="1"/>
  <c r="P234" i="14"/>
  <c r="U234" i="14" s="1"/>
  <c r="P285" i="14"/>
  <c r="U285" i="14" s="1"/>
  <c r="P113" i="14"/>
  <c r="T113" i="14" s="1"/>
  <c r="U113" i="14" s="1"/>
  <c r="P152" i="14"/>
  <c r="T152" i="14" s="1"/>
  <c r="U152" i="14" s="1"/>
  <c r="P160" i="14"/>
  <c r="Q160" i="14" s="1"/>
  <c r="S160" i="14" s="1"/>
  <c r="P15" i="14"/>
  <c r="T15" i="14" s="1"/>
  <c r="U15" i="14" s="1"/>
  <c r="P33" i="14"/>
  <c r="Q33" i="14" s="1"/>
  <c r="S33" i="14" s="1"/>
  <c r="P94" i="14"/>
  <c r="Q94" i="14" s="1"/>
  <c r="S94" i="14" s="1"/>
  <c r="P102" i="14"/>
  <c r="T102" i="14" s="1"/>
  <c r="U102" i="14" s="1"/>
  <c r="P93" i="14"/>
  <c r="Q93" i="14" s="1"/>
  <c r="S93" i="14" s="1"/>
  <c r="P209" i="14"/>
  <c r="Q209" i="14" s="1"/>
  <c r="S209" i="14" s="1"/>
  <c r="P198" i="14"/>
  <c r="U198" i="14" s="1"/>
  <c r="P336" i="14"/>
  <c r="U336" i="14" s="1"/>
  <c r="P196" i="14"/>
  <c r="U196" i="14" s="1"/>
  <c r="P236" i="14"/>
  <c r="U236" i="14" s="1"/>
  <c r="P153" i="14"/>
  <c r="T153" i="14" s="1"/>
  <c r="U153" i="14" s="1"/>
  <c r="P16" i="14"/>
  <c r="T16" i="14" s="1"/>
  <c r="U16" i="14" s="1"/>
  <c r="P19" i="14"/>
  <c r="T19" i="14" s="1"/>
  <c r="U19" i="14" s="1"/>
  <c r="P39" i="14"/>
  <c r="Q39" i="14" s="1"/>
  <c r="S39" i="14" s="1"/>
  <c r="P105" i="14"/>
  <c r="Q105" i="14" s="1"/>
  <c r="S105" i="14" s="1"/>
  <c r="P127" i="14"/>
  <c r="Q127" i="14" s="1"/>
  <c r="S127" i="14" s="1"/>
  <c r="S185" i="14"/>
  <c r="P65" i="14"/>
  <c r="Q65" i="14" s="1"/>
  <c r="S65" i="14" s="1"/>
  <c r="P262" i="14"/>
  <c r="U262" i="14" s="1"/>
  <c r="P172" i="14"/>
  <c r="T172" i="14" s="1"/>
  <c r="U172" i="14" s="1"/>
  <c r="P29" i="14"/>
  <c r="T29" i="14" s="1"/>
  <c r="U29" i="14" s="1"/>
  <c r="P61" i="14"/>
  <c r="Q61" i="14" s="1"/>
  <c r="S61" i="14" s="1"/>
  <c r="P194" i="14"/>
  <c r="Q194" i="14" s="1"/>
  <c r="S194" i="14" s="1"/>
  <c r="P212" i="14"/>
  <c r="Q212" i="14" s="1"/>
  <c r="S212" i="14" s="1"/>
  <c r="P220" i="14"/>
  <c r="Q220" i="14" s="1"/>
  <c r="S220" i="14" s="1"/>
  <c r="P246" i="14"/>
  <c r="U246" i="14" s="1"/>
  <c r="P265" i="14"/>
  <c r="U265" i="14" s="1"/>
  <c r="P335" i="14"/>
  <c r="U335" i="14" s="1"/>
  <c r="P327" i="14"/>
  <c r="Q327" i="14" s="1"/>
  <c r="S327" i="14" s="1"/>
  <c r="P241" i="14"/>
  <c r="Q241" i="14" s="1"/>
  <c r="S241" i="14" s="1"/>
  <c r="P334" i="14"/>
  <c r="Q334" i="14" s="1"/>
  <c r="S334" i="14" s="1"/>
  <c r="P326" i="14"/>
  <c r="Q326" i="14" s="1"/>
  <c r="S326" i="14" s="1"/>
  <c r="P237" i="14"/>
  <c r="Q237" i="14" s="1"/>
  <c r="S237" i="14" s="1"/>
  <c r="P331" i="14"/>
  <c r="Q331" i="14" s="1"/>
  <c r="S331" i="14" s="1"/>
  <c r="P325" i="14"/>
  <c r="Q325" i="14" s="1"/>
  <c r="S325" i="14" s="1"/>
  <c r="P226" i="14"/>
  <c r="U226" i="14" s="1"/>
  <c r="Q292" i="14"/>
  <c r="S292" i="14" s="1"/>
  <c r="T161" i="14"/>
  <c r="U161" i="14" s="1"/>
  <c r="Q312" i="14"/>
  <c r="S312" i="14" s="1"/>
  <c r="T245" i="14"/>
  <c r="U245" i="14" s="1"/>
  <c r="X65" i="18"/>
  <c r="C332" i="14" s="1"/>
  <c r="X64" i="18"/>
  <c r="C329" i="14" s="1"/>
  <c r="C327" i="14"/>
  <c r="C336" i="14"/>
  <c r="X61" i="18"/>
  <c r="C324" i="14" s="1"/>
  <c r="C338" i="14"/>
  <c r="C335" i="14"/>
  <c r="C334" i="14"/>
  <c r="C326" i="14"/>
  <c r="M330" i="14"/>
  <c r="N330" i="14" s="1"/>
  <c r="P330" i="14" s="1"/>
  <c r="U330" i="14" s="1"/>
  <c r="K333" i="14"/>
  <c r="L333" i="14" s="1"/>
  <c r="M333" i="14" s="1"/>
  <c r="N333" i="14" s="1"/>
  <c r="P333" i="14" s="1"/>
  <c r="K340" i="14"/>
  <c r="L340" i="14" s="1"/>
  <c r="M340" i="14" s="1"/>
  <c r="N340" i="14" s="1"/>
  <c r="P340" i="14" s="1"/>
  <c r="K332" i="14"/>
  <c r="L332" i="14" s="1"/>
  <c r="M332" i="14" s="1"/>
  <c r="N332" i="14" s="1"/>
  <c r="P332" i="14" s="1"/>
  <c r="K329" i="14"/>
  <c r="L329" i="14" s="1"/>
  <c r="M329" i="14" s="1"/>
  <c r="N329" i="14" s="1"/>
  <c r="P329" i="14" s="1"/>
  <c r="K328" i="14"/>
  <c r="L328" i="14" s="1"/>
  <c r="M328" i="14" s="1"/>
  <c r="N328" i="14" s="1"/>
  <c r="P328" i="14" s="1"/>
  <c r="P211" i="14"/>
  <c r="U301" i="14"/>
  <c r="P4" i="14"/>
  <c r="Q4" i="14" s="1"/>
  <c r="S4" i="14" s="1"/>
  <c r="U293" i="14"/>
  <c r="Q293" i="14"/>
  <c r="S293" i="14" s="1"/>
  <c r="C210" i="14"/>
  <c r="C177" i="14"/>
  <c r="C79" i="14"/>
  <c r="C249" i="14"/>
  <c r="C272" i="14"/>
  <c r="C253" i="14"/>
  <c r="C273" i="14"/>
  <c r="C208" i="14"/>
  <c r="C174" i="14"/>
  <c r="C160" i="14"/>
  <c r="C77" i="14"/>
  <c r="C106" i="14"/>
  <c r="C223" i="14"/>
  <c r="C254" i="14"/>
  <c r="C141" i="14"/>
  <c r="C149" i="14"/>
  <c r="C286" i="14"/>
  <c r="C278" i="14"/>
  <c r="C270" i="14"/>
  <c r="C83" i="14"/>
  <c r="C90" i="14"/>
  <c r="C181" i="14"/>
  <c r="C281" i="14"/>
  <c r="C320" i="14"/>
  <c r="C209" i="14"/>
  <c r="C175" i="14"/>
  <c r="C78" i="14"/>
  <c r="C89" i="14"/>
  <c r="C224" i="14"/>
  <c r="C282" i="14"/>
  <c r="C322" i="14"/>
  <c r="C97" i="14"/>
  <c r="C236" i="14"/>
  <c r="C267" i="14"/>
  <c r="C283" i="14"/>
  <c r="C323" i="14"/>
  <c r="P208" i="14"/>
  <c r="Q208" i="14" s="1"/>
  <c r="S208" i="14" s="1"/>
  <c r="Q306" i="14"/>
  <c r="S306" i="14" s="1"/>
  <c r="C173" i="14"/>
  <c r="C159" i="14"/>
  <c r="C75" i="14"/>
  <c r="C105" i="14"/>
  <c r="C96" i="14"/>
  <c r="C186" i="14"/>
  <c r="C255" i="14"/>
  <c r="C275" i="14"/>
  <c r="C284" i="14"/>
  <c r="C191" i="14"/>
  <c r="C199" i="14"/>
  <c r="C33" i="14"/>
  <c r="C41" i="14"/>
  <c r="C82" i="14"/>
  <c r="C246" i="14"/>
  <c r="Q270" i="14"/>
  <c r="S270" i="14" s="1"/>
  <c r="C155" i="14"/>
  <c r="C81" i="14"/>
  <c r="C86" i="14"/>
  <c r="C102" i="14"/>
  <c r="C92" i="14"/>
  <c r="C183" i="14"/>
  <c r="C258" i="14"/>
  <c r="C269" i="14"/>
  <c r="C279" i="14"/>
  <c r="C115" i="14"/>
  <c r="C123" i="14"/>
  <c r="C310" i="14"/>
  <c r="C302" i="14"/>
  <c r="C294" i="14"/>
  <c r="K174" i="14"/>
  <c r="L174" i="14" s="1"/>
  <c r="M174" i="14" s="1"/>
  <c r="N174" i="14" s="1"/>
  <c r="P174" i="14" s="1"/>
  <c r="M25" i="14"/>
  <c r="N25" i="14" s="1"/>
  <c r="P25" i="14" s="1"/>
  <c r="K10" i="14"/>
  <c r="L10" i="14" s="1"/>
  <c r="M10" i="14" s="1"/>
  <c r="N10" i="14" s="1"/>
  <c r="P10" i="14" s="1"/>
  <c r="Q112" i="14"/>
  <c r="S112" i="14" s="1"/>
  <c r="T112" i="14"/>
  <c r="U112" i="14" s="1"/>
  <c r="K14" i="14"/>
  <c r="L14" i="14" s="1"/>
  <c r="M14" i="14" s="1"/>
  <c r="N14" i="14" s="1"/>
  <c r="P14" i="14" s="1"/>
  <c r="P18" i="14"/>
  <c r="T140" i="14"/>
  <c r="U140" i="14" s="1"/>
  <c r="Q140" i="14"/>
  <c r="S140" i="14" s="1"/>
  <c r="K109" i="14"/>
  <c r="L109" i="14" s="1"/>
  <c r="M109" i="14" s="1"/>
  <c r="N109" i="14" s="1"/>
  <c r="P109" i="14" s="1"/>
  <c r="K163" i="14"/>
  <c r="L163" i="14" s="1"/>
  <c r="M163" i="14" s="1"/>
  <c r="N163" i="14" s="1"/>
  <c r="P163" i="14" s="1"/>
  <c r="Q261" i="14"/>
  <c r="S261" i="14" s="1"/>
  <c r="P176" i="14"/>
  <c r="Q176" i="14" s="1"/>
  <c r="S176" i="14" s="1"/>
  <c r="K28" i="14"/>
  <c r="L28" i="14" s="1"/>
  <c r="M28" i="14" s="1"/>
  <c r="N28" i="14" s="1"/>
  <c r="P28" i="14" s="1"/>
  <c r="K56" i="14"/>
  <c r="L56" i="14" s="1"/>
  <c r="M56" i="14" s="1"/>
  <c r="N56" i="14" s="1"/>
  <c r="P56" i="14" s="1"/>
  <c r="M135" i="14"/>
  <c r="N135" i="14" s="1"/>
  <c r="P135" i="14" s="1"/>
  <c r="K44" i="14"/>
  <c r="L44" i="14" s="1"/>
  <c r="M44" i="14" s="1"/>
  <c r="N44" i="14" s="1"/>
  <c r="P44" i="14" s="1"/>
  <c r="P66" i="14"/>
  <c r="M142" i="14"/>
  <c r="N142" i="14" s="1"/>
  <c r="P142" i="14" s="1"/>
  <c r="T142" i="14" s="1"/>
  <c r="U142" i="14" s="1"/>
  <c r="P115" i="14"/>
  <c r="M175" i="14"/>
  <c r="N175" i="14" s="1"/>
  <c r="P175" i="14" s="1"/>
  <c r="M30" i="14"/>
  <c r="N30" i="14" s="1"/>
  <c r="P30" i="14" s="1"/>
  <c r="P62" i="14"/>
  <c r="M169" i="14"/>
  <c r="N169" i="14" s="1"/>
  <c r="P169" i="14" s="1"/>
  <c r="P86" i="14"/>
  <c r="M133" i="14"/>
  <c r="N133" i="14" s="1"/>
  <c r="P133" i="14" s="1"/>
  <c r="M6" i="14"/>
  <c r="N6" i="14" s="1"/>
  <c r="P6" i="14" s="1"/>
  <c r="Q6" i="14" s="1"/>
  <c r="S6" i="14" s="1"/>
  <c r="K123" i="14"/>
  <c r="L123" i="14" s="1"/>
  <c r="M123" i="14" s="1"/>
  <c r="N123" i="14" s="1"/>
  <c r="P123" i="14" s="1"/>
  <c r="K38" i="14"/>
  <c r="L38" i="14" s="1"/>
  <c r="M38" i="14" s="1"/>
  <c r="N38" i="14" s="1"/>
  <c r="P38" i="14" s="1"/>
  <c r="M96" i="14"/>
  <c r="N96" i="14" s="1"/>
  <c r="P96" i="14" s="1"/>
  <c r="P222" i="14"/>
  <c r="P178" i="14"/>
  <c r="T178" i="14" s="1"/>
  <c r="U178" i="14" s="1"/>
  <c r="P58" i="14"/>
  <c r="P72" i="14"/>
  <c r="P71" i="14"/>
  <c r="K17" i="14"/>
  <c r="L17" i="14" s="1"/>
  <c r="M17" i="14" s="1"/>
  <c r="N17" i="14" s="1"/>
  <c r="P17" i="14" s="1"/>
  <c r="K149" i="14"/>
  <c r="L149" i="14" s="1"/>
  <c r="M149" i="14" s="1"/>
  <c r="N149" i="14" s="1"/>
  <c r="P149" i="14" s="1"/>
  <c r="P122" i="14"/>
  <c r="P55" i="14"/>
  <c r="P73" i="14"/>
  <c r="T73" i="14" s="1"/>
  <c r="U73" i="14" s="1"/>
  <c r="P233" i="14"/>
  <c r="K143" i="14"/>
  <c r="L143" i="14" s="1"/>
  <c r="M143" i="14" s="1"/>
  <c r="N143" i="14" s="1"/>
  <c r="P143" i="14" s="1"/>
  <c r="P21" i="14"/>
  <c r="P97" i="14"/>
  <c r="T97" i="14" s="1"/>
  <c r="U97" i="14" s="1"/>
  <c r="P53" i="14"/>
  <c r="T53" i="14" s="1"/>
  <c r="U53" i="14" s="1"/>
  <c r="M215" i="14"/>
  <c r="N215" i="14" s="1"/>
  <c r="P215" i="14" s="1"/>
  <c r="P68" i="14"/>
  <c r="P23" i="14"/>
  <c r="Q23" i="14" s="1"/>
  <c r="S23" i="14" s="1"/>
  <c r="M118" i="14"/>
  <c r="N118" i="14" s="1"/>
  <c r="P118" i="14" s="1"/>
  <c r="P132" i="14"/>
  <c r="T132" i="14" s="1"/>
  <c r="U132" i="14" s="1"/>
  <c r="P26" i="14"/>
  <c r="Q26" i="14" s="1"/>
  <c r="S26" i="14" s="1"/>
  <c r="K90" i="14"/>
  <c r="L90" i="14" s="1"/>
  <c r="M90" i="14" s="1"/>
  <c r="N90" i="14" s="1"/>
  <c r="P90" i="14" s="1"/>
  <c r="P87" i="14"/>
  <c r="Q87" i="14" s="1"/>
  <c r="S87" i="14" s="1"/>
  <c r="P249" i="14"/>
  <c r="U249" i="14" s="1"/>
  <c r="P31" i="14"/>
  <c r="P63" i="14"/>
  <c r="P248" i="14"/>
  <c r="U248" i="14" s="1"/>
  <c r="P216" i="14"/>
  <c r="P247" i="14"/>
  <c r="Q247" i="14" s="1"/>
  <c r="S247" i="14" s="1"/>
  <c r="P252" i="14"/>
  <c r="U252" i="14" s="1"/>
  <c r="P99" i="14"/>
  <c r="K324" i="14"/>
  <c r="L324" i="14" s="1"/>
  <c r="M324" i="14" s="1"/>
  <c r="N324" i="14" s="1"/>
  <c r="P324" i="14" s="1"/>
  <c r="Q305" i="14"/>
  <c r="S305" i="14" s="1"/>
  <c r="Q311" i="14"/>
  <c r="S311" i="14" s="1"/>
  <c r="U294" i="14"/>
  <c r="Q294" i="14"/>
  <c r="S294" i="14" s="1"/>
  <c r="U321" i="14"/>
  <c r="Q321" i="14"/>
  <c r="S321" i="14" s="1"/>
  <c r="U310" i="14"/>
  <c r="Q310" i="14"/>
  <c r="S310" i="14" s="1"/>
  <c r="U302" i="14"/>
  <c r="Q302" i="14"/>
  <c r="S302" i="14" s="1"/>
  <c r="Q309" i="14"/>
  <c r="S309" i="14" s="1"/>
  <c r="Q304" i="14"/>
  <c r="S304" i="14" s="1"/>
  <c r="Q137" i="14"/>
  <c r="S137" i="14" s="1"/>
  <c r="U279" i="14" l="1"/>
  <c r="Q36" i="14"/>
  <c r="S36" i="14" s="1"/>
  <c r="U318" i="14"/>
  <c r="Q101" i="14"/>
  <c r="S101" i="14" s="1"/>
  <c r="Q166" i="14"/>
  <c r="S166" i="14" s="1"/>
  <c r="U320" i="14"/>
  <c r="T12" i="14"/>
  <c r="U12" i="14" s="1"/>
  <c r="U202" i="14"/>
  <c r="U217" i="14"/>
  <c r="Q286" i="14"/>
  <c r="S286" i="14" s="1"/>
  <c r="U288" i="14"/>
  <c r="Q20" i="14"/>
  <c r="S20" i="14" s="1"/>
  <c r="Q219" i="14"/>
  <c r="S219" i="14" s="1"/>
  <c r="Q13" i="14"/>
  <c r="S13" i="14" s="1"/>
  <c r="Q204" i="14"/>
  <c r="S204" i="14" s="1"/>
  <c r="Q41" i="14"/>
  <c r="S41" i="14" s="1"/>
  <c r="Q319" i="14"/>
  <c r="S319" i="14" s="1"/>
  <c r="U313" i="14"/>
  <c r="U206" i="14"/>
  <c r="T79" i="14"/>
  <c r="U79" i="14" s="1"/>
  <c r="Q282" i="14"/>
  <c r="S282" i="14" s="1"/>
  <c r="U272" i="14"/>
  <c r="Q89" i="14"/>
  <c r="S89" i="14" s="1"/>
  <c r="Q303" i="14"/>
  <c r="S303" i="14" s="1"/>
  <c r="Q177" i="14"/>
  <c r="S177" i="14" s="1"/>
  <c r="Q54" i="14"/>
  <c r="S54" i="14" s="1"/>
  <c r="Q258" i="14"/>
  <c r="S258" i="14" s="1"/>
  <c r="Q201" i="14"/>
  <c r="S201" i="14" s="1"/>
  <c r="Q75" i="14"/>
  <c r="S75" i="14" s="1"/>
  <c r="Q120" i="14"/>
  <c r="S120" i="14" s="1"/>
  <c r="U315" i="14"/>
  <c r="U296" i="14"/>
  <c r="T170" i="14"/>
  <c r="U170" i="14" s="1"/>
  <c r="T124" i="14"/>
  <c r="U124" i="14" s="1"/>
  <c r="Q83" i="14"/>
  <c r="S83" i="14" s="1"/>
  <c r="Q275" i="14"/>
  <c r="S275" i="14" s="1"/>
  <c r="Q98" i="14"/>
  <c r="S98" i="14" s="1"/>
  <c r="T138" i="14"/>
  <c r="U138" i="14" s="1"/>
  <c r="U277" i="14"/>
  <c r="Q76" i="14"/>
  <c r="S76" i="14" s="1"/>
  <c r="Q85" i="14"/>
  <c r="S85" i="14" s="1"/>
  <c r="U314" i="14"/>
  <c r="Q80" i="14"/>
  <c r="S80" i="14" s="1"/>
  <c r="T171" i="14"/>
  <c r="U171" i="14" s="1"/>
  <c r="Q57" i="14"/>
  <c r="S57" i="14" s="1"/>
  <c r="U235" i="14"/>
  <c r="Q136" i="14"/>
  <c r="S136" i="14" s="1"/>
  <c r="Q27" i="14"/>
  <c r="S27" i="14" s="1"/>
  <c r="Q155" i="14"/>
  <c r="S155" i="14" s="1"/>
  <c r="T46" i="14"/>
  <c r="U46" i="14" s="1"/>
  <c r="Q317" i="14"/>
  <c r="S317" i="14" s="1"/>
  <c r="Q164" i="14"/>
  <c r="S164" i="14" s="1"/>
  <c r="T154" i="14"/>
  <c r="U154" i="14" s="1"/>
  <c r="T5" i="14"/>
  <c r="U5" i="14" s="1"/>
  <c r="C331" i="14"/>
  <c r="Q104" i="14"/>
  <c r="S104" i="14" s="1"/>
  <c r="U267" i="14"/>
  <c r="T119" i="14"/>
  <c r="U119" i="14" s="1"/>
  <c r="U289" i="14"/>
  <c r="U239" i="14"/>
  <c r="Q264" i="14"/>
  <c r="S264" i="14" s="1"/>
  <c r="Q146" i="14"/>
  <c r="S146" i="14" s="1"/>
  <c r="T173" i="14"/>
  <c r="U173" i="14" s="1"/>
  <c r="U191" i="14"/>
  <c r="Q295" i="14"/>
  <c r="S295" i="14" s="1"/>
  <c r="Q188" i="14"/>
  <c r="S188" i="14" s="1"/>
  <c r="U298" i="14"/>
  <c r="U189" i="14"/>
  <c r="U243" i="14"/>
  <c r="Q299" i="14"/>
  <c r="S299" i="14" s="1"/>
  <c r="Q260" i="14"/>
  <c r="S260" i="14" s="1"/>
  <c r="Q74" i="14"/>
  <c r="S74" i="14" s="1"/>
  <c r="U231" i="14"/>
  <c r="Q125" i="14"/>
  <c r="S125" i="14" s="1"/>
  <c r="Q77" i="14"/>
  <c r="S77" i="14" s="1"/>
  <c r="T82" i="14"/>
  <c r="U82" i="14" s="1"/>
  <c r="U242" i="14"/>
  <c r="Q165" i="14"/>
  <c r="S165" i="14" s="1"/>
  <c r="U291" i="14"/>
  <c r="Q106" i="14"/>
  <c r="S106" i="14" s="1"/>
  <c r="Q45" i="14"/>
  <c r="S45" i="14" s="1"/>
  <c r="T158" i="14"/>
  <c r="U158" i="14" s="1"/>
  <c r="Q117" i="14"/>
  <c r="S117" i="14" s="1"/>
  <c r="U207" i="14"/>
  <c r="Q110" i="14"/>
  <c r="S110" i="14" s="1"/>
  <c r="Q128" i="14"/>
  <c r="S128" i="14" s="1"/>
  <c r="T145" i="14"/>
  <c r="U145" i="14" s="1"/>
  <c r="Q205" i="14"/>
  <c r="S205" i="14" s="1"/>
  <c r="Q300" i="14"/>
  <c r="S300" i="14" s="1"/>
  <c r="U274" i="14"/>
  <c r="U297" i="14"/>
  <c r="U256" i="14"/>
  <c r="T35" i="14"/>
  <c r="U35" i="14" s="1"/>
  <c r="U223" i="14"/>
  <c r="U290" i="14"/>
  <c r="U251" i="14"/>
  <c r="Q273" i="14"/>
  <c r="S273" i="14" s="1"/>
  <c r="U271" i="14"/>
  <c r="Q59" i="14"/>
  <c r="S59" i="14" s="1"/>
  <c r="U250" i="14"/>
  <c r="U280" i="14"/>
  <c r="U281" i="14"/>
  <c r="T11" i="14"/>
  <c r="U11" i="14" s="1"/>
  <c r="T167" i="14"/>
  <c r="U167" i="14" s="1"/>
  <c r="T157" i="14"/>
  <c r="U157" i="14" s="1"/>
  <c r="U197" i="14"/>
  <c r="Q276" i="14"/>
  <c r="S276" i="14" s="1"/>
  <c r="Q134" i="14"/>
  <c r="S134" i="14" s="1"/>
  <c r="T148" i="14"/>
  <c r="U148" i="14" s="1"/>
  <c r="Q255" i="14"/>
  <c r="S255" i="14" s="1"/>
  <c r="Q47" i="14"/>
  <c r="S47" i="14" s="1"/>
  <c r="Q84" i="14"/>
  <c r="S84" i="14" s="1"/>
  <c r="U259" i="14"/>
  <c r="T131" i="14"/>
  <c r="U131" i="14" s="1"/>
  <c r="T126" i="14"/>
  <c r="U126" i="14" s="1"/>
  <c r="U257" i="14"/>
  <c r="Q210" i="14"/>
  <c r="S210" i="14" s="1"/>
  <c r="U268" i="14"/>
  <c r="T32" i="14"/>
  <c r="U32" i="14" s="1"/>
  <c r="T179" i="14"/>
  <c r="U179" i="14" s="1"/>
  <c r="U228" i="14"/>
  <c r="Q69" i="14"/>
  <c r="S69" i="14" s="1"/>
  <c r="Q153" i="14"/>
  <c r="S153" i="14" s="1"/>
  <c r="U214" i="14"/>
  <c r="Q262" i="14"/>
  <c r="S262" i="14" s="1"/>
  <c r="Q253" i="14"/>
  <c r="S253" i="14" s="1"/>
  <c r="U263" i="14"/>
  <c r="U199" i="14"/>
  <c r="Q9" i="14"/>
  <c r="S9" i="14" s="1"/>
  <c r="Q151" i="14"/>
  <c r="S151" i="14" s="1"/>
  <c r="T92" i="14"/>
  <c r="U92" i="14" s="1"/>
  <c r="C330" i="14"/>
  <c r="Q342" i="14"/>
  <c r="S342" i="14" s="1"/>
  <c r="Q307" i="14"/>
  <c r="S307" i="14" s="1"/>
  <c r="T144" i="14"/>
  <c r="U144" i="14" s="1"/>
  <c r="U308" i="14"/>
  <c r="Q323" i="14"/>
  <c r="S323" i="14" s="1"/>
  <c r="T34" i="14"/>
  <c r="U34" i="14" s="1"/>
  <c r="Q19" i="14"/>
  <c r="S19" i="14" s="1"/>
  <c r="Q246" i="14"/>
  <c r="S246" i="14" s="1"/>
  <c r="Q236" i="14"/>
  <c r="S236" i="14" s="1"/>
  <c r="U349" i="14"/>
  <c r="T88" i="14"/>
  <c r="U88" i="14" s="1"/>
  <c r="U212" i="14"/>
  <c r="Q193" i="14"/>
  <c r="S193" i="14" s="1"/>
  <c r="Q350" i="14"/>
  <c r="S350" i="14" s="1"/>
  <c r="T33" i="14"/>
  <c r="U33" i="14" s="1"/>
  <c r="Q48" i="14"/>
  <c r="S48" i="14" s="1"/>
  <c r="Q150" i="14"/>
  <c r="S150" i="14" s="1"/>
  <c r="U352" i="14"/>
  <c r="Q352" i="14"/>
  <c r="S352" i="14" s="1"/>
  <c r="Q348" i="14"/>
  <c r="S348" i="14" s="1"/>
  <c r="U348" i="14"/>
  <c r="U351" i="14"/>
  <c r="Q351" i="14"/>
  <c r="S351" i="14" s="1"/>
  <c r="Q107" i="14"/>
  <c r="S107" i="14" s="1"/>
  <c r="Q95" i="14"/>
  <c r="S95" i="14" s="1"/>
  <c r="Q232" i="14"/>
  <c r="S232" i="14" s="1"/>
  <c r="U225" i="14"/>
  <c r="Q147" i="14"/>
  <c r="S147" i="14" s="1"/>
  <c r="Q152" i="14"/>
  <c r="S152" i="14" s="1"/>
  <c r="U345" i="14"/>
  <c r="Q345" i="14"/>
  <c r="S345" i="14" s="1"/>
  <c r="Q347" i="14"/>
  <c r="S347" i="14" s="1"/>
  <c r="U347" i="14"/>
  <c r="U346" i="14"/>
  <c r="Q346" i="14"/>
  <c r="S346" i="14" s="1"/>
  <c r="U331" i="14"/>
  <c r="Q238" i="14"/>
  <c r="S238" i="14" s="1"/>
  <c r="Q130" i="14"/>
  <c r="S130" i="14" s="1"/>
  <c r="Q37" i="14"/>
  <c r="S37" i="14" s="1"/>
  <c r="T93" i="14"/>
  <c r="U93" i="14" s="1"/>
  <c r="Q141" i="14"/>
  <c r="S141" i="14" s="1"/>
  <c r="Q3" i="14"/>
  <c r="S3" i="14" s="1"/>
  <c r="T49" i="14"/>
  <c r="U49" i="14" s="1"/>
  <c r="T162" i="14"/>
  <c r="U162" i="14" s="1"/>
  <c r="Q234" i="14"/>
  <c r="S234" i="14" s="1"/>
  <c r="Q285" i="14"/>
  <c r="S285" i="14" s="1"/>
  <c r="U327" i="14"/>
  <c r="Q196" i="14"/>
  <c r="S196" i="14" s="1"/>
  <c r="Q168" i="14"/>
  <c r="S168" i="14" s="1"/>
  <c r="U283" i="14"/>
  <c r="Q51" i="14"/>
  <c r="S51" i="14" s="1"/>
  <c r="Q91" i="14"/>
  <c r="S91" i="14" s="1"/>
  <c r="T160" i="14"/>
  <c r="U160" i="14" s="1"/>
  <c r="Q7" i="14"/>
  <c r="S7" i="14" s="1"/>
  <c r="U339" i="14"/>
  <c r="Q230" i="14"/>
  <c r="S230" i="14" s="1"/>
  <c r="T127" i="14"/>
  <c r="U127" i="14" s="1"/>
  <c r="T121" i="14"/>
  <c r="U121" i="14" s="1"/>
  <c r="Q15" i="14"/>
  <c r="S15" i="14" s="1"/>
  <c r="T111" i="14"/>
  <c r="U111" i="14" s="1"/>
  <c r="Q337" i="14"/>
  <c r="S337" i="14" s="1"/>
  <c r="Q287" i="14"/>
  <c r="S287" i="14" s="1"/>
  <c r="T108" i="14"/>
  <c r="U108" i="14" s="1"/>
  <c r="Q224" i="14"/>
  <c r="S224" i="14" s="1"/>
  <c r="U220" i="14"/>
  <c r="Q116" i="14"/>
  <c r="S116" i="14" s="1"/>
  <c r="U266" i="14"/>
  <c r="U237" i="14"/>
  <c r="T187" i="14"/>
  <c r="U187" i="14" s="1"/>
  <c r="U218" i="14"/>
  <c r="Q40" i="14"/>
  <c r="S40" i="14" s="1"/>
  <c r="Q42" i="14"/>
  <c r="S42" i="14" s="1"/>
  <c r="Q278" i="14"/>
  <c r="S278" i="14" s="1"/>
  <c r="Q343" i="14"/>
  <c r="S343" i="14" s="1"/>
  <c r="U343" i="14"/>
  <c r="Q341" i="14"/>
  <c r="S341" i="14" s="1"/>
  <c r="U341" i="14"/>
  <c r="U344" i="14"/>
  <c r="Q344" i="14"/>
  <c r="S344" i="14" s="1"/>
  <c r="T156" i="14"/>
  <c r="U156" i="14" s="1"/>
  <c r="T39" i="14"/>
  <c r="U39" i="14" s="1"/>
  <c r="U241" i="14"/>
  <c r="U190" i="14"/>
  <c r="U316" i="14"/>
  <c r="T244" i="14"/>
  <c r="U244" i="14" s="1"/>
  <c r="Q269" i="14"/>
  <c r="S269" i="14" s="1"/>
  <c r="T81" i="14"/>
  <c r="U81" i="14" s="1"/>
  <c r="U325" i="14"/>
  <c r="Q221" i="14"/>
  <c r="S221" i="14" s="1"/>
  <c r="Q64" i="14"/>
  <c r="S64" i="14" s="1"/>
  <c r="Q226" i="14"/>
  <c r="S226" i="14" s="1"/>
  <c r="Q159" i="14"/>
  <c r="S159" i="14" s="1"/>
  <c r="Q78" i="14"/>
  <c r="S78" i="14" s="1"/>
  <c r="T24" i="14"/>
  <c r="U24" i="14" s="1"/>
  <c r="T105" i="14"/>
  <c r="U105" i="14" s="1"/>
  <c r="T50" i="14"/>
  <c r="U50" i="14" s="1"/>
  <c r="Q172" i="14"/>
  <c r="S172" i="14" s="1"/>
  <c r="T114" i="14"/>
  <c r="U114" i="14" s="1"/>
  <c r="U209" i="14"/>
  <c r="U192" i="14"/>
  <c r="Q113" i="14"/>
  <c r="S113" i="14" s="1"/>
  <c r="T61" i="14"/>
  <c r="U61" i="14" s="1"/>
  <c r="Q227" i="14"/>
  <c r="S227" i="14" s="1"/>
  <c r="Q102" i="14"/>
  <c r="S102" i="14" s="1"/>
  <c r="U334" i="14"/>
  <c r="U203" i="14"/>
  <c r="Q198" i="14"/>
  <c r="S198" i="14" s="1"/>
  <c r="Q265" i="14"/>
  <c r="S265" i="14" s="1"/>
  <c r="Q284" i="14"/>
  <c r="S284" i="14" s="1"/>
  <c r="T129" i="14"/>
  <c r="U129" i="14" s="1"/>
  <c r="T103" i="14"/>
  <c r="U103" i="14" s="1"/>
  <c r="U194" i="14"/>
  <c r="Q322" i="14"/>
  <c r="S322" i="14" s="1"/>
  <c r="U200" i="14"/>
  <c r="Q70" i="14"/>
  <c r="S70" i="14" s="1"/>
  <c r="U229" i="14"/>
  <c r="Q213" i="14"/>
  <c r="S213" i="14" s="1"/>
  <c r="T139" i="14"/>
  <c r="U139" i="14" s="1"/>
  <c r="Q195" i="14"/>
  <c r="S195" i="14" s="1"/>
  <c r="U326" i="14"/>
  <c r="Q336" i="14"/>
  <c r="S336" i="14" s="1"/>
  <c r="U338" i="14"/>
  <c r="Q8" i="14"/>
  <c r="S8" i="14" s="1"/>
  <c r="T94" i="14"/>
  <c r="U94" i="14" s="1"/>
  <c r="Q335" i="14"/>
  <c r="S335" i="14" s="1"/>
  <c r="Q240" i="14"/>
  <c r="S240" i="14" s="1"/>
  <c r="Q254" i="14"/>
  <c r="S254" i="14" s="1"/>
  <c r="Q100" i="14"/>
  <c r="S100" i="14" s="1"/>
  <c r="T67" i="14"/>
  <c r="U67" i="14" s="1"/>
  <c r="T65" i="14"/>
  <c r="U65" i="14" s="1"/>
  <c r="T60" i="14"/>
  <c r="U60" i="14" s="1"/>
  <c r="Q52" i="14"/>
  <c r="S52" i="14" s="1"/>
  <c r="Q43" i="14"/>
  <c r="S43" i="14" s="1"/>
  <c r="Q29" i="14"/>
  <c r="S29" i="14" s="1"/>
  <c r="Q22" i="14"/>
  <c r="S22" i="14" s="1"/>
  <c r="Q2" i="14"/>
  <c r="S2" i="14" s="1"/>
  <c r="Q16" i="14"/>
  <c r="S16" i="14" s="1"/>
  <c r="T176" i="14"/>
  <c r="U176" i="14" s="1"/>
  <c r="Q249" i="14"/>
  <c r="S249" i="14" s="1"/>
  <c r="T4" i="14"/>
  <c r="U4" i="14" s="1"/>
  <c r="U208" i="14"/>
  <c r="Q252" i="14"/>
  <c r="S252" i="14" s="1"/>
  <c r="Q73" i="14"/>
  <c r="S73" i="14" s="1"/>
  <c r="Q97" i="14"/>
  <c r="S97" i="14" s="1"/>
  <c r="Q163" i="14"/>
  <c r="S163" i="14" s="1"/>
  <c r="T163" i="14"/>
  <c r="U163" i="14" s="1"/>
  <c r="U247" i="14"/>
  <c r="Q340" i="14"/>
  <c r="S340" i="14" s="1"/>
  <c r="U340" i="14"/>
  <c r="Q330" i="14"/>
  <c r="S330" i="14" s="1"/>
  <c r="U328" i="14"/>
  <c r="Q328" i="14"/>
  <c r="S328" i="14" s="1"/>
  <c r="Q329" i="14"/>
  <c r="S329" i="14" s="1"/>
  <c r="U329" i="14"/>
  <c r="Q332" i="14"/>
  <c r="S332" i="14" s="1"/>
  <c r="U332" i="14"/>
  <c r="U333" i="14"/>
  <c r="Q333" i="14"/>
  <c r="S333" i="14" s="1"/>
  <c r="T87" i="14"/>
  <c r="U87" i="14" s="1"/>
  <c r="U211" i="14"/>
  <c r="Q211" i="14"/>
  <c r="S211" i="14" s="1"/>
  <c r="Q142" i="14"/>
  <c r="S142" i="14" s="1"/>
  <c r="T26" i="14"/>
  <c r="U26" i="14" s="1"/>
  <c r="T23" i="14"/>
  <c r="U23" i="14" s="1"/>
  <c r="Q53" i="14"/>
  <c r="S53" i="14" s="1"/>
  <c r="T56" i="14"/>
  <c r="U56" i="14" s="1"/>
  <c r="Q56" i="14"/>
  <c r="S56" i="14" s="1"/>
  <c r="T109" i="14"/>
  <c r="U109" i="14" s="1"/>
  <c r="Q109" i="14"/>
  <c r="S109" i="14" s="1"/>
  <c r="Q174" i="14"/>
  <c r="S174" i="14" s="1"/>
  <c r="T174" i="14"/>
  <c r="U174" i="14" s="1"/>
  <c r="Q17" i="14"/>
  <c r="S17" i="14" s="1"/>
  <c r="T17" i="14"/>
  <c r="U17" i="14" s="1"/>
  <c r="T10" i="14"/>
  <c r="U10" i="14" s="1"/>
  <c r="Q10" i="14"/>
  <c r="S10" i="14" s="1"/>
  <c r="Q123" i="14"/>
  <c r="S123" i="14" s="1"/>
  <c r="T123" i="14"/>
  <c r="U123" i="14" s="1"/>
  <c r="T14" i="14"/>
  <c r="U14" i="14" s="1"/>
  <c r="Q14" i="14"/>
  <c r="S14" i="14" s="1"/>
  <c r="T25" i="14"/>
  <c r="U25" i="14" s="1"/>
  <c r="Q25" i="14"/>
  <c r="S25" i="14" s="1"/>
  <c r="Q132" i="14"/>
  <c r="S132" i="14" s="1"/>
  <c r="T6" i="14"/>
  <c r="U6" i="14" s="1"/>
  <c r="T31" i="14"/>
  <c r="U31" i="14" s="1"/>
  <c r="Q31" i="14"/>
  <c r="S31" i="14" s="1"/>
  <c r="Q233" i="14"/>
  <c r="S233" i="14" s="1"/>
  <c r="U233" i="14"/>
  <c r="T133" i="14"/>
  <c r="U133" i="14" s="1"/>
  <c r="Q133" i="14"/>
  <c r="S133" i="14" s="1"/>
  <c r="T62" i="14"/>
  <c r="U62" i="14" s="1"/>
  <c r="Q62" i="14"/>
  <c r="S62" i="14" s="1"/>
  <c r="Q44" i="14"/>
  <c r="S44" i="14" s="1"/>
  <c r="T44" i="14"/>
  <c r="U44" i="14" s="1"/>
  <c r="Q63" i="14"/>
  <c r="S63" i="14" s="1"/>
  <c r="T63" i="14"/>
  <c r="U63" i="14" s="1"/>
  <c r="Q169" i="14"/>
  <c r="S169" i="14" s="1"/>
  <c r="T169" i="14"/>
  <c r="U169" i="14" s="1"/>
  <c r="Q178" i="14"/>
  <c r="S178" i="14" s="1"/>
  <c r="Q68" i="14"/>
  <c r="S68" i="14" s="1"/>
  <c r="T68" i="14"/>
  <c r="U68" i="14" s="1"/>
  <c r="U222" i="14"/>
  <c r="Q222" i="14"/>
  <c r="S222" i="14" s="1"/>
  <c r="T30" i="14"/>
  <c r="U30" i="14" s="1"/>
  <c r="Q30" i="14"/>
  <c r="S30" i="14" s="1"/>
  <c r="Q248" i="14"/>
  <c r="S248" i="14" s="1"/>
  <c r="Q99" i="14"/>
  <c r="S99" i="14" s="1"/>
  <c r="T99" i="14"/>
  <c r="U99" i="14" s="1"/>
  <c r="Q215" i="14"/>
  <c r="S215" i="14" s="1"/>
  <c r="U215" i="14"/>
  <c r="T55" i="14"/>
  <c r="U55" i="14" s="1"/>
  <c r="Q55" i="14"/>
  <c r="S55" i="14" s="1"/>
  <c r="Q71" i="14"/>
  <c r="S71" i="14" s="1"/>
  <c r="T71" i="14"/>
  <c r="U71" i="14" s="1"/>
  <c r="Q96" i="14"/>
  <c r="S96" i="14" s="1"/>
  <c r="T96" i="14"/>
  <c r="U96" i="14" s="1"/>
  <c r="Q175" i="14"/>
  <c r="S175" i="14" s="1"/>
  <c r="T175" i="14"/>
  <c r="U175" i="14" s="1"/>
  <c r="T135" i="14"/>
  <c r="U135" i="14" s="1"/>
  <c r="Q135" i="14"/>
  <c r="S135" i="14" s="1"/>
  <c r="Q66" i="14"/>
  <c r="S66" i="14" s="1"/>
  <c r="T66" i="14"/>
  <c r="U66" i="14" s="1"/>
  <c r="T90" i="14"/>
  <c r="U90" i="14" s="1"/>
  <c r="Q90" i="14"/>
  <c r="S90" i="14" s="1"/>
  <c r="T122" i="14"/>
  <c r="U122" i="14" s="1"/>
  <c r="Q122" i="14"/>
  <c r="S122" i="14" s="1"/>
  <c r="Q72" i="14"/>
  <c r="S72" i="14" s="1"/>
  <c r="T72" i="14"/>
  <c r="U72" i="14" s="1"/>
  <c r="T38" i="14"/>
  <c r="U38" i="14" s="1"/>
  <c r="Q38" i="14"/>
  <c r="S38" i="14" s="1"/>
  <c r="T115" i="14"/>
  <c r="U115" i="14" s="1"/>
  <c r="Q115" i="14"/>
  <c r="S115" i="14" s="1"/>
  <c r="Q28" i="14"/>
  <c r="S28" i="14" s="1"/>
  <c r="T28" i="14"/>
  <c r="U28" i="14" s="1"/>
  <c r="T149" i="14"/>
  <c r="U149" i="14" s="1"/>
  <c r="Q149" i="14"/>
  <c r="S149" i="14" s="1"/>
  <c r="Q18" i="14"/>
  <c r="S18" i="14" s="1"/>
  <c r="T18" i="14"/>
  <c r="U18" i="14" s="1"/>
  <c r="Q58" i="14"/>
  <c r="S58" i="14" s="1"/>
  <c r="T58" i="14"/>
  <c r="U58" i="14" s="1"/>
  <c r="T143" i="14"/>
  <c r="U143" i="14" s="1"/>
  <c r="Q143" i="14"/>
  <c r="S143" i="14" s="1"/>
  <c r="T118" i="14"/>
  <c r="U118" i="14" s="1"/>
  <c r="Q118" i="14"/>
  <c r="S118" i="14" s="1"/>
  <c r="U216" i="14"/>
  <c r="Q216" i="14"/>
  <c r="S216" i="14" s="1"/>
  <c r="Q21" i="14"/>
  <c r="S21" i="14" s="1"/>
  <c r="T21" i="14"/>
  <c r="U21" i="14" s="1"/>
  <c r="Q86" i="14"/>
  <c r="S86" i="14" s="1"/>
  <c r="T86" i="14"/>
  <c r="U86" i="14" s="1"/>
  <c r="Q324" i="14"/>
  <c r="S324" i="14" s="1"/>
  <c r="U324" i="14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3" i="18" l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52" i="1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<sst xmlns="http://schemas.openxmlformats.org/spreadsheetml/2006/main" count="3946" uniqueCount="1651">
  <si>
    <t>MRP BAUMON</t>
  </si>
  <si>
    <t>Qtd</t>
  </si>
  <si>
    <t>Produto</t>
  </si>
  <si>
    <t>Código Bemol</t>
  </si>
  <si>
    <t>DESCRIÇÃO</t>
  </si>
  <si>
    <t>MOQ Mínimo</t>
  </si>
  <si>
    <t>Produtos por caixa Master Box</t>
  </si>
  <si>
    <t>Quantidade de Caixa Master</t>
  </si>
  <si>
    <t>CBM por Caixa Master</t>
  </si>
  <si>
    <t>CBM Total</t>
  </si>
  <si>
    <t>FRITAD BAUMON AIR FRYER 35L YJ-613D PT</t>
  </si>
  <si>
    <t>FRITAD BAUMON AIR FRYER 12L GSE021 PT</t>
  </si>
  <si>
    <t>CAFETEIRA BAUMON 108TS PT/PR</t>
  </si>
  <si>
    <t>SANDUICHEIRA BAUMON FS-8009C PT</t>
  </si>
  <si>
    <t>GRILL BAUMON 9228D PT</t>
  </si>
  <si>
    <t>FERRO BAUMON SECO LM-209A AZ</t>
  </si>
  <si>
    <t>FERRO BAUMON VAPOR LM-2262 AZ</t>
  </si>
  <si>
    <t>POTE HERM BAUMON RET 400ML C/ TAMPA R145</t>
  </si>
  <si>
    <t>POTE HERM BAUMON RET 630ML C/ TAMPA R170</t>
  </si>
  <si>
    <t>POTE HERM BAUMON 1410ML R220-2FULL</t>
  </si>
  <si>
    <t>POTE HERM BAUMON 1040ML C/TAM R195-2FULL</t>
  </si>
  <si>
    <t>POTE HERM BAUMON QD 750ML C/TAMP S150-2</t>
  </si>
  <si>
    <t>POTE HERM BAUMON RET1020ML C/TAMP S195-3</t>
  </si>
  <si>
    <t>POTE HERM BAUMON RET1430ML C/TAMP R220-3</t>
  </si>
  <si>
    <t>ASSAD BAUMON VDR RET1600ML C/TAMP GB1600</t>
  </si>
  <si>
    <t>ASSAD BAUMON VIDRO OVAL 3000ML OVAL-3000</t>
  </si>
  <si>
    <t>ASSAD BAUMON VIDRO QUAD 1800ML GB-S1800</t>
  </si>
  <si>
    <t>CAÇAROLA BAUMON VIDRO 1000ML GC-1000</t>
  </si>
  <si>
    <t>CAÇAROLA BAUMON VIDRO 1500ML GC-1500</t>
  </si>
  <si>
    <t>CAÇAROLA BAUMON VIDRO 2000ML GC-2000</t>
  </si>
  <si>
    <t>ASSADEIRA BAUMON VIDRO 1800ML GC-O1800</t>
  </si>
  <si>
    <t>COPO MEDIDOR BAUMON VDR 500ML LB-500P</t>
  </si>
  <si>
    <t>COPO MEDIDOR BAUMON VDR 1000ML LB-1000P</t>
  </si>
  <si>
    <t>POTE HERM BAUMON RET 2260ML C/TAMP JL002</t>
  </si>
  <si>
    <t>POTE HERM BAUMON 1040ML C/TAMP R195</t>
  </si>
  <si>
    <t>POTE HERM BAUMON RET 630ML R170-2FULL AZ</t>
  </si>
  <si>
    <t>ASSADEIRA BAUMON OVAL 2800ML GC-02800</t>
  </si>
  <si>
    <t>ASSADEIRA BAUMON OVAL 2400ML GC-2400</t>
  </si>
  <si>
    <t>SALADEIRA BAUMON 880ML S880B-S</t>
  </si>
  <si>
    <t>SALADEIRA BAUMON 2400ML S2400B-S</t>
  </si>
  <si>
    <t>SALADEIRA BAUMON 3300ML S3300B-S</t>
  </si>
  <si>
    <t>Secador de cabelo Baumon SD-808</t>
  </si>
  <si>
    <t>Chapinha Baumon SD-515</t>
  </si>
  <si>
    <t>Chapinha Baumon SD-510</t>
  </si>
  <si>
    <t>Escova secadora Baumon SD-917</t>
  </si>
  <si>
    <t>Espremedor de frutas Baumon BH-3326</t>
  </si>
  <si>
    <t>Ferro de passar Cerâmica Baumon DM-2088</t>
  </si>
  <si>
    <t>Espremedor de frutas Baumon JE678G</t>
  </si>
  <si>
    <t>Vaporizador Portátil Baumon QH-08BK</t>
  </si>
  <si>
    <t>Copo de vidro Baumon KP-1805</t>
  </si>
  <si>
    <t>Liquidificador Baumon KP-1805</t>
  </si>
  <si>
    <t>Liquidificador Baumon GS019</t>
  </si>
  <si>
    <t>Mini Processador WC-P02</t>
  </si>
  <si>
    <t>Forno Elét  bancada Baumon 48L JK48A PT</t>
  </si>
  <si>
    <t>Frigobar Baumon 46L HC46 BR</t>
  </si>
  <si>
    <t>Frigobar Baumon 87L HC87 BR</t>
  </si>
  <si>
    <t>Frigobar Baumon 112L BCD112 BR</t>
  </si>
  <si>
    <t>Máquina de gelo Baumon HC-2 PT</t>
  </si>
  <si>
    <t>Bebedouro de Mesa Baumon YLRLW2540TBS BR</t>
  </si>
  <si>
    <t>Bebedouro Baumon YLRLW2540LB BR</t>
  </si>
  <si>
    <t>Bebedouro Baumon YLRLW2540LB PT</t>
  </si>
  <si>
    <t>Bebedouro Baumon YLRLW2540LBS BR</t>
  </si>
  <si>
    <t>Sup p/TV Baumon Fixo LCD-800 PT</t>
  </si>
  <si>
    <t>Sup p/TV Baumon Universal YN-LED001 PT</t>
  </si>
  <si>
    <t>Sup p/TV Baumon fixo YN-109MF PT</t>
  </si>
  <si>
    <t>Sup p/TV Baumon Articulado YN-927AT PT</t>
  </si>
  <si>
    <t>Jogo de Cama solteiro 100% penteado 180 fios  azul</t>
  </si>
  <si>
    <t>Jogo de Cama solteiro 100% penteado 180 fios bege</t>
  </si>
  <si>
    <t>Jogo de Cama solteiro 100% penteado 180 fios verde</t>
  </si>
  <si>
    <t>Jogo de cama casal 100% penteado 200 fios azul</t>
  </si>
  <si>
    <t>Jogo de cama casal 100% penteado 200 fios bege</t>
  </si>
  <si>
    <t>Jogo de cama casal 100% penteado 200 fios verde</t>
  </si>
  <si>
    <t>Jogo de cama Queen  100% penteado 200 fios Azul</t>
  </si>
  <si>
    <t>Jogo de cama Queen  100% penteado 200 fios bege</t>
  </si>
  <si>
    <t>Jogo de cama Queen  100% penteado 200 fios verde</t>
  </si>
  <si>
    <t>Jogo de cama King 100% penteado 200 fios Azul</t>
  </si>
  <si>
    <t>Jogo de cama King 100% penteado 200 fios Bege</t>
  </si>
  <si>
    <t>Jogo de cama King 100% penteado 200 fios Verde</t>
  </si>
  <si>
    <t>1 toalha 100% algodão (126cm x 68 cm) 500 GSM + Rosto Azul</t>
  </si>
  <si>
    <t>1 toalha 100% algodão (126cm x 68 cm) 500 GSM + Rosto bege</t>
  </si>
  <si>
    <t>1 toalha 100% algodão (126cm x 68 cm) 500 GSM + Rosto rosa</t>
  </si>
  <si>
    <r>
      <t xml:space="preserve">1 toalha 100% algodão (145 cm x </t>
    </r>
    <r>
      <rPr>
        <sz val="12"/>
        <color rgb="FFFF0000"/>
        <rFont val="Aptos Narrow"/>
        <family val="2"/>
        <scheme val="minor"/>
      </rPr>
      <t>86,5</t>
    </r>
    <r>
      <rPr>
        <sz val="12"/>
        <color rgb="FF000000"/>
        <rFont val="Aptos Narrow"/>
        <family val="2"/>
        <scheme val="minor"/>
      </rPr>
      <t xml:space="preserve"> cm) 500 GSM + rosto azul</t>
    </r>
  </si>
  <si>
    <r>
      <t xml:space="preserve">1 toalha 100% algodão (145 cm x </t>
    </r>
    <r>
      <rPr>
        <sz val="12"/>
        <color rgb="FFFF0000"/>
        <rFont val="Aptos Narrow"/>
        <family val="2"/>
        <scheme val="minor"/>
      </rPr>
      <t>86,5</t>
    </r>
    <r>
      <rPr>
        <sz val="12"/>
        <color rgb="FF000000"/>
        <rFont val="Aptos Narrow"/>
        <family val="2"/>
        <scheme val="minor"/>
      </rPr>
      <t xml:space="preserve"> cm) 500 GSM + rosto bege</t>
    </r>
  </si>
  <si>
    <r>
      <t xml:space="preserve">1 toalha 100% algodão (145 cm x </t>
    </r>
    <r>
      <rPr>
        <sz val="12"/>
        <color rgb="FFFF0000"/>
        <rFont val="Aptos Narrow"/>
        <family val="2"/>
        <scheme val="minor"/>
      </rPr>
      <t xml:space="preserve">86,5 </t>
    </r>
    <r>
      <rPr>
        <sz val="12"/>
        <color theme="1"/>
        <rFont val="Aptos Narrow"/>
        <family val="2"/>
        <scheme val="minor"/>
      </rPr>
      <t>cm</t>
    </r>
    <r>
      <rPr>
        <sz val="12"/>
        <color rgb="FF000000"/>
        <rFont val="Aptos Narrow"/>
        <family val="2"/>
        <scheme val="minor"/>
      </rPr>
      <t>) 500 GSM + rosto rosa</t>
    </r>
  </si>
  <si>
    <t>2 toalhas + rosto 100% algodão (126cm x 68 cm) 500 GSM azul</t>
  </si>
  <si>
    <t>2 toalhas + rosto 100% algodão (126cm x 68 cm) 500 GSM bege</t>
  </si>
  <si>
    <t>2 toalhas + rosto 100% algodão (126cm x 68 cm) 500 GSM rosa</t>
  </si>
  <si>
    <t>Data do pedido</t>
  </si>
  <si>
    <t>Saída - ETD</t>
  </si>
  <si>
    <t>Previsão de Chegada - ETA</t>
  </si>
  <si>
    <t>05/05/026</t>
  </si>
  <si>
    <t>Categoria</t>
  </si>
  <si>
    <t>GM9 Descrição</t>
  </si>
  <si>
    <t>Trade</t>
  </si>
  <si>
    <t>Código</t>
  </si>
  <si>
    <t>Descrição</t>
  </si>
  <si>
    <t>Bemol 36</t>
  </si>
  <si>
    <t>Bemol 37</t>
  </si>
  <si>
    <t>Bemol 38</t>
  </si>
  <si>
    <t>Bemol 39</t>
  </si>
  <si>
    <t>Bemol 40</t>
  </si>
  <si>
    <t>Bemol 41</t>
  </si>
  <si>
    <t>Bemol 42</t>
  </si>
  <si>
    <t>Bemol 43</t>
  </si>
  <si>
    <t>Bemol 44</t>
  </si>
  <si>
    <t>Bemol 45</t>
  </si>
  <si>
    <t>Bemol 46</t>
  </si>
  <si>
    <t>Bemol 47</t>
  </si>
  <si>
    <t>Bemol 48</t>
  </si>
  <si>
    <t>Bemol 49</t>
  </si>
  <si>
    <t>Bemol 50</t>
  </si>
  <si>
    <t>Bemol 51</t>
  </si>
  <si>
    <t>Bemol 52</t>
  </si>
  <si>
    <t>Bemol 53</t>
  </si>
  <si>
    <t>Bemol 54</t>
  </si>
  <si>
    <t>Bemol 55</t>
  </si>
  <si>
    <t>Bemol 56</t>
  </si>
  <si>
    <t>Bemol 57</t>
  </si>
  <si>
    <t>Bemol 58</t>
  </si>
  <si>
    <t>Bemol 59</t>
  </si>
  <si>
    <t>Bemol 60</t>
  </si>
  <si>
    <t>Bemol 61</t>
  </si>
  <si>
    <t>Bemol 62</t>
  </si>
  <si>
    <t>Bemol 63</t>
  </si>
  <si>
    <t>Bemol 64</t>
  </si>
  <si>
    <t>Bemol 65</t>
  </si>
  <si>
    <t>Bemol 66</t>
  </si>
  <si>
    <t>Bemol 67</t>
  </si>
  <si>
    <t>Bemol 68</t>
  </si>
  <si>
    <t>Bemol 69</t>
  </si>
  <si>
    <t>Bemol 70</t>
  </si>
  <si>
    <t>Bemol 71</t>
  </si>
  <si>
    <t>Bemol 72</t>
  </si>
  <si>
    <t>Bemol 73</t>
  </si>
  <si>
    <t>Bemol 74</t>
  </si>
  <si>
    <t>VENTILADOR DE MESA</t>
  </si>
  <si>
    <t>Fresnomaq</t>
  </si>
  <si>
    <t>VENT MESA 50 BAUMON 2EM1 FW10595 PT</t>
  </si>
  <si>
    <t>VENTILADOR DE COLUNA</t>
  </si>
  <si>
    <t xml:space="preserve"> Importad</t>
  </si>
  <si>
    <t>VENT COLUNA 50 BAUMON FW010593 PT</t>
  </si>
  <si>
    <t>KIT COZINHA DE MADEIRA</t>
  </si>
  <si>
    <t>THB</t>
  </si>
  <si>
    <t>Kit 9P/1G Cozinha Baumon Açai CC/OW</t>
  </si>
  <si>
    <t>Kit´s Paraná</t>
  </si>
  <si>
    <t>Kit 8p/1G cozinha Baumon Cupuaçu FJ/SFT</t>
  </si>
  <si>
    <t>ROUP PORTA BASCULANTE ATÉ 4 PTS</t>
  </si>
  <si>
    <t>Demobille</t>
  </si>
  <si>
    <t>Roupeiro 4P/2G Baumon Coari 43240 Branco</t>
  </si>
  <si>
    <t>ROUP PORTA BASCULANTE DE 5 À 12 PTS</t>
  </si>
  <si>
    <t xml:space="preserve">Roupeiro 6P/2G Baumon Autazes 63220 CNM/OW </t>
  </si>
  <si>
    <t>Roupeiro 6P/2G Baumon Maués 62560 CNM/OW</t>
  </si>
  <si>
    <t>BALCÃO COZINHA DE MADEIRA</t>
  </si>
  <si>
    <t>LInea</t>
  </si>
  <si>
    <t>BALC 2P BAUMON MANAÓS OW</t>
  </si>
  <si>
    <t>KIT FORNO DE MADEIRA</t>
  </si>
  <si>
    <t>KIT FORNO 4P BAUMON MANAÓS OW</t>
  </si>
  <si>
    <t>ARMÁRIO AÉREO COZINHA DE MADEIRA</t>
  </si>
  <si>
    <t>ARMÁRIO 2P BAUMON MANAÓS 810015116 OW</t>
  </si>
  <si>
    <t>ARMÁRIO 2P BAUMON MANAÓS 810015117 OW</t>
  </si>
  <si>
    <t>BALC 2P/3G BAUMON MANAÓS C/TAMPO OW</t>
  </si>
  <si>
    <t>ARMÁRIO 1P BAUMON MANAÓS OW</t>
  </si>
  <si>
    <t>CRISTALEIRA</t>
  </si>
  <si>
    <t>CRISTALEIRA 2P/1G BAUMON MANAÓS OW</t>
  </si>
  <si>
    <t>SAPATEIRA/MULTIUSO</t>
  </si>
  <si>
    <t>Notável</t>
  </si>
  <si>
    <t>MULTIUSO 2P BAUMON NT 4050 BR</t>
  </si>
  <si>
    <t>MULTIUSO 2P BAUMON NT 4050 FJ/OW</t>
  </si>
  <si>
    <t>TANQUINHO/SEMI-AUTOMÁTICA</t>
  </si>
  <si>
    <t>Colomarqe</t>
  </si>
  <si>
    <t>LAVADORA 10 BAUMON SEMIAUTO LBS10 BR</t>
  </si>
  <si>
    <t>lAVADORA 15 BAUMON SEMIAUTO LBS15 BR</t>
  </si>
  <si>
    <t>Herval</t>
  </si>
  <si>
    <t>ROUPEIRO 6P/3G BAUMON PARINTINS C/ESP NOG/OW</t>
  </si>
  <si>
    <t>ROUPEIRO 6P/4G BAUMON ITACOATIARA C/ESP OW</t>
  </si>
  <si>
    <t>Mallory</t>
  </si>
  <si>
    <t>VENT MESA 30 BAUMON BM30 PT</t>
  </si>
  <si>
    <t>VENT COLUNA 40 BAUMON BM40CR PT</t>
  </si>
  <si>
    <t>LIQUIDIFICADOR ACIMA DE 3 VEL</t>
  </si>
  <si>
    <t>LIQUIDIFICADOR BAUMON BM1000 900W VM</t>
  </si>
  <si>
    <t>ENROLADO MOLA CASAL</t>
  </si>
  <si>
    <t>COLC ENROLADO BAUMON C1972 138X188X30</t>
  </si>
  <si>
    <t>ENROLADO MOLA QUEEN</t>
  </si>
  <si>
    <t>COLC ENROLADO BAUMON C1973 158X198X30</t>
  </si>
  <si>
    <t>CAMA AMERICANA QUEEN</t>
  </si>
  <si>
    <t>CAMA AMERIC BAUMON CZ 158X198X28</t>
  </si>
  <si>
    <t>FOGÃO 4 BOCAS</t>
  </si>
  <si>
    <t xml:space="preserve">Mueller </t>
  </si>
  <si>
    <t>FOGÃO 4B BAUMON MESA INOX MFI4BB BR</t>
  </si>
  <si>
    <t>FOGÃO 4B BAUMON MESA VIDRO MFV4BB BR</t>
  </si>
  <si>
    <t>FOGÃO 5 BOCAS</t>
  </si>
  <si>
    <t>FOGÃO 5B BAUMON MESA INOX MFI5BB BR</t>
  </si>
  <si>
    <t>FOGÃO 5B BAUMON MESA VIDRO MFV5BB BR</t>
  </si>
  <si>
    <t>COOKTOP Á GÁS</t>
  </si>
  <si>
    <t>COOKTOP 5B BAUMON A GÁS MCG5BB PT</t>
  </si>
  <si>
    <t>CENTRÍFUGA LINHA BRANCA</t>
  </si>
  <si>
    <t>CENTRÍFUGA 15 BAUMON FIT 610008325 BR</t>
  </si>
  <si>
    <t>LAVADORA AUTOMÁTICA À PARTIR DE 12 KG</t>
  </si>
  <si>
    <t>LAVADORA 15 BAUMON 610008326 BR</t>
  </si>
  <si>
    <t>Material</t>
  </si>
  <si>
    <t>Nome</t>
  </si>
  <si>
    <t>Pedido 19/03</t>
  </si>
  <si>
    <t>Pedido 15/04</t>
  </si>
  <si>
    <t>Pedido 08/06</t>
  </si>
  <si>
    <t>Pedido 18/06</t>
  </si>
  <si>
    <t>Total</t>
  </si>
  <si>
    <t>1 PAR MEIA BEMOL BR LOGO AZ E LISTRA M</t>
  </si>
  <si>
    <t>1 PAR MEIA BEMOL AZ COM LOGO AZ M</t>
  </si>
  <si>
    <t>1 PAR MEIA BEMOL LISTRA AZ E VM M</t>
  </si>
  <si>
    <t>1 PAR MEIA BEMOL AZ COM LOGO BR M</t>
  </si>
  <si>
    <t>1 PAR MEIA BEMOL BRANCA COM LOGO AZ M</t>
  </si>
  <si>
    <t>1 PAR MEIA BEMOL COCAR M</t>
  </si>
  <si>
    <t>1 PAR MEIA BEMOL TEATRO AMAZONAS M</t>
  </si>
  <si>
    <t>1 PAR MEIA BEMOL BOTO COR DE RO M</t>
  </si>
  <si>
    <t>1 PAR MEIA BEMOL CAPIVARA M</t>
  </si>
  <si>
    <t>1 PAR MEIA BEMOL AZ COM LOGO AZ P</t>
  </si>
  <si>
    <t>1 PAR MEIA BEMOL BRANCA COM LOGO AZ P</t>
  </si>
  <si>
    <t>1 PAR MEIA BEMOL AZ COM LOGO BR P</t>
  </si>
  <si>
    <t>1 PAR MEIA BEMOL ONÇA PINTADA M</t>
  </si>
  <si>
    <t>1 PAR MEIA BEMOL BR LOGO AZ E LISTRA P</t>
  </si>
  <si>
    <t>1 PAR MEIA BEMOL LISTRA AZ E VM P</t>
  </si>
  <si>
    <t>1 PAR MEIA BEMOL GATO PT M</t>
  </si>
  <si>
    <t>1 PAR MEIA BEMOL COCAR P</t>
  </si>
  <si>
    <t>1 PAR MEIA BEMOL TEATRO AMAZONAS P</t>
  </si>
  <si>
    <t>1 PAR MEIA BEMOL BOTO COR DE RO P</t>
  </si>
  <si>
    <t>1 PAR MEIA BEMOL GATO PT P</t>
  </si>
  <si>
    <t>1 PAR MEIA BEMOL BR LOGO AZ E LISTRA G</t>
  </si>
  <si>
    <t>1 PAR MEIA BEMOL ONÇA PINTADA P</t>
  </si>
  <si>
    <t>1 PAR MEIA BEMOL BRANCA COM LOGO AZ G</t>
  </si>
  <si>
    <t>1 PAR MEIA BEMOL AZ COM LOGO BR G</t>
  </si>
  <si>
    <t>1 PAR MEIA BEMOL AZ COM LOGO AZ G</t>
  </si>
  <si>
    <t>1 PAR MEIA BEMOL CAPIVARA P</t>
  </si>
  <si>
    <t>1 PAR MEIA BEMOL LISTRA AZ E VM G</t>
  </si>
  <si>
    <t>1 PAR MEIA BEMOL TEATRO AMAZONAS G</t>
  </si>
  <si>
    <t>1 PAR MEIA BEMOL COCAR G</t>
  </si>
  <si>
    <t>1 PAR MEIA BEMOL BOTO COR DE RO G</t>
  </si>
  <si>
    <t>1 PAR MEIA BEMOL CAPIVARA G</t>
  </si>
  <si>
    <t>1 PAR MEIA BEMOL ONÇA PINTADA G</t>
  </si>
  <si>
    <t>1 PAR MEIA BEMOL GATO PT G</t>
  </si>
  <si>
    <t> Bola de futebol Bemol BL002 Br</t>
  </si>
  <si>
    <t>Bola de Futebol Bemol Recreativa Br </t>
  </si>
  <si>
    <t>PROCESSOTIMBRO</t>
  </si>
  <si>
    <t>Pedido</t>
  </si>
  <si>
    <t>Conclusãodeprodução</t>
  </si>
  <si>
    <t>Final</t>
  </si>
  <si>
    <t>HBL</t>
  </si>
  <si>
    <t>Ncontrole</t>
  </si>
  <si>
    <t>CIAMarítima</t>
  </si>
  <si>
    <t>Navio</t>
  </si>
  <si>
    <t>Valor</t>
  </si>
  <si>
    <t>ETD</t>
  </si>
  <si>
    <t>ETA</t>
  </si>
  <si>
    <t>Comentários</t>
  </si>
  <si>
    <t>BEMOL 5</t>
  </si>
  <si>
    <t>AIRFRYER3,5L</t>
  </si>
  <si>
    <t>NBBLU25016330</t>
  </si>
  <si>
    <t>MSDU7864062</t>
  </si>
  <si>
    <t>MSC</t>
  </si>
  <si>
    <t>LOG-INEXPERIENCE/016S</t>
  </si>
  <si>
    <t>CONCLUÍDO</t>
  </si>
  <si>
    <t>BEMOL 6</t>
  </si>
  <si>
    <t>LINHABEAUTY+ESPREMEDORBH3326</t>
  </si>
  <si>
    <t>NBBLU25016481</t>
  </si>
  <si>
    <t>MSNU9503623</t>
  </si>
  <si>
    <t>LOG-INEVOLUTION/042S</t>
  </si>
  <si>
    <t>BEMOL 7</t>
  </si>
  <si>
    <t>FERRO/ESPREMEDOR/VAPORIZADOR/CAÇAROLA</t>
  </si>
  <si>
    <t>NBBLU25016516</t>
  </si>
  <si>
    <t>MSBU8716226</t>
  </si>
  <si>
    <t>BEMOL 11</t>
  </si>
  <si>
    <t>AIRFRYER12L+SANDUICHEIRA</t>
  </si>
  <si>
    <t>NBBLU25017501</t>
  </si>
  <si>
    <t>FDCU0035202</t>
  </si>
  <si>
    <t>HapagLLoyd</t>
  </si>
  <si>
    <t>KUALALUMPUREXPRESS</t>
  </si>
  <si>
    <t>BEMOL 8</t>
  </si>
  <si>
    <t>LIQUIDIFICADORES+ COPO</t>
  </si>
  <si>
    <t>SNBLU25012968</t>
  </si>
  <si>
    <t>UETU8288620</t>
  </si>
  <si>
    <t>MSCANTONELLAUX536A</t>
  </si>
  <si>
    <t>BEMOL 12</t>
  </si>
  <si>
    <t>LIQUIDIFICADORES+SANDUICHEIRA+MINIPR.+jUICERJE678G</t>
  </si>
  <si>
    <t>NBBLU25018167</t>
  </si>
  <si>
    <t>ESHU7234223</t>
  </si>
  <si>
    <t>Cosco</t>
  </si>
  <si>
    <t>COSCOSHIPPINGPENGBO/16</t>
  </si>
  <si>
    <t>BEMOL 9</t>
  </si>
  <si>
    <t>VIDROSREPOSIÇÃO01</t>
  </si>
  <si>
    <t>QOBLU25009926</t>
  </si>
  <si>
    <t>MSNU9540355</t>
  </si>
  <si>
    <t>LOG-INEXPERIENCE/018S</t>
  </si>
  <si>
    <t>BEMOL 13</t>
  </si>
  <si>
    <t>FORNOELÉTRICO</t>
  </si>
  <si>
    <t>SNBLU25013124</t>
  </si>
  <si>
    <t>TGBU7569191</t>
  </si>
  <si>
    <t>LOG-INPOLARIS/125S</t>
  </si>
  <si>
    <t>BEMOL 14</t>
  </si>
  <si>
    <t>VIDROSREPOSIÇÃO02</t>
  </si>
  <si>
    <t>QOBLU25010198</t>
  </si>
  <si>
    <t>MSBU8122306
MEDU7313566</t>
  </si>
  <si>
    <t>nsolida</t>
  </si>
  <si>
    <t>BEMOL 10</t>
  </si>
  <si>
    <t>MÁQUINADEGELO+(3)SUPORTETV+LIQUIDIFICADORGSE019</t>
  </si>
  <si>
    <t>NBBLU25018879</t>
  </si>
  <si>
    <t>MSMU7127483</t>
  </si>
  <si>
    <t>MSCLORENZAUX541A</t>
  </si>
  <si>
    <t>BEMOL 19</t>
  </si>
  <si>
    <t>VIDROSREPOSIÇÃO3A-CTNR1</t>
  </si>
  <si>
    <t>ONEYTA5RA9176400</t>
  </si>
  <si>
    <t>ONEU1824259</t>
  </si>
  <si>
    <t>ONE</t>
  </si>
  <si>
    <t>MANZANILLO</t>
  </si>
  <si>
    <t>VIDROSREPOSIÇÃO3B-CTNR2</t>
  </si>
  <si>
    <t>ONEU1834365</t>
  </si>
  <si>
    <t>BEMOL 20</t>
  </si>
  <si>
    <t>AIRFRYER12L+GRILL+FERROÀSECO</t>
  </si>
  <si>
    <t>SHYY25114820</t>
  </si>
  <si>
    <t>ONEU6318757</t>
  </si>
  <si>
    <t>BEMOL 21</t>
  </si>
  <si>
    <t>VIDROSREPOSIÇÃO4+Led002</t>
  </si>
  <si>
    <t>ONEYTA5RA5881300</t>
  </si>
  <si>
    <t>TCNU6619092</t>
  </si>
  <si>
    <t>BEMOL 25</t>
  </si>
  <si>
    <t>BEBEDOUROBAUMONYLRLW2540TBSBR</t>
  </si>
  <si>
    <t>26/112025</t>
  </si>
  <si>
    <t>NBBLU25020450</t>
  </si>
  <si>
    <t>FFAU2354768</t>
  </si>
  <si>
    <t>MSCKATRINAUX548A</t>
  </si>
  <si>
    <t>BEBEDOUROBAUMONYLRLW2540LBBR+BEBEDOUROBAUMONYLRLW2540LBBPT</t>
  </si>
  <si>
    <t>MEDU8128285</t>
  </si>
  <si>
    <t>MSMU6226537</t>
  </si>
  <si>
    <t>MSNU5842887</t>
  </si>
  <si>
    <t>TCLU7779400</t>
  </si>
  <si>
    <t>TCNU8726382</t>
  </si>
  <si>
    <t>BEBEDOUROBAUMONYYLRLW2540LBSBR</t>
  </si>
  <si>
    <t>UETU7070845</t>
  </si>
  <si>
    <t>BEMOL 27</t>
  </si>
  <si>
    <t>NBBLU25020986</t>
  </si>
  <si>
    <t>MSNU8455500</t>
  </si>
  <si>
    <t>MSCAURIGAUX552A</t>
  </si>
  <si>
    <t>BEMOL 26</t>
  </si>
  <si>
    <t>AIRFRYER12L</t>
  </si>
  <si>
    <t>NBBLU25020957</t>
  </si>
  <si>
    <t>BMOU6778070</t>
  </si>
  <si>
    <t>BEMOL 29</t>
  </si>
  <si>
    <t>FERROAVAPOR+FRIGOBARHC46</t>
  </si>
  <si>
    <t>NBBLU5020956</t>
  </si>
  <si>
    <t>TCLU7890497</t>
  </si>
  <si>
    <t>NBBLU25020836</t>
  </si>
  <si>
    <t>MSMU5480383</t>
  </si>
  <si>
    <t>MSCDENISSEXUX551A</t>
  </si>
  <si>
    <t>BEMOL 22</t>
  </si>
  <si>
    <t>Reposição05A-2Containers</t>
  </si>
  <si>
    <t>TAO31126537</t>
  </si>
  <si>
    <t>MSDU5974230</t>
  </si>
  <si>
    <t>BEMOL 23</t>
  </si>
  <si>
    <t>Reposição05B</t>
  </si>
  <si>
    <t>MEDU7602018</t>
  </si>
  <si>
    <t>BEMOL 37</t>
  </si>
  <si>
    <t>CAN31112406</t>
  </si>
  <si>
    <t>TGBU5940960</t>
  </si>
  <si>
    <t>HAPAG-LLOYD</t>
  </si>
  <si>
    <t>MSCSARYA</t>
  </si>
  <si>
    <t>FANU3854801</t>
  </si>
  <si>
    <t>BEMOL 31</t>
  </si>
  <si>
    <t>REPOSIÇÃODEVIDROS6</t>
  </si>
  <si>
    <t>CKBLU26005229</t>
  </si>
  <si>
    <t>MSNU5267237</t>
  </si>
  <si>
    <t>AMTRANS</t>
  </si>
  <si>
    <t>BEMOL 33</t>
  </si>
  <si>
    <t>BEAUTYEAIRFRYER3,5l</t>
  </si>
  <si>
    <t>BMOU6580654</t>
  </si>
  <si>
    <t>BEMOL 35</t>
  </si>
  <si>
    <t>SZXS074568</t>
  </si>
  <si>
    <t>MSMU4423326</t>
  </si>
  <si>
    <t>NCBREDA</t>
  </si>
  <si>
    <t>MSDU5172851</t>
  </si>
  <si>
    <t>TGBU4396106</t>
  </si>
  <si>
    <t>MSMU6142797</t>
  </si>
  <si>
    <t>MSMU6958287</t>
  </si>
  <si>
    <t>MSDU6329101</t>
  </si>
  <si>
    <t>BEMOL 34</t>
  </si>
  <si>
    <t>REPOSIÇÃODEVIDRO7A</t>
  </si>
  <si>
    <t>SHA31176965</t>
  </si>
  <si>
    <t>BMOU4956439</t>
  </si>
  <si>
    <t>ZHONGCHENG99</t>
  </si>
  <si>
    <t>REPOSIÇÃODEVIDRO7B</t>
  </si>
  <si>
    <t>HAMU4323916</t>
  </si>
  <si>
    <t>BEMOL 36</t>
  </si>
  <si>
    <t>FERROSECO+MINIPROCESSADOR+PRANCHASD-515</t>
  </si>
  <si>
    <t>NGB31166038</t>
  </si>
  <si>
    <t>HAMU1718065</t>
  </si>
  <si>
    <t>SANTACATARINAEXPRESS</t>
  </si>
  <si>
    <t>HLXU8221843</t>
  </si>
  <si>
    <t>BEMOL 42</t>
  </si>
  <si>
    <t>ASSADEIRAS</t>
  </si>
  <si>
    <t>SHA31178711</t>
  </si>
  <si>
    <t>FANU1271087</t>
  </si>
  <si>
    <t>HAMU1390865</t>
  </si>
  <si>
    <t>HLXU8347322</t>
  </si>
  <si>
    <t>BEMOL 40</t>
  </si>
  <si>
    <t>FORNOELÉTRICO60L</t>
  </si>
  <si>
    <t>CAN31113002</t>
  </si>
  <si>
    <t>BEMOL 38</t>
  </si>
  <si>
    <t>LENÇOISESTAMPADOSELISOS</t>
  </si>
  <si>
    <t>KHI2062MUN</t>
  </si>
  <si>
    <t>TCNU6401006</t>
  </si>
  <si>
    <t>MAERSK</t>
  </si>
  <si>
    <t>BEMOL 39</t>
  </si>
  <si>
    <t>4508577003(EmProdução)</t>
  </si>
  <si>
    <t>BATEDEIRAPLANETÁRIA</t>
  </si>
  <si>
    <t>Novo desenvolvimento</t>
  </si>
  <si>
    <t>Em andamento</t>
  </si>
  <si>
    <t>-</t>
  </si>
  <si>
    <t>Emprodução-Final01/09</t>
  </si>
  <si>
    <t>BEMOL 43</t>
  </si>
  <si>
    <t>SECADORPREMIUM + CHURRASQUEIRA</t>
  </si>
  <si>
    <t>BEMOL 41</t>
  </si>
  <si>
    <t>Criar Pedido</t>
  </si>
  <si>
    <t>CAFETEIRAEMIXER</t>
  </si>
  <si>
    <t>BEMOL 45</t>
  </si>
  <si>
    <t>MAQUINADEGELO+VAPORIZADOR+SUPORTEDETV+LIQUIDIFICADORVIDRO</t>
  </si>
  <si>
    <t>FSCU8231725</t>
  </si>
  <si>
    <t>BEMOL 46</t>
  </si>
  <si>
    <t>Criar Pedido(EmProdução)</t>
  </si>
  <si>
    <t>EDREDONS</t>
  </si>
  <si>
    <t>Emprodução-Final22/07</t>
  </si>
  <si>
    <t>BEMOL 47</t>
  </si>
  <si>
    <t>FORNOELÉTRICO60LTS</t>
  </si>
  <si>
    <t>CAN31113229</t>
  </si>
  <si>
    <t>HAMU1899636</t>
  </si>
  <si>
    <t>BEMOL 48</t>
  </si>
  <si>
    <t>NGB31167475</t>
  </si>
  <si>
    <t>GAOU7397863</t>
  </si>
  <si>
    <t>BEMOL 49</t>
  </si>
  <si>
    <t>GRILL+ESCOVASECADOR+SANDUICHEIRA+CHAPINHA+ESPREMEDOR</t>
  </si>
  <si>
    <t>NGB31168106</t>
  </si>
  <si>
    <t>MSBU5188110</t>
  </si>
  <si>
    <t>BEMOL 51</t>
  </si>
  <si>
    <t>POTESDEVIDRO</t>
  </si>
  <si>
    <t>BEMOL 50</t>
  </si>
  <si>
    <t>BEAUTYCHUMBO+AIRFRYER12L+TRAVESSAS</t>
  </si>
  <si>
    <t>NGBS000622</t>
  </si>
  <si>
    <t>FANU3565630</t>
  </si>
  <si>
    <t>HLBU1619885</t>
  </si>
  <si>
    <t>BEMOL 52</t>
  </si>
  <si>
    <t>COPOLIQUIDIFICADORGSE019</t>
  </si>
  <si>
    <t>BEMOL 53</t>
  </si>
  <si>
    <t>BEMOL 54</t>
  </si>
  <si>
    <t>BEMOL 55</t>
  </si>
  <si>
    <t>FRIGOBARHC46L</t>
  </si>
  <si>
    <t>NGBS001342</t>
  </si>
  <si>
    <t>SCANGLOBAL</t>
  </si>
  <si>
    <t>BEMOL 56</t>
  </si>
  <si>
    <t>SUPORTEDETV+FERRO+LIQUIDIFICADOR+VAPORIZADOR+CHAPINHA</t>
  </si>
  <si>
    <t>NGBS003530</t>
  </si>
  <si>
    <t>BMOU6023258</t>
  </si>
  <si>
    <t>BEMOL 57</t>
  </si>
  <si>
    <t>AIRFRYER3,5L+GRILL</t>
  </si>
  <si>
    <t>NGBS003532</t>
  </si>
  <si>
    <t>MEDU7000900</t>
  </si>
  <si>
    <t>BEMOL 58</t>
  </si>
  <si>
    <t>BEBEDOUROS</t>
  </si>
  <si>
    <t>BEMOL 59</t>
  </si>
  <si>
    <t>T617271627444</t>
  </si>
  <si>
    <t>BEMOL 60</t>
  </si>
  <si>
    <t>BEBEDOUROYLR-LW-2-5-40LB</t>
  </si>
  <si>
    <t>BEMOL 61</t>
  </si>
  <si>
    <t>AIRFRYER12L+SECADOR+MÁQUINADEGELO</t>
  </si>
  <si>
    <t>BEMOL 62</t>
  </si>
  <si>
    <t>BEMOL 63</t>
  </si>
  <si>
    <t>COBRELEITO</t>
  </si>
  <si>
    <t>BEMOL 64</t>
  </si>
  <si>
    <t>TOALHASELENÇÓIS</t>
  </si>
  <si>
    <t>BEMOL 66</t>
  </si>
  <si>
    <t>TOALHAS</t>
  </si>
  <si>
    <t>BEMOL 65</t>
  </si>
  <si>
    <t>BEMOL 67</t>
  </si>
  <si>
    <t>BEMOL 68</t>
  </si>
  <si>
    <t>FRIGOBAR46L</t>
  </si>
  <si>
    <t>BEMOL 69</t>
  </si>
  <si>
    <t>MAQDEGELO+CHAPINHA+SECADOR</t>
  </si>
  <si>
    <t>BEMOL 70</t>
  </si>
  <si>
    <t>FERROSDEPASSAR+ESPREMEDORBH3326</t>
  </si>
  <si>
    <t>BEMOL 71</t>
  </si>
  <si>
    <t>SUPORTEDETV+GRILL+ESPREMEDOR+MINIPROCESSADOR+VAPORIZADOR</t>
  </si>
  <si>
    <t>BEMOL 72</t>
  </si>
  <si>
    <t>SUPORTES DE TV + SANDUICHEIRA</t>
  </si>
  <si>
    <t>PI-BAUMON-032026</t>
  </si>
  <si>
    <t>Elox 01 19/03/2026</t>
  </si>
  <si>
    <t>Elox 02 27/04/2027</t>
  </si>
  <si>
    <t>Elox 03 05/06/2026</t>
  </si>
  <si>
    <t>Acumulado</t>
  </si>
  <si>
    <t>FRITADEIRA</t>
  </si>
  <si>
    <t>Timbro</t>
  </si>
  <si>
    <t>CAFETEIRA</t>
  </si>
  <si>
    <t>SANDUICHEIRA</t>
  </si>
  <si>
    <t>GRILL</t>
  </si>
  <si>
    <t>FERRO SECO</t>
  </si>
  <si>
    <t>FERRO À VAPOR</t>
  </si>
  <si>
    <t>POTES</t>
  </si>
  <si>
    <t>ASSADEIRAS/FÔRMAS</t>
  </si>
  <si>
    <t>CAÇAROLA</t>
  </si>
  <si>
    <t>ACESSÓRIOS DE COZINHA</t>
  </si>
  <si>
    <t>SALADEIRAS/SOPEIRAS</t>
  </si>
  <si>
    <t>BANDEJAS/TRAVESSAS/BAIXELAS</t>
  </si>
  <si>
    <t>TRAVESSA BAUMON OVAL VIDRO C/TAMPA 2,4L</t>
  </si>
  <si>
    <t>TRAVESSA BAUMON OVAL VIDRO C/TAMPA 3L</t>
  </si>
  <si>
    <t>TRAVESSA BAUMON OVAL VIDRO C/TAMPA 4L</t>
  </si>
  <si>
    <t>TRAVESSA BAUMON RETANGULAR C/TAMPA 1,6L</t>
  </si>
  <si>
    <t>TRAVESSA BAUMON RETANGULAR C/TAMPA 2,2L</t>
  </si>
  <si>
    <t>TRAVESSA BAUMON RETANGULAR C/TAMPA 3L</t>
  </si>
  <si>
    <t>SECADOR</t>
  </si>
  <si>
    <t>CHAPA</t>
  </si>
  <si>
    <t>ESCOVA SECADORA/MODELADORA</t>
  </si>
  <si>
    <t xml:space="preserve">Chapa Baumon GSD-510 Chumbo </t>
  </si>
  <si>
    <t xml:space="preserve">Chapa Baumon GSD-927 Chumbo </t>
  </si>
  <si>
    <t>Escova rotativa Baumon GSD927 cz</t>
  </si>
  <si>
    <t>Secador de cabelo Baumon GSD808 Cz</t>
  </si>
  <si>
    <t>ESPREMEDOR ELÉTRICO</t>
  </si>
  <si>
    <t>FERRO À VAPOR/SPRAY</t>
  </si>
  <si>
    <t>VAPORIZADOR</t>
  </si>
  <si>
    <t>ACESSÓRIOS DE ELETROPORTÁTEIS</t>
  </si>
  <si>
    <t>LIQUIDIFICADOR ATÉ 3 VEL</t>
  </si>
  <si>
    <t>Liquidificador Baumon GSE019</t>
  </si>
  <si>
    <t>PROCESSADOR DE ALIMENTOS</t>
  </si>
  <si>
    <t>FORNO ELÉTRICO</t>
  </si>
  <si>
    <t>Forno Elét  bancada Baumon 60L JK60A PT</t>
  </si>
  <si>
    <t>FRIGOBAR</t>
  </si>
  <si>
    <t>BEBEDOURO DE MESA</t>
  </si>
  <si>
    <t>BEBEDOURO DE COLUNA</t>
  </si>
  <si>
    <t>Bebedouro Baumon YLRLW2540LBB PT</t>
  </si>
  <si>
    <t>SUPORTES</t>
  </si>
  <si>
    <t>Sup p/TV Baumon Universal YN-LED002 PT</t>
  </si>
  <si>
    <t>LENÇOL</t>
  </si>
  <si>
    <t>Jogo de Cama solteiro Baumon 100% penteado 180 fios  azul</t>
  </si>
  <si>
    <t>Jogo de Cama solteiro Baumon 100% penteado 180 fios bege</t>
  </si>
  <si>
    <t>Jogo de Cama solteiro Baumon 100% penteado 180 fios verde</t>
  </si>
  <si>
    <t>Jogo de Cama solteiro Baumon 100% penteado 180 fios rosa</t>
  </si>
  <si>
    <t>Jogo de cama casal Baumon 100% penteado 200 fios azul</t>
  </si>
  <si>
    <t>Jogo de cama casal Baumon 100% penteado 200 fios bege</t>
  </si>
  <si>
    <t>Jogo de cama casal Baumon 100% penteado 200 fios verde</t>
  </si>
  <si>
    <t>Jogo de cama casal  Baumon 100% penteado 200 fios Branco</t>
  </si>
  <si>
    <t>Jogo de cama Queen Baumon  100% penteado 200 fios Azul</t>
  </si>
  <si>
    <t>Jogo de cama Queen Baumon   100% penteado 200 fios bege</t>
  </si>
  <si>
    <t>Jogo de cama Queen Baumon  100% penteado 200 fios verde</t>
  </si>
  <si>
    <t>Jogo de cama Queen Baumon 100% penteado 200 fios Branco</t>
  </si>
  <si>
    <t>Jogo de cama King Baumon 100% penteado 200 fios Azul</t>
  </si>
  <si>
    <t>Jogo de cama King Baumon 100% penteado 200 fios Bege</t>
  </si>
  <si>
    <t>Jogo de cama King Baumon 100% penteado 200 fios Verde</t>
  </si>
  <si>
    <t>Jogo de cama King Baumon 100% penteado 200 fios Branco</t>
  </si>
  <si>
    <t>JG 4P CAMA CASAL BAUMON T-200 PARIS</t>
  </si>
  <si>
    <t>JG 4P CAMA CASAL BAUMON T-200 SEVILHA</t>
  </si>
  <si>
    <t>JG 4P CAMA CASAL BAUMON T-200 LISBOA</t>
  </si>
  <si>
    <t>JG 4P CAMA CASAL BAUMON T-200 ISTAMBUL</t>
  </si>
  <si>
    <t>JG 4P CAMA QUEEN BAUMON T-200 PARIS</t>
  </si>
  <si>
    <t>JG 4P CAMA QUEEN BAUMON T-200 SEVILHA</t>
  </si>
  <si>
    <t>JG 4P CAMA QUEEN BAUMON T-200 LISBOA</t>
  </si>
  <si>
    <t>JG 4P CAMA QUEEN BAUMON T-200 ISTAMBU</t>
  </si>
  <si>
    <t>JG 4P CAMA KING BAUMON T-200 PARIS</t>
  </si>
  <si>
    <t>JG 4P CAMA KING BAUMON T-200 SEVILHA</t>
  </si>
  <si>
    <t>JG 4P CAMA KING BAUMON T-200 LISBOA</t>
  </si>
  <si>
    <t>JG 4P CAMA KING BAUMON T-200 ISTAMBUL</t>
  </si>
  <si>
    <t>TOALHA DE BANHO</t>
  </si>
  <si>
    <t>1 toalha 100% algodão Baumon (126cm x 68 cm) 500 GSM + Rosto Azul</t>
  </si>
  <si>
    <t>1 toalha 100% algodão Baumon (126cm x 68 cm) 500 GSM + Rosto bege</t>
  </si>
  <si>
    <t>1 toalha 100% algodão Baumon  (126cm x 68 cm) 500 GSM + Rosto rosa</t>
  </si>
  <si>
    <t>1 toalha 100% algodão (136cm x 68 cm) 500 GSM + Rosto branco</t>
  </si>
  <si>
    <t>1 toalha 100% algodão (136cm x 68 cm) 500 GSM + Rosto verde</t>
  </si>
  <si>
    <t>1 toalha 100% algodão (136cm x 68 cm) 500 GSM + Rosto Areia</t>
  </si>
  <si>
    <t>1 toalha 100% algodão Baumon  (145 cm x 86,5 cm) 500 GSM + rosto azul</t>
  </si>
  <si>
    <t>1 toalha 100% algodão Baumon  (145 cm x 86,5 cm) 500 GSM + rosto bege</t>
  </si>
  <si>
    <t>1 toalha 100% algodão Baumon  (145 cm x 86,5 cm) 500 GSM + rosto rosa</t>
  </si>
  <si>
    <t>1 toalha 100% algodão (145 cm x 86,5 cm) 500 GSM + rosto branco</t>
  </si>
  <si>
    <t>1 toalha 100% algodão (145 cm x 86,5 cm) 500 GSM + rosto verde</t>
  </si>
  <si>
    <t>1 toalha 100% algodão (145 cm x 86,5 cm) 500 GSM + rosto areia</t>
  </si>
  <si>
    <t>2 toalha + rosto 100% algodão Baumon  (126cm x 68 cm) 500 GSM azul</t>
  </si>
  <si>
    <t>2 toalha + rosto 100% algodão Baumon  (126cm x 68 cm) 500 GSM bege</t>
  </si>
  <si>
    <t>2 toalha + rosto 100% algodão Baumon  (126cm x 68 cm) 500 GSM rosa</t>
  </si>
  <si>
    <t>2 toalha + rosto 100% algodão (136cm x 68 cm) 500 GSM branco</t>
  </si>
  <si>
    <t>2 toalha + rosto 100% algodão (136cm x 68 cm) 500 GSM verde</t>
  </si>
  <si>
    <t>2 toalha + rosto 100% algodão (136cm x 68 cm) 500 GSM areia</t>
  </si>
  <si>
    <t>FREEZER VERTICAL</t>
  </si>
  <si>
    <t>Freezer Baumon vertical 180L BD180U</t>
  </si>
  <si>
    <t>Elox</t>
  </si>
  <si>
    <t>Freezer Baumon Horizontal 100L BD100Q</t>
  </si>
  <si>
    <t>Freezer Baumon Horizontal 150L BD100Q</t>
  </si>
  <si>
    <t>Secador Baumon Infinity 5 em 1</t>
  </si>
  <si>
    <t>CX SOM/ACÚST/AMPLIF</t>
  </si>
  <si>
    <t>Caixa de Som Baumon Pulse B97A</t>
  </si>
  <si>
    <t>Caixa de Som Baumon Wave PA809</t>
  </si>
  <si>
    <t>Caixa de som Baumon Thunder FG210-08</t>
  </si>
  <si>
    <t>Caixa de som Baumon Vibe FG206-17</t>
  </si>
  <si>
    <t>REDES DE DORMIR</t>
  </si>
  <si>
    <t>Rede Baumon Rio Madeira OP23 Poliéster Bege</t>
  </si>
  <si>
    <t>Rede Baumon Rio Negro OP16 Algodão Vermelho</t>
  </si>
  <si>
    <t>Rede Baumon Rio Purus OP22 Poliéster Bege</t>
  </si>
  <si>
    <t>Rede Baumon Rio Iça OP19 Algodão Azul</t>
  </si>
  <si>
    <t>Rede Baumon Rio Javari OP21 Poliéster Vermelho</t>
  </si>
  <si>
    <t>Rede Baumon Rio Apuí OP20 Poliéster Verde</t>
  </si>
  <si>
    <t>Rede Baumon Solimões OP18 Algodão Bege</t>
  </si>
  <si>
    <t>Rede Baumon Rio Jutaí OP17 Algodão Bege</t>
  </si>
  <si>
    <t>Rede Baumon Rio Juruá OP15 Algodão Verde</t>
  </si>
  <si>
    <t>CONJ LOUÇA JANTAR</t>
  </si>
  <si>
    <t>Conjunto de 20pç Baumon Opalina Azul</t>
  </si>
  <si>
    <t xml:space="preserve">Conjunto  de 20pç Baumon Tanzanita </t>
  </si>
  <si>
    <t>Conjunto de 20pç Baumon Rubi Imperial</t>
  </si>
  <si>
    <t>Conjunto de 20pç Baumon Coral Royale</t>
  </si>
  <si>
    <t>Conjunto de 20pç Baumon Ônix Imperial</t>
  </si>
  <si>
    <t>Conjunto de 20pç Baumon Topázio Azul</t>
  </si>
  <si>
    <t>Conjunto de 20pç Baumon Jade Verde</t>
  </si>
  <si>
    <t>FONE DE OUVIDO TWS</t>
  </si>
  <si>
    <t>Amet</t>
  </si>
  <si>
    <t>FONE OUVIDO BAUMON SOUND X BT ANC BR</t>
  </si>
  <si>
    <t>ACESSÓRIOS PARA SMARTPHONES</t>
  </si>
  <si>
    <t>POWER BANK BAUMON SMART 10000MAH 15W PT</t>
  </si>
  <si>
    <t>POWER BANK BAUMON FAST 10000MAH 15W PT</t>
  </si>
  <si>
    <t>CAIXA DE SOM BAUMON BOX PT</t>
  </si>
  <si>
    <t>SPLIT INV 8501 À 10000</t>
  </si>
  <si>
    <t>TECHFRIO (BE JAY)</t>
  </si>
  <si>
    <t>SPLIT 9000 BAUMON INV 220V BR</t>
  </si>
  <si>
    <t>SPLIT INV DE 10001 À 18000 BTUS</t>
  </si>
  <si>
    <t>SPLIT 12000 BAUMON INV 220V BR</t>
  </si>
  <si>
    <t>SPLIT 18000 BAUMON INV 220V BR</t>
  </si>
  <si>
    <t>SPLIT INV DE 18001 À 30000 BTUS</t>
  </si>
  <si>
    <t>SPLIT 24000 BAUMON INV 220V BR</t>
  </si>
  <si>
    <t>SPLIT 32000 BAUMON INV 220V BR</t>
  </si>
  <si>
    <t>ACESSORIOS P BEBEDOUROS BAUMON REPOS</t>
  </si>
  <si>
    <t>BATEDEIRA</t>
  </si>
  <si>
    <t>BATEDEIRA BAUMON 127V CK298 PT</t>
  </si>
  <si>
    <t>SECADOR DE CABELO BAUMON PREMIUM SD836</t>
  </si>
  <si>
    <t>CAFETEIRA BAUMON CM108</t>
  </si>
  <si>
    <t>MIXER</t>
  </si>
  <si>
    <t>MIXER BAUMON HB11</t>
  </si>
  <si>
    <t>HOMETHEATER</t>
  </si>
  <si>
    <t>Headset Sound Wave</t>
  </si>
  <si>
    <t>Fone de ouvido Sound Go</t>
  </si>
  <si>
    <t>CHURRASQUEIRA/ASSADEIRA ELÉTRICA</t>
  </si>
  <si>
    <t>CHURRASQUEIRA ELÉTRICA BAUMON 127V BQ229</t>
  </si>
  <si>
    <t>COPO LIQUIDIFICADOR BAUMON GSE019 2L</t>
  </si>
  <si>
    <t>COBRELEITO/COLCHA</t>
  </si>
  <si>
    <t>JG 2P COBRE LEITO BAUMON SOLTEIRO RO</t>
  </si>
  <si>
    <t>JG 2P COBRE LEITO BAUMON SOLTEIRO AZ</t>
  </si>
  <si>
    <t>JG 2P COBRE LEITO BAUMON SOLTEIRO BG CL</t>
  </si>
  <si>
    <t>JG 2P COBRE LEITO BAUMON SOLTEIRO BG ESC</t>
  </si>
  <si>
    <t>JG 3P COBRE LEITO BAUMON CASAL RO</t>
  </si>
  <si>
    <t>JG 3P COBRE LEITO BAUMON CASAL AZ</t>
  </si>
  <si>
    <t>JG 3P COBRE LEITO BAUMON CASAL VD</t>
  </si>
  <si>
    <t>JG 3P COBRE LEITO BAUMON CASAL BG CL</t>
  </si>
  <si>
    <t>JG 3P COBRE LEITO BAUMON CASAL BG ESC</t>
  </si>
  <si>
    <t>JG 3P COBRE LEITO BAUMON QUEEN AZ</t>
  </si>
  <si>
    <t>JG 3P COBRE LEITO BAUMON QUEEN RO</t>
  </si>
  <si>
    <t>JG 3P COBRE LEITO BAUMON QUEEN VD</t>
  </si>
  <si>
    <t>JG 3P COBRE LEITO BAUMON QUEEN BG CL</t>
  </si>
  <si>
    <t>JG 3P COBRE LEITO BAUMON QUEEN BG ESC</t>
  </si>
  <si>
    <t>JG 3P COBRE LEITO BAUMON KING RO</t>
  </si>
  <si>
    <t>JG 3P COBRE LEITO BAUMON KING AZ</t>
  </si>
  <si>
    <t>JG 3P COBRE LEITO BAUMON KING BG CL</t>
  </si>
  <si>
    <t>JG 3P COBRE LEITO BAUMON KING BG ESC</t>
  </si>
  <si>
    <t>JG 3P COBRE LEITO BAUMON KING VD</t>
  </si>
  <si>
    <t>JARRA P/CAFETEIRA BAUMON CM-108</t>
  </si>
  <si>
    <t>CX SOM BAUMON PARTYBOX PARTY500 2MIC PT</t>
  </si>
  <si>
    <t>FONE OUVIDO BAUMON GO TWS ENC BR</t>
  </si>
  <si>
    <t>POWER BANK BAUMON FAST A20 QI2.2 10K PT</t>
  </si>
  <si>
    <t>EDREDON</t>
  </si>
  <si>
    <t>EDREDOM SOLTEIRO BAUMON ALGODÃO SEVILHA</t>
  </si>
  <si>
    <t>EDREDOM SOLTEIRO BAUMON ALGODÃO PARIS</t>
  </si>
  <si>
    <t>EDREDOM SOLTEIRO BAUMON ALGODÃO ISTAMBUL</t>
  </si>
  <si>
    <t>EDREDOM SOLTEIRO BAUMON ALGODÃO LISBOA</t>
  </si>
  <si>
    <t>EDREDOM CASAL BAUMON ALGODÃO SEVILHA</t>
  </si>
  <si>
    <t>EDREDOM CASAL BAUMON ALGODÃO PARIS</t>
  </si>
  <si>
    <t>EDREDOM CASAL BAUMON ALGODÃO ISTAMBUL</t>
  </si>
  <si>
    <t>EDREDOM CASAL BAUMON ALGODÃO LISBOA</t>
  </si>
  <si>
    <t>EDREDOM CASAL BAUMON ALGODÃO BEGE</t>
  </si>
  <si>
    <t>EDREDOM QUEEN BAUMON ALGODÃO SEVILHA</t>
  </si>
  <si>
    <t>EDREDOM QUEEN BAUMON ALGODÃO PARIS</t>
  </si>
  <si>
    <t>EDREDOM QUEEN BAUMON ALGODÃO ISTAMBUL</t>
  </si>
  <si>
    <t>EDREDOM QUEEN BAUMON ALGODÃO LISBOA</t>
  </si>
  <si>
    <t>EDREDOM QUEEN BAUMON ALGODÃO BEGE</t>
  </si>
  <si>
    <t>EDREDOM KING BAUMON ALGODÃO SEVILHA</t>
  </si>
  <si>
    <t>EDREDOM KING BAUMON ALGODÃO PARIS</t>
  </si>
  <si>
    <t>EDREDOM KING BAUMON ALGODÃO ISTAMBUL</t>
  </si>
  <si>
    <t>EDREDOM KING BAUMON ALGODÃO LISBOA</t>
  </si>
  <si>
    <t>FRITAD BAUMON AFRYER 8L 127V PT</t>
  </si>
  <si>
    <t>Forn.</t>
  </si>
  <si>
    <t>Pedido de compra</t>
  </si>
  <si>
    <t>INVOICE</t>
  </si>
  <si>
    <t>Container</t>
  </si>
  <si>
    <t>Variedade de SKU</t>
  </si>
  <si>
    <t>Produtos</t>
  </si>
  <si>
    <t>Profundidade de SKU Container</t>
  </si>
  <si>
    <t>Custo em Dólar ($)</t>
  </si>
  <si>
    <t>Processo</t>
  </si>
  <si>
    <t>Modal</t>
  </si>
  <si>
    <t>Valor Mercadoria (R$)</t>
  </si>
  <si>
    <t>Frete (R$)</t>
  </si>
  <si>
    <t>Seguro (R$)</t>
  </si>
  <si>
    <t xml:space="preserve">SISCOMEX </t>
  </si>
  <si>
    <t>Despachante</t>
  </si>
  <si>
    <t>Frete Local</t>
  </si>
  <si>
    <t>COFINS</t>
  </si>
  <si>
    <t>PIS</t>
  </si>
  <si>
    <t>% Frete</t>
  </si>
  <si>
    <t>Localização</t>
  </si>
  <si>
    <t>Status</t>
  </si>
  <si>
    <t>DIAS ATÉ CHEGADA</t>
  </si>
  <si>
    <t>ESTIMATIVA CHEGADA</t>
  </si>
  <si>
    <t>PRONTIDÃO</t>
  </si>
  <si>
    <t>TIMBRO SWISS SA</t>
  </si>
  <si>
    <t>BEMOL003A</t>
  </si>
  <si>
    <t>NBOMAU25010624</t>
  </si>
  <si>
    <t>MSMU4593106</t>
  </si>
  <si>
    <t>CAFETEIRA , SANDUICHEIRA E GRILL</t>
  </si>
  <si>
    <t>Marítimo</t>
  </si>
  <si>
    <t>CHINA</t>
  </si>
  <si>
    <t>BEMOL003B</t>
  </si>
  <si>
    <t>NBOMAU25010647</t>
  </si>
  <si>
    <t>MSBU8251514</t>
  </si>
  <si>
    <t>CAFETEIRA ,FERROS E GRILL</t>
  </si>
  <si>
    <t>BEMOL004</t>
  </si>
  <si>
    <t>NBOMAU25040862</t>
  </si>
  <si>
    <t>MEDU4437814/ MSNU7504404</t>
  </si>
  <si>
    <t>VIDROS BAUMON</t>
  </si>
  <si>
    <t>MÁQ. DE GELO + (3) SUP DE TV + MINI PROC + ESPREMEDOR</t>
  </si>
  <si>
    <t>MSBU8122306/ MEDU8122306</t>
  </si>
  <si>
    <t>VIDROS BOROSSILICATO - REPOSIÇÃO 02</t>
  </si>
  <si>
    <t>BEMOL 17</t>
  </si>
  <si>
    <t>KHI1847MUN</t>
  </si>
  <si>
    <t>HAMU2329387</t>
  </si>
  <si>
    <t>JOGO DE CAMA</t>
  </si>
  <si>
    <t>BEMOL 18</t>
  </si>
  <si>
    <t>I245708</t>
  </si>
  <si>
    <t>SEM CTN</t>
  </si>
  <si>
    <t>LENÇÓIS BAUMON</t>
  </si>
  <si>
    <t>Aéreo</t>
  </si>
  <si>
    <t>KDBW25110028</t>
  </si>
  <si>
    <t>POTES/TRAVESSAS/SALEIRAS</t>
  </si>
  <si>
    <t>FRITADEIRA AIR FRYER 12 L + SANDUICHEIRA + FERRO SECO</t>
  </si>
  <si>
    <t>KDBW25110063</t>
  </si>
  <si>
    <t>VIDROS REPOSIÇÃO 4 + LED 002</t>
  </si>
  <si>
    <t>MEDU7602018 / BMOU6778070</t>
  </si>
  <si>
    <t>RECOMPRA VIDRO</t>
  </si>
  <si>
    <t>TAO31126540</t>
  </si>
  <si>
    <t>MSDU7322380</t>
  </si>
  <si>
    <t>BEMOL 24</t>
  </si>
  <si>
    <t>KHI1874MUN</t>
  </si>
  <si>
    <t>FANU3705454</t>
  </si>
  <si>
    <t>CAMA, MESA E BANHO</t>
  </si>
  <si>
    <t>FFAU2354768/ MEDU8128285/ MSMU6226537/MSNU5842887/ TCLU7779400/ TCNU8726382/ UETU7070845</t>
  </si>
  <si>
    <t>AIRFRYER 12L</t>
  </si>
  <si>
    <t>AIRFRYER 3,5L</t>
  </si>
  <si>
    <t>BEMOL 28</t>
  </si>
  <si>
    <t>NBBLU25020956</t>
  </si>
  <si>
    <t xml:space="preserve"> FRIGOBAR HC46 + FERRO A VAPOR</t>
  </si>
  <si>
    <t>BMOU6580654/MSNU5267237</t>
  </si>
  <si>
    <t>9 POTES DE VIDRO</t>
  </si>
  <si>
    <t>BEMOL 32</t>
  </si>
  <si>
    <t>MFS-193</t>
  </si>
  <si>
    <t>LENÇÓIS</t>
  </si>
  <si>
    <t>NGB31164863</t>
  </si>
  <si>
    <t>TGBU6867268</t>
  </si>
  <si>
    <t>AIR FREYER</t>
  </si>
  <si>
    <t>HAMU4323916/BMOU4956439</t>
  </si>
  <si>
    <t>VIDROS REP BAUMON</t>
  </si>
  <si>
    <t>MSDU5172851
MSDU6329101
MSMU4423326 
MSMU6142797 
MSMU6958287 
TGBU4396106</t>
  </si>
  <si>
    <t>HAMU1718065/ HLXU8221843</t>
  </si>
  <si>
    <t>AIR FRYER 3,5L + PROCESSADOR+ SANDUICHEIRA+ FERRO+ CHAPINHA</t>
  </si>
  <si>
    <t>TGBU5940960/FANU3854801</t>
  </si>
  <si>
    <t>FORNO ELÉTRICO 46L</t>
  </si>
  <si>
    <t>BATEDEIRAS</t>
  </si>
  <si>
    <t>HLBU2443445/
UACU5972213/
HAMU1170011</t>
  </si>
  <si>
    <t>FORNO 60L</t>
  </si>
  <si>
    <t>Criar Ordem</t>
  </si>
  <si>
    <t>FANU1271087/
HAMU1390865/
HLXU8347322</t>
  </si>
  <si>
    <t>POTES VDR COM TAMPA</t>
  </si>
  <si>
    <t>SECADOR DE CABELO | CONCLUSÃO EM JULHO</t>
  </si>
  <si>
    <t>LIQUIDIFICADOR, MÁQUINA, SUPORTE E VAPORIZADOR</t>
  </si>
  <si>
    <t>SHAS010316</t>
  </si>
  <si>
    <t xml:space="preserve">EDREDOM </t>
  </si>
  <si>
    <t>FORNO ELETRICO</t>
  </si>
  <si>
    <t>GRILL, ESCOVA SECADORA, CHAPINHA, SANDUICHEIRA E ESPREMEDOR DE FRUTAS</t>
  </si>
  <si>
    <t>FANU3565630/
HLBU1619885</t>
  </si>
  <si>
    <t>BEAUTY CHUMBO + AIR FRYER+ TRAVESSAS</t>
  </si>
  <si>
    <t>SHAS003420</t>
  </si>
  <si>
    <t>MSNU9335746</t>
  </si>
  <si>
    <t>POTES DE VIDROS</t>
  </si>
  <si>
    <t>COPO LIQUIDIFICADOR GSE019</t>
  </si>
  <si>
    <t>SHAS004358</t>
  </si>
  <si>
    <t>MSDU4316830/
MSDU4659212/
MSDU4740833</t>
  </si>
  <si>
    <t>VIDRARIA</t>
  </si>
  <si>
    <t>T617271853968</t>
  </si>
  <si>
    <t>TCKU7711589</t>
  </si>
  <si>
    <t>AIR FRYER 12L</t>
  </si>
  <si>
    <t>FFAU3779582/
MSCU5385072</t>
  </si>
  <si>
    <t>FRIGOBAR 46L</t>
  </si>
  <si>
    <t>SUPORTE DE TV + FERRO + LIQUID + VAPOR + CHAPINHA</t>
  </si>
  <si>
    <t>FRITADERIA + GRILL</t>
  </si>
  <si>
    <t>NGBS004955</t>
  </si>
  <si>
    <t>MEDU7104674/
MEDU7435939/
MSBU8205972/
MSDU7814550/
MSMU4759389/
MSMU6056019/
MSMU6236793/
MSNU5027600/
MSNU6653609/
SEKU6681461</t>
  </si>
  <si>
    <t>BEBEDOURO (10 CNTRS)</t>
  </si>
  <si>
    <t>MRKU4285878/
CAJU5011195</t>
  </si>
  <si>
    <t>AIR FRYER 12L - 2 CNTR</t>
  </si>
  <si>
    <t>NGBS004115</t>
  </si>
  <si>
    <t>TEMU8206647</t>
  </si>
  <si>
    <t>BEBEDOURO - 1 CNTR</t>
  </si>
  <si>
    <t>NGBS004954</t>
  </si>
  <si>
    <t>MSMU4796145</t>
  </si>
  <si>
    <t>AIRFRYER 12L + SECADOR + MÁQ DE GELO - 1 CNTR</t>
  </si>
  <si>
    <t>SHAS006514</t>
  </si>
  <si>
    <t>MSGU5188566</t>
  </si>
  <si>
    <t>POTES DE VIDRO - 1 CNTR -</t>
  </si>
  <si>
    <t>COBRE LEITO</t>
  </si>
  <si>
    <t>BEMOL 64 + 66</t>
  </si>
  <si>
    <t>NGBS006963</t>
  </si>
  <si>
    <t>AIR FRYER 3,5L - PRONTIDÃO 20/07</t>
  </si>
  <si>
    <t>AIR FRYER 12L - PRONTIDÃO 10/08</t>
  </si>
  <si>
    <t>NGBS006964</t>
  </si>
  <si>
    <t>FRIGOBAR 46L - PRONTIDÃO 02/08</t>
  </si>
  <si>
    <t>MÁQUINA DE GELO + SECADOR + CHAPINHA - PRONTIDÃO 10/08</t>
  </si>
  <si>
    <t>FERROS DE PASSAR + ESPREMEDOR</t>
  </si>
  <si>
    <t>SUP.TV + ESPREMEDOR + PROCESSADOR + GRILL + VAP.</t>
  </si>
  <si>
    <t xml:space="preserve"> SUPORTES DE TV + SANDUICHEIRA - PRONTIDÃO 18/09</t>
  </si>
  <si>
    <t>ELOX TRANDING</t>
  </si>
  <si>
    <t>INV-000261-26</t>
  </si>
  <si>
    <t>SHXY260600685</t>
  </si>
  <si>
    <t>MRSU6818984</t>
  </si>
  <si>
    <t>BAUMON PULSE B97A SPEAKER BOX</t>
  </si>
  <si>
    <t>INV-000273-26</t>
  </si>
  <si>
    <t>UETU5919825</t>
  </si>
  <si>
    <t>INV-000276-26</t>
  </si>
  <si>
    <t>T617271410904</t>
  </si>
  <si>
    <t>MRKU3053610/MRSU4903217/TCKU7909656</t>
  </si>
  <si>
    <t>FREEZER VERTICAL 180L BD180U+ F. HORIZONTAL 100L BD100Q + F. HORIZ 150L BD150Q</t>
  </si>
  <si>
    <t>INV-000277-26</t>
  </si>
  <si>
    <t>T617272018241</t>
  </si>
  <si>
    <t>GESU6167258/MIEU0024916/MRSU3491352/MRSU4730699/TCNU6501005/MRSU5693250</t>
  </si>
  <si>
    <t>FREEZER VERTICAL 180L BD180U + F. HORIZONTAL 100L BD100Q + F. HORIZ 150L BD150Q</t>
  </si>
  <si>
    <t>INV-000283-26</t>
  </si>
  <si>
    <t/>
  </si>
  <si>
    <t>SPEAKER PARTYBOX PARTY500 2MIC</t>
  </si>
  <si>
    <t>INV-000305-26</t>
  </si>
  <si>
    <t>SZXS079788</t>
  </si>
  <si>
    <t>CMAU3762621</t>
  </si>
  <si>
    <t>B. RIO NEGRO OP16 COTTON NETWORK + B. NETWORK RIO IÇA OP19 COTTON AZ + B. RIO APUÍ OP20 POLYESTER NETWORK</t>
  </si>
  <si>
    <t>INV-000307-26</t>
  </si>
  <si>
    <t>SHXY260600684</t>
  </si>
  <si>
    <t>MRSU9786113 / MRKU3489840</t>
  </si>
  <si>
    <t>B. BT KARAOKE 2MIC PT/RX SOUND SYSTEM + B. BT KARAOKE 2MIC SOUND SYSTEM + B. BT KARAOKE 2MIC SOUND SYSTEM</t>
  </si>
  <si>
    <t>INV-000321-26</t>
  </si>
  <si>
    <t>B. BT KARAOKE 2MIC PT/RX SOUND SYSTEM + B. BT KARAOKE 2MIC PT SOUND SYSTEM</t>
  </si>
  <si>
    <t>PI-BAUMON-012026</t>
  </si>
  <si>
    <t>KDBW26040037</t>
  </si>
  <si>
    <t>NYKU5281532/
TRHU6082999/
NYKU4830047/
TCLU4867282/
TGBU9981947/
FCIU9770980 /
FFAU6814500/
BEAU5375352/
TRHU6869789 /
TGBU4681211 /
TCLU7800873 /
ONEU6925318/ MOTU5810610/ BSIU9861250/ CAIU9457638</t>
  </si>
  <si>
    <t>SPLITS BAUMON</t>
  </si>
  <si>
    <t>PI-BAUMON-022026</t>
  </si>
  <si>
    <t>CAN31113615-001</t>
  </si>
  <si>
    <t>CAAU7709620/
NYKU4393630/
BEAU5275646/
TCLU6281686/
ONEU5340484/
ONEU0137900/
TCKU7917902/
TRHU6080390/
TCNU6057523/
ONEU1839290</t>
  </si>
  <si>
    <t>A DEFINIR</t>
  </si>
  <si>
    <t>REPOSIÇÃO COBRE LEITO + EDREDONS</t>
  </si>
  <si>
    <t>EM PRODUÇÃO</t>
  </si>
  <si>
    <t>19/09/2026</t>
  </si>
  <si>
    <t>PI-BAUMON-042026</t>
  </si>
  <si>
    <t>SPLIT BAUMON COM WIFI</t>
  </si>
  <si>
    <t>INV-000342-26</t>
  </si>
  <si>
    <t xml:space="preserve">CAIXA DE SOM BLUETOOTH </t>
  </si>
  <si>
    <t>INV-000341-26</t>
  </si>
  <si>
    <t>SZXS080348</t>
  </si>
  <si>
    <t>BAUMON BT KARAOKE 2MIC PT SOUND SYSTEM</t>
  </si>
  <si>
    <t>07/31/2026</t>
  </si>
  <si>
    <t>INV-000332-26</t>
  </si>
  <si>
    <t>INV-000334-26</t>
  </si>
  <si>
    <t>INV-000339-26</t>
  </si>
  <si>
    <t>BAUMON SOUND WAVE WIRELESS HEADPHONE BLACK</t>
  </si>
  <si>
    <t>Fornecedor</t>
  </si>
  <si>
    <t>Cód</t>
  </si>
  <si>
    <t>Custo individual UDS</t>
  </si>
  <si>
    <t>Taxa dolar DI</t>
  </si>
  <si>
    <t>Custo individual BRL</t>
  </si>
  <si>
    <t xml:space="preserve">Custo Total </t>
  </si>
  <si>
    <t>% Participação</t>
  </si>
  <si>
    <t>Frete  BRL</t>
  </si>
  <si>
    <t>Custo total + Frete BRL</t>
  </si>
  <si>
    <t>Custo individual com frete BRL</t>
  </si>
  <si>
    <t>MARK UP</t>
  </si>
  <si>
    <t>Preço de venda</t>
  </si>
  <si>
    <t>Margem</t>
  </si>
  <si>
    <t>MARK UP CATEGORIA</t>
  </si>
  <si>
    <t>Ganho de Margem</t>
  </si>
  <si>
    <t>Preço produto similar</t>
  </si>
  <si>
    <t xml:space="preserve">Dif de preço </t>
  </si>
  <si>
    <t>GM9</t>
  </si>
  <si>
    <t>DESCRIÇÃO GM9</t>
  </si>
  <si>
    <t>POTE BAUMON HERMÉT 400ML RET C/T R145</t>
  </si>
  <si>
    <t>POTE BAUMON HERMÉT 1020ML RET C/T S195-3</t>
  </si>
  <si>
    <t>ASSAD BAUMON QUAD 1800ML VDR GB-S1800</t>
  </si>
  <si>
    <t>CAÇAROLA BAUMON 1000ML VIDRO GC-1000</t>
  </si>
  <si>
    <t>ASSADEIRA BAUMON 1800ML VDR GC-O1800</t>
  </si>
  <si>
    <t>POTE BAUMON HERMÉT 2260ML RET C/T JL002</t>
  </si>
  <si>
    <t>POTE BAUMON HERMÉT 1040ML C/T R195</t>
  </si>
  <si>
    <t>FRITAD BAUMON AIR FRYER 3,5L YJ-613D PT</t>
  </si>
  <si>
    <t>FRIGOBAR BAUMON 46L HC46 BR</t>
  </si>
  <si>
    <t>JG 3P CAMA SOLTEIRO BAUMON PREMIUM BG</t>
  </si>
  <si>
    <t>JG 4P CAMA SOLTEIRO BAUMON PREMIUM VD</t>
  </si>
  <si>
    <t>JG 4P CAMA CASAL BAUMON PREMIUM AZ</t>
  </si>
  <si>
    <t>JG 4P CAMA CASAL BAUMON PREMIUM BG</t>
  </si>
  <si>
    <t>JG 4P CAMA CASAL BAUMON PREMIUM VD</t>
  </si>
  <si>
    <t>JG 4P CAMA QUEEN BAUMON PREMIUM AZ</t>
  </si>
  <si>
    <t>JG 4P CAMA KING BAUMON PREMIUM AZ</t>
  </si>
  <si>
    <t>JG 3P CAMA SOLTEIRO BAUMON PREMIUM AZ</t>
  </si>
  <si>
    <t>JG BANHO 2P BAUMON PREMIUM 126X68CM AZ</t>
  </si>
  <si>
    <t>JG BANHO 2P BAUMON PREMIUM 126X68CM BG</t>
  </si>
  <si>
    <t>JG BANHO 2P BAUMON PREMIUM 126X68CM RO</t>
  </si>
  <si>
    <t>JG BANHO 2P BAUMON PREMIUM 145X86,5CM AZ</t>
  </si>
  <si>
    <t>JG BANHO 2P BAUMON PREMIUM 145X86,5CM BG</t>
  </si>
  <si>
    <t>JG BANHO 2P BAUMON PREMIUM 145X86,5CM RO</t>
  </si>
  <si>
    <t>JG BANHO 3P BAUMON PREMIUM 126X68CM AZ</t>
  </si>
  <si>
    <t>JG BANHO 3P BAUMON PREMIUM 126X68CM BG</t>
  </si>
  <si>
    <t>JG BANHO 3P BAUMON PREMIUM 126X68CM RO</t>
  </si>
  <si>
    <t>JG 2P TOALHAS BAUMON 136X68 500GSM VD</t>
  </si>
  <si>
    <t>JG 2P TOALHAS BAUMON 136X68 500GSM BR</t>
  </si>
  <si>
    <t>JG 2P TOALHAS BAUMON 136X68 500GSM BG</t>
  </si>
  <si>
    <t>JG 3P TOALHAS BAUMON 136X68 500GSM BG</t>
  </si>
  <si>
    <t>JG 2P TOALHAS BAUMON 145X68 500GSM VD</t>
  </si>
  <si>
    <t>JG 2P TOALHAS BAUMON 145X68 500GSM BR</t>
  </si>
  <si>
    <t>JG 2P TOALHAS BAUMON 145X68 500GSM BG</t>
  </si>
  <si>
    <t>JG 3P TOALHAS BAUMON 136X68 500GSM VD</t>
  </si>
  <si>
    <t>JG 3P TOALHAS BAUMON 136X68 500GSM BR</t>
  </si>
  <si>
    <t>FORNO ELÉTR BAUMON BANCADA 60L JK60A BR</t>
  </si>
  <si>
    <t>CAÇAROLA BAUMON RET 400ML C/ TAMPA R145</t>
  </si>
  <si>
    <t>POTE BAUMON HÉRMET 630ML RET C/T R170</t>
  </si>
  <si>
    <t>TRAVESSA BAUMON OVAL VIDRO C/TAMPA 2,4L</t>
  </si>
  <si>
    <t>TRAVESSA BAUMON OVAL VIDRO C/TAMPA 3L</t>
  </si>
  <si>
    <t>TRAVESSA BAUMON OVAL VIDRO C/TAMPA 4L</t>
  </si>
  <si>
    <t>TRAVESSA BAUMON RETANGULAR C/TAMPA 1,6L</t>
  </si>
  <si>
    <t>TRAVESSA BAUMON RETANGULAR C/TAMPA 2,2L</t>
  </si>
  <si>
    <t>TRAVESSA BAUMON RETANGULAR C/TAMPA 3L</t>
  </si>
  <si>
    <t>SUPORTE DE TV BAUMON BLISTER LCD800 P</t>
  </si>
  <si>
    <t>SUPORTE DE TV BAUMON YN-109MF G</t>
  </si>
  <si>
    <t>SUPORTE DE TV BAUMON YN-927AT M</t>
  </si>
  <si>
    <t>MÁQUINA DE GELO BAUMON HC-2 PT</t>
  </si>
  <si>
    <t>LIQUIDIFICADOR BAUMON GSE019</t>
  </si>
  <si>
    <t>LIQUIDIFICADOR ATÉ 3 VELOCIDADES</t>
  </si>
  <si>
    <t>ASSADEIRA BAUMON OVAL 2800ML GC-2400</t>
  </si>
  <si>
    <t>JG 4P CAMA QUEEN BAUMON PREMIUM BG</t>
  </si>
  <si>
    <t>JG 4P CAMA QUEEN BAUMON PREMIUM VD</t>
  </si>
  <si>
    <t>JG 4P CAMA KING BAUMON PREMIUM BG</t>
  </si>
  <si>
    <t>JG 4P CAMA KING BAUMON PREMIUM VD</t>
  </si>
  <si>
    <t>SUPORTE DE TV BAUMON YN-LED002 PT</t>
  </si>
  <si>
    <t>BEBEDOURO BAUMON YLRLW2540LBS BR</t>
  </si>
  <si>
    <t>BEBEDOURO BAUMON YLRLW2540LB PT</t>
  </si>
  <si>
    <t>BEBEDOURO BAUMON YLRLW2540LBB BR</t>
  </si>
  <si>
    <t>BEBEDOURO DE MESA BAUMON YLRLW2540TBS BR</t>
  </si>
  <si>
    <t>MINI PROCESSADOR BAUMON WC-P02 PT</t>
  </si>
  <si>
    <t>SECADOR BAUMON 2000W 127V SD-808 AZ</t>
  </si>
  <si>
    <t>PRANCHA BAUMON 127V 200C SD-515 AZ</t>
  </si>
  <si>
    <t>PRANCHA BAUMON 127V 230C SD-510A AZ</t>
  </si>
  <si>
    <t>FORNO ELÉT BAUMON 48L BANCADA JK48A PT</t>
  </si>
  <si>
    <t>JG 3P CAMA SOLTEIRO BAUMON T-180 RO</t>
  </si>
  <si>
    <t>JG 4P CAMA CASAL BAUMON T200 RENDA BR</t>
  </si>
  <si>
    <t>JG 4P CAMA QUEEN BAUMON T200 RENDA BR</t>
  </si>
  <si>
    <t>JG 4P CAMA KING BAUMON T200 RENDA BR</t>
  </si>
  <si>
    <t>FORNO ELÉT BAUMON 60L BANCADA JK60A BR</t>
  </si>
  <si>
    <t>ESCOVA SECADORA BAUMON 127V SD-927 AZ</t>
  </si>
  <si>
    <t>ESCOVA MODELADORA</t>
  </si>
  <si>
    <t>ESPREMEDOR BAUMON BH-3326 85W 127V PT</t>
  </si>
  <si>
    <t>SECADOR BAUMON 2000W 127V GSD808 CZ</t>
  </si>
  <si>
    <t>ESCOVA SECADORA BAUMON 127V GSD927 CZ</t>
  </si>
  <si>
    <t>PRANCHA ALISADORA BAUMON 230C GSD510A CZ</t>
  </si>
  <si>
    <t>PRANCHA ALISADORA BAUMON 200C GSD515 CZ</t>
  </si>
  <si>
    <t>POTE BAUMON HERMÉT 750ML QD C/T S150-2</t>
  </si>
  <si>
    <t>ASSADEIRA BAUMON OVAL 2800ML GC-O2800</t>
  </si>
  <si>
    <t>FERRO BAUMON CERÂMICA A VAPOR DM-2088 AZ</t>
  </si>
  <si>
    <t>FERRO À VAPOR C/SPRAY</t>
  </si>
  <si>
    <t>ESPREMEDOR BAUMON JE-678G 40W 127V PT</t>
  </si>
  <si>
    <t>VAPORIZADOR PORTÁTIL BAUMON QH-08BK BR</t>
  </si>
  <si>
    <t>LIQUIDIFICADOR BAUMON 1,5L KP-1805 PT</t>
  </si>
  <si>
    <t>LIQUIDIFICADOR ACIMA DE 3 VELOCIDADES</t>
  </si>
  <si>
    <t>SUP/ DE TV ARTICULADO BAUMON YN-927AT M</t>
  </si>
  <si>
    <t>LIQUID BAUMON GSE019 PT</t>
  </si>
  <si>
    <t>BEBED MESA BAUMON YLRLW2540TBS BR</t>
  </si>
  <si>
    <t>BEBED COLUNA BAUMON YLRLW2510LB BR</t>
  </si>
  <si>
    <t>BEBED COLUNA BAUMON YLRLW2510LBB PT</t>
  </si>
  <si>
    <t>BEBED COLUNA BAUMON YLRLW2540LBS BR</t>
  </si>
  <si>
    <t>JG 2P C LEITO BAUMON SOLT BP-1825-CP RO</t>
  </si>
  <si>
    <t>JG 2P C LEITO BAUMON SOL BP-1825-FD AZ</t>
  </si>
  <si>
    <t>JG 2P C LEITO BAUMON SOLT BP-1825-PT BG</t>
  </si>
  <si>
    <t>JG 2P C LEITO BAUMON SOLT BP-1825-WS BG</t>
  </si>
  <si>
    <t>JG 3P C LEITO BAUMON CASAL BP-2226-CP RO</t>
  </si>
  <si>
    <t>JG 3P C LEITO BAUMON CASAL BP-2226-FD AZ</t>
  </si>
  <si>
    <t>JG 3P C LEITO BAUMON CASAL BP-2226-DS VD</t>
  </si>
  <si>
    <t>JG 3P C LEITO BAUMON CASAL BP-2226-PT BG</t>
  </si>
  <si>
    <t>JG 3P C LEITO BAUMON CASAL BP-2226-WS BG</t>
  </si>
  <si>
    <t>JG 3P C LEITO BAUMON QUEEN BP-2426-FD AZ</t>
  </si>
  <si>
    <t>JG 3P C LEITO BAUMON QUEEN BP-2426-CP RO</t>
  </si>
  <si>
    <t>JG 3P C LEITO BAUMON QUEEN BP-2426-DS VD</t>
  </si>
  <si>
    <t>JG 3P C LEITO BAUMON QUEEN BP-2426-PT BG</t>
  </si>
  <si>
    <t>JG 3P C LEITO BAUMON QUEEN BP-2426-WS BG</t>
  </si>
  <si>
    <t>JG 3P C LEITO BAUMON KING BP-2926-CP RO</t>
  </si>
  <si>
    <t>JG 3P C LEITO BAUMON KING BP-2926-FD AZ</t>
  </si>
  <si>
    <t>JG 3P C LEITO BAUMON KING BG BP-2926-PT</t>
  </si>
  <si>
    <t>JG 3P C LEITO BAUMON KING BG BP-2926-WS</t>
  </si>
  <si>
    <t>JG 3P C LEITO BAUMON KING BP-2926-DS VD</t>
  </si>
  <si>
    <t>FREEZER BAUMON VERTICAL 180L BD180U BR</t>
  </si>
  <si>
    <t>FREEZER BAUMON HORIZONTAL 100L BD100Q BR</t>
  </si>
  <si>
    <t>FREEZER BAUMON HORIZ 150L BD150Q BR</t>
  </si>
  <si>
    <t xml:space="preserve">FREEZER BAUMON VERTICAL 180L BD180U BR </t>
  </si>
  <si>
    <t>SPEAKER BAUMON PARTYBOX PARTY500 2MIC PT</t>
  </si>
  <si>
    <t>BAUMON RIO NEGRO OP16 COTTON VM NETWORK</t>
  </si>
  <si>
    <t>BAUMON NETWORK RIO IÇA OP19 COTTON AZ</t>
  </si>
  <si>
    <t>BAUMON RIO APUÍ OP20 POLYESTER NETWORK</t>
  </si>
  <si>
    <t>BAUMON BT KARAOKE 2MIC PT/RX SOUND SYSTEM</t>
  </si>
  <si>
    <t>BAUMON BT KARAOKE 2MIC SOUND SYSTEM PT/RO</t>
  </si>
  <si>
    <t>POTE BAUMON HERMÉT 630ML R170-2FULL AZ</t>
  </si>
  <si>
    <t>CAÇAROLA BAUMON 1500ML VIDRO GC-1500</t>
  </si>
  <si>
    <t>ASSAD BAUMON RET 1600ML C/T VDR GB1600</t>
  </si>
  <si>
    <t>POTE BAUMON HERMÉT 1430ML RET C/T R220-3</t>
  </si>
  <si>
    <t>POTE BAUMON HERMÉT 1040ML C/T R195-2FULL</t>
  </si>
  <si>
    <t>CAÇAROLA BAUMON 2000ML VIDRO GC-2000</t>
  </si>
  <si>
    <t>POTE BAUMON HERMÉT 1020ML RET C/T R195-3</t>
  </si>
  <si>
    <t>Cobre leito solteiro rosa (JG 2P C LEITO BAUMON SOLT BP-1825-CP RO)</t>
  </si>
  <si>
    <t>Cobre leito solteiro azul (JG 2P C LEITO BAUMON SOL BP-1825-FD AZ)</t>
  </si>
  <si>
    <t>Cobre leito solteiro bege claro (JG 2P C LEITO BAUMON SOLT BP-1825-WS BG)</t>
  </si>
  <si>
    <t>Cobre leito solteiro bege escuro (JG 2P C LEITO BAUMON SOLT BP-1825-PT BG)</t>
  </si>
  <si>
    <t>Cobre Leito casal rosa (JG 3P C LEITO BAUMON CASAL BP-2226-CP RO)</t>
  </si>
  <si>
    <t>Cobre Leito casal azul (JG 3P C LEITO BAUMON CASAL BP-2226-FD AZ)</t>
  </si>
  <si>
    <t>Cobre Leito casal verde (JG 3P C LEITO BAUMON CASAL BP-2226-DS VD)</t>
  </si>
  <si>
    <t>Cobre Leito casal bege claro (JG 3P C LEITO BAUMON CASAL BP-2226-WS BG)</t>
  </si>
  <si>
    <t>Cobre Leito casal bege escuro (JG 3P C LEITO BAUMON CASAL BP-2226-PT BG)</t>
  </si>
  <si>
    <t>Cobre leito queen azul (JG 3P C LEITO BAUMON QUEEN BP-2426-FD AZ)</t>
  </si>
  <si>
    <t>Cobre leito queen rosa (JG 3P C LEITO BAUMON QUEEN BP-2426-CP RO)</t>
  </si>
  <si>
    <t>Cobre leito queen verde (JG 3P C LEITO BAUMON QUEEN BP-2426-DS VD)</t>
  </si>
  <si>
    <t>Cobre leito queen bege claro (JG 3P C LEITO BAUMON QUEEN BP-2426-WS BG)</t>
  </si>
  <si>
    <t>Cobre leito queen bege escuro (JG 3P C LEITO BAUMON QUEEN BP-2426-PT BG)</t>
  </si>
  <si>
    <t>Cobre leito king rosa (JG 3P C LEITO BAUMON KING BP-2926-CP RO)</t>
  </si>
  <si>
    <t>Cobre leito king azul (JG 3P C LEITO BAUMON KING BP-2926-FD AZ)</t>
  </si>
  <si>
    <t>Cobre leito king bege claro (JG 3P C LEITO BAUMON KING BG BP-2926-WS)</t>
  </si>
  <si>
    <t>Cobre leito king bege escuro (JG 3P C LEITO BAUMON KING BG BP-2926-PT)</t>
  </si>
  <si>
    <t>Cobre leito king verde (JG 3P C LEITO BAUMON KING BP-2926-DS VD)</t>
  </si>
  <si>
    <t>Edredon 100% algodão solteiro Seville</t>
  </si>
  <si>
    <t>Edredon 100% algodão solteiro Lisboa</t>
  </si>
  <si>
    <t>Edredon 100% algodão solteiro Istambul</t>
  </si>
  <si>
    <t>Edredon 100% algodão solteiro Paris</t>
  </si>
  <si>
    <t>Edredon 100% algodão Casal Seville</t>
  </si>
  <si>
    <t>Edredon 100% algodão Casal Lisboa</t>
  </si>
  <si>
    <t>Edredon 100% algodão casal Paris</t>
  </si>
  <si>
    <t>Edredon 100% algodão Casal Istambul</t>
  </si>
  <si>
    <t>Edredon bege liso (Casal)</t>
  </si>
  <si>
    <t>Edredon 100% algodão queen Seville</t>
  </si>
  <si>
    <t>Edredon 100% algodão queen Lisboa</t>
  </si>
  <si>
    <t>Edredon 100% algodão queen Paris</t>
  </si>
  <si>
    <t>Edredon 100% algodão queen Istambul</t>
  </si>
  <si>
    <t>Edredon bege liso (Queen)</t>
  </si>
  <si>
    <t>Edredon 100% algodão king Seville</t>
  </si>
  <si>
    <t>Edredon 100% algodão king Lisboa</t>
  </si>
  <si>
    <t>Edredon 100% algodão king Paris</t>
  </si>
  <si>
    <t>Edredon 100% algodão king Istambul</t>
  </si>
  <si>
    <t>SPLIT BAUMON 9.000 BTUs Inverter 220V Frio Gás R32 Classe A Wi-Fi</t>
  </si>
  <si>
    <t>SPLIT BAUMON 12.000 BTUs Inverter 220V Frio Gás R32 Classe A Wi-Fi</t>
  </si>
  <si>
    <t>SPLIT BAUMON 18.000 BTUs Inverter 220V Frio Gás R32 Classe A Wi-Fi</t>
  </si>
  <si>
    <t>SPLIT BAUMON 24.000 BTUs Inverter 220V Frio Gás R32 Classe A Wi-Fi</t>
  </si>
  <si>
    <t>SPLIT BAUMON 30.000 BTUs Inverter 220V Frio Gás R32 Classe A Wi-Fi</t>
  </si>
  <si>
    <t>410290</t>
  </si>
  <si>
    <t>CAIXA DE SOM BLUETOOTH BAUMON MODELO OPUS 10W COR PRETA</t>
  </si>
  <si>
    <t>386196</t>
  </si>
  <si>
    <t>386195</t>
  </si>
  <si>
    <t>378192</t>
  </si>
  <si>
    <t>378285</t>
  </si>
  <si>
    <t>382674</t>
  </si>
  <si>
    <t>405426</t>
  </si>
  <si>
    <t>Grupo</t>
  </si>
  <si>
    <t>Descrição do Grupo</t>
  </si>
  <si>
    <t>Mark-up MAO</t>
  </si>
  <si>
    <t>ACESSÓRIOS INFANTIS</t>
  </si>
  <si>
    <t>ANDAJÁ</t>
  </si>
  <si>
    <t>ASSENTO P/ AUTO</t>
  </si>
  <si>
    <t>BANHEIRA</t>
  </si>
  <si>
    <t>BEBÊ-CONFORTO</t>
  </si>
  <si>
    <t>CADEIRÃO</t>
  </si>
  <si>
    <t>CARRINHO DE BEBÊ</t>
  </si>
  <si>
    <t>CERCADO</t>
  </si>
  <si>
    <t>BABÁ ELETRÔNICA</t>
  </si>
  <si>
    <t>ALTO-FALANTES</t>
  </si>
  <si>
    <t>CD PLAYER P/AUTO</t>
  </si>
  <si>
    <t>CAIXA DE SOM ÁUDIO</t>
  </si>
  <si>
    <t>CAIXA ACÚSTICA</t>
  </si>
  <si>
    <t>HOME THEATER</t>
  </si>
  <si>
    <t>RÁDIO GRAVADOR</t>
  </si>
  <si>
    <t>PILHAS E BATERIAS</t>
  </si>
  <si>
    <t>RÁDIO PORTÁTIL</t>
  </si>
  <si>
    <t>RÁDIO RELÓGIO</t>
  </si>
  <si>
    <t>SYSTEM</t>
  </si>
  <si>
    <t>FONE DE OUVIDO</t>
  </si>
  <si>
    <t>MICROFONE</t>
  </si>
  <si>
    <t>HEADPHONE</t>
  </si>
  <si>
    <t>SOUNDBAR</t>
  </si>
  <si>
    <t>VITROLA</t>
  </si>
  <si>
    <t>BICICLETA ADULTO MASCULINO</t>
  </si>
  <si>
    <t>BICICLETA ADULTO FEMININO</t>
  </si>
  <si>
    <t>Base de Dados</t>
  </si>
  <si>
    <t>BICICLETA INFANTIL/CROSS</t>
  </si>
  <si>
    <t>BICICLETA JUVENIL/MOTONETA</t>
  </si>
  <si>
    <t>ACESSÓRIOS PARA BICICLETA</t>
  </si>
  <si>
    <t>ACESSÓRIOS BRINQUEDO</t>
  </si>
  <si>
    <t>PISTAS</t>
  </si>
  <si>
    <t>BONECOS</t>
  </si>
  <si>
    <t>BONECAS</t>
  </si>
  <si>
    <t>CARRINHOS &amp; CIA</t>
  </si>
  <si>
    <t>CARRINHOS &amp; CIA C/ CONTROLE REMOTO</t>
  </si>
  <si>
    <t>CONJUNTO/PLAYSET MENINOS</t>
  </si>
  <si>
    <t>CONJUNTO/PLAYSET MENINAS</t>
  </si>
  <si>
    <t>EDUCATIVO/PRÉ-ESCOLAR</t>
  </si>
  <si>
    <t>JOGOS DIVERSOS BRINQUEDOS</t>
  </si>
  <si>
    <t>BLOCOS DE MONTAR</t>
  </si>
  <si>
    <t>BRINCADEIRAS E FAZ DE CONTA</t>
  </si>
  <si>
    <t>ESPORTE INFANTIL</t>
  </si>
  <si>
    <t>MUSICAL</t>
  </si>
  <si>
    <t>PATINS/PATINETE/SKATE</t>
  </si>
  <si>
    <t>PRIMEIRA INFÂNCIA</t>
  </si>
  <si>
    <t>PELÚCIA</t>
  </si>
  <si>
    <t>QUEBRA-CABEÇA</t>
  </si>
  <si>
    <t>JOGOS DE TABULEIRO JUVENIL/ADULTO</t>
  </si>
  <si>
    <t>JOGOS REGIONAIS</t>
  </si>
  <si>
    <t>TRICICLO</t>
  </si>
  <si>
    <t>CARRO / MOTO PEDAL</t>
  </si>
  <si>
    <t>CARRO/MOTO ELÉTRICA</t>
  </si>
  <si>
    <t>ACESSÓRIOS DE CAMA/MESA/BANHO</t>
  </si>
  <si>
    <t>TOALHAS DE MESA</t>
  </si>
  <si>
    <t>CORTINA</t>
  </si>
  <si>
    <t>FRONHA/CAPA TRAVESSEIRO</t>
  </si>
  <si>
    <t>COBERTOR</t>
  </si>
  <si>
    <t>MANTA</t>
  </si>
  <si>
    <t>ACESS AROM AMBIENTE</t>
  </si>
  <si>
    <t>DIFUSORES</t>
  </si>
  <si>
    <t>ACESSÓRIOS DE CINE FOTO</t>
  </si>
  <si>
    <t>CARREGADOR/PILHA</t>
  </si>
  <si>
    <t>DRONE COM CÂMERA/MÁQUINA FOTOGRÁFICA</t>
  </si>
  <si>
    <t>CÂMERA INSTANTÂNEA</t>
  </si>
  <si>
    <t>COLCHÃO ESPUMA CASAL</t>
  </si>
  <si>
    <t>COLCHÃO ORTOPÉDICO/SEMI-ORTOPÉDICO CASAL</t>
  </si>
  <si>
    <t>COLCHÃO MOLA CASAL</t>
  </si>
  <si>
    <t>ENROLADO ESPUMA CASAL</t>
  </si>
  <si>
    <t>COLCHÃO ENROLADO MOLA CASAL</t>
  </si>
  <si>
    <t>MOLA QUEEN</t>
  </si>
  <si>
    <t>MOLA KING</t>
  </si>
  <si>
    <t>COLCHÃO ESPUMA SOLTEIRO</t>
  </si>
  <si>
    <t>COLCHÃO ORTOPÉDICO/SEMI-ORTOPÉDICO SOLT</t>
  </si>
  <si>
    <t>COLCHÃO MOLA SOLTEIRO</t>
  </si>
  <si>
    <t>COLCHÃO P/ BERÇO</t>
  </si>
  <si>
    <t>ENROLADO ESPUMA SOLTEIRO</t>
  </si>
  <si>
    <t>COLCHÃO ENROLADO MOLA SOLTEIRO</t>
  </si>
  <si>
    <t>COLCHONETE/ACESSÓRIOS P/ CAMAS COLHÕES</t>
  </si>
  <si>
    <t>TRAVESSEIROS E ALMOFADAS</t>
  </si>
  <si>
    <t>CAMA BOX/AMERICANA CASAL</t>
  </si>
  <si>
    <t>CAMA BOX AMERICANA SOLTEIRO</t>
  </si>
  <si>
    <t>CAMA BOX SOLTEIRÃO</t>
  </si>
  <si>
    <t>CAMA AMERICANA CASAL</t>
  </si>
  <si>
    <t>CAMA AMERICANA SOLTEIRO</t>
  </si>
  <si>
    <t>CAMA AMERICANA KING</t>
  </si>
  <si>
    <t>ACESSÓRIOS DE CUIDADOS PESSOAIS</t>
  </si>
  <si>
    <t>BALANÇA P/ BANHEIRO</t>
  </si>
  <si>
    <t>BARBEADOR</t>
  </si>
  <si>
    <t>DEPILADOR/APARADOR</t>
  </si>
  <si>
    <t>MÁQUINA DE CORTAR CABELO</t>
  </si>
  <si>
    <t>MASSAGEADOR</t>
  </si>
  <si>
    <t>CUIDADOS FACIAIS</t>
  </si>
  <si>
    <t>KIT CHAPA/SECADOR</t>
  </si>
  <si>
    <t>MODELADOR/CACHEADOR</t>
  </si>
  <si>
    <t>ACESSÓRIOS DE MEDICINA</t>
  </si>
  <si>
    <t>NEBULIZADOR</t>
  </si>
  <si>
    <t>MEDIDOR DE PRESSÃO/GLICOSE</t>
  </si>
  <si>
    <t>TERMÔMETRO</t>
  </si>
  <si>
    <t>CADEIRA DE RODAS</t>
  </si>
  <si>
    <t>EQUIPAMENTOS DE PROTEÇÃO</t>
  </si>
  <si>
    <t>APAR P/RESPIRAÇÃO</t>
  </si>
  <si>
    <t xml:space="preserve">CAD RODAS MOTORIZADA </t>
  </si>
  <si>
    <t>CAMA/COLCHÃO HOSPITALAR</t>
  </si>
  <si>
    <t>ASPIRADOR</t>
  </si>
  <si>
    <t>BALANÇA ELETRÔNICA</t>
  </si>
  <si>
    <t>CHURRASQUEIRA/ASSADEIRA ELÉTRICA/GÁS</t>
  </si>
  <si>
    <t>CHALEIRA ELÉTRICA</t>
  </si>
  <si>
    <t>UMIDIFICADOR / DESUMIDIFICADOR</t>
  </si>
  <si>
    <t>ASPIRADOR ROBÔ</t>
  </si>
  <si>
    <t>CENTRÍFUGA ELETROPORTÁTIL</t>
  </si>
  <si>
    <t>MÁQUINA DE FAZER PÃO</t>
  </si>
  <si>
    <t>PANELA ELÉTRICA/PIPOQUEIRA/COZEDOR</t>
  </si>
  <si>
    <t>SORVETEIRA</t>
  </si>
  <si>
    <t>TOSTADOR/TORRADEIRA</t>
  </si>
  <si>
    <t>MÁQUINAS DE BEBIDAS</t>
  </si>
  <si>
    <t>CIRCULADOR</t>
  </si>
  <si>
    <t>EXAUSTOR DE VENTILAÇÃO</t>
  </si>
  <si>
    <t>VENTILADOR DE PAREDE</t>
  </si>
  <si>
    <t>VENTILADOR DE TETO</t>
  </si>
  <si>
    <t>FERRO DE VIAGEM</t>
  </si>
  <si>
    <t>CALCULADORA</t>
  </si>
  <si>
    <t>COFRES</t>
  </si>
  <si>
    <t>ACESSÓRIOS DE FERRAMENTAS</t>
  </si>
  <si>
    <t>FERRAMENTAS AUTOMOTIVAS</t>
  </si>
  <si>
    <t>BROCAS</t>
  </si>
  <si>
    <t>CAIXA ORGANIZADORA</t>
  </si>
  <si>
    <t>P/MATERIAIS ELÉTRICOS</t>
  </si>
  <si>
    <t>PARA JARDIM / AGRICOLA</t>
  </si>
  <si>
    <t>DISCOS</t>
  </si>
  <si>
    <t>BOLSAS/MOCHILAS P/FERRAMENTAS</t>
  </si>
  <si>
    <t>PLAINA</t>
  </si>
  <si>
    <t>TRENA</t>
  </si>
  <si>
    <t>MARTELETE</t>
  </si>
  <si>
    <t>FURADEIRA / PARAFUSADEIRA</t>
  </si>
  <si>
    <t>ESMERILHADEIRA</t>
  </si>
  <si>
    <t>FURADEIRA</t>
  </si>
  <si>
    <t>LAVADORA DE PRESSÃO</t>
  </si>
  <si>
    <t>LIXADEIRA</t>
  </si>
  <si>
    <t>TUPIA/MICRORETÍFICA</t>
  </si>
  <si>
    <t>PARAFUSADEIRA</t>
  </si>
  <si>
    <t>POLITRIS</t>
  </si>
  <si>
    <t>SERRA CIRCULAR</t>
  </si>
  <si>
    <t>SERRA MÁRMORE</t>
  </si>
  <si>
    <t>SERRA TICO-TICO</t>
  </si>
  <si>
    <t>PLAINA ELÉTRICA</t>
  </si>
  <si>
    <t>P/ JARDIM/AGRÍCOLA ELÉTRICO</t>
  </si>
  <si>
    <t>LÂMPADAS DE LED</t>
  </si>
  <si>
    <t>LUMINÁRIAS DE EMERGÊNCIA</t>
  </si>
  <si>
    <t>FILTRO M CONSTRUÇÃO</t>
  </si>
  <si>
    <t>DUCHA/CHUVEIRO</t>
  </si>
  <si>
    <t>TORNEIRA</t>
  </si>
  <si>
    <t>DIVISÓRIA DE AMBIENTE (INATIVO)</t>
  </si>
  <si>
    <t>ILUMINAÇÃO SOLAR</t>
  </si>
  <si>
    <t>ACESSÓRIOS P/ BANHEIRO</t>
  </si>
  <si>
    <t>GABINETE PARA BANHEIRO</t>
  </si>
  <si>
    <t>ESPELHO</t>
  </si>
  <si>
    <t>ACESSÓRIOS DE INFORMÁTICA</t>
  </si>
  <si>
    <t>CARTUCHO P/ IMPRESSORA</t>
  </si>
  <si>
    <t>COMPUTADORES</t>
  </si>
  <si>
    <t>CPU</t>
  </si>
  <si>
    <t>MULTIFUNÇÃO</t>
  </si>
  <si>
    <t>ESTABILIZADOR DE VOLTAGEM</t>
  </si>
  <si>
    <t>IMPRESSORA</t>
  </si>
  <si>
    <t>CAIXA DE SOM INFORMÁTICA</t>
  </si>
  <si>
    <t>NO BREAK</t>
  </si>
  <si>
    <t>NOTEBOOK</t>
  </si>
  <si>
    <t>TABLET</t>
  </si>
  <si>
    <t>MONITORES DE LCD</t>
  </si>
  <si>
    <t>SCANNER</t>
  </si>
  <si>
    <t>SOFTWARES</t>
  </si>
  <si>
    <t>LEITOR DIGITAL</t>
  </si>
  <si>
    <t>IMPRESSORA/MULTIFUNÇÃO A LASER</t>
  </si>
  <si>
    <t>MOUSE</t>
  </si>
  <si>
    <t>TECLADO/TECLADO + MOUSE</t>
  </si>
  <si>
    <t>PEN DRIVE</t>
  </si>
  <si>
    <t>HD EXTERNO</t>
  </si>
  <si>
    <t>CAPAS</t>
  </si>
  <si>
    <t>ROTEADORES E ADAPTADORES</t>
  </si>
  <si>
    <t>PROJETOR</t>
  </si>
  <si>
    <t>WEBCAM</t>
  </si>
  <si>
    <t>Antena Internet via Satélite </t>
  </si>
  <si>
    <t>ACESSÓRIOS DE INSTRUMENTOS MUSICAIS</t>
  </si>
  <si>
    <t>INSTRUMENTO DE CORDAS</t>
  </si>
  <si>
    <t>INSTRUMENTO DE SOPRO</t>
  </si>
  <si>
    <t>INSTRUMENTO ELETRÔNICO</t>
  </si>
  <si>
    <t>BASQUETE</t>
  </si>
  <si>
    <t>FUTEBOL</t>
  </si>
  <si>
    <t>ARTIGOS ESPORTIVOS</t>
  </si>
  <si>
    <t>NATAÇÃO</t>
  </si>
  <si>
    <t>TÊNIS DE QUADRA/MESA/SQUASH</t>
  </si>
  <si>
    <t>VOLEIBOL</t>
  </si>
  <si>
    <t>CAMPING</t>
  </si>
  <si>
    <t>GINÁSTICA E MUSCULAÇÃO</t>
  </si>
  <si>
    <t>JOGOS DIVERSOS LAZER</t>
  </si>
  <si>
    <t>MERGULHO</t>
  </si>
  <si>
    <t>NÁUTICO</t>
  </si>
  <si>
    <t>PATINAÇÃO E SKATE</t>
  </si>
  <si>
    <t>ARTIGOS INFLÁVEIS</t>
  </si>
  <si>
    <t>PISCINA</t>
  </si>
  <si>
    <t>SINUCA</t>
  </si>
  <si>
    <t>PATINETE/SKATE ELÉTRICO</t>
  </si>
  <si>
    <t>ACESSÓRIOS DE GINÁSTICA E MUSCULAÇÃO</t>
  </si>
  <si>
    <t>COOLER ELETRICO</t>
  </si>
  <si>
    <t>COIFA DE PAREDE</t>
  </si>
  <si>
    <t>CORTINA DE AR/CLIMATIZADOR</t>
  </si>
  <si>
    <t>DEPURADOR DE AR</t>
  </si>
  <si>
    <t>FORNO À GÁS</t>
  </si>
  <si>
    <t>FORNO MICRO-ONDAS</t>
  </si>
  <si>
    <t>LAVA-LOUÇAS</t>
  </si>
  <si>
    <t>SECADORA DE ROUPA</t>
  </si>
  <si>
    <t>VITRINE/ADEGA</t>
  </si>
  <si>
    <t>MÁQUINA DE COSTURA</t>
  </si>
  <si>
    <t>BOMBA D'ÁGUA (LINHA BRANCA)</t>
  </si>
  <si>
    <t>CHURRASQUEIRA A GÁS</t>
  </si>
  <si>
    <t>PURIFICADOR DE ÁGUA</t>
  </si>
  <si>
    <t>ESTUFA INDUSTRIAL</t>
  </si>
  <si>
    <t>CHAPA INDUSTRIAL</t>
  </si>
  <si>
    <t>PURIFICADOR DE AR</t>
  </si>
  <si>
    <t>CONDICIONADOR DE AR DE JANELA ATÉ 8500 BTUS</t>
  </si>
  <si>
    <t>CONDICIONADOR DE AR DE JANELA DE 8501 À 10000 BTUS</t>
  </si>
  <si>
    <t>CONDICIONADOR DE AR DE JANELA DE 10001 À 18000 BTUS</t>
  </si>
  <si>
    <t>JANELA INVERTER</t>
  </si>
  <si>
    <t>FOGÃO 2 BOCAS</t>
  </si>
  <si>
    <t>FOGÃO 6 BOCAS</t>
  </si>
  <si>
    <t>COOKTOP ELÉTRICO</t>
  </si>
  <si>
    <t>FOGAO ELÉTRICO</t>
  </si>
  <si>
    <t>FOGÃO INDUSTRIAL</t>
  </si>
  <si>
    <t>FOGÃO DE EMBUTIR</t>
  </si>
  <si>
    <t>COOKTOP À GÁS</t>
  </si>
  <si>
    <t>FREEZER HORIZONTAL</t>
  </si>
  <si>
    <t>GELADEIRA 1 PORTA</t>
  </si>
  <si>
    <t>GELADEIRA 2 PORTAS FROST FREE</t>
  </si>
  <si>
    <t>GELADEIRA SIDE BY SIDE</t>
  </si>
  <si>
    <t>GELADEIRA 2 PORTAS CYCLE DEFROST</t>
  </si>
  <si>
    <t>LAVADORA AUTOMÁTICA ATÉ 8KG</t>
  </si>
  <si>
    <t>LAVADORA TANQUINHO/SEMI-AUTOMÁTICA</t>
  </si>
  <si>
    <t>LAVADORA/SECADORA</t>
  </si>
  <si>
    <t>LAVADORA AUTOMÁTICA DE 9 A 11KG</t>
  </si>
  <si>
    <t>LAVADORA AUTOMÁTICA A PARTIR DE 12 KG</t>
  </si>
  <si>
    <t>SPLIT DE 8501 À 10000 BTUS</t>
  </si>
  <si>
    <t>SPLIT DE 10001 À 18000 BTUS</t>
  </si>
  <si>
    <t>SPLIT DE 18001 À 30000 BTUS</t>
  </si>
  <si>
    <t>SPLIT ACIMA DE 30000 BTUS</t>
  </si>
  <si>
    <t>AR-CONDICIONADO CASSETE</t>
  </si>
  <si>
    <t>SPLIT INVERTER DE 10001 À 18000 BTUS</t>
  </si>
  <si>
    <t>SPLIT INVERTER DE 18001 À 30000 BTUS</t>
  </si>
  <si>
    <t>ACESSÓRIOS DE MÁQS E MOTORES</t>
  </si>
  <si>
    <t>COMPRESSOR DE AR / AQUECEDOR ÁGUA</t>
  </si>
  <si>
    <t>MOTOBOMBA</t>
  </si>
  <si>
    <t>GERADOR</t>
  </si>
  <si>
    <t>MOTOR DE POPA</t>
  </si>
  <si>
    <t>MOTOR ESTACIONÁRIO</t>
  </si>
  <si>
    <t>MOTOR ELÉTRICO</t>
  </si>
  <si>
    <t>MOTOR ELÉTRICO (PARA BARCO)</t>
  </si>
  <si>
    <t>PNEU P/ AUTOMÓVEL</t>
  </si>
  <si>
    <t>PNEU P/ MOTO</t>
  </si>
  <si>
    <t>BATERIA P/ AUTOMÓVEL</t>
  </si>
  <si>
    <t>BATERIA P/ MOTO</t>
  </si>
  <si>
    <t>CAPACETES</t>
  </si>
  <si>
    <t>TAPETE PARA AUTOMÓVEL</t>
  </si>
  <si>
    <t>CABOS E CAPAS</t>
  </si>
  <si>
    <t>PNEU P/ AUTO ARO 13 e 14</t>
  </si>
  <si>
    <t>PNEU DE CAMINHÃO</t>
  </si>
  <si>
    <t>MOCHILA TÉRMICA P/MOTO</t>
  </si>
  <si>
    <t>AUTOMOTIVO MARKETPLACE</t>
  </si>
  <si>
    <t>COMPLEMENTO COZINHA DE MADEIRA</t>
  </si>
  <si>
    <t>PANELEIRO DE MADEIRA</t>
  </si>
  <si>
    <t>CADEIRA DE COPA</t>
  </si>
  <si>
    <t>CADEIRA DE JARDIM/PISCINA</t>
  </si>
  <si>
    <t>CADEIRA DE SALA</t>
  </si>
  <si>
    <t>BELICHE/TRILICHE</t>
  </si>
  <si>
    <t>CAMA DE SOLTEIRO</t>
  </si>
  <si>
    <t>CAMA BOX/AMERICANA SOLTEIRO</t>
  </si>
  <si>
    <t>CABECEIRAS</t>
  </si>
  <si>
    <t>COMPLEMENTO DE QUARTO</t>
  </si>
  <si>
    <t>CÔMODA</t>
  </si>
  <si>
    <t>CRIADO-MUDO</t>
  </si>
  <si>
    <t>ROUPEIRO PORTA BASCULANTE ATÉ 4 PORTAS</t>
  </si>
  <si>
    <t>ROUPEIRO PORTA BASCULANTE DE 5 À 12 PORTAS</t>
  </si>
  <si>
    <t>ROUPEIRO PORTA DE CORRER ATÉ 2 PORTAS</t>
  </si>
  <si>
    <t>ROUPEIRO PORTA DE CORRER 3 À 4 PORTAS</t>
  </si>
  <si>
    <t>ROUPEIRO PORTA DE CORRER/BASCULANTE</t>
  </si>
  <si>
    <t>CABECEIRA QUEEN</t>
  </si>
  <si>
    <t>CABECEIRA</t>
  </si>
  <si>
    <t>COMPLEMENTO COZINHA DE AÇO</t>
  </si>
  <si>
    <t>ARMÁRIO AÉREO COZINHA DE AÇO</t>
  </si>
  <si>
    <t>BALCÃO COZINHA DE AÇO</t>
  </si>
  <si>
    <t>KIT COZINHA DE AÇO</t>
  </si>
  <si>
    <t>PANELEIRO DE AÇO</t>
  </si>
  <si>
    <t>SOFÁ DE CANTO</t>
  </si>
  <si>
    <t>PUFF/ALMOFADÃO</t>
  </si>
  <si>
    <t>POLTRONA</t>
  </si>
  <si>
    <t>SOFÁ 02 LUGARES</t>
  </si>
  <si>
    <t>SOFÁ 03 LUGARES</t>
  </si>
  <si>
    <t>SOFÁ-CAMA</t>
  </si>
  <si>
    <t>RACK</t>
  </si>
  <si>
    <t>HOME</t>
  </si>
  <si>
    <t>ESTANTE</t>
  </si>
  <si>
    <t>PAINEL</t>
  </si>
  <si>
    <t>RACK/PAINEL</t>
  </si>
  <si>
    <t>MÓVEIS DE JARDIM/PISCINA</t>
  </si>
  <si>
    <t>ARMÁRIO P/ ESCRITÓRIO</t>
  </si>
  <si>
    <t>ARQUIVO/GAVETEIRO P/ ESCRITÓRIO</t>
  </si>
  <si>
    <t>MESA P/ ESCRITÓRIO</t>
  </si>
  <si>
    <t>COMPLEMENTO DE MÓVEIS INFANTIS</t>
  </si>
  <si>
    <t>BERÇO</t>
  </si>
  <si>
    <t>PENTEADEIRA INFANTIL</t>
  </si>
  <si>
    <t>CAMA INFANTIL</t>
  </si>
  <si>
    <t>CÔMODA INFANTIL</t>
  </si>
  <si>
    <t>ESCRIVANINHA INFANTIL*</t>
  </si>
  <si>
    <t>ROUPEIRO INFANTIL ATÉ 3 PORTAS</t>
  </si>
  <si>
    <t>ROUPEIRO INFANTIL 4/5 PORTAS</t>
  </si>
  <si>
    <t>MESA PARA COMPUTADOR/ESCRIVANINHA</t>
  </si>
  <si>
    <t>MÓVEL BAR</t>
  </si>
  <si>
    <t>MESA DE CENTRO</t>
  </si>
  <si>
    <t>MESA LATERAL</t>
  </si>
  <si>
    <t>MESA P/ TELEFONE</t>
  </si>
  <si>
    <t>MESA PLÁSTICA</t>
  </si>
  <si>
    <t>SALA DE JANTAR 05 PEÇAS</t>
  </si>
  <si>
    <t>MESA AVULSA</t>
  </si>
  <si>
    <t>COPA 05 PEÇAS</t>
  </si>
  <si>
    <t>COPA 07 PEÇAS</t>
  </si>
  <si>
    <t>SALA DE JANTAR 07 PEÇAS</t>
  </si>
  <si>
    <t>SALA DE JANTAR 09 PEÇAS</t>
  </si>
  <si>
    <t>COMPLEMENTO DE MÓVEIS</t>
  </si>
  <si>
    <t>APARADOR</t>
  </si>
  <si>
    <t>BUFFET</t>
  </si>
  <si>
    <t>SAPATEIRA/MULTI-USO</t>
  </si>
  <si>
    <t>PIA</t>
  </si>
  <si>
    <t>DIVISÓRIA DE AMBIENTE</t>
  </si>
  <si>
    <t>LIVROS LITERATURA/ROMANCE/TEATRO</t>
  </si>
  <si>
    <t>ABAJOUR</t>
  </si>
  <si>
    <t>ADORNO</t>
  </si>
  <si>
    <t>ADORNOS NATALINOS</t>
  </si>
  <si>
    <t>ARRANJO FLORAL</t>
  </si>
  <si>
    <t>CASTIÇAL</t>
  </si>
  <si>
    <t>ARRANJO FLORAL NATALINO</t>
  </si>
  <si>
    <t>CANDELABRO/LANTERNA</t>
  </si>
  <si>
    <t>PORTA-JÓIA</t>
  </si>
  <si>
    <t>QUADROS E ESPELHOS</t>
  </si>
  <si>
    <t>TAPETE</t>
  </si>
  <si>
    <t>VASOS</t>
  </si>
  <si>
    <t>ANJO NATALINO</t>
  </si>
  <si>
    <t>UTILIDADE DOMÉSTICA NATALINA</t>
  </si>
  <si>
    <t>PAPAI NOEL/MAMÃE NATALINO</t>
  </si>
  <si>
    <t>PONTEIRA P/ÁRVORE DE NATAL</t>
  </si>
  <si>
    <t>TOALHA DE MESA/TRILHO/GUARDAN NATALINO</t>
  </si>
  <si>
    <t>SACOLAS/CAIXAS PAPEL</t>
  </si>
  <si>
    <t>DESPERTADOR</t>
  </si>
  <si>
    <t>RELÓGIO DE PAREDE</t>
  </si>
  <si>
    <t>RELÓGIO DE PULSO MASCULINO ANALÓGICO</t>
  </si>
  <si>
    <t>RELÓGIO DE PULSO FEMININO ANALÓGICO</t>
  </si>
  <si>
    <t>RELÓGIO PULSO INFANTO-JUVENIL</t>
  </si>
  <si>
    <t>RELÓGIO DE PULSO MASCULINO ANALÓGICO / DIGITAL</t>
  </si>
  <si>
    <t>RELÓGIO DE PULSO MASCULINO DIGITAL</t>
  </si>
  <si>
    <t>RELÓGIO DE PULSO MASCULINO AUTOMÁTICO</t>
  </si>
  <si>
    <t>RELÓGIO MONITOR CADÍACO</t>
  </si>
  <si>
    <t>RELÓGIO DE PULSO FEMININO DIGITAL</t>
  </si>
  <si>
    <t>KIT RELÓGIO FEMININO</t>
  </si>
  <si>
    <t>KIT RELÓGIO MASCULINO</t>
  </si>
  <si>
    <t>TELEFONE DE LONGA DISTÂNCIA RURAL</t>
  </si>
  <si>
    <t>TELEFONE CONVENCIONAL S/FIO</t>
  </si>
  <si>
    <t>TELEFONE CONVENCIONAL FIXO</t>
  </si>
  <si>
    <t>WALKIE TALKIE / RÁDIO COMUNICADOR</t>
  </si>
  <si>
    <t>CHIP P/CELULAR</t>
  </si>
  <si>
    <t>TELEFONE CELULAR LIVRE</t>
  </si>
  <si>
    <t>SMARTPHONE PLANO CONTROLE</t>
  </si>
  <si>
    <t>SMARTPHONE LOW - IGUAL OU MENOR QUE 699</t>
  </si>
  <si>
    <t>SMARTPHONE MID - DE 700 À 1.099</t>
  </si>
  <si>
    <t>SMARTPHONE HIGH - DE 1.100 À 1.899</t>
  </si>
  <si>
    <t>SMARTPHONE PREMIUM - DE 1.900 À 2.499</t>
  </si>
  <si>
    <t>SMARTPHONE SUPER PREMIUM - À PARTIR DE 2.500</t>
  </si>
  <si>
    <t>SMARTWATCH</t>
  </si>
  <si>
    <t>IPHONE</t>
  </si>
  <si>
    <t>SMARTPHONE SUPER PREMIUM ACIMA DE 4.500</t>
  </si>
  <si>
    <t>PELÍCULA HD</t>
  </si>
  <si>
    <t>PELÍCULA PRIVACIDADE</t>
  </si>
  <si>
    <t>PELÍCULA GAMER</t>
  </si>
  <si>
    <t>SMARTPHONE EXCELENTE</t>
  </si>
  <si>
    <t>SMARTPHONE MUITO BOM</t>
  </si>
  <si>
    <t>IPHONE EXCELENTE</t>
  </si>
  <si>
    <t>IPHONE MUITO BOM</t>
  </si>
  <si>
    <t>UTENSÍLIOS DOMÉSTICOS</t>
  </si>
  <si>
    <t>BULE/CHALEIRA</t>
  </si>
  <si>
    <t>CALDEIRÃO</t>
  </si>
  <si>
    <t>CHURRASQUEIRA</t>
  </si>
  <si>
    <t>COPOS/CANECAS</t>
  </si>
  <si>
    <t>RECHAUD/FONDUE</t>
  </si>
  <si>
    <t>CONJ DE PANELAS</t>
  </si>
  <si>
    <t>BOTIJA DE GÁS/CONJ DE LIGAÇÃO</t>
  </si>
  <si>
    <t>CUTELARIA</t>
  </si>
  <si>
    <t>ESCORREDOR</t>
  </si>
  <si>
    <t>FAQUEIRO</t>
  </si>
  <si>
    <t>UTENSÍLIOS DE MESA</t>
  </si>
  <si>
    <t>FRIGIDEIRA</t>
  </si>
  <si>
    <t>FRUTEIRA</t>
  </si>
  <si>
    <t>GRELHAS/ESPETOS</t>
  </si>
  <si>
    <t>GARRAFAS</t>
  </si>
  <si>
    <t>FERVEDOR/LEITEIRA</t>
  </si>
  <si>
    <t>JARRAS</t>
  </si>
  <si>
    <t>PANELAS</t>
  </si>
  <si>
    <t>SUPORTE AÉREO/BARRAS/GANCHOS</t>
  </si>
  <si>
    <t>PANELA DE PRESSÃO</t>
  </si>
  <si>
    <t>ACESSÓRIOS PARA BANHEIRO</t>
  </si>
  <si>
    <t>ORGANIZADORES DE CASA/PRATELEIRAS E SUPORTES</t>
  </si>
  <si>
    <t>CENTRO DE MESA</t>
  </si>
  <si>
    <t>SUP P/PRAT(SOUSPLAT)</t>
  </si>
  <si>
    <t>CONJ DE CHÁ E CAFÉ</t>
  </si>
  <si>
    <t>PEÇA AVULSA - LOUÇA</t>
  </si>
  <si>
    <t>CONJUNTO DE SOBREMESA</t>
  </si>
  <si>
    <t>JOGO AMERICANO</t>
  </si>
  <si>
    <t>CONJUNTO DE TAÇAS E COPOS</t>
  </si>
  <si>
    <t>VARAL</t>
  </si>
  <si>
    <t>CAIXAS E CESTOS</t>
  </si>
  <si>
    <t>ESCADAS</t>
  </si>
  <si>
    <t>TÁBUAS DE PASSAR</t>
  </si>
  <si>
    <t>LIXEIRA</t>
  </si>
  <si>
    <t>CADERNO BROCHURÃO</t>
  </si>
  <si>
    <t>CADERNO 01 MATÉRIA</t>
  </si>
  <si>
    <t>CADERNO 10 MATÉRIAS</t>
  </si>
  <si>
    <t>CADERNO 12 MATÉRIAS</t>
  </si>
  <si>
    <t>CADERNO 16 MATÉRIAS</t>
  </si>
  <si>
    <t>APONTADOR/ESTILETE</t>
  </si>
  <si>
    <t>BORRACHA</t>
  </si>
  <si>
    <t>CORRETIVO LÍQUIDO/FITA</t>
  </si>
  <si>
    <t>COLA</t>
  </si>
  <si>
    <t>CANETA</t>
  </si>
  <si>
    <t>GRAFITE/REFIL</t>
  </si>
  <si>
    <t>LÁPIS</t>
  </si>
  <si>
    <t>LÁPIS DE COR</t>
  </si>
  <si>
    <t>GIZ DE CERA</t>
  </si>
  <si>
    <t>MARCA TEXTO/PINCEL</t>
  </si>
  <si>
    <t>MARCADOR DE QUADRO</t>
  </si>
  <si>
    <t>MASSA DE MODELAR</t>
  </si>
  <si>
    <t>PAPEL OFÍCIO</t>
  </si>
  <si>
    <t>RÉGUA</t>
  </si>
  <si>
    <t>TEMPERA GUACHE</t>
  </si>
  <si>
    <t>TESOURA ESCOLAR</t>
  </si>
  <si>
    <t>GRAMPEADOR/EXTRATOR</t>
  </si>
  <si>
    <t>BLOCO ADESIVO</t>
  </si>
  <si>
    <t>CLIPS/PRENDEDOR</t>
  </si>
  <si>
    <t>PERFURADOR</t>
  </si>
  <si>
    <t>AGENDA ESCOL/PLANNER</t>
  </si>
  <si>
    <t>AGENDA PLANNER/ORGANIZED</t>
  </si>
  <si>
    <t>CADERNO 20 MATÉRIAS</t>
  </si>
  <si>
    <t>CADERNO INTELIGENTE 01 MATÉRIA</t>
  </si>
  <si>
    <t>CADERNO INTELIGENTE 10 MATÉRIAS</t>
  </si>
  <si>
    <t>CADERNO CONNECT 01 MATERIA</t>
  </si>
  <si>
    <t>CADERNO CONNECT 10 MATERIAS</t>
  </si>
  <si>
    <t>CADERNO COLEGIAL EXECUTIVO</t>
  </si>
  <si>
    <t>ACESSÓRIOS DE VIAGEM</t>
  </si>
  <si>
    <t>BOLSAS</t>
  </si>
  <si>
    <t>BOLSA TÉRMICA/FRASQUEIRA/NECESSAIRE</t>
  </si>
  <si>
    <t>PASTAS</t>
  </si>
  <si>
    <t>ESTOJOS/NECESSAIRE</t>
  </si>
  <si>
    <t>MALA SOFT</t>
  </si>
  <si>
    <t>MALA RÍGIDA</t>
  </si>
  <si>
    <t>MOCHILA P/ NOTEBOOK</t>
  </si>
  <si>
    <t>MOCHILA URBANA</t>
  </si>
  <si>
    <t>MOCHILA CARGUEIRA</t>
  </si>
  <si>
    <t>MOCHILA COM RODAS</t>
  </si>
  <si>
    <t>MOCHILETE</t>
  </si>
  <si>
    <t>MOCHILA ESCOLAR/BEBÊ</t>
  </si>
  <si>
    <t>MALA INFANTIL</t>
  </si>
  <si>
    <t>LANCHEIRA</t>
  </si>
  <si>
    <t>ACESSÓRIOS DE VÍDEO</t>
  </si>
  <si>
    <t>ANTENA</t>
  </si>
  <si>
    <t>APARELHO DVD</t>
  </si>
  <si>
    <t>CONJUNTO SEGURANÇA RESIDENCIAL</t>
  </si>
  <si>
    <t>FILMADORA</t>
  </si>
  <si>
    <t>RECEPTOR ANTENA</t>
  </si>
  <si>
    <t>DVD PLAYER P/ AUTO</t>
  </si>
  <si>
    <t>APARELHO BLU-RAY</t>
  </si>
  <si>
    <t>DISPOSITIVOS STREAMING DE MÍDIA</t>
  </si>
  <si>
    <t>GRAVADOR/CONVERSOR</t>
  </si>
  <si>
    <t>TV LED DE 16 À 20 POLEGADAS</t>
  </si>
  <si>
    <t>TV LED DE 21 À 24 POLEGADAS</t>
  </si>
  <si>
    <t>TV LED DE 25 À 29 POLEGADAS</t>
  </si>
  <si>
    <t>TV LED DE 32 POLEGADAS</t>
  </si>
  <si>
    <t>TV LED DE 37 À 39 POLEGADAS</t>
  </si>
  <si>
    <t>TV LED DE 40 À 43 POLEGADAS</t>
  </si>
  <si>
    <t>TV LED DE 48 À 54 POLEGADAS</t>
  </si>
  <si>
    <t>TV LED ACIMA DE 65"</t>
  </si>
  <si>
    <t>TV 4K ATÉ 59 POLEGADAS</t>
  </si>
  <si>
    <t>TV 4K DE 60 À 69 POLEGADAS</t>
  </si>
  <si>
    <t>TV 4K ACIMA DE 69 POLEGADAS</t>
  </si>
  <si>
    <t>TV OLED / QLED</t>
  </si>
  <si>
    <t>TV PROJETOR</t>
  </si>
  <si>
    <t>ACESSÓRIOS DIVERSOS</t>
  </si>
  <si>
    <t>MOUSE GAMER</t>
  </si>
  <si>
    <t>TECLADO GAMER</t>
  </si>
  <si>
    <t>CONTROLE GAMER</t>
  </si>
  <si>
    <t>CADEIRA GAMER</t>
  </si>
  <si>
    <t>HEADSET GAMER</t>
  </si>
  <si>
    <t>MICROFONE STREAMING</t>
  </si>
  <si>
    <t>MOUSE PAD GAMER</t>
  </si>
  <si>
    <t>VOLANTE CAMBIO/GAMER</t>
  </si>
  <si>
    <t>CONSOLE XBOX</t>
  </si>
  <si>
    <t>CONSOLE PLAYSTATION</t>
  </si>
  <si>
    <t>CONSOLE NINTENDO</t>
  </si>
  <si>
    <t>CONSOLE PORTÁTIL</t>
  </si>
  <si>
    <t>JOGOS XBOX</t>
  </si>
  <si>
    <t>JOGOS PLAYSTATION</t>
  </si>
  <si>
    <t>JOGOS NINTENDO</t>
  </si>
  <si>
    <t>NOTEBOOK GAMER</t>
  </si>
  <si>
    <t>DESKTOP GAMER</t>
  </si>
  <si>
    <t>MONITOR GAMER</t>
  </si>
  <si>
    <t>ACESSÓRIOS SMART</t>
  </si>
  <si>
    <t>CÂMERAS DE MONITORAMENTO</t>
  </si>
  <si>
    <t>PORTEIRO ELETRÔNICO</t>
  </si>
  <si>
    <t>VÍDEO PORTEIRO</t>
  </si>
  <si>
    <t>FECHADURAS ELETRÔNICAS</t>
  </si>
  <si>
    <t>SISTEMA DE SEGURANÇA</t>
  </si>
  <si>
    <t>PLUG SMART</t>
  </si>
  <si>
    <t>LÂMPADA SMART</t>
  </si>
  <si>
    <t>ACESSÓRIOS PARA PET</t>
  </si>
  <si>
    <t>HIGIENE/BELEZA PARA PET</t>
  </si>
  <si>
    <t>TRANSPORTE PARA PET</t>
  </si>
  <si>
    <t>CAMA PET</t>
  </si>
  <si>
    <t>ALIMENTOS P/ CÃES</t>
  </si>
  <si>
    <t>ALIMENTOS P/ GATOS</t>
  </si>
  <si>
    <t>ALIMENTOS BÁSICOS</t>
  </si>
  <si>
    <t>CAFÉ DA MANHÃ</t>
  </si>
  <si>
    <t>CESTA BÁSICA</t>
  </si>
  <si>
    <t>ENLATADOS</t>
  </si>
  <si>
    <t>LANCHE</t>
  </si>
  <si>
    <t>TEMPEROS E CONDIMENTOS</t>
  </si>
  <si>
    <t>CESTAS ESPECIAIS</t>
  </si>
  <si>
    <t>CONGELADOS</t>
  </si>
  <si>
    <t>OVOS</t>
  </si>
  <si>
    <t>PÃES</t>
  </si>
  <si>
    <t>REFRIGERADOS</t>
  </si>
  <si>
    <t>ACHOCOLATADOS</t>
  </si>
  <si>
    <t>ÁGUA</t>
  </si>
  <si>
    <t>BEBIDA ALCÓLICA</t>
  </si>
  <si>
    <t>REFRIGERANTES</t>
  </si>
  <si>
    <t>SUCOS</t>
  </si>
  <si>
    <t>UTENSÍLIOS DE LIMPEZA</t>
  </si>
  <si>
    <t>LIMPEZA PESADA</t>
  </si>
  <si>
    <t>LIMPEZA DE COZINHA</t>
  </si>
  <si>
    <t>LIMPEZA DE ROUPAS</t>
  </si>
  <si>
    <t>LIMPEZA DE CHÃO E SUPERFÍCIE</t>
  </si>
  <si>
    <t>CESTA DE LIMPEZA</t>
  </si>
  <si>
    <t>UTILIDADES 1</t>
  </si>
  <si>
    <t>DESCARTÁVEIS</t>
  </si>
  <si>
    <t>INSETICIDA</t>
  </si>
  <si>
    <t>BANHO</t>
  </si>
  <si>
    <t>HIGIENE BUCAL</t>
  </si>
  <si>
    <t>GERIÁTRICO</t>
  </si>
  <si>
    <t>HIGIENE INFANTIL</t>
  </si>
  <si>
    <t>HIGIENE FEMININA</t>
  </si>
  <si>
    <t>HIGIENE MASCULINA</t>
  </si>
  <si>
    <t>FILTRO DE ÁGUA</t>
  </si>
  <si>
    <t>DUCHA/CHUVEIRO/CAMPAINHA</t>
  </si>
  <si>
    <t>GERADOR DE ENERGIA SOLAR</t>
  </si>
  <si>
    <t>ILUMINAÇÃO SOLAR (MARKETPLACE)</t>
  </si>
  <si>
    <t>BICICLETAS ELÉTRICAS</t>
  </si>
  <si>
    <t>TRICICLOS ELÉTRICOS</t>
  </si>
  <si>
    <t>PATINETES ELÉTRICOS</t>
  </si>
  <si>
    <t>MOTOS ELÉTRICAS</t>
  </si>
  <si>
    <t>BICAMA</t>
  </si>
  <si>
    <t>TORNEIRAS</t>
  </si>
  <si>
    <t>PIAS</t>
  </si>
  <si>
    <t>TOMADA DE SOBREPOR</t>
  </si>
  <si>
    <t>INTERRUPTOR DE SOBREPOR</t>
  </si>
  <si>
    <t>CJ INTER/TOMADA SOBREPOR</t>
  </si>
  <si>
    <t>CAMA AMERICANA SOLTEIRÃO</t>
  </si>
  <si>
    <t>PENTEADEIRA</t>
  </si>
  <si>
    <t>VELA DECORATIVA</t>
  </si>
  <si>
    <t>COLCHÃO SOLTEIRO</t>
  </si>
  <si>
    <t>KIT FORNO DE AÇO</t>
  </si>
  <si>
    <t>MSMU8895974</t>
  </si>
  <si>
    <t>PI-BMO-260615-A</t>
  </si>
  <si>
    <t>PI-BMO-260615-B</t>
  </si>
  <si>
    <t>PI-BMO-260615-C</t>
  </si>
  <si>
    <t>AR COND, JANELA 7.500</t>
  </si>
  <si>
    <t>AR COND, JANELA 10000</t>
  </si>
  <si>
    <t>AR COND, JANELA BAUMON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</si>
</sst>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_-[$$-409]* #,##0.00_ ;_-[$$-409]* \-#,##0.00\ ;_-[$$-409]* &quot;-&quot;??_ ;_-@_ "/>
    <numFmt numFmtId="166" formatCode="_-[$R$-416]\ * #,##0.00_-;\-[$R$-416]\ * #,##0.00_-;_-[$R$-416]\ * &quot;-&quot;??_-;_-@_-"/>
    <numFmt numFmtId="167" formatCode="&quot;R$&quot;\ #,##0.00"/>
    <numFmt numFmtId="168" formatCode="[$$-409]#,##0.0"/>
  </numFmts>
  <fonts count="6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Aptos"/>
      <family val="2"/>
    </font>
    <font>
      <sz val="10"/>
      <color rgb="FFFFFFFF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 Narrow"/>
      <family val="2"/>
      <scheme val="minor"/>
    </font>
    <font>
      <b/>
      <sz val="11"/>
      <color rgb="FF0B4CE3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rgb="FF242424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Calibri"/>
      <family val="2"/>
      <charset val="1"/>
    </font>
    <font>
      <b/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Calibri"/>
      <family val="2"/>
      <charset val="1"/>
    </font>
    <font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b/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3" tint="-0.499984740745262"/>
      <name val="Aptos Narrow"/>
      <family val="2"/>
      <scheme val="minor"/>
    </font>
    <font>
      <sz val="12"/>
      <color rgb="FF000000"/>
      <name val="Aptos Narrow"/>
      <family val="2"/>
    </font>
    <font>
      <b/>
      <sz val="10"/>
      <color rgb="FFFFFFFF"/>
      <name val="Book Antiqua"/>
      <family val="1"/>
    </font>
    <font>
      <sz val="11"/>
      <color rgb="FF383A3C"/>
      <name val="Book Antiqua"/>
      <family val="1"/>
    </font>
    <font>
      <sz val="11"/>
      <color theme="1"/>
      <name val="Book Antiqua"/>
      <family val="1"/>
    </font>
    <font>
      <sz val="10"/>
      <color theme="1"/>
      <name val="Arial"/>
      <family val="2"/>
    </font>
    <font>
      <sz val="11"/>
      <color rgb="FF0B4CE3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  <font>
      <b/>
      <sz val="10"/>
      <color rgb="FFFFFFFF"/>
      <name val="Book Antiqua"/>
      <family val="1"/>
      <charset val="1"/>
    </font>
    <font>
      <sz val="10"/>
      <name val="Arial"/>
      <family val="2"/>
    </font>
    <font>
      <sz val="10"/>
      <color theme="1"/>
      <name val="Calibri"/>
      <family val="2"/>
    </font>
    <font>
      <sz val="11"/>
      <color theme="1"/>
      <name val="Book Antiqua"/>
      <family val="1"/>
      <charset val="1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1">
    <xf numFmtId="0" fontId="0" fillId="0" borderId="0"/>
    <xf numFmtId="0" fontId="12" fillId="0" borderId="0"/>
    <xf numFmtId="0" fontId="19" fillId="0" borderId="0"/>
    <xf numFmtId="44" fontId="19" fillId="0" borderId="0" applyFont="0" applyFill="0" applyBorder="0" applyAlignment="0" applyProtection="0"/>
    <xf numFmtId="43" fontId="62" fillId="0" borderId="0" applyFont="0" applyFill="0" applyBorder="0" applyAlignment="0" applyProtection="0"/>
    <xf numFmtId="0" fontId="62" fillId="0" borderId="0"/>
    <xf numFmtId="0" fontId="19" fillId="0" borderId="0"/>
    <xf numFmtId="0" fontId="63" fillId="0" borderId="0"/>
    <xf numFmtId="41" fontId="19" fillId="0" borderId="0" applyFont="0" applyFill="0" applyBorder="0" applyAlignment="0" applyProtection="0">
      <alignment vertical="center"/>
    </xf>
    <xf numFmtId="168" fontId="19" fillId="0" borderId="0"/>
    <xf numFmtId="168" fontId="19" fillId="0" borderId="0"/>
    <xf numFmtId="168" fontId="19" fillId="0" borderId="0"/>
    <xf numFmtId="41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0" fontId="63" fillId="0" borderId="0"/>
    <xf numFmtId="44" fontId="19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348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2" fillId="3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3" fillId="3" borderId="8" xfId="0" applyFont="1" applyFill="1" applyBorder="1"/>
    <xf numFmtId="0" fontId="3" fillId="0" borderId="3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0" fillId="0" borderId="3" xfId="0" applyBorder="1"/>
    <xf numFmtId="0" fontId="2" fillId="3" borderId="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3" borderId="9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3" fontId="6" fillId="7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3" xfId="0" applyFill="1" applyBorder="1"/>
    <xf numFmtId="0" fontId="6" fillId="7" borderId="3" xfId="0" applyFont="1" applyFill="1" applyBorder="1"/>
    <xf numFmtId="0" fontId="0" fillId="0" borderId="3" xfId="0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6" fillId="9" borderId="3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17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12" borderId="3" xfId="0" applyFont="1" applyFill="1" applyBorder="1" applyAlignment="1">
      <alignment horizontal="center"/>
    </xf>
    <xf numFmtId="0" fontId="21" fillId="12" borderId="3" xfId="0" applyFont="1" applyFill="1" applyBorder="1"/>
    <xf numFmtId="0" fontId="21" fillId="12" borderId="3" xfId="0" applyFont="1" applyFill="1" applyBorder="1" applyAlignment="1">
      <alignment horizontal="center" wrapText="1"/>
    </xf>
    <xf numFmtId="0" fontId="45" fillId="9" borderId="3" xfId="0" applyFont="1" applyFill="1" applyBorder="1"/>
    <xf numFmtId="0" fontId="15" fillId="0" borderId="3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0" fontId="0" fillId="0" borderId="11" xfId="0" applyBorder="1"/>
    <xf numFmtId="0" fontId="0" fillId="14" borderId="0" xfId="0" applyFill="1"/>
    <xf numFmtId="0" fontId="22" fillId="0" borderId="6" xfId="0" applyFont="1" applyBorder="1"/>
    <xf numFmtId="0" fontId="22" fillId="0" borderId="9" xfId="0" applyFont="1" applyBorder="1"/>
    <xf numFmtId="0" fontId="42" fillId="0" borderId="21" xfId="0" applyFont="1" applyBorder="1"/>
    <xf numFmtId="0" fontId="0" fillId="15" borderId="0" xfId="0" applyFill="1"/>
    <xf numFmtId="0" fontId="0" fillId="16" borderId="0" xfId="0" applyFill="1"/>
    <xf numFmtId="1" fontId="0" fillId="7" borderId="4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48" fillId="7" borderId="3" xfId="2" applyFont="1" applyFill="1" applyBorder="1" applyAlignment="1">
      <alignment horizontal="left" vertical="center"/>
    </xf>
    <xf numFmtId="0" fontId="6" fillId="0" borderId="3" xfId="0" applyFont="1" applyBorder="1"/>
    <xf numFmtId="0" fontId="22" fillId="13" borderId="3" xfId="0" applyFont="1" applyFill="1" applyBorder="1" applyAlignment="1">
      <alignment horizontal="center" vertical="center" indent="2"/>
    </xf>
    <xf numFmtId="0" fontId="23" fillId="14" borderId="3" xfId="0" applyFont="1" applyFill="1" applyBorder="1" applyAlignment="1">
      <alignment horizontal="center" vertical="center" indent="2"/>
    </xf>
    <xf numFmtId="0" fontId="24" fillId="14" borderId="3" xfId="0" applyFont="1" applyFill="1" applyBorder="1" applyAlignment="1">
      <alignment horizontal="center" vertical="center" wrapText="1" indent="2"/>
    </xf>
    <xf numFmtId="14" fontId="38" fillId="14" borderId="3" xfId="0" applyNumberFormat="1" applyFont="1" applyFill="1" applyBorder="1" applyAlignment="1">
      <alignment horizontal="center" vertical="center" wrapText="1" indent="2"/>
    </xf>
    <xf numFmtId="14" fontId="25" fillId="14" borderId="3" xfId="0" applyNumberFormat="1" applyFont="1" applyFill="1" applyBorder="1" applyAlignment="1">
      <alignment horizontal="center" vertical="center" indent="2"/>
    </xf>
    <xf numFmtId="0" fontId="26" fillId="14" borderId="3" xfId="0" applyFont="1" applyFill="1" applyBorder="1" applyAlignment="1">
      <alignment horizontal="center" vertical="center" indent="2"/>
    </xf>
    <xf numFmtId="165" fontId="26" fillId="14" borderId="3" xfId="0" applyNumberFormat="1" applyFont="1" applyFill="1" applyBorder="1" applyAlignment="1">
      <alignment horizontal="center" vertical="center" indent="2"/>
    </xf>
    <xf numFmtId="0" fontId="25" fillId="14" borderId="3" xfId="0" applyFont="1" applyFill="1" applyBorder="1" applyAlignment="1">
      <alignment horizontal="center" vertical="center" indent="2"/>
    </xf>
    <xf numFmtId="0" fontId="22" fillId="13" borderId="11" xfId="0" applyFont="1" applyFill="1" applyBorder="1" applyAlignment="1">
      <alignment horizontal="center" vertical="center" indent="2"/>
    </xf>
    <xf numFmtId="0" fontId="23" fillId="14" borderId="11" xfId="0" applyFont="1" applyFill="1" applyBorder="1" applyAlignment="1">
      <alignment horizontal="center" vertical="center" indent="2"/>
    </xf>
    <xf numFmtId="0" fontId="24" fillId="14" borderId="11" xfId="0" applyFont="1" applyFill="1" applyBorder="1" applyAlignment="1">
      <alignment horizontal="center" vertical="center" wrapText="1" indent="2"/>
    </xf>
    <xf numFmtId="14" fontId="25" fillId="14" borderId="11" xfId="0" applyNumberFormat="1" applyFont="1" applyFill="1" applyBorder="1" applyAlignment="1">
      <alignment horizontal="center" vertical="center" indent="2"/>
    </xf>
    <xf numFmtId="0" fontId="26" fillId="14" borderId="11" xfId="0" applyFont="1" applyFill="1" applyBorder="1" applyAlignment="1">
      <alignment horizontal="center" vertical="center" indent="2"/>
    </xf>
    <xf numFmtId="165" fontId="26" fillId="14" borderId="11" xfId="0" applyNumberFormat="1" applyFont="1" applyFill="1" applyBorder="1" applyAlignment="1">
      <alignment horizontal="center" vertical="center" indent="2"/>
    </xf>
    <xf numFmtId="0" fontId="25" fillId="14" borderId="11" xfId="0" applyFont="1" applyFill="1" applyBorder="1" applyAlignment="1">
      <alignment horizontal="center" vertical="center" indent="2"/>
    </xf>
    <xf numFmtId="0" fontId="27" fillId="14" borderId="3" xfId="0" applyFont="1" applyFill="1" applyBorder="1" applyAlignment="1">
      <alignment horizontal="center" vertical="center" indent="2"/>
    </xf>
    <xf numFmtId="0" fontId="28" fillId="14" borderId="3" xfId="0" applyFont="1" applyFill="1" applyBorder="1" applyAlignment="1">
      <alignment horizontal="center" vertical="center" wrapText="1" indent="2"/>
    </xf>
    <xf numFmtId="14" fontId="29" fillId="14" borderId="3" xfId="0" applyNumberFormat="1" applyFont="1" applyFill="1" applyBorder="1" applyAlignment="1">
      <alignment horizontal="center" vertical="center" indent="2"/>
    </xf>
    <xf numFmtId="0" fontId="30" fillId="14" borderId="3" xfId="0" applyFont="1" applyFill="1" applyBorder="1" applyAlignment="1">
      <alignment horizontal="center" vertical="center" indent="2"/>
    </xf>
    <xf numFmtId="165" fontId="30" fillId="14" borderId="3" xfId="0" applyNumberFormat="1" applyFont="1" applyFill="1" applyBorder="1" applyAlignment="1">
      <alignment horizontal="center" vertical="center" indent="2"/>
    </xf>
    <xf numFmtId="0" fontId="29" fillId="14" borderId="3" xfId="0" applyFont="1" applyFill="1" applyBorder="1" applyAlignment="1">
      <alignment horizontal="center" vertical="center" indent="2"/>
    </xf>
    <xf numFmtId="0" fontId="31" fillId="14" borderId="3" xfId="0" applyFont="1" applyFill="1" applyBorder="1" applyAlignment="1">
      <alignment horizontal="center" vertical="center" wrapText="1" indent="2"/>
    </xf>
    <xf numFmtId="165" fontId="31" fillId="14" borderId="3" xfId="0" applyNumberFormat="1" applyFont="1" applyFill="1" applyBorder="1" applyAlignment="1">
      <alignment horizontal="center" vertical="center" wrapText="1" indent="2"/>
    </xf>
    <xf numFmtId="0" fontId="26" fillId="14" borderId="3" xfId="0" applyFont="1" applyFill="1" applyBorder="1" applyAlignment="1">
      <alignment horizontal="center" vertical="center" wrapText="1" indent="2"/>
    </xf>
    <xf numFmtId="0" fontId="32" fillId="14" borderId="3" xfId="0" applyFont="1" applyFill="1" applyBorder="1" applyAlignment="1">
      <alignment horizontal="center" vertical="center" indent="2"/>
    </xf>
    <xf numFmtId="165" fontId="25" fillId="14" borderId="3" xfId="0" applyNumberFormat="1" applyFont="1" applyFill="1" applyBorder="1" applyAlignment="1">
      <alignment horizontal="center" vertical="center" indent="2"/>
    </xf>
    <xf numFmtId="0" fontId="22" fillId="14" borderId="3" xfId="0" applyFont="1" applyFill="1" applyBorder="1" applyAlignment="1">
      <alignment horizontal="center" vertical="center" indent="2"/>
    </xf>
    <xf numFmtId="0" fontId="33" fillId="14" borderId="3" xfId="0" applyFont="1" applyFill="1" applyBorder="1" applyAlignment="1">
      <alignment horizontal="center" vertical="center" wrapText="1" indent="2"/>
    </xf>
    <xf numFmtId="14" fontId="34" fillId="14" borderId="3" xfId="0" applyNumberFormat="1" applyFont="1" applyFill="1" applyBorder="1" applyAlignment="1">
      <alignment horizontal="center" vertical="center" indent="2"/>
    </xf>
    <xf numFmtId="0" fontId="35" fillId="14" borderId="3" xfId="0" applyFont="1" applyFill="1" applyBorder="1" applyAlignment="1">
      <alignment horizontal="center" vertical="center" indent="2"/>
    </xf>
    <xf numFmtId="14" fontId="35" fillId="14" borderId="3" xfId="0" applyNumberFormat="1" applyFont="1" applyFill="1" applyBorder="1" applyAlignment="1">
      <alignment horizontal="center" vertical="center" indent="2"/>
    </xf>
    <xf numFmtId="0" fontId="36" fillId="14" borderId="3" xfId="0" applyFont="1" applyFill="1" applyBorder="1" applyAlignment="1">
      <alignment horizontal="center" vertical="center" indent="2"/>
    </xf>
    <xf numFmtId="0" fontId="21" fillId="14" borderId="3" xfId="0" applyFont="1" applyFill="1" applyBorder="1" applyAlignment="1">
      <alignment horizontal="center" vertical="center" wrapText="1" indent="2"/>
    </xf>
    <xf numFmtId="0" fontId="37" fillId="14" borderId="3" xfId="0" quotePrefix="1" applyFont="1" applyFill="1" applyBorder="1" applyAlignment="1">
      <alignment horizontal="center" vertical="center" indent="2"/>
    </xf>
    <xf numFmtId="14" fontId="22" fillId="14" borderId="3" xfId="0" applyNumberFormat="1" applyFont="1" applyFill="1" applyBorder="1" applyAlignment="1">
      <alignment horizontal="center" vertical="center" indent="2"/>
    </xf>
    <xf numFmtId="165" fontId="22" fillId="14" borderId="3" xfId="0" applyNumberFormat="1" applyFont="1" applyFill="1" applyBorder="1" applyAlignment="1">
      <alignment horizontal="center" vertical="center" indent="2"/>
    </xf>
    <xf numFmtId="14" fontId="44" fillId="14" borderId="3" xfId="0" applyNumberFormat="1" applyFont="1" applyFill="1" applyBorder="1" applyAlignment="1">
      <alignment horizontal="center" vertical="center" wrapText="1" indent="2"/>
    </xf>
    <xf numFmtId="14" fontId="38" fillId="14" borderId="3" xfId="0" applyNumberFormat="1" applyFont="1" applyFill="1" applyBorder="1" applyAlignment="1">
      <alignment horizontal="center" vertical="center" indent="2"/>
    </xf>
    <xf numFmtId="0" fontId="34" fillId="14" borderId="3" xfId="0" applyFont="1" applyFill="1" applyBorder="1" applyAlignment="1">
      <alignment horizontal="center" vertical="center" indent="2"/>
    </xf>
    <xf numFmtId="0" fontId="39" fillId="14" borderId="3" xfId="0" applyFont="1" applyFill="1" applyBorder="1" applyAlignment="1">
      <alignment horizontal="center" vertical="center" wrapText="1" indent="2"/>
    </xf>
    <xf numFmtId="14" fontId="41" fillId="14" borderId="3" xfId="0" applyNumberFormat="1" applyFont="1" applyFill="1" applyBorder="1" applyAlignment="1">
      <alignment horizontal="center" vertical="center" wrapText="1" indent="2"/>
    </xf>
    <xf numFmtId="14" fontId="40" fillId="14" borderId="3" xfId="0" applyNumberFormat="1" applyFont="1" applyFill="1" applyBorder="1" applyAlignment="1">
      <alignment horizontal="center" vertical="center" indent="2"/>
    </xf>
    <xf numFmtId="14" fontId="41" fillId="14" borderId="3" xfId="0" applyNumberFormat="1" applyFont="1" applyFill="1" applyBorder="1" applyAlignment="1">
      <alignment horizontal="center" vertical="center" indent="2"/>
    </xf>
    <xf numFmtId="165" fontId="41" fillId="14" borderId="3" xfId="0" applyNumberFormat="1" applyFont="1" applyFill="1" applyBorder="1" applyAlignment="1">
      <alignment horizontal="center" vertical="center" indent="2"/>
    </xf>
    <xf numFmtId="14" fontId="0" fillId="14" borderId="3" xfId="0" applyNumberFormat="1" applyFill="1" applyBorder="1" applyAlignment="1">
      <alignment horizontal="center" vertical="center" indent="2"/>
    </xf>
    <xf numFmtId="0" fontId="0" fillId="14" borderId="3" xfId="0" applyFill="1" applyBorder="1" applyAlignment="1">
      <alignment horizontal="center" vertical="center" indent="2"/>
    </xf>
    <xf numFmtId="165" fontId="0" fillId="14" borderId="3" xfId="0" applyNumberFormat="1" applyFill="1" applyBorder="1" applyAlignment="1">
      <alignment horizontal="center" vertical="center" indent="2"/>
    </xf>
    <xf numFmtId="0" fontId="22" fillId="15" borderId="3" xfId="0" applyFont="1" applyFill="1" applyBorder="1" applyAlignment="1">
      <alignment horizontal="center" vertical="center" indent="2"/>
    </xf>
    <xf numFmtId="0" fontId="28" fillId="15" borderId="3" xfId="0" applyFont="1" applyFill="1" applyBorder="1" applyAlignment="1">
      <alignment horizontal="center" vertical="center" wrapText="1" indent="2"/>
    </xf>
    <xf numFmtId="14" fontId="40" fillId="15" borderId="3" xfId="0" applyNumberFormat="1" applyFont="1" applyFill="1" applyBorder="1" applyAlignment="1">
      <alignment horizontal="center" vertical="center" wrapText="1" indent="2"/>
    </xf>
    <xf numFmtId="14" fontId="38" fillId="15" borderId="3" xfId="0" applyNumberFormat="1" applyFont="1" applyFill="1" applyBorder="1" applyAlignment="1">
      <alignment horizontal="center" vertical="center" indent="2"/>
    </xf>
    <xf numFmtId="14" fontId="0" fillId="15" borderId="3" xfId="0" applyNumberFormat="1" applyFill="1" applyBorder="1" applyAlignment="1">
      <alignment horizontal="center" vertical="center" indent="2"/>
    </xf>
    <xf numFmtId="0" fontId="0" fillId="15" borderId="3" xfId="0" applyFill="1" applyBorder="1" applyAlignment="1">
      <alignment horizontal="center" vertical="center" indent="2"/>
    </xf>
    <xf numFmtId="165" fontId="0" fillId="15" borderId="3" xfId="0" applyNumberFormat="1" applyFill="1" applyBorder="1" applyAlignment="1">
      <alignment horizontal="center" vertical="center" indent="2"/>
    </xf>
    <xf numFmtId="14" fontId="46" fillId="15" borderId="3" xfId="0" applyNumberFormat="1" applyFont="1" applyFill="1" applyBorder="1" applyAlignment="1">
      <alignment horizontal="center" vertical="center" indent="2"/>
    </xf>
    <xf numFmtId="0" fontId="0" fillId="16" borderId="3" xfId="0" applyFill="1" applyBorder="1" applyAlignment="1">
      <alignment horizontal="center" vertical="center" indent="2"/>
    </xf>
    <xf numFmtId="0" fontId="22" fillId="16" borderId="3" xfId="0" applyFont="1" applyFill="1" applyBorder="1" applyAlignment="1">
      <alignment horizontal="center" vertical="center" indent="2"/>
    </xf>
    <xf numFmtId="0" fontId="24" fillId="16" borderId="8" xfId="0" applyFont="1" applyFill="1" applyBorder="1" applyAlignment="1">
      <alignment horizontal="center" vertical="center" wrapText="1" indent="2"/>
    </xf>
    <xf numFmtId="14" fontId="0" fillId="16" borderId="3" xfId="0" applyNumberFormat="1" applyFill="1" applyBorder="1" applyAlignment="1">
      <alignment horizontal="center" vertical="center" indent="2"/>
    </xf>
    <xf numFmtId="0" fontId="24" fillId="15" borderId="8" xfId="0" applyFont="1" applyFill="1" applyBorder="1" applyAlignment="1">
      <alignment horizontal="center" vertical="center" wrapText="1" indent="2"/>
    </xf>
    <xf numFmtId="14" fontId="0" fillId="15" borderId="11" xfId="0" applyNumberFormat="1" applyFill="1" applyBorder="1" applyAlignment="1">
      <alignment horizontal="center" vertical="center" indent="2"/>
    </xf>
    <xf numFmtId="0" fontId="1" fillId="16" borderId="3" xfId="0" applyFont="1" applyFill="1" applyBorder="1" applyAlignment="1">
      <alignment horizontal="center" vertical="center" indent="2"/>
    </xf>
    <xf numFmtId="0" fontId="24" fillId="16" borderId="12" xfId="0" applyFont="1" applyFill="1" applyBorder="1" applyAlignment="1">
      <alignment horizontal="center" vertical="center" wrapText="1" indent="2"/>
    </xf>
    <xf numFmtId="0" fontId="1" fillId="16" borderId="11" xfId="0" applyFont="1" applyFill="1" applyBorder="1" applyAlignment="1">
      <alignment horizontal="center" vertical="center" indent="2"/>
    </xf>
    <xf numFmtId="165" fontId="1" fillId="16" borderId="11" xfId="0" applyNumberFormat="1" applyFont="1" applyFill="1" applyBorder="1" applyAlignment="1">
      <alignment horizontal="center" vertical="center" indent="2"/>
    </xf>
    <xf numFmtId="0" fontId="0" fillId="16" borderId="11" xfId="0" applyFill="1" applyBorder="1" applyAlignment="1">
      <alignment horizontal="center" vertical="center" indent="2"/>
    </xf>
    <xf numFmtId="0" fontId="1" fillId="16" borderId="8" xfId="0" applyFont="1" applyFill="1" applyBorder="1" applyAlignment="1">
      <alignment horizontal="center" vertical="center" indent="2"/>
    </xf>
    <xf numFmtId="165" fontId="1" fillId="16" borderId="3" xfId="0" applyNumberFormat="1" applyFont="1" applyFill="1" applyBorder="1" applyAlignment="1">
      <alignment horizontal="center" vertical="center" indent="2"/>
    </xf>
    <xf numFmtId="0" fontId="1" fillId="15" borderId="3" xfId="0" applyFont="1" applyFill="1" applyBorder="1" applyAlignment="1">
      <alignment horizontal="center" vertical="center" indent="2"/>
    </xf>
    <xf numFmtId="0" fontId="1" fillId="15" borderId="8" xfId="0" applyFont="1" applyFill="1" applyBorder="1" applyAlignment="1">
      <alignment horizontal="center" vertical="center" indent="2"/>
    </xf>
    <xf numFmtId="165" fontId="1" fillId="15" borderId="3" xfId="0" applyNumberFormat="1" applyFont="1" applyFill="1" applyBorder="1" applyAlignment="1">
      <alignment horizontal="center" vertical="center" indent="2"/>
    </xf>
    <xf numFmtId="14" fontId="0" fillId="16" borderId="8" xfId="0" applyNumberFormat="1" applyFill="1" applyBorder="1" applyAlignment="1">
      <alignment horizontal="center" vertical="center" indent="2"/>
    </xf>
    <xf numFmtId="14" fontId="1" fillId="15" borderId="3" xfId="0" applyNumberFormat="1" applyFont="1" applyFill="1" applyBorder="1" applyAlignment="1">
      <alignment horizontal="center" vertical="center" indent="2"/>
    </xf>
    <xf numFmtId="0" fontId="0" fillId="15" borderId="11" xfId="0" applyFill="1" applyBorder="1" applyAlignment="1">
      <alignment horizontal="center" vertical="center" indent="2"/>
    </xf>
    <xf numFmtId="0" fontId="1" fillId="15" borderId="11" xfId="0" applyFont="1" applyFill="1" applyBorder="1" applyAlignment="1">
      <alignment horizontal="center" vertical="center" indent="2"/>
    </xf>
    <xf numFmtId="0" fontId="1" fillId="15" borderId="12" xfId="0" applyFont="1" applyFill="1" applyBorder="1" applyAlignment="1">
      <alignment horizontal="center" vertical="center" indent="2"/>
    </xf>
    <xf numFmtId="165" fontId="1" fillId="15" borderId="11" xfId="0" applyNumberFormat="1" applyFont="1" applyFill="1" applyBorder="1" applyAlignment="1">
      <alignment horizontal="center" vertical="center" indent="2"/>
    </xf>
    <xf numFmtId="165" fontId="0" fillId="15" borderId="11" xfId="0" applyNumberFormat="1" applyFill="1" applyBorder="1" applyAlignment="1">
      <alignment horizontal="center" vertical="center" indent="2"/>
    </xf>
    <xf numFmtId="0" fontId="0" fillId="16" borderId="12" xfId="0" applyFill="1" applyBorder="1" applyAlignment="1">
      <alignment horizontal="center" vertical="center" indent="2"/>
    </xf>
    <xf numFmtId="14" fontId="0" fillId="16" borderId="11" xfId="0" applyNumberFormat="1" applyFill="1" applyBorder="1" applyAlignment="1">
      <alignment horizontal="center" vertical="center" indent="2"/>
    </xf>
    <xf numFmtId="165" fontId="0" fillId="16" borderId="11" xfId="0" applyNumberFormat="1" applyFill="1" applyBorder="1" applyAlignment="1">
      <alignment horizontal="center" vertical="center" indent="2"/>
    </xf>
    <xf numFmtId="0" fontId="21" fillId="15" borderId="12" xfId="0" applyFont="1" applyFill="1" applyBorder="1" applyAlignment="1">
      <alignment horizontal="center" vertical="center" wrapText="1" indent="2"/>
    </xf>
    <xf numFmtId="0" fontId="1" fillId="16" borderId="20" xfId="0" applyFont="1" applyFill="1" applyBorder="1" applyAlignment="1">
      <alignment horizontal="center" vertical="center" indent="2"/>
    </xf>
    <xf numFmtId="14" fontId="0" fillId="15" borderId="8" xfId="0" applyNumberFormat="1" applyFill="1" applyBorder="1" applyAlignment="1">
      <alignment horizontal="center" vertical="center" indent="2"/>
    </xf>
    <xf numFmtId="0" fontId="1" fillId="15" borderId="20" xfId="0" applyFont="1" applyFill="1" applyBorder="1" applyAlignment="1">
      <alignment horizontal="center" vertical="center" indent="2"/>
    </xf>
    <xf numFmtId="14" fontId="1" fillId="16" borderId="3" xfId="0" applyNumberFormat="1" applyFont="1" applyFill="1" applyBorder="1" applyAlignment="1">
      <alignment horizontal="center" vertical="center" indent="2"/>
    </xf>
    <xf numFmtId="16" fontId="43" fillId="16" borderId="8" xfId="0" applyNumberFormat="1" applyFont="1" applyFill="1" applyBorder="1" applyAlignment="1">
      <alignment horizontal="center" vertical="center" indent="2"/>
    </xf>
    <xf numFmtId="14" fontId="46" fillId="16" borderId="11" xfId="0" applyNumberFormat="1" applyFont="1" applyFill="1" applyBorder="1" applyAlignment="1">
      <alignment horizontal="center" vertical="center" indent="2"/>
    </xf>
    <xf numFmtId="14" fontId="40" fillId="14" borderId="3" xfId="0" applyNumberFormat="1" applyFont="1" applyFill="1" applyBorder="1" applyAlignment="1">
      <alignment horizontal="center" vertical="center" wrapText="1" indent="2"/>
    </xf>
    <xf numFmtId="0" fontId="49" fillId="0" borderId="3" xfId="0" applyFont="1" applyBorder="1"/>
    <xf numFmtId="0" fontId="6" fillId="0" borderId="3" xfId="0" applyFont="1" applyBorder="1" applyAlignment="1">
      <alignment horizontal="left" vertical="center"/>
    </xf>
    <xf numFmtId="0" fontId="18" fillId="11" borderId="3" xfId="0" applyFont="1" applyFill="1" applyBorder="1"/>
    <xf numFmtId="0" fontId="6" fillId="0" borderId="3" xfId="0" applyFont="1" applyBorder="1" applyAlignment="1">
      <alignment horizontal="left" vertical="center" wrapText="1"/>
    </xf>
    <xf numFmtId="0" fontId="38" fillId="7" borderId="3" xfId="0" applyFont="1" applyFill="1" applyBorder="1"/>
    <xf numFmtId="0" fontId="20" fillId="17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0" fillId="19" borderId="0" xfId="0" applyFill="1"/>
    <xf numFmtId="0" fontId="45" fillId="19" borderId="0" xfId="0" applyFont="1" applyFill="1"/>
    <xf numFmtId="0" fontId="11" fillId="19" borderId="2" xfId="0" applyFont="1" applyFill="1" applyBorder="1" applyAlignment="1">
      <alignment horizontal="center" vertical="center" wrapText="1"/>
    </xf>
    <xf numFmtId="14" fontId="11" fillId="19" borderId="3" xfId="0" applyNumberFormat="1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0" fontId="45" fillId="19" borderId="3" xfId="0" applyFont="1" applyFill="1" applyBorder="1"/>
    <xf numFmtId="0" fontId="0" fillId="0" borderId="23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1" fillId="20" borderId="2" xfId="0" applyFont="1" applyFill="1" applyBorder="1" applyAlignment="1">
      <alignment horizontal="center" vertical="center" wrapText="1"/>
    </xf>
    <xf numFmtId="0" fontId="45" fillId="20" borderId="0" xfId="0" applyFont="1" applyFill="1"/>
    <xf numFmtId="0" fontId="47" fillId="0" borderId="4" xfId="1" applyFont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/>
    </xf>
    <xf numFmtId="0" fontId="11" fillId="18" borderId="0" xfId="0" applyFont="1" applyFill="1" applyAlignment="1">
      <alignment horizontal="center" vertical="center" wrapText="1"/>
    </xf>
    <xf numFmtId="0" fontId="11" fillId="18" borderId="25" xfId="0" applyFont="1" applyFill="1" applyBorder="1" applyAlignment="1">
      <alignment horizontal="center" vertical="center" wrapText="1"/>
    </xf>
    <xf numFmtId="14" fontId="11" fillId="20" borderId="0" xfId="0" applyNumberFormat="1" applyFont="1" applyFill="1" applyAlignment="1">
      <alignment horizontal="center" vertical="center" wrapText="1"/>
    </xf>
    <xf numFmtId="14" fontId="11" fillId="19" borderId="2" xfId="0" applyNumberFormat="1" applyFont="1" applyFill="1" applyBorder="1" applyAlignment="1">
      <alignment horizontal="center" vertical="center" wrapText="1"/>
    </xf>
    <xf numFmtId="0" fontId="48" fillId="7" borderId="3" xfId="2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14" fontId="45" fillId="20" borderId="0" xfId="0" applyNumberFormat="1" applyFont="1" applyFill="1" applyAlignment="1">
      <alignment horizontal="center" vertical="center"/>
    </xf>
    <xf numFmtId="0" fontId="57" fillId="21" borderId="27" xfId="0" applyFont="1" applyFill="1" applyBorder="1"/>
    <xf numFmtId="0" fontId="57" fillId="21" borderId="28" xfId="0" applyFont="1" applyFill="1" applyBorder="1"/>
    <xf numFmtId="0" fontId="13" fillId="22" borderId="27" xfId="0" applyFont="1" applyFill="1" applyBorder="1"/>
    <xf numFmtId="0" fontId="13" fillId="22" borderId="28" xfId="0" applyFont="1" applyFill="1" applyBorder="1"/>
    <xf numFmtId="0" fontId="13" fillId="0" borderId="27" xfId="0" applyFont="1" applyBorder="1"/>
    <xf numFmtId="0" fontId="13" fillId="0" borderId="28" xfId="0" applyFont="1" applyBorder="1"/>
    <xf numFmtId="166" fontId="0" fillId="0" borderId="0" xfId="0" applyNumberFormat="1"/>
    <xf numFmtId="0" fontId="50" fillId="0" borderId="11" xfId="0" applyFont="1" applyBorder="1" applyAlignment="1">
      <alignment horizontal="center" vertical="center" wrapText="1" readingOrder="1"/>
    </xf>
    <xf numFmtId="0" fontId="50" fillId="0" borderId="12" xfId="0" applyFont="1" applyBorder="1" applyAlignment="1">
      <alignment horizontal="center" vertical="center" wrapText="1" readingOrder="1"/>
    </xf>
    <xf numFmtId="0" fontId="50" fillId="0" borderId="26" xfId="0" applyFont="1" applyBorder="1" applyAlignment="1">
      <alignment horizontal="center" vertical="center" wrapText="1" readingOrder="1"/>
    </xf>
    <xf numFmtId="0" fontId="50" fillId="0" borderId="0" xfId="0" applyFont="1" applyAlignment="1">
      <alignment horizontal="center" vertical="center" wrapText="1" readingOrder="1"/>
    </xf>
    <xf numFmtId="0" fontId="51" fillId="0" borderId="3" xfId="0" applyFont="1" applyBorder="1" applyAlignment="1">
      <alignment horizontal="center" vertical="center" readingOrder="1"/>
    </xf>
    <xf numFmtId="0" fontId="52" fillId="0" borderId="3" xfId="0" applyFont="1" applyBorder="1" applyAlignment="1">
      <alignment horizontal="center" vertical="center" readingOrder="1"/>
    </xf>
    <xf numFmtId="43" fontId="51" fillId="0" borderId="3" xfId="0" applyNumberFormat="1" applyFont="1" applyBorder="1" applyAlignment="1">
      <alignment horizontal="center" vertical="center" readingOrder="1"/>
    </xf>
    <xf numFmtId="165" fontId="52" fillId="0" borderId="3" xfId="0" applyNumberFormat="1" applyFont="1" applyBorder="1" applyAlignment="1">
      <alignment horizontal="center" vertical="center" readingOrder="1"/>
    </xf>
    <xf numFmtId="166" fontId="52" fillId="0" borderId="3" xfId="0" applyNumberFormat="1" applyFont="1" applyBorder="1" applyAlignment="1">
      <alignment horizontal="center" vertical="center" readingOrder="1"/>
    </xf>
    <xf numFmtId="4" fontId="51" fillId="0" borderId="3" xfId="0" applyNumberFormat="1" applyFont="1" applyBorder="1" applyAlignment="1">
      <alignment horizontal="center" vertical="center" readingOrder="1"/>
    </xf>
    <xf numFmtId="166" fontId="51" fillId="0" borderId="3" xfId="0" applyNumberFormat="1" applyFont="1" applyBorder="1" applyAlignment="1">
      <alignment horizontal="center" vertical="center" readingOrder="1"/>
    </xf>
    <xf numFmtId="9" fontId="52" fillId="0" borderId="3" xfId="0" applyNumberFormat="1" applyFont="1" applyBorder="1" applyAlignment="1">
      <alignment horizontal="center" vertical="center" readingOrder="1"/>
    </xf>
    <xf numFmtId="14" fontId="52" fillId="0" borderId="3" xfId="0" applyNumberFormat="1" applyFont="1" applyBorder="1" applyAlignment="1">
      <alignment horizontal="center" vertical="center" readingOrder="1"/>
    </xf>
    <xf numFmtId="0" fontId="22" fillId="0" borderId="3" xfId="0" applyFont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 readingOrder="1"/>
    </xf>
    <xf numFmtId="0" fontId="52" fillId="0" borderId="11" xfId="0" applyFont="1" applyBorder="1" applyAlignment="1">
      <alignment horizontal="center" vertical="center" readingOrder="1"/>
    </xf>
    <xf numFmtId="165" fontId="52" fillId="0" borderId="11" xfId="0" applyNumberFormat="1" applyFont="1" applyBorder="1" applyAlignment="1">
      <alignment horizontal="center" vertical="center" readingOrder="1"/>
    </xf>
    <xf numFmtId="0" fontId="38" fillId="0" borderId="3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readingOrder="1"/>
    </xf>
    <xf numFmtId="0" fontId="61" fillId="0" borderId="0" xfId="0" applyFont="1" applyAlignment="1">
      <alignment horizontal="center" vertical="center" wrapText="1" readingOrder="1"/>
    </xf>
    <xf numFmtId="0" fontId="64" fillId="0" borderId="3" xfId="0" applyFont="1" applyBorder="1" applyAlignment="1">
      <alignment horizontal="center" vertical="center" readingOrder="1"/>
    </xf>
    <xf numFmtId="49" fontId="64" fillId="0" borderId="3" xfId="0" applyNumberFormat="1" applyFont="1" applyBorder="1" applyAlignment="1">
      <alignment horizontal="center" vertical="center" readingOrder="1"/>
    </xf>
    <xf numFmtId="0" fontId="3" fillId="0" borderId="3" xfId="0" applyFont="1" applyBorder="1"/>
    <xf numFmtId="0" fontId="54" fillId="10" borderId="1" xfId="0" applyFont="1" applyFill="1" applyBorder="1" applyAlignment="1">
      <alignment horizontal="center" vertical="center"/>
    </xf>
    <xf numFmtId="0" fontId="54" fillId="10" borderId="1" xfId="0" applyFont="1" applyFill="1" applyBorder="1" applyAlignment="1">
      <alignment horizontal="center" vertical="center" wrapText="1"/>
    </xf>
    <xf numFmtId="166" fontId="54" fillId="10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3" fontId="0" fillId="0" borderId="3" xfId="0" applyNumberFormat="1" applyBorder="1"/>
    <xf numFmtId="165" fontId="55" fillId="0" borderId="3" xfId="1" applyNumberFormat="1" applyFont="1" applyBorder="1"/>
    <xf numFmtId="166" fontId="55" fillId="0" borderId="3" xfId="1" applyNumberFormat="1" applyFont="1" applyBorder="1"/>
    <xf numFmtId="166" fontId="56" fillId="0" borderId="3" xfId="1" applyNumberFormat="1" applyFont="1" applyBorder="1" applyAlignment="1">
      <alignment horizontal="center" vertical="center"/>
    </xf>
    <xf numFmtId="10" fontId="56" fillId="0" borderId="3" xfId="1" applyNumberFormat="1" applyFont="1" applyBorder="1" applyAlignment="1">
      <alignment horizontal="center" vertical="center"/>
    </xf>
    <xf numFmtId="167" fontId="56" fillId="0" borderId="3" xfId="1" applyNumberFormat="1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11" xfId="0" applyBorder="1" applyAlignment="1">
      <alignment horizontal="left"/>
    </xf>
    <xf numFmtId="3" fontId="0" fillId="0" borderId="11" xfId="0" applyNumberFormat="1" applyBorder="1"/>
    <xf numFmtId="165" fontId="55" fillId="0" borderId="11" xfId="1" applyNumberFormat="1" applyFont="1" applyBorder="1"/>
    <xf numFmtId="166" fontId="55" fillId="0" borderId="11" xfId="1" applyNumberFormat="1" applyFont="1" applyBorder="1"/>
    <xf numFmtId="166" fontId="56" fillId="0" borderId="11" xfId="1" applyNumberFormat="1" applyFont="1" applyBorder="1" applyAlignment="1">
      <alignment horizontal="center" vertical="center"/>
    </xf>
    <xf numFmtId="10" fontId="56" fillId="0" borderId="11" xfId="1" applyNumberFormat="1" applyFont="1" applyBorder="1" applyAlignment="1">
      <alignment horizontal="center" vertical="center"/>
    </xf>
    <xf numFmtId="167" fontId="56" fillId="0" borderId="11" xfId="1" applyNumberFormat="1" applyFon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165" fontId="55" fillId="0" borderId="1" xfId="1" applyNumberFormat="1" applyFont="1" applyBorder="1"/>
    <xf numFmtId="166" fontId="55" fillId="0" borderId="1" xfId="1" applyNumberFormat="1" applyFont="1" applyBorder="1"/>
    <xf numFmtId="166" fontId="56" fillId="0" borderId="1" xfId="1" applyNumberFormat="1" applyFont="1" applyBorder="1" applyAlignment="1">
      <alignment horizontal="center" vertical="center"/>
    </xf>
    <xf numFmtId="10" fontId="56" fillId="0" borderId="1" xfId="1" applyNumberFormat="1" applyFont="1" applyBorder="1" applyAlignment="1">
      <alignment horizontal="center" vertical="center"/>
    </xf>
    <xf numFmtId="167" fontId="56" fillId="0" borderId="1" xfId="1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23" borderId="0" xfId="0" applyFill="1"/>
    <xf numFmtId="0" fontId="0" fillId="0" borderId="0" xfId="0" applyAlignment="1">
      <alignment horizontal="left"/>
    </xf>
    <xf numFmtId="3" fontId="0" fillId="0" borderId="0" xfId="0" applyNumberFormat="1"/>
    <xf numFmtId="165" fontId="55" fillId="0" borderId="0" xfId="1" applyNumberFormat="1" applyFont="1"/>
    <xf numFmtId="166" fontId="55" fillId="0" borderId="0" xfId="1" applyNumberFormat="1" applyFont="1"/>
    <xf numFmtId="166" fontId="56" fillId="0" borderId="0" xfId="1" applyNumberFormat="1" applyFont="1" applyAlignment="1">
      <alignment horizontal="center" vertical="center"/>
    </xf>
    <xf numFmtId="10" fontId="56" fillId="0" borderId="0" xfId="1" applyNumberFormat="1" applyFont="1" applyAlignment="1">
      <alignment horizontal="center" vertical="center"/>
    </xf>
    <xf numFmtId="167" fontId="56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0" fontId="58" fillId="0" borderId="22" xfId="0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52" fillId="0" borderId="11" xfId="0" applyNumberFormat="1" applyFont="1" applyBorder="1" applyAlignment="1">
      <alignment horizontal="center" vertical="center" readingOrder="1"/>
    </xf>
    <xf numFmtId="0" fontId="58" fillId="0" borderId="4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65" fontId="14" fillId="0" borderId="3" xfId="1" applyNumberFormat="1" applyFont="1" applyBorder="1"/>
    <xf numFmtId="166" fontId="14" fillId="0" borderId="3" xfId="1" applyNumberFormat="1" applyFont="1" applyBorder="1"/>
    <xf numFmtId="166" fontId="12" fillId="0" borderId="3" xfId="1" applyNumberFormat="1" applyBorder="1" applyAlignment="1">
      <alignment horizontal="center" vertical="center"/>
    </xf>
    <xf numFmtId="10" fontId="12" fillId="0" borderId="3" xfId="1" applyNumberFormat="1" applyBorder="1" applyAlignment="1">
      <alignment horizontal="center" vertical="center"/>
    </xf>
    <xf numFmtId="167" fontId="12" fillId="0" borderId="3" xfId="1" applyNumberFormat="1" applyBorder="1" applyAlignment="1">
      <alignment horizontal="center" vertical="center"/>
    </xf>
    <xf numFmtId="165" fontId="14" fillId="0" borderId="11" xfId="1" applyNumberFormat="1" applyFont="1" applyBorder="1"/>
    <xf numFmtId="166" fontId="14" fillId="0" borderId="11" xfId="1" applyNumberFormat="1" applyFont="1" applyBorder="1"/>
    <xf numFmtId="166" fontId="12" fillId="0" borderId="11" xfId="1" applyNumberFormat="1" applyBorder="1" applyAlignment="1">
      <alignment horizontal="center" vertical="center"/>
    </xf>
    <xf numFmtId="167" fontId="12" fillId="0" borderId="11" xfId="1" applyNumberForma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 readingOrder="1"/>
    </xf>
    <xf numFmtId="0" fontId="58" fillId="0" borderId="3" xfId="0" applyFont="1" applyBorder="1" applyAlignment="1">
      <alignment horizontal="center" vertical="center" readingOrder="1"/>
    </xf>
    <xf numFmtId="0" fontId="53" fillId="0" borderId="3" xfId="0" applyFont="1" applyBorder="1" applyAlignment="1">
      <alignment horizontal="center" vertical="center" readingOrder="1"/>
    </xf>
    <xf numFmtId="14" fontId="52" fillId="0" borderId="0" xfId="0" applyNumberFormat="1" applyFont="1" applyAlignment="1">
      <alignment horizontal="center" vertical="center" readingOrder="1"/>
    </xf>
    <xf numFmtId="0" fontId="60" fillId="0" borderId="0" xfId="0" applyFont="1" applyAlignment="1">
      <alignment horizontal="center" vertical="center" readingOrder="1"/>
    </xf>
    <xf numFmtId="14" fontId="60" fillId="0" borderId="0" xfId="0" applyNumberFormat="1" applyFont="1" applyAlignment="1">
      <alignment horizontal="center" vertical="center" readingOrder="1"/>
    </xf>
    <xf numFmtId="166" fontId="52" fillId="0" borderId="11" xfId="0" applyNumberFormat="1" applyFont="1" applyBorder="1" applyAlignment="1">
      <alignment horizontal="center" vertical="center" readingOrder="1"/>
    </xf>
    <xf numFmtId="0" fontId="53" fillId="0" borderId="11" xfId="0" applyFont="1" applyBorder="1" applyAlignment="1">
      <alignment horizontal="center" vertical="center" readingOrder="1"/>
    </xf>
    <xf numFmtId="0" fontId="58" fillId="0" borderId="11" xfId="0" applyFont="1" applyBorder="1" applyAlignment="1">
      <alignment horizontal="center" vertical="center" readingOrder="1"/>
    </xf>
    <xf numFmtId="0" fontId="59" fillId="15" borderId="3" xfId="0" applyFont="1" applyFill="1" applyBorder="1" applyAlignment="1">
      <alignment horizontal="center" vertical="center" readingOrder="1"/>
    </xf>
    <xf numFmtId="0" fontId="53" fillId="0" borderId="0" xfId="0" applyFont="1" applyAlignment="1">
      <alignment horizontal="center" vertical="center" readingOrder="1"/>
    </xf>
    <xf numFmtId="165" fontId="55" fillId="0" borderId="3" xfId="20" applyNumberFormat="1" applyFont="1" applyBorder="1"/>
    <xf numFmtId="165" fontId="55" fillId="0" borderId="0" xfId="20" applyNumberFormat="1" applyFont="1"/>
    <xf numFmtId="165" fontId="55" fillId="0" borderId="11" xfId="20" applyNumberFormat="1" applyFont="1" applyBorder="1"/>
    <xf numFmtId="165" fontId="55" fillId="0" borderId="1" xfId="20" applyNumberFormat="1" applyFont="1" applyBorder="1"/>
    <xf numFmtId="165" fontId="14" fillId="0" borderId="11" xfId="20" applyNumberFormat="1" applyFont="1" applyBorder="1"/>
    <xf numFmtId="165" fontId="14" fillId="0" borderId="3" xfId="20" applyNumberFormat="1" applyFont="1" applyBorder="1"/>
    <xf numFmtId="165" fontId="14" fillId="0" borderId="3" xfId="20" applyNumberFormat="1" applyFont="1" applyFill="1" applyBorder="1"/>
    <xf numFmtId="165" fontId="0" fillId="0" borderId="0" xfId="0" applyNumberFormat="1"/>
    <xf numFmtId="1" fontId="53" fillId="0" borderId="0" xfId="0" applyNumberFormat="1" applyFont="1" applyAlignment="1">
      <alignment horizontal="center" vertical="center" readingOrder="1"/>
    </xf>
    <xf numFmtId="14" fontId="53" fillId="0" borderId="0" xfId="0" applyNumberFormat="1" applyFont="1" applyAlignment="1">
      <alignment horizontal="center" vertical="center" readingOrder="1"/>
    </xf>
    <xf numFmtId="43" fontId="51" fillId="0" borderId="11" xfId="0" applyNumberFormat="1" applyFont="1" applyBorder="1" applyAlignment="1">
      <alignment horizontal="center" vertical="center" readingOrder="1"/>
    </xf>
    <xf numFmtId="2" fontId="53" fillId="0" borderId="0" xfId="0" applyNumberFormat="1" applyFont="1" applyAlignment="1">
      <alignment horizontal="center" vertical="center" readingOrder="1"/>
    </xf>
    <xf numFmtId="0" fontId="52" fillId="0" borderId="29" xfId="0" applyFont="1" applyBorder="1" applyAlignment="1">
      <alignment horizontal="center" vertical="center" readingOrder="1"/>
    </xf>
    <xf numFmtId="0" fontId="53" fillId="0" borderId="29" xfId="0" applyFont="1" applyBorder="1" applyAlignment="1">
      <alignment horizontal="center" vertical="center" readingOrder="1"/>
    </xf>
    <xf numFmtId="165" fontId="55" fillId="0" borderId="3" xfId="20" applyNumberFormat="1" applyFont="1" applyFill="1" applyBorder="1"/>
    <xf numFmtId="165" fontId="55" fillId="0" borderId="11" xfId="20" applyNumberFormat="1" applyFont="1" applyFill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3" fontId="3" fillId="0" borderId="11" xfId="0" applyNumberFormat="1" applyFont="1" applyBorder="1"/>
    <xf numFmtId="0" fontId="66" fillId="0" borderId="3" xfId="0" applyFont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21">
    <cellStyle name="Moeda 2" xfId="15" xr:uid="{B530B986-DC54-4256-B283-6D5FFAD2DB62}"/>
    <cellStyle name="Moeda 3" xfId="3" xr:uid="{EEA2C594-7ABB-4E2F-A1BA-0A059F5D7520}"/>
    <cellStyle name="Normal" xfId="0" builtinId="0"/>
    <cellStyle name="Normal 2" xfId="1" xr:uid="{A117FF6D-380D-4AD5-8720-14A84C6B0689}"/>
    <cellStyle name="Normal 2 2" xfId="10" xr:uid="{F20F09DC-5908-49A9-B995-204DEB50DC82}"/>
    <cellStyle name="Normal 2 3" xfId="5" xr:uid="{935095C4-B9CD-47F3-BCAF-0BBD0F56D3E2}"/>
    <cellStyle name="Normal 3" xfId="6" xr:uid="{9A680B1E-0BC0-40E3-9C2D-0D34430D204B}"/>
    <cellStyle name="Normal 4" xfId="7" xr:uid="{27902439-AE3F-40ED-B9D2-2BF089629AC3}"/>
    <cellStyle name="Normal 4 3" xfId="14" xr:uid="{01EE1E8A-F369-4C68-8725-F635CF57CD38}"/>
    <cellStyle name="Normal 5" xfId="9" xr:uid="{551E12E7-229F-4165-888A-CEBF56B0A2DA}"/>
    <cellStyle name="Normal 6" xfId="11" xr:uid="{CEA2E183-30E4-4253-BB64-4965D15AF85E}"/>
    <cellStyle name="Normal 7 2 2 2" xfId="2" xr:uid="{FC725D6F-F473-46EC-9A10-BCBB44F774A4}"/>
    <cellStyle name="Separador de milhares [0] 3" xfId="8" xr:uid="{35704F9B-AB6A-4DA3-BC9B-C79DA8256690}"/>
    <cellStyle name="Separador de milhares [0] 3 2" xfId="12" xr:uid="{DACC287C-E159-4023-B42F-EDF402C6C33A}"/>
    <cellStyle name="Separador de milhares [0] 3 2 2" xfId="18" xr:uid="{8F156740-BF4D-40DA-A27F-168CCBDF2721}"/>
    <cellStyle name="Separador de milhares [0] 3 3" xfId="17" xr:uid="{EED9CE87-B752-4036-A730-2766AA27C8B6}"/>
    <cellStyle name="Vírgula" xfId="20" builtinId="3"/>
    <cellStyle name="Vírgula 2" xfId="4" xr:uid="{856FEA85-1AF8-4641-B92C-1B15EB564886}"/>
    <cellStyle name="Vírgula 2 2" xfId="13" xr:uid="{07F1CAB1-D905-4739-84A6-65B2F630A523}"/>
    <cellStyle name="Vírgula 2 2 2" xfId="19" xr:uid="{4DB2F85F-04A5-410C-BD4D-CBB05E30F64E}"/>
    <cellStyle name="Vírgula 2 3" xfId="16" xr:uid="{92C76705-37FB-4F4E-AE05-0586596AD90F}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7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4CE3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dd/mm/yyyy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dd/mm/yyyy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3" formatCode="0%"/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3" formatCode="0%"/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 Antiq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83A3C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alignment horizontal="center" vertical="center" textRotation="0" indent="0" justifyLastLine="0" shrinkToFit="0"/>
    </dxf>
    <dxf>
      <font>
        <b/>
        <i val="0"/>
        <sz val="12"/>
        <color theme="0"/>
      </font>
      <fill>
        <patternFill>
          <bgColor theme="3" tint="9.9948118533890809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 defaultTableStyle="TableStyleMedium2" defaultPivotStyle="PivotStyleLight16">
    <tableStyle name="Estilo de Segmentação de Dados 1" pivot="0" table="0" count="4" xr9:uid="{DCEF987A-028B-492F-908B-2A2E575BCD7D}">
      <tableStyleElement type="wholeTable" dxfId="133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23" Type="http://schemas.openxmlformats.org/officeDocument/2006/relationships/customXml" Target="../customXml/item4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jpeg"/><Relationship Id="rId18" Type="http://schemas.openxmlformats.org/officeDocument/2006/relationships/image" Target="../media/image20.jpeg"/><Relationship Id="rId26" Type="http://schemas.openxmlformats.org/officeDocument/2006/relationships/image" Target="../media/image28.jpeg"/><Relationship Id="rId39" Type="http://schemas.openxmlformats.org/officeDocument/2006/relationships/image" Target="../media/image41.jpeg"/><Relationship Id="rId21" Type="http://schemas.openxmlformats.org/officeDocument/2006/relationships/image" Target="../media/image23.jpeg"/><Relationship Id="rId34" Type="http://schemas.openxmlformats.org/officeDocument/2006/relationships/image" Target="../media/image36.jpe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Relationship Id="rId7" Type="http://schemas.openxmlformats.org/officeDocument/2006/relationships/image" Target="../media/image9.jpeg"/><Relationship Id="rId2" Type="http://schemas.openxmlformats.org/officeDocument/2006/relationships/image" Target="../media/image4.png"/><Relationship Id="rId16" Type="http://schemas.openxmlformats.org/officeDocument/2006/relationships/image" Target="../media/image18.jpeg"/><Relationship Id="rId29" Type="http://schemas.openxmlformats.org/officeDocument/2006/relationships/image" Target="../media/image31.jpeg"/><Relationship Id="rId11" Type="http://schemas.openxmlformats.org/officeDocument/2006/relationships/image" Target="../media/image13.jpeg"/><Relationship Id="rId24" Type="http://schemas.openxmlformats.org/officeDocument/2006/relationships/image" Target="../media/image26.jpeg"/><Relationship Id="rId32" Type="http://schemas.openxmlformats.org/officeDocument/2006/relationships/image" Target="../media/image34.png"/><Relationship Id="rId37" Type="http://schemas.openxmlformats.org/officeDocument/2006/relationships/image" Target="../media/image39.jpeg"/><Relationship Id="rId40" Type="http://schemas.openxmlformats.org/officeDocument/2006/relationships/image" Target="../media/image42.jpe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5" Type="http://schemas.openxmlformats.org/officeDocument/2006/relationships/image" Target="../media/image7.png"/><Relationship Id="rId19" Type="http://schemas.openxmlformats.org/officeDocument/2006/relationships/image" Target="../media/image21.jpeg"/><Relationship Id="rId4" Type="http://schemas.openxmlformats.org/officeDocument/2006/relationships/image" Target="../media/image6.png"/><Relationship Id="rId9" Type="http://schemas.openxmlformats.org/officeDocument/2006/relationships/image" Target="../media/image11.jpeg"/><Relationship Id="rId14" Type="http://schemas.openxmlformats.org/officeDocument/2006/relationships/image" Target="../media/image16.jpeg"/><Relationship Id="rId22" Type="http://schemas.openxmlformats.org/officeDocument/2006/relationships/image" Target="../media/image24.jpeg"/><Relationship Id="rId27" Type="http://schemas.openxmlformats.org/officeDocument/2006/relationships/image" Target="../media/image29.jpeg"/><Relationship Id="rId30" Type="http://schemas.openxmlformats.org/officeDocument/2006/relationships/image" Target="../media/image32.jpeg"/><Relationship Id="rId35" Type="http://schemas.openxmlformats.org/officeDocument/2006/relationships/image" Target="../media/image37.jpe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56" Type="http://schemas.openxmlformats.org/officeDocument/2006/relationships/image" Target="../media/image58.png"/><Relationship Id="rId8" Type="http://schemas.openxmlformats.org/officeDocument/2006/relationships/image" Target="../media/image10.jpeg"/><Relationship Id="rId51" Type="http://schemas.openxmlformats.org/officeDocument/2006/relationships/image" Target="../media/image53.png"/><Relationship Id="rId3" Type="http://schemas.openxmlformats.org/officeDocument/2006/relationships/image" Target="../media/image5.png"/><Relationship Id="rId12" Type="http://schemas.openxmlformats.org/officeDocument/2006/relationships/image" Target="../media/image14.jpeg"/><Relationship Id="rId17" Type="http://schemas.openxmlformats.org/officeDocument/2006/relationships/image" Target="../media/image19.jpeg"/><Relationship Id="rId25" Type="http://schemas.openxmlformats.org/officeDocument/2006/relationships/image" Target="../media/image27.jpeg"/><Relationship Id="rId33" Type="http://schemas.openxmlformats.org/officeDocument/2006/relationships/image" Target="../media/image35.png"/><Relationship Id="rId38" Type="http://schemas.openxmlformats.org/officeDocument/2006/relationships/image" Target="../media/image40.jpeg"/><Relationship Id="rId46" Type="http://schemas.openxmlformats.org/officeDocument/2006/relationships/image" Target="../media/image48.png"/><Relationship Id="rId20" Type="http://schemas.openxmlformats.org/officeDocument/2006/relationships/image" Target="../media/image22.jpe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1" Type="http://schemas.openxmlformats.org/officeDocument/2006/relationships/image" Target="../media/image3.png"/><Relationship Id="rId6" Type="http://schemas.openxmlformats.org/officeDocument/2006/relationships/image" Target="../media/image8.jpeg"/><Relationship Id="rId15" Type="http://schemas.openxmlformats.org/officeDocument/2006/relationships/image" Target="../media/image17.jpeg"/><Relationship Id="rId23" Type="http://schemas.openxmlformats.org/officeDocument/2006/relationships/image" Target="../media/image25.jpeg"/><Relationship Id="rId28" Type="http://schemas.openxmlformats.org/officeDocument/2006/relationships/image" Target="../media/image30.jpeg"/><Relationship Id="rId36" Type="http://schemas.openxmlformats.org/officeDocument/2006/relationships/image" Target="../media/image38.jpe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10" Type="http://schemas.openxmlformats.org/officeDocument/2006/relationships/image" Target="../media/image12.jpeg"/><Relationship Id="rId31" Type="http://schemas.openxmlformats.org/officeDocument/2006/relationships/image" Target="../media/image33.jpeg"/><Relationship Id="rId44" Type="http://schemas.openxmlformats.org/officeDocument/2006/relationships/image" Target="../media/image46.png"/><Relationship Id="rId5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58</xdr:row>
      <xdr:rowOff>6784</xdr:rowOff>
    </xdr:from>
    <xdr:to>
      <xdr:col>1</xdr:col>
      <xdr:colOff>1008380</xdr:colOff>
      <xdr:row>58</xdr:row>
      <xdr:rowOff>783167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616384"/>
          <a:ext cx="857250" cy="776383"/>
        </a:xfrm>
        <a:prstGeom prst="rect">
          <a:avLst/>
        </a:prstGeom>
      </xdr:spPr>
    </xdr:pic>
    <xdr:clientData/>
  </xdr:twoCellAnchor>
  <xdr:twoCellAnchor editAs="oneCell">
    <xdr:from>
      <xdr:col>1</xdr:col>
      <xdr:colOff>131233</xdr:colOff>
      <xdr:row>61</xdr:row>
      <xdr:rowOff>21601</xdr:rowOff>
    </xdr:from>
    <xdr:to>
      <xdr:col>1</xdr:col>
      <xdr:colOff>988483</xdr:colOff>
      <xdr:row>61</xdr:row>
      <xdr:rowOff>784649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33" y="3031501"/>
          <a:ext cx="857250" cy="768763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116417</xdr:colOff>
      <xdr:row>64</xdr:row>
      <xdr:rowOff>10583</xdr:rowOff>
    </xdr:from>
    <xdr:to>
      <xdr:col>1</xdr:col>
      <xdr:colOff>973667</xdr:colOff>
      <xdr:row>64</xdr:row>
      <xdr:rowOff>779346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17" y="5397923"/>
          <a:ext cx="857250" cy="776383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148167</xdr:colOff>
      <xdr:row>67</xdr:row>
      <xdr:rowOff>10583</xdr:rowOff>
    </xdr:from>
    <xdr:to>
      <xdr:col>1</xdr:col>
      <xdr:colOff>1013037</xdr:colOff>
      <xdr:row>67</xdr:row>
      <xdr:rowOff>779346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7775363"/>
          <a:ext cx="857250" cy="776383"/>
        </a:xfrm>
        <a:prstGeom prst="rect">
          <a:avLst/>
        </a:prstGeom>
      </xdr:spPr>
    </xdr:pic>
    <xdr:clientData/>
  </xdr:twoCellAnchor>
  <xdr:twoCellAnchor editAs="oneCell">
    <xdr:from>
      <xdr:col>1</xdr:col>
      <xdr:colOff>158749</xdr:colOff>
      <xdr:row>59</xdr:row>
      <xdr:rowOff>16345</xdr:rowOff>
    </xdr:from>
    <xdr:to>
      <xdr:col>1</xdr:col>
      <xdr:colOff>1010073</xdr:colOff>
      <xdr:row>59</xdr:row>
      <xdr:rowOff>783166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49" y="1426045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141817</xdr:colOff>
      <xdr:row>62</xdr:row>
      <xdr:rowOff>31162</xdr:rowOff>
    </xdr:from>
    <xdr:to>
      <xdr:col>1</xdr:col>
      <xdr:colOff>970281</xdr:colOff>
      <xdr:row>62</xdr:row>
      <xdr:rowOff>784648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17" y="3833542"/>
          <a:ext cx="836084" cy="759201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65</xdr:row>
      <xdr:rowOff>21167</xdr:rowOff>
    </xdr:from>
    <xdr:to>
      <xdr:col>1</xdr:col>
      <xdr:colOff>1013037</xdr:colOff>
      <xdr:row>65</xdr:row>
      <xdr:rowOff>780368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" y="6200987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148166</xdr:colOff>
      <xdr:row>68</xdr:row>
      <xdr:rowOff>21167</xdr:rowOff>
    </xdr:from>
    <xdr:to>
      <xdr:col>1</xdr:col>
      <xdr:colOff>974725</xdr:colOff>
      <xdr:row>68</xdr:row>
      <xdr:rowOff>780368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6" y="8578427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148168</xdr:colOff>
      <xdr:row>63</xdr:row>
      <xdr:rowOff>32980</xdr:rowOff>
    </xdr:from>
    <xdr:to>
      <xdr:col>1</xdr:col>
      <xdr:colOff>968799</xdr:colOff>
      <xdr:row>63</xdr:row>
      <xdr:rowOff>778298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168" y="4627840"/>
          <a:ext cx="814916" cy="739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194734</xdr:colOff>
      <xdr:row>66</xdr:row>
      <xdr:rowOff>26631</xdr:rowOff>
    </xdr:from>
    <xdr:to>
      <xdr:col>1</xdr:col>
      <xdr:colOff>1009650</xdr:colOff>
      <xdr:row>66</xdr:row>
      <xdr:rowOff>781474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734" y="6998931"/>
          <a:ext cx="814916" cy="739603"/>
        </a:xfrm>
        <a:prstGeom prst="rect">
          <a:avLst/>
        </a:prstGeom>
      </xdr:spPr>
    </xdr:pic>
    <xdr:clientData/>
  </xdr:twoCellAnchor>
  <xdr:twoCellAnchor editAs="oneCell">
    <xdr:from>
      <xdr:col>1</xdr:col>
      <xdr:colOff>173567</xdr:colOff>
      <xdr:row>60</xdr:row>
      <xdr:rowOff>37214</xdr:rowOff>
    </xdr:from>
    <xdr:to>
      <xdr:col>1</xdr:col>
      <xdr:colOff>988483</xdr:colOff>
      <xdr:row>60</xdr:row>
      <xdr:rowOff>784437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567" y="2247014"/>
          <a:ext cx="814916" cy="739603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69</xdr:row>
      <xdr:rowOff>31750</xdr:rowOff>
    </xdr:from>
    <xdr:to>
      <xdr:col>1</xdr:col>
      <xdr:colOff>974724</xdr:colOff>
      <xdr:row>69</xdr:row>
      <xdr:rowOff>782783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333" y="9381490"/>
          <a:ext cx="814916" cy="73960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131729</xdr:colOff>
      <xdr:row>70</xdr:row>
      <xdr:rowOff>77790</xdr:rowOff>
    </xdr:from>
    <xdr:to>
      <xdr:col>1</xdr:col>
      <xdr:colOff>1048804</xdr:colOff>
      <xdr:row>70</xdr:row>
      <xdr:rowOff>933532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29" y="11042970"/>
          <a:ext cx="901835" cy="844312"/>
        </a:xfrm>
        <a:prstGeom prst="rect">
          <a:avLst/>
        </a:prstGeom>
      </xdr:spPr>
    </xdr:pic>
    <xdr:clientData/>
  </xdr:twoCellAnchor>
  <xdr:twoCellAnchor editAs="oneCell">
    <xdr:from>
      <xdr:col>1</xdr:col>
      <xdr:colOff>91602</xdr:colOff>
      <xdr:row>73</xdr:row>
      <xdr:rowOff>57930</xdr:rowOff>
    </xdr:from>
    <xdr:to>
      <xdr:col>1</xdr:col>
      <xdr:colOff>993437</xdr:colOff>
      <xdr:row>73</xdr:row>
      <xdr:rowOff>894622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602" y="14947410"/>
          <a:ext cx="901835" cy="844312"/>
        </a:xfrm>
        <a:prstGeom prst="rect">
          <a:avLst/>
        </a:prstGeom>
      </xdr:spPr>
    </xdr:pic>
    <xdr:clientData/>
  </xdr:twoCellAnchor>
  <xdr:twoCellAnchor editAs="oneCell">
    <xdr:from>
      <xdr:col>1</xdr:col>
      <xdr:colOff>92007</xdr:colOff>
      <xdr:row>76</xdr:row>
      <xdr:rowOff>48202</xdr:rowOff>
    </xdr:from>
    <xdr:to>
      <xdr:col>1</xdr:col>
      <xdr:colOff>993842</xdr:colOff>
      <xdr:row>76</xdr:row>
      <xdr:rowOff>892514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07" y="18541942"/>
          <a:ext cx="901835" cy="844312"/>
        </a:xfrm>
        <a:prstGeom prst="rect">
          <a:avLst/>
        </a:prstGeom>
      </xdr:spPr>
    </xdr:pic>
    <xdr:clientData/>
  </xdr:twoCellAnchor>
  <xdr:twoCellAnchor editAs="oneCell">
    <xdr:from>
      <xdr:col>1</xdr:col>
      <xdr:colOff>131729</xdr:colOff>
      <xdr:row>71</xdr:row>
      <xdr:rowOff>70931</xdr:rowOff>
    </xdr:from>
    <xdr:to>
      <xdr:col>1</xdr:col>
      <xdr:colOff>967813</xdr:colOff>
      <xdr:row>71</xdr:row>
      <xdr:rowOff>837752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729" y="12331511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101330</xdr:colOff>
      <xdr:row>74</xdr:row>
      <xdr:rowOff>111463</xdr:rowOff>
    </xdr:from>
    <xdr:to>
      <xdr:col>1</xdr:col>
      <xdr:colOff>929794</xdr:colOff>
      <xdr:row>74</xdr:row>
      <xdr:rowOff>878284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30" y="16197283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101329</xdr:colOff>
      <xdr:row>77</xdr:row>
      <xdr:rowOff>111463</xdr:rowOff>
    </xdr:from>
    <xdr:to>
      <xdr:col>1</xdr:col>
      <xdr:colOff>929793</xdr:colOff>
      <xdr:row>77</xdr:row>
      <xdr:rowOff>878284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29" y="19793923"/>
          <a:ext cx="836084" cy="766821"/>
        </a:xfrm>
        <a:prstGeom prst="rect">
          <a:avLst/>
        </a:prstGeom>
      </xdr:spPr>
    </xdr:pic>
    <xdr:clientData/>
  </xdr:twoCellAnchor>
  <xdr:twoCellAnchor editAs="oneCell">
    <xdr:from>
      <xdr:col>1</xdr:col>
      <xdr:colOff>111463</xdr:colOff>
      <xdr:row>72</xdr:row>
      <xdr:rowOff>248269</xdr:rowOff>
    </xdr:from>
    <xdr:to>
      <xdr:col>1</xdr:col>
      <xdr:colOff>1008191</xdr:colOff>
      <xdr:row>72</xdr:row>
      <xdr:rowOff>931098</xdr:rowOff>
    </xdr:to>
    <xdr:pic>
      <xdr:nvPicPr>
        <xdr:cNvPr id="20" name="image_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63" y="13674709"/>
          <a:ext cx="911968" cy="6904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71337</xdr:colOff>
      <xdr:row>75</xdr:row>
      <xdr:rowOff>167609</xdr:rowOff>
    </xdr:from>
    <xdr:to>
      <xdr:col>1</xdr:col>
      <xdr:colOff>973780</xdr:colOff>
      <xdr:row>75</xdr:row>
      <xdr:rowOff>858058</xdr:rowOff>
    </xdr:to>
    <xdr:pic>
      <xdr:nvPicPr>
        <xdr:cNvPr id="21" name="image_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37" y="17419289"/>
          <a:ext cx="911968" cy="6904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60798</xdr:colOff>
      <xdr:row>78</xdr:row>
      <xdr:rowOff>212793</xdr:rowOff>
    </xdr:from>
    <xdr:to>
      <xdr:col>1</xdr:col>
      <xdr:colOff>972766</xdr:colOff>
      <xdr:row>78</xdr:row>
      <xdr:rowOff>897527</xdr:rowOff>
    </xdr:to>
    <xdr:pic>
      <xdr:nvPicPr>
        <xdr:cNvPr id="22" name="image_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98" y="21083973"/>
          <a:ext cx="911968" cy="6904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108262</xdr:colOff>
      <xdr:row>2</xdr:row>
      <xdr:rowOff>173477</xdr:rowOff>
    </xdr:from>
    <xdr:to>
      <xdr:col>1</xdr:col>
      <xdr:colOff>1046323</xdr:colOff>
      <xdr:row>2</xdr:row>
      <xdr:rowOff>1120952</xdr:rowOff>
    </xdr:to>
    <xdr:pic>
      <xdr:nvPicPr>
        <xdr:cNvPr id="24" name="Imagem 23" descr="238697_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62" y="892918"/>
          <a:ext cx="947586" cy="951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146888</xdr:colOff>
      <xdr:row>3</xdr:row>
      <xdr:rowOff>170963</xdr:rowOff>
    </xdr:from>
    <xdr:to>
      <xdr:col>1</xdr:col>
      <xdr:colOff>1069857</xdr:colOff>
      <xdr:row>3</xdr:row>
      <xdr:rowOff>1084837</xdr:rowOff>
    </xdr:to>
    <xdr:pic>
      <xdr:nvPicPr>
        <xdr:cNvPr id="25" name="Imagem 24" descr="238698_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88" y="2136761"/>
          <a:ext cx="922969" cy="91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129824</xdr:colOff>
      <xdr:row>4</xdr:row>
      <xdr:rowOff>113977</xdr:rowOff>
    </xdr:from>
    <xdr:to>
      <xdr:col>1</xdr:col>
      <xdr:colOff>1162699</xdr:colOff>
      <xdr:row>4</xdr:row>
      <xdr:rowOff>1162206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803" y="3326131"/>
          <a:ext cx="1036685" cy="1052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151994</xdr:colOff>
      <xdr:row>5</xdr:row>
      <xdr:rowOff>111464</xdr:rowOff>
    </xdr:from>
    <xdr:to>
      <xdr:col>1</xdr:col>
      <xdr:colOff>1108280</xdr:colOff>
      <xdr:row>5</xdr:row>
      <xdr:rowOff>1063964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94" y="4569975"/>
          <a:ext cx="956286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20267</xdr:colOff>
      <xdr:row>6</xdr:row>
      <xdr:rowOff>141863</xdr:rowOff>
    </xdr:from>
    <xdr:to>
      <xdr:col>1</xdr:col>
      <xdr:colOff>1029347</xdr:colOff>
      <xdr:row>6</xdr:row>
      <xdr:rowOff>1158970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7" y="5846730"/>
          <a:ext cx="1009080" cy="1009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89293</xdr:colOff>
      <xdr:row>7</xdr:row>
      <xdr:rowOff>151995</xdr:rowOff>
    </xdr:from>
    <xdr:to>
      <xdr:col>1</xdr:col>
      <xdr:colOff>1082933</xdr:colOff>
      <xdr:row>7</xdr:row>
      <xdr:rowOff>1126987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72" y="7103218"/>
          <a:ext cx="1001260" cy="984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121109</xdr:colOff>
      <xdr:row>8</xdr:row>
      <xdr:rowOff>98128</xdr:rowOff>
    </xdr:from>
    <xdr:to>
      <xdr:col>1</xdr:col>
      <xdr:colOff>1162791</xdr:colOff>
      <xdr:row>8</xdr:row>
      <xdr:rowOff>1162779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088" y="8295708"/>
          <a:ext cx="1041682" cy="1057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129670</xdr:colOff>
      <xdr:row>9</xdr:row>
      <xdr:rowOff>200756</xdr:rowOff>
    </xdr:from>
    <xdr:to>
      <xdr:col>1</xdr:col>
      <xdr:colOff>1122703</xdr:colOff>
      <xdr:row>9</xdr:row>
      <xdr:rowOff>1203311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649" y="9746022"/>
          <a:ext cx="993033" cy="994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182395</xdr:colOff>
      <xdr:row>10</xdr:row>
      <xdr:rowOff>124926</xdr:rowOff>
    </xdr:from>
    <xdr:to>
      <xdr:col>1</xdr:col>
      <xdr:colOff>1127274</xdr:colOff>
      <xdr:row>10</xdr:row>
      <xdr:rowOff>1067772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374" y="11017878"/>
          <a:ext cx="952499" cy="942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70932</xdr:colOff>
      <xdr:row>11</xdr:row>
      <xdr:rowOff>172262</xdr:rowOff>
    </xdr:from>
    <xdr:to>
      <xdr:col>1</xdr:col>
      <xdr:colOff>971470</xdr:colOff>
      <xdr:row>11</xdr:row>
      <xdr:rowOff>1087032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911" y="12412900"/>
          <a:ext cx="911968" cy="903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40533</xdr:colOff>
      <xdr:row>12</xdr:row>
      <xdr:rowOff>126014</xdr:rowOff>
    </xdr:from>
    <xdr:to>
      <xdr:col>1</xdr:col>
      <xdr:colOff>1178464</xdr:colOff>
      <xdr:row>12</xdr:row>
      <xdr:rowOff>1256489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512" y="13714338"/>
          <a:ext cx="1137931" cy="113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111464</xdr:colOff>
      <xdr:row>13</xdr:row>
      <xdr:rowOff>108949</xdr:rowOff>
    </xdr:from>
    <xdr:to>
      <xdr:col>1</xdr:col>
      <xdr:colOff>1121640</xdr:colOff>
      <xdr:row>13</xdr:row>
      <xdr:rowOff>1122203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43" y="15044960"/>
          <a:ext cx="1000651" cy="1024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95007</xdr:colOff>
      <xdr:row>14</xdr:row>
      <xdr:rowOff>202917</xdr:rowOff>
    </xdr:from>
    <xdr:to>
      <xdr:col>1</xdr:col>
      <xdr:colOff>1089549</xdr:colOff>
      <xdr:row>14</xdr:row>
      <xdr:rowOff>1200799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86" y="16486614"/>
          <a:ext cx="994542" cy="986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98818</xdr:colOff>
      <xdr:row>15</xdr:row>
      <xdr:rowOff>111463</xdr:rowOff>
    </xdr:from>
    <xdr:to>
      <xdr:col>1</xdr:col>
      <xdr:colOff>1104494</xdr:colOff>
      <xdr:row>15</xdr:row>
      <xdr:rowOff>1254586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97" y="17742846"/>
          <a:ext cx="1005676" cy="1143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123501</xdr:colOff>
      <xdr:row>16</xdr:row>
      <xdr:rowOff>192527</xdr:rowOff>
    </xdr:from>
    <xdr:to>
      <xdr:col>1</xdr:col>
      <xdr:colOff>1127274</xdr:colOff>
      <xdr:row>16</xdr:row>
      <xdr:rowOff>1198271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480" y="19171596"/>
          <a:ext cx="1003773" cy="1013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182394</xdr:colOff>
      <xdr:row>17</xdr:row>
      <xdr:rowOff>165937</xdr:rowOff>
    </xdr:from>
    <xdr:to>
      <xdr:col>1</xdr:col>
      <xdr:colOff>1124497</xdr:colOff>
      <xdr:row>17</xdr:row>
      <xdr:rowOff>1108306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373" y="20492692"/>
          <a:ext cx="945913" cy="94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60799</xdr:colOff>
      <xdr:row>18</xdr:row>
      <xdr:rowOff>151995</xdr:rowOff>
    </xdr:from>
    <xdr:to>
      <xdr:col>1</xdr:col>
      <xdr:colOff>1159811</xdr:colOff>
      <xdr:row>18</xdr:row>
      <xdr:rowOff>1236224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78" y="21826436"/>
          <a:ext cx="1087582" cy="1088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151996</xdr:colOff>
      <xdr:row>19</xdr:row>
      <xdr:rowOff>237991</xdr:rowOff>
    </xdr:from>
    <xdr:to>
      <xdr:col>1</xdr:col>
      <xdr:colOff>1120951</xdr:colOff>
      <xdr:row>19</xdr:row>
      <xdr:rowOff>1203920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75" y="23260119"/>
          <a:ext cx="968955" cy="97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182395</xdr:colOff>
      <xdr:row>20</xdr:row>
      <xdr:rowOff>60799</xdr:rowOff>
    </xdr:from>
    <xdr:to>
      <xdr:col>1</xdr:col>
      <xdr:colOff>1165218</xdr:colOff>
      <xdr:row>20</xdr:row>
      <xdr:rowOff>1029755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374" y="24430613"/>
          <a:ext cx="979013" cy="96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111463</xdr:colOff>
      <xdr:row>21</xdr:row>
      <xdr:rowOff>91197</xdr:rowOff>
    </xdr:from>
    <xdr:to>
      <xdr:col>1</xdr:col>
      <xdr:colOff>1199205</xdr:colOff>
      <xdr:row>21</xdr:row>
      <xdr:rowOff>1183654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42" y="25808697"/>
          <a:ext cx="1102982" cy="109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111774</xdr:colOff>
      <xdr:row>22</xdr:row>
      <xdr:rowOff>182393</xdr:rowOff>
    </xdr:from>
    <xdr:to>
      <xdr:col>1</xdr:col>
      <xdr:colOff>1088039</xdr:colOff>
      <xdr:row>22</xdr:row>
      <xdr:rowOff>1162171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3" y="27247579"/>
          <a:ext cx="976265" cy="964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101331</xdr:colOff>
      <xdr:row>23</xdr:row>
      <xdr:rowOff>172260</xdr:rowOff>
    </xdr:from>
    <xdr:to>
      <xdr:col>1</xdr:col>
      <xdr:colOff>1164703</xdr:colOff>
      <xdr:row>23</xdr:row>
      <xdr:rowOff>1236223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10" y="28585132"/>
          <a:ext cx="1072897" cy="1063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141863</xdr:colOff>
      <xdr:row>24</xdr:row>
      <xdr:rowOff>111464</xdr:rowOff>
    </xdr:from>
    <xdr:to>
      <xdr:col>1</xdr:col>
      <xdr:colOff>1159578</xdr:colOff>
      <xdr:row>24</xdr:row>
      <xdr:rowOff>1127455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842" y="29872023"/>
          <a:ext cx="1021525" cy="1019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24077</xdr:colOff>
      <xdr:row>25</xdr:row>
      <xdr:rowOff>139958</xdr:rowOff>
    </xdr:from>
    <xdr:to>
      <xdr:col>1</xdr:col>
      <xdr:colOff>1063654</xdr:colOff>
      <xdr:row>25</xdr:row>
      <xdr:rowOff>1196988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056" y="31248203"/>
          <a:ext cx="1039577" cy="105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192527</xdr:colOff>
      <xdr:row>26</xdr:row>
      <xdr:rowOff>273591</xdr:rowOff>
    </xdr:from>
    <xdr:to>
      <xdr:col>1</xdr:col>
      <xdr:colOff>1122211</xdr:colOff>
      <xdr:row>26</xdr:row>
      <xdr:rowOff>1197596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506" y="32729522"/>
          <a:ext cx="929684" cy="924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222926</xdr:colOff>
      <xdr:row>27</xdr:row>
      <xdr:rowOff>212794</xdr:rowOff>
    </xdr:from>
    <xdr:to>
      <xdr:col>1</xdr:col>
      <xdr:colOff>1158637</xdr:colOff>
      <xdr:row>27</xdr:row>
      <xdr:rowOff>1158362</xdr:rowOff>
    </xdr:to>
    <xdr:pic>
      <xdr:nvPicPr>
        <xdr:cNvPr id="54" name="Imagem 53" descr="269686-0_C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905" y="34016411"/>
          <a:ext cx="929996" cy="936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55528</xdr:colOff>
      <xdr:row>29</xdr:row>
      <xdr:rowOff>453203</xdr:rowOff>
    </xdr:from>
    <xdr:to>
      <xdr:col>1</xdr:col>
      <xdr:colOff>1120707</xdr:colOff>
      <xdr:row>29</xdr:row>
      <xdr:rowOff>1127597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  <a:ext uri="{147F2762-F138-4A5C-976F-8EAC2B608ADB}">
              <a16:predDERef xmlns:a16="http://schemas.microsoft.com/office/drawing/2014/main" pred="{BDB558F3-0E3D-8DB4-0E15-D96AF014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128" y="37057778"/>
          <a:ext cx="1065179" cy="674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64608</xdr:colOff>
      <xdr:row>28</xdr:row>
      <xdr:rowOff>452373</xdr:rowOff>
    </xdr:from>
    <xdr:to>
      <xdr:col>1</xdr:col>
      <xdr:colOff>1162171</xdr:colOff>
      <xdr:row>28</xdr:row>
      <xdr:rowOff>1083420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587" y="35603676"/>
          <a:ext cx="1084228" cy="623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222925</xdr:colOff>
      <xdr:row>33</xdr:row>
      <xdr:rowOff>344522</xdr:rowOff>
    </xdr:from>
    <xdr:to>
      <xdr:col>1</xdr:col>
      <xdr:colOff>1084228</xdr:colOff>
      <xdr:row>33</xdr:row>
      <xdr:rowOff>1200172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904" y="42234256"/>
          <a:ext cx="857493" cy="85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135539</xdr:colOff>
      <xdr:row>34</xdr:row>
      <xdr:rowOff>164034</xdr:rowOff>
    </xdr:from>
    <xdr:to>
      <xdr:col>1</xdr:col>
      <xdr:colOff>1084245</xdr:colOff>
      <xdr:row>34</xdr:row>
      <xdr:rowOff>1084837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518" y="43401454"/>
          <a:ext cx="952516" cy="930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111462</xdr:colOff>
      <xdr:row>35</xdr:row>
      <xdr:rowOff>243191</xdr:rowOff>
    </xdr:from>
    <xdr:to>
      <xdr:col>1</xdr:col>
      <xdr:colOff>1126483</xdr:colOff>
      <xdr:row>35</xdr:row>
      <xdr:rowOff>1240641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41" y="44828297"/>
          <a:ext cx="1007401" cy="100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91196</xdr:colOff>
      <xdr:row>36</xdr:row>
      <xdr:rowOff>101330</xdr:rowOff>
    </xdr:from>
    <xdr:to>
      <xdr:col>1</xdr:col>
      <xdr:colOff>1178777</xdr:colOff>
      <xdr:row>36</xdr:row>
      <xdr:rowOff>1196988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75" y="46034123"/>
          <a:ext cx="1087581" cy="1088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133803</xdr:colOff>
      <xdr:row>37</xdr:row>
      <xdr:rowOff>178585</xdr:rowOff>
    </xdr:from>
    <xdr:to>
      <xdr:col>1</xdr:col>
      <xdr:colOff>1146743</xdr:colOff>
      <xdr:row>37</xdr:row>
      <xdr:rowOff>1199501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82" y="47459064"/>
          <a:ext cx="1012940" cy="1020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6324</xdr:colOff>
      <xdr:row>39</xdr:row>
      <xdr:rowOff>158318</xdr:rowOff>
    </xdr:from>
    <xdr:to>
      <xdr:col>1</xdr:col>
      <xdr:colOff>1068121</xdr:colOff>
      <xdr:row>39</xdr:row>
      <xdr:rowOff>1219160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03" y="50134169"/>
          <a:ext cx="1061797" cy="1060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26590</xdr:colOff>
      <xdr:row>40</xdr:row>
      <xdr:rowOff>197037</xdr:rowOff>
    </xdr:from>
    <xdr:to>
      <xdr:col>1</xdr:col>
      <xdr:colOff>1123463</xdr:colOff>
      <xdr:row>40</xdr:row>
      <xdr:rowOff>1279269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569" y="51520574"/>
          <a:ext cx="1108303" cy="1087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222926</xdr:colOff>
      <xdr:row>43</xdr:row>
      <xdr:rowOff>60798</xdr:rowOff>
    </xdr:from>
    <xdr:to>
      <xdr:col>1</xdr:col>
      <xdr:colOff>898974</xdr:colOff>
      <xdr:row>43</xdr:row>
      <xdr:rowOff>1219767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905" y="55427394"/>
          <a:ext cx="679858" cy="1158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131729</xdr:colOff>
      <xdr:row>41</xdr:row>
      <xdr:rowOff>101331</xdr:rowOff>
    </xdr:from>
    <xdr:to>
      <xdr:col>1</xdr:col>
      <xdr:colOff>1051317</xdr:colOff>
      <xdr:row>41</xdr:row>
      <xdr:rowOff>1197379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08" y="52772554"/>
          <a:ext cx="911968" cy="1103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301477</xdr:colOff>
      <xdr:row>42</xdr:row>
      <xdr:rowOff>44341</xdr:rowOff>
    </xdr:from>
    <xdr:to>
      <xdr:col>1</xdr:col>
      <xdr:colOff>834714</xdr:colOff>
      <xdr:row>42</xdr:row>
      <xdr:rowOff>1140366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456" y="54063251"/>
          <a:ext cx="533237" cy="10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192527</xdr:colOff>
      <xdr:row>38</xdr:row>
      <xdr:rowOff>81064</xdr:rowOff>
    </xdr:from>
    <xdr:to>
      <xdr:col>1</xdr:col>
      <xdr:colOff>993032</xdr:colOff>
      <xdr:row>38</xdr:row>
      <xdr:rowOff>1235829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506" y="48709229"/>
          <a:ext cx="800505" cy="114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70932</xdr:colOff>
      <xdr:row>45</xdr:row>
      <xdr:rowOff>243191</xdr:rowOff>
    </xdr:from>
    <xdr:to>
      <xdr:col>1</xdr:col>
      <xdr:colOff>1196622</xdr:colOff>
      <xdr:row>45</xdr:row>
      <xdr:rowOff>975279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911" y="58305159"/>
          <a:ext cx="1121880" cy="743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222926</xdr:colOff>
      <xdr:row>49</xdr:row>
      <xdr:rowOff>233058</xdr:rowOff>
    </xdr:from>
    <xdr:to>
      <xdr:col>1</xdr:col>
      <xdr:colOff>973023</xdr:colOff>
      <xdr:row>49</xdr:row>
      <xdr:rowOff>1082931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905" y="63685771"/>
          <a:ext cx="742477" cy="857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111462</xdr:colOff>
      <xdr:row>46</xdr:row>
      <xdr:rowOff>141861</xdr:rowOff>
    </xdr:from>
    <xdr:to>
      <xdr:col>1</xdr:col>
      <xdr:colOff>1046581</xdr:colOff>
      <xdr:row>46</xdr:row>
      <xdr:rowOff>1162171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41" y="59551515"/>
          <a:ext cx="931309" cy="100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70931</xdr:colOff>
      <xdr:row>47</xdr:row>
      <xdr:rowOff>40532</xdr:rowOff>
    </xdr:from>
    <xdr:to>
      <xdr:col>1</xdr:col>
      <xdr:colOff>934723</xdr:colOff>
      <xdr:row>47</xdr:row>
      <xdr:rowOff>1316680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910" y="60797872"/>
          <a:ext cx="856172" cy="1268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121596</xdr:colOff>
      <xdr:row>48</xdr:row>
      <xdr:rowOff>81063</xdr:rowOff>
    </xdr:from>
    <xdr:to>
      <xdr:col>1</xdr:col>
      <xdr:colOff>934747</xdr:colOff>
      <xdr:row>48</xdr:row>
      <xdr:rowOff>1274694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75" y="62186090"/>
          <a:ext cx="816961" cy="1206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192527</xdr:colOff>
      <xdr:row>50</xdr:row>
      <xdr:rowOff>151995</xdr:rowOff>
    </xdr:from>
    <xdr:to>
      <xdr:col>1</xdr:col>
      <xdr:colOff>1013298</xdr:colOff>
      <xdr:row>50</xdr:row>
      <xdr:rowOff>1198929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506" y="64952394"/>
          <a:ext cx="816961" cy="1060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51</xdr:row>
      <xdr:rowOff>66675</xdr:rowOff>
    </xdr:from>
    <xdr:to>
      <xdr:col>1</xdr:col>
      <xdr:colOff>733425</xdr:colOff>
      <xdr:row>51</xdr:row>
      <xdr:rowOff>1266825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  <a:ext uri="{147F2762-F138-4A5C-976F-8EAC2B608ADB}">
              <a16:predDERef xmlns:a16="http://schemas.microsoft.com/office/drawing/2014/main" pred="{61A3A7E1-91D5-9CA8-F0C3-AAA875CA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66579750"/>
          <a:ext cx="48577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352425</xdr:colOff>
      <xdr:row>52</xdr:row>
      <xdr:rowOff>85725</xdr:rowOff>
    </xdr:from>
    <xdr:to>
      <xdr:col>1</xdr:col>
      <xdr:colOff>790575</xdr:colOff>
      <xdr:row>52</xdr:row>
      <xdr:rowOff>1219200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3BB38FD9-DC22-8B03-C7E2-48585122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67951350"/>
          <a:ext cx="438150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390525</xdr:colOff>
      <xdr:row>53</xdr:row>
      <xdr:rowOff>190500</xdr:rowOff>
    </xdr:from>
    <xdr:to>
      <xdr:col>1</xdr:col>
      <xdr:colOff>762000</xdr:colOff>
      <xdr:row>53</xdr:row>
      <xdr:rowOff>1219200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  <a:ext uri="{147F2762-F138-4A5C-976F-8EAC2B608ADB}">
              <a16:predDERef xmlns:a16="http://schemas.microsoft.com/office/drawing/2014/main" pred="{6E3D6EF2-55E7-94ED-3DC2-6F11C5832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69408675"/>
          <a:ext cx="37147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30</xdr:row>
      <xdr:rowOff>304800</xdr:rowOff>
    </xdr:from>
    <xdr:to>
      <xdr:col>1</xdr:col>
      <xdr:colOff>1095375</xdr:colOff>
      <xdr:row>30</xdr:row>
      <xdr:rowOff>971550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  <a:ext uri="{147F2762-F138-4A5C-976F-8EAC2B608ADB}">
              <a16:predDERef xmlns:a16="http://schemas.microsoft.com/office/drawing/2014/main" pred="{D64246E1-65AB-4C9B-A487-7A87A4FC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95325" y="38414325"/>
          <a:ext cx="10096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257175</xdr:rowOff>
    </xdr:from>
    <xdr:to>
      <xdr:col>1</xdr:col>
      <xdr:colOff>1047750</xdr:colOff>
      <xdr:row>31</xdr:row>
      <xdr:rowOff>923925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  <a:ext uri="{147F2762-F138-4A5C-976F-8EAC2B608ADB}">
              <a16:predDERef xmlns:a16="http://schemas.microsoft.com/office/drawing/2014/main" pred="{0224EBCE-7E42-4A4D-870A-D174A651F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47700" y="39719250"/>
          <a:ext cx="10096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285750</xdr:rowOff>
    </xdr:from>
    <xdr:to>
      <xdr:col>1</xdr:col>
      <xdr:colOff>1057275</xdr:colOff>
      <xdr:row>32</xdr:row>
      <xdr:rowOff>952500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BFA8FE7B-E70C-4752-9D02-7FD719BD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57225" y="41100375"/>
          <a:ext cx="10096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44</xdr:row>
      <xdr:rowOff>228600</xdr:rowOff>
    </xdr:from>
    <xdr:to>
      <xdr:col>1</xdr:col>
      <xdr:colOff>1085850</xdr:colOff>
      <xdr:row>44</xdr:row>
      <xdr:rowOff>942975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000-000035000000}"/>
            </a:ext>
            <a:ext uri="{147F2762-F138-4A5C-976F-8EAC2B608ADB}">
              <a16:predDERef xmlns:a16="http://schemas.microsoft.com/office/drawing/2014/main" pred="{9132EB27-D775-4983-9850-5DC0A5C2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85800" y="57273825"/>
          <a:ext cx="100965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219075</xdr:rowOff>
    </xdr:from>
    <xdr:to>
      <xdr:col>1</xdr:col>
      <xdr:colOff>1190625</xdr:colOff>
      <xdr:row>54</xdr:row>
      <xdr:rowOff>962025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5E08B285-6367-42ED-A39E-B98FA0DE2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9600" y="70789800"/>
          <a:ext cx="1190625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314325</xdr:rowOff>
    </xdr:from>
    <xdr:to>
      <xdr:col>1</xdr:col>
      <xdr:colOff>1133475</xdr:colOff>
      <xdr:row>56</xdr:row>
      <xdr:rowOff>819150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  <a:ext uri="{147F2762-F138-4A5C-976F-8EAC2B608ADB}">
              <a16:predDERef xmlns:a16="http://schemas.microsoft.com/office/drawing/2014/main" pred="{40A39F9F-ECFC-FDDB-B51A-F793C3BC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21581518">
          <a:off x="609600" y="73590150"/>
          <a:ext cx="1133475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55</xdr:row>
      <xdr:rowOff>95250</xdr:rowOff>
    </xdr:from>
    <xdr:to>
      <xdr:col>1</xdr:col>
      <xdr:colOff>1104900</xdr:colOff>
      <xdr:row>55</xdr:row>
      <xdr:rowOff>1190625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000-00003D000000}"/>
            </a:ext>
            <a:ext uri="{147F2762-F138-4A5C-976F-8EAC2B608ADB}">
              <a16:predDERef xmlns:a16="http://schemas.microsoft.com/office/drawing/2014/main" pred="{6C14AD44-A12C-790B-679F-07CF55AB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10800000">
          <a:off x="666750" y="72018525"/>
          <a:ext cx="10477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123825</xdr:rowOff>
    </xdr:from>
    <xdr:to>
      <xdr:col>1</xdr:col>
      <xdr:colOff>1133475</xdr:colOff>
      <xdr:row>57</xdr:row>
      <xdr:rowOff>1085850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  <a:ext uri="{147F2762-F138-4A5C-976F-8EAC2B608ADB}">
              <a16:predDERef xmlns:a16="http://schemas.microsoft.com/office/drawing/2014/main" pred="{7E960BB9-D31A-2D14-4820-F9EB633C4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9600" y="74752200"/>
          <a:ext cx="1133475" cy="962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7149\Downloads\DVS_Processes%20(1).xlsx" TargetMode="External"/><Relationship Id="rId1" Type="http://schemas.openxmlformats.org/officeDocument/2006/relationships/externalLinkPath" Target="file:///C:\Users\17149\Downloads\DVS_Process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es"/>
    </sheetNames>
    <sheetDataSet>
      <sheetData sheetId="0">
        <row r="1">
          <cell r="AH1" t="str">
            <v>Invoice</v>
          </cell>
          <cell r="BA1" t="str">
            <v>ETA</v>
          </cell>
        </row>
        <row r="2">
          <cell r="AH2" t="str">
            <v>INV-000307-26</v>
          </cell>
          <cell r="BA2">
            <v>46256.125</v>
          </cell>
        </row>
        <row r="3">
          <cell r="AH3" t="str">
            <v>INV-000283-26</v>
          </cell>
          <cell r="BA3" t="str">
            <v/>
          </cell>
        </row>
        <row r="4">
          <cell r="AH4" t="str">
            <v>INV-000305-26</v>
          </cell>
          <cell r="BA4">
            <v>46276.125</v>
          </cell>
        </row>
        <row r="5">
          <cell r="AH5" t="str">
            <v>INV-000276-26</v>
          </cell>
          <cell r="BA5">
            <v>46239.125</v>
          </cell>
        </row>
        <row r="6">
          <cell r="AH6" t="str">
            <v>INV-000276-26</v>
          </cell>
          <cell r="BA6">
            <v>46239.125</v>
          </cell>
        </row>
        <row r="7">
          <cell r="AH7" t="str">
            <v>INV-000276-26</v>
          </cell>
          <cell r="BA7">
            <v>46239.125</v>
          </cell>
        </row>
        <row r="8">
          <cell r="AH8" t="str">
            <v>INV-000273-26</v>
          </cell>
          <cell r="BA8">
            <v>46263.125</v>
          </cell>
        </row>
        <row r="9">
          <cell r="AH9" t="str">
            <v>INV-000305-26</v>
          </cell>
          <cell r="BA9">
            <v>46276.125</v>
          </cell>
        </row>
        <row r="10">
          <cell r="AH10" t="str">
            <v>INV-000277-26</v>
          </cell>
          <cell r="BA10">
            <v>46246.125</v>
          </cell>
        </row>
        <row r="11">
          <cell r="AH11" t="str">
            <v>INV-000305-26</v>
          </cell>
          <cell r="BA11">
            <v>46276.125</v>
          </cell>
        </row>
        <row r="12">
          <cell r="AH12" t="str">
            <v>INV-000321-26</v>
          </cell>
          <cell r="BA12" t="str">
            <v/>
          </cell>
        </row>
        <row r="13">
          <cell r="AH13" t="str">
            <v>INV-000277-26</v>
          </cell>
          <cell r="BA13">
            <v>46246.125</v>
          </cell>
        </row>
        <row r="14">
          <cell r="AH14" t="str">
            <v>INV-000307-26</v>
          </cell>
          <cell r="BA14">
            <v>46256.125</v>
          </cell>
        </row>
        <row r="15">
          <cell r="AH15" t="str">
            <v>INV-000321-26</v>
          </cell>
          <cell r="BA15" t="str">
            <v/>
          </cell>
        </row>
        <row r="16">
          <cell r="AH16" t="str">
            <v>INV-000261-26</v>
          </cell>
          <cell r="BA16">
            <v>46263.125</v>
          </cell>
        </row>
        <row r="17">
          <cell r="AH17" t="str">
            <v>INV-000277-26</v>
          </cell>
          <cell r="BA17">
            <v>46246.125</v>
          </cell>
        </row>
        <row r="18">
          <cell r="AH18" t="str">
            <v>INV-000307-26</v>
          </cell>
          <cell r="BA18">
            <v>46256.125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F0EC2-3370-47E6-8B2F-84E06A123E2E}" name="Tabela2" displayName="Tabela2" ref="A1:AA81" totalsRowShown="0" headerRowDxfId="132" dataDxfId="131" tableBorderDxfId="130">
  <sortState xmlns:xlrd2="http://schemas.microsoft.com/office/spreadsheetml/2017/richdata2" ref="A2:AA71">
    <sortCondition ref="D1:D71"/>
  </sortState>
  <tableColumns count="27">
    <tableColumn id="1" xr3:uid="{93568184-147C-4E28-BC82-5DE2A4E6F018}" name="Qtd" dataDxfId="129" totalsRowDxfId="128">
      <calculatedColumnFormula>A1+1</calculatedColumnFormula>
    </tableColumn>
    <tableColumn id="2" xr3:uid="{D198027F-A63C-4393-B6BA-B9607E8165C1}" name="Forn." dataDxfId="127" totalsRowDxfId="126"/>
    <tableColumn id="3" xr3:uid="{86C59E6C-B878-4C6B-90F3-1231B0AE5DFE}" name="Pedido de compra" dataDxfId="125" totalsRowDxfId="124"/>
    <tableColumn id="4" xr3:uid="{971A316A-1624-40B7-A086-8CDD04ECD9D5}" name="INVOICE" dataDxfId="123" totalsRowDxfId="122"/>
    <tableColumn id="5" xr3:uid="{95BF31C1-B2D2-4367-9CD1-CCB064CA1090}" name="HBL" dataDxfId="121" totalsRowDxfId="120"/>
    <tableColumn id="6" xr3:uid="{2E90641E-4AB9-4C5B-9FA4-C99769E7E986}" name="Container" dataDxfId="119" totalsRowDxfId="118"/>
    <tableColumn id="7" xr3:uid="{B5DD9BD8-9D22-41A1-A86B-116C4158E7EC}" name="Variedade de SKU" dataDxfId="117" totalsRowDxfId="116">
      <calculatedColumnFormula>COUNTIF(Precificação!A:A,'Base de Dados'!D2)</calculatedColumnFormula>
    </tableColumn>
    <tableColumn id="8" xr3:uid="{1CFFEAEA-F76F-4497-9E09-941BA84A1CA5}" name="Produtos" dataDxfId="115" totalsRowDxfId="114"/>
    <tableColumn id="9" xr3:uid="{5520BDA3-BBBA-4711-856A-E0546FE85B9C}" name="Profundidade de SKU Container" dataDxfId="113" totalsRowDxfId="112">
      <calculatedColumnFormula>SUMIF(Precificação!A:A,D2,Precificação!F:F)</calculatedColumnFormula>
    </tableColumn>
    <tableColumn id="10" xr3:uid="{15D693A7-D709-41EE-A114-96C04D00C9A4}" name="Custo em Dólar ($)" dataDxfId="111" totalsRowDxfId="110"/>
    <tableColumn id="11" xr3:uid="{CFE7D351-287B-425B-9E68-5737D3315A12}" name="Processo" dataDxfId="109" totalsRowDxfId="108"/>
    <tableColumn id="13" xr3:uid="{A977274A-5D4C-4334-94FF-0BF1D81B3CF4}" name="Modal" dataDxfId="107" totalsRowDxfId="106"/>
    <tableColumn id="14" xr3:uid="{298686BB-6522-4DA7-A86B-B088CCBC942D}" name="Valor Mercadoria (R$)" dataDxfId="105" totalsRowDxfId="104"/>
    <tableColumn id="15" xr3:uid="{0D493AB4-BE1C-4571-B7B7-B57AD7AEEFA2}" name="Frete (R$)" dataDxfId="103" totalsRowDxfId="102"/>
    <tableColumn id="16" xr3:uid="{9087461A-DCF2-420D-B246-0DBB5AE329E3}" name="Seguro (R$)" dataDxfId="101" totalsRowDxfId="100"/>
    <tableColumn id="17" xr3:uid="{28556C00-F117-4303-BC07-B944E802A799}" name="SISCOMEX " dataDxfId="99" totalsRowDxfId="98"/>
    <tableColumn id="18" xr3:uid="{496E26AE-BFC9-4CE8-94D6-90882CB02E39}" name="Despachante" dataDxfId="97" totalsRowDxfId="96"/>
    <tableColumn id="19" xr3:uid="{EA1BC275-D6C7-45FE-8D64-5B62AB5EA070}" name="Frete Local" dataDxfId="95" totalsRowDxfId="94"/>
    <tableColumn id="20" xr3:uid="{C73D235D-485C-403F-BC84-AB29410723FE}" name="COFINS" dataDxfId="93" totalsRowDxfId="92"/>
    <tableColumn id="21" xr3:uid="{B7839095-8A8B-4230-B5F5-A8C717FA12A0}" name="PIS" dataDxfId="91" totalsRowDxfId="90"/>
    <tableColumn id="23" xr3:uid="{A67ADE0A-3D1A-4100-929D-9A0F3A41151F}" name="Total" dataDxfId="89" totalsRowDxfId="88"/>
    <tableColumn id="24" xr3:uid="{981580EA-1EE0-483E-89E8-C2E4C49FB235}" name="% Frete" dataDxfId="87" totalsRowDxfId="86"/>
    <tableColumn id="26" xr3:uid="{6F5A0A9C-4F49-4123-A7CD-10182ADD4A05}" name="Localização" dataDxfId="85" totalsRowDxfId="84">
      <calculatedColumnFormula>_xlfn.XLOOKUP(Tabela2[[#This Row],[INVOICE]],#REF!,#REF!)</calculatedColumnFormula>
    </tableColumn>
    <tableColumn id="25" xr3:uid="{8B05EF05-9060-46D9-A942-B259140E84F7}" name="Status" dataDxfId="83" totalsRowDxfId="82">
      <calculatedColumnFormula>IF(K2&lt;&gt;"", "CONCLUÍDO", IF(E2&lt;&gt;"", "EM TRÂNSITO", "EM PRODUÇÃO"))</calculatedColumnFormula>
    </tableColumn>
    <tableColumn id="12" xr3:uid="{8E218F19-35A2-480B-BF7A-A4AB8D38AC44}" name="DIAS ATÉ CHEGADA" dataDxfId="81" totalsRowDxfId="80">
      <calculatedColumnFormula>Tabela2[[#This Row],[ESTIMATIVA CHEGADA]]-TODAY()</calculatedColumnFormula>
    </tableColumn>
    <tableColumn id="22" xr3:uid="{3AB9597A-7F3A-4410-B0D4-1EA8C8D43C5F}" name="ESTIMATIVA CHEGADA" dataDxfId="79" totalsRowDxfId="78"/>
    <tableColumn id="27" xr3:uid="{75045EC3-C2F7-4114-9D38-4CE0A44A9C3F}" name="PRONTIDÃO" dataDxfId="77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D962A-297D-455A-8D95-2AC98F017BFD}" name="PRECIFICAÇÃO" displayName="PRECIFICAÇÃO" ref="A1:W440" totalsRowShown="0" headerRowDxfId="75" dataDxfId="73" headerRowBorderDxfId="74" tableBorderDxfId="72">
  <sortState xmlns:xlrd2="http://schemas.microsoft.com/office/spreadsheetml/2017/richdata2" ref="A2:W245">
    <sortCondition ref="A1:A245"/>
  </sortState>
  <tableColumns count="23">
    <tableColumn id="1" xr3:uid="{38E2088E-F977-4921-958E-A651356DE678}" name="INVOICE" dataDxfId="71" totalsRowDxfId="70"/>
    <tableColumn id="2" xr3:uid="{05767762-26D1-4DF6-8433-ED8D11BA40DB}" name="Fornecedor" dataDxfId="69" totalsRowDxfId="68">
      <calculatedColumnFormula>_xlfn.XLOOKUP(A2,'Base de Dados'!D:D,'Base de Dados'!B:B)</calculatedColumnFormula>
    </tableColumn>
    <tableColumn id="22" xr3:uid="{F2915FDC-D64C-4B88-8FEB-F9DA77B3F356}" name="Status" dataDxfId="67" totalsRowDxfId="66">
      <calculatedColumnFormula>_xlfn.XLOOKUP(PRECIFICAÇÃO[[#This Row],[INVOICE]],'Base de Dados'!D:D,'Base de Dados'!X:X)</calculatedColumnFormula>
    </tableColumn>
    <tableColumn id="3" xr3:uid="{52037808-8FAD-44F2-BB23-97058252BFFC}" name="Cód" dataDxfId="65" totalsRowDxfId="64"/>
    <tableColumn id="5" xr3:uid="{03D3CD1C-93CE-4114-B74A-A3779F97BA39}" name="Descrição" dataDxfId="63" totalsRowDxfId="62"/>
    <tableColumn id="6" xr3:uid="{60ED5649-4AB2-4E03-8D7C-3740230BC690}" name="Qtd" dataDxfId="61" totalsRowDxfId="60"/>
    <tableColumn id="7" xr3:uid="{C883B9B7-F839-4C62-9BC5-569771419AE8}" name="Custo individual UDS" dataDxfId="59" totalsRowDxfId="58" dataCellStyle="Vírgula" totalsRowCellStyle="Normal 2"/>
    <tableColumn id="8" xr3:uid="{43E6001D-CE02-4706-88E3-2E7ACE8BBE4F}" name="Taxa dolar DI" dataDxfId="57" totalsRowDxfId="56" dataCellStyle="Normal 2" totalsRowCellStyle="Normal 2"/>
    <tableColumn id="9" xr3:uid="{1F407FAC-E504-499E-89A2-933BB1D687E6}" name="Custo individual BRL" dataDxfId="55" totalsRowDxfId="54" dataCellStyle="Normal 2" totalsRowCellStyle="Normal 2">
      <calculatedColumnFormula>H2*G2</calculatedColumnFormula>
    </tableColumn>
    <tableColumn id="10" xr3:uid="{9C2B12C3-6A87-4EF5-BFC4-3D594863A8A6}" name="Custo Total " dataDxfId="53" totalsRowDxfId="52" dataCellStyle="Normal 2" totalsRowCellStyle="Normal 2">
      <calculatedColumnFormula>I2*F2</calculatedColumnFormula>
    </tableColumn>
    <tableColumn id="11" xr3:uid="{333BE551-C3ED-456B-849C-A1C6CE86F0BC}" name="% Participação" dataDxfId="51" totalsRowDxfId="50" dataCellStyle="Normal 2" totalsRowCellStyle="Normal 2">
      <calculatedColumnFormula>J2/_xlfn.XLOOKUP(A2,'Base de Dados'!D:D,'Base de Dados'!M:M)</calculatedColumnFormula>
    </tableColumn>
    <tableColumn id="12" xr3:uid="{614EB718-5C73-4522-933A-AD3B971906C6}" name="Frete  BRL" dataDxfId="49" totalsRowDxfId="48" dataCellStyle="Normal 2" totalsRowCellStyle="Normal 2">
      <calculatedColumnFormula>K2*_xlfn.XLOOKUP(A2,'Base de Dados'!D:D,'Base de Dados'!N:N)</calculatedColumnFormula>
    </tableColumn>
    <tableColumn id="13" xr3:uid="{1F8CB58C-9C4D-4BBD-AADA-9CA07DF98643}" name="Custo total + Frete BRL" dataDxfId="47" totalsRowDxfId="46" dataCellStyle="Normal 2" totalsRowCellStyle="Normal 2">
      <calculatedColumnFormula>J2+L2</calculatedColumnFormula>
    </tableColumn>
    <tableColumn id="14" xr3:uid="{A2B95D3A-A11B-4E7F-8BC1-36B67E55FD0D}" name="Custo individual com frete BRL" dataDxfId="45" totalsRowDxfId="44">
      <calculatedColumnFormula>M2/F2</calculatedColumnFormula>
    </tableColumn>
    <tableColumn id="15" xr3:uid="{42E01F20-5111-4F29-B551-F972E0F2E7DE}" name="MARK UP" dataDxfId="43" totalsRowDxfId="42">
      <calculatedColumnFormula>R2-0.1</calculatedColumnFormula>
    </tableColumn>
    <tableColumn id="16" xr3:uid="{83FE586B-0734-474B-BFA9-0B8C91C99760}" name="Preço de venda" dataDxfId="41" totalsRowDxfId="40">
      <calculatedColumnFormula>ROUND(N2/O2,0)</calculatedColumnFormula>
    </tableColumn>
    <tableColumn id="17" xr3:uid="{184D919B-E0BF-45E6-895A-02B453A7793D}" name="Margem" dataDxfId="39" totalsRowDxfId="38">
      <calculatedColumnFormula>(P2-N2)/P2</calculatedColumnFormula>
    </tableColumn>
    <tableColumn id="18" xr3:uid="{74332A1B-49F8-4544-A14E-9BC7168C6070}" name="MARK UP CATEGORIA" dataDxfId="37" totalsRowDxfId="36"/>
    <tableColumn id="19" xr3:uid="{79A0ED8E-2A40-486B-A6C5-66089EA779D6}" name="Ganho de Margem" dataDxfId="35" totalsRowDxfId="34">
      <calculatedColumnFormula>Q2-R2</calculatedColumnFormula>
    </tableColumn>
    <tableColumn id="20" xr3:uid="{7F80F4AB-F058-44E7-BCCD-B1BC23E282E5}" name="Preço produto similar" dataDxfId="33" totalsRowDxfId="32"/>
    <tableColumn id="21" xr3:uid="{1864FF2B-5210-4809-B290-21D58F6041DB}" name="Dif de preço " dataDxfId="31" totalsRowDxfId="30">
      <calculatedColumnFormula>(T2-P2)/T2</calculatedColumnFormula>
    </tableColumn>
    <tableColumn id="4" xr3:uid="{B5DF4F8D-4004-4D13-86A0-BC41E74EE571}" name="GM9" dataDxfId="29" totalsRowDxfId="28"/>
    <tableColumn id="23" xr3:uid="{F98E9D07-6EE6-4C47-9646-C7AE3E4035C3}" name="DESCRIÇÃO GM9" dataDxfId="27" totalsRow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A400FF-E8C3-406A-8911-8F925054057D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e927fadb-b93e-4ac4-99b0-f3559cbc9a9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A2A6-B8F4-4AD6-9976-337EAE813F45}">
  <dimension ref="A1:I87"/>
  <sheetViews>
    <sheetView zoomScale="94" zoomScaleNormal="90" workbookViewId="0">
      <pane ySplit="2" topLeftCell="A3" activePane="bottomLeft" state="frozen"/>
      <selection pane="bottomLeft" activeCell="D4" sqref="D4"/>
    </sheetView>
  </sheetViews>
  <sheetFormatPr defaultRowHeight="15" customHeight="1" x14ac:dyDescent="0.3"/>
  <cols>
    <col min="2" max="3" width="18" customWidth="1"/>
    <col min="4" max="4" width="46.44140625" customWidth="1"/>
    <col min="5" max="5" width="19.33203125" customWidth="1"/>
    <col min="6" max="6" width="18.109375" customWidth="1"/>
    <col min="7" max="8" width="13.6640625" customWidth="1"/>
    <col min="9" max="9" width="15" customWidth="1"/>
  </cols>
  <sheetData>
    <row r="1" spans="1:9" ht="30" customHeight="1" x14ac:dyDescent="0.45">
      <c r="A1" s="343" t="s">
        <v>0</v>
      </c>
      <c r="B1" s="343"/>
      <c r="C1" s="343"/>
      <c r="D1" s="343"/>
      <c r="E1" s="343"/>
      <c r="F1" s="343"/>
      <c r="G1" s="343"/>
      <c r="H1" s="343"/>
      <c r="I1" s="343"/>
    </row>
    <row r="2" spans="1:9" ht="38.4" customHeight="1" x14ac:dyDescent="0.3">
      <c r="A2" s="16" t="s">
        <v>1</v>
      </c>
      <c r="B2" s="16" t="s">
        <v>2</v>
      </c>
      <c r="C2" s="29" t="s">
        <v>3</v>
      </c>
      <c r="D2" s="16" t="s">
        <v>4</v>
      </c>
      <c r="E2" s="16" t="s">
        <v>5</v>
      </c>
      <c r="F2" s="23" t="s">
        <v>6</v>
      </c>
      <c r="G2" s="23" t="s">
        <v>7</v>
      </c>
      <c r="H2" s="23" t="s">
        <v>8</v>
      </c>
      <c r="I2" s="23" t="s">
        <v>9</v>
      </c>
    </row>
    <row r="3" spans="1:9" ht="98.4" customHeight="1" x14ac:dyDescent="0.3">
      <c r="A3" s="28">
        <v>1</v>
      </c>
      <c r="B3" s="27"/>
      <c r="C3" s="24">
        <v>238697</v>
      </c>
      <c r="D3" s="17" t="s">
        <v>10</v>
      </c>
      <c r="E3" s="35">
        <v>1500</v>
      </c>
      <c r="F3" s="38">
        <v>2</v>
      </c>
      <c r="G3" s="40">
        <f>E3/F3</f>
        <v>750</v>
      </c>
      <c r="H3" s="44">
        <v>6.4000000000000001E-2</v>
      </c>
      <c r="I3" s="47">
        <f>H3*G3</f>
        <v>48</v>
      </c>
    </row>
    <row r="4" spans="1:9" ht="98.4" customHeight="1" x14ac:dyDescent="0.3">
      <c r="A4" s="28">
        <v>2</v>
      </c>
      <c r="B4" s="27"/>
      <c r="C4" s="25">
        <v>238698</v>
      </c>
      <c r="D4" s="18" t="s">
        <v>11</v>
      </c>
      <c r="E4" s="12">
        <v>700</v>
      </c>
      <c r="F4" s="38">
        <v>1</v>
      </c>
      <c r="G4" s="40">
        <f>E4/F4</f>
        <v>700</v>
      </c>
      <c r="H4" s="44">
        <v>6.3E-2</v>
      </c>
      <c r="I4" s="47">
        <f t="shared" ref="I4:I67" si="0">H4*G4</f>
        <v>44.1</v>
      </c>
    </row>
    <row r="5" spans="1:9" ht="98.4" customHeight="1" x14ac:dyDescent="0.3">
      <c r="A5" s="28">
        <v>3</v>
      </c>
      <c r="B5" s="27"/>
      <c r="C5" s="25">
        <v>238699</v>
      </c>
      <c r="D5" s="18" t="s">
        <v>12</v>
      </c>
      <c r="E5" s="12">
        <v>1800</v>
      </c>
      <c r="F5" s="38">
        <v>4</v>
      </c>
      <c r="G5" s="40">
        <f t="shared" ref="G5:G68" si="1">E5/F5</f>
        <v>450</v>
      </c>
      <c r="H5" s="44">
        <v>7.2999999999999995E-2</v>
      </c>
      <c r="I5" s="47">
        <f t="shared" si="0"/>
        <v>32.85</v>
      </c>
    </row>
    <row r="6" spans="1:9" ht="98.4" customHeight="1" x14ac:dyDescent="0.3">
      <c r="A6" s="28">
        <v>4</v>
      </c>
      <c r="B6" s="27"/>
      <c r="C6" s="25">
        <v>238700</v>
      </c>
      <c r="D6" s="18" t="s">
        <v>13</v>
      </c>
      <c r="E6" s="12">
        <v>2004</v>
      </c>
      <c r="F6" s="38">
        <v>6</v>
      </c>
      <c r="G6" s="40">
        <f t="shared" si="1"/>
        <v>334</v>
      </c>
      <c r="H6" s="44">
        <v>4.1000000000000002E-2</v>
      </c>
      <c r="I6" s="47">
        <f t="shared" si="0"/>
        <v>13.694000000000001</v>
      </c>
    </row>
    <row r="7" spans="1:9" ht="98.4" customHeight="1" x14ac:dyDescent="0.3">
      <c r="A7" s="28">
        <v>5</v>
      </c>
      <c r="B7" s="27"/>
      <c r="C7" s="25">
        <v>238721</v>
      </c>
      <c r="D7" s="18" t="s">
        <v>14</v>
      </c>
      <c r="E7" s="12">
        <v>2010</v>
      </c>
      <c r="F7" s="38">
        <v>6</v>
      </c>
      <c r="G7" s="40">
        <f t="shared" si="1"/>
        <v>335</v>
      </c>
      <c r="H7" s="44">
        <v>6.8000000000000005E-2</v>
      </c>
      <c r="I7" s="47">
        <f t="shared" si="0"/>
        <v>22.78</v>
      </c>
    </row>
    <row r="8" spans="1:9" ht="98.4" customHeight="1" x14ac:dyDescent="0.3">
      <c r="A8" s="28">
        <v>6</v>
      </c>
      <c r="B8" s="27"/>
      <c r="C8" s="25">
        <v>238722</v>
      </c>
      <c r="D8" s="18" t="s">
        <v>15</v>
      </c>
      <c r="E8" s="12">
        <v>2604</v>
      </c>
      <c r="F8" s="38">
        <v>12</v>
      </c>
      <c r="G8" s="40">
        <f t="shared" si="1"/>
        <v>217</v>
      </c>
      <c r="H8" s="44">
        <v>4.5999999999999999E-2</v>
      </c>
      <c r="I8" s="47">
        <f t="shared" si="0"/>
        <v>9.9819999999999993</v>
      </c>
    </row>
    <row r="9" spans="1:9" ht="106.95" customHeight="1" x14ac:dyDescent="0.3">
      <c r="A9" s="28">
        <v>7</v>
      </c>
      <c r="B9" s="27"/>
      <c r="C9" s="26">
        <v>238723</v>
      </c>
      <c r="D9" s="20" t="s">
        <v>16</v>
      </c>
      <c r="E9" s="19">
        <v>2450</v>
      </c>
      <c r="F9" s="38">
        <v>10</v>
      </c>
      <c r="G9" s="40">
        <f t="shared" si="1"/>
        <v>245</v>
      </c>
      <c r="H9" s="44">
        <v>4.5999999999999999E-2</v>
      </c>
      <c r="I9" s="47">
        <f t="shared" si="0"/>
        <v>11.27</v>
      </c>
    </row>
    <row r="10" spans="1:9" ht="106.95" customHeight="1" x14ac:dyDescent="0.3">
      <c r="A10" s="28">
        <v>8</v>
      </c>
      <c r="B10" s="27"/>
      <c r="C10" s="25">
        <v>267869</v>
      </c>
      <c r="D10" s="18" t="s">
        <v>17</v>
      </c>
      <c r="E10" s="41">
        <v>3024</v>
      </c>
      <c r="F10" s="38">
        <v>36</v>
      </c>
      <c r="G10" s="40">
        <f t="shared" si="1"/>
        <v>84</v>
      </c>
      <c r="H10" s="45">
        <v>4.3949710000000003E-2</v>
      </c>
      <c r="I10" s="47">
        <f t="shared" si="0"/>
        <v>3.6917756400000004</v>
      </c>
    </row>
    <row r="11" spans="1:9" ht="106.95" customHeight="1" x14ac:dyDescent="0.3">
      <c r="A11" s="28">
        <v>9</v>
      </c>
      <c r="B11" s="27"/>
      <c r="C11" s="26">
        <v>267870</v>
      </c>
      <c r="D11" s="20" t="s">
        <v>18</v>
      </c>
      <c r="E11" s="38">
        <v>3000</v>
      </c>
      <c r="F11" s="38">
        <v>24</v>
      </c>
      <c r="G11" s="40">
        <f t="shared" si="1"/>
        <v>125</v>
      </c>
      <c r="H11" s="46">
        <v>4.3538880000000002E-2</v>
      </c>
      <c r="I11" s="47">
        <f t="shared" si="0"/>
        <v>5.4423599999999999</v>
      </c>
    </row>
    <row r="12" spans="1:9" ht="106.95" customHeight="1" x14ac:dyDescent="0.3">
      <c r="A12" s="28">
        <v>10</v>
      </c>
      <c r="B12" s="27"/>
      <c r="C12" s="25">
        <v>267931</v>
      </c>
      <c r="D12" s="18" t="s">
        <v>19</v>
      </c>
      <c r="E12" s="38">
        <v>3000</v>
      </c>
      <c r="F12" s="38">
        <v>12</v>
      </c>
      <c r="G12" s="40">
        <f t="shared" si="1"/>
        <v>250</v>
      </c>
      <c r="H12" s="46">
        <v>4.1360000000000001E-2</v>
      </c>
      <c r="I12" s="47">
        <f t="shared" si="0"/>
        <v>10.34</v>
      </c>
    </row>
    <row r="13" spans="1:9" ht="106.95" customHeight="1" x14ac:dyDescent="0.3">
      <c r="A13" s="28">
        <v>11</v>
      </c>
      <c r="B13" s="27"/>
      <c r="C13" s="26">
        <v>267932</v>
      </c>
      <c r="D13" s="20" t="s">
        <v>20</v>
      </c>
      <c r="E13" s="38">
        <v>3000</v>
      </c>
      <c r="F13" s="38">
        <v>24</v>
      </c>
      <c r="G13" s="40">
        <f t="shared" si="1"/>
        <v>125</v>
      </c>
      <c r="H13" s="46">
        <v>6.2392200000000002E-2</v>
      </c>
      <c r="I13" s="47">
        <f t="shared" si="0"/>
        <v>7.7990250000000003</v>
      </c>
    </row>
    <row r="14" spans="1:9" ht="106.95" customHeight="1" x14ac:dyDescent="0.3">
      <c r="A14" s="28">
        <v>12</v>
      </c>
      <c r="B14" s="27"/>
      <c r="C14" s="25">
        <v>267936</v>
      </c>
      <c r="D14" s="18" t="s">
        <v>21</v>
      </c>
      <c r="E14" s="38">
        <v>3000</v>
      </c>
      <c r="F14" s="38">
        <v>24</v>
      </c>
      <c r="G14" s="40">
        <f t="shared" si="1"/>
        <v>125</v>
      </c>
      <c r="H14" s="46">
        <v>4.0253339999999999E-2</v>
      </c>
      <c r="I14" s="47">
        <f t="shared" si="0"/>
        <v>5.0316675000000002</v>
      </c>
    </row>
    <row r="15" spans="1:9" ht="106.95" customHeight="1" x14ac:dyDescent="0.3">
      <c r="A15" s="28">
        <v>13</v>
      </c>
      <c r="B15" s="27"/>
      <c r="C15" s="26">
        <v>267937</v>
      </c>
      <c r="D15" s="20" t="s">
        <v>22</v>
      </c>
      <c r="E15" s="38">
        <v>3000</v>
      </c>
      <c r="F15" s="38">
        <v>24</v>
      </c>
      <c r="G15" s="40">
        <f t="shared" si="1"/>
        <v>125</v>
      </c>
      <c r="H15" s="46">
        <v>6.319872E-2</v>
      </c>
      <c r="I15" s="47">
        <f t="shared" si="0"/>
        <v>7.8998400000000002</v>
      </c>
    </row>
    <row r="16" spans="1:9" ht="106.95" customHeight="1" x14ac:dyDescent="0.3">
      <c r="A16" s="28">
        <v>14</v>
      </c>
      <c r="B16" s="27"/>
      <c r="C16" s="25">
        <v>267938</v>
      </c>
      <c r="D16" s="18" t="s">
        <v>23</v>
      </c>
      <c r="E16" s="38">
        <v>3000</v>
      </c>
      <c r="F16" s="38">
        <v>12</v>
      </c>
      <c r="G16" s="40">
        <f t="shared" si="1"/>
        <v>250</v>
      </c>
      <c r="H16" s="46">
        <v>4.5288000000000002E-2</v>
      </c>
      <c r="I16" s="47">
        <f t="shared" si="0"/>
        <v>11.322000000000001</v>
      </c>
    </row>
    <row r="17" spans="1:9" ht="106.95" customHeight="1" x14ac:dyDescent="0.3">
      <c r="A17" s="28">
        <v>15</v>
      </c>
      <c r="B17" s="27"/>
      <c r="C17" s="26">
        <v>267939</v>
      </c>
      <c r="D17" s="20" t="s">
        <v>24</v>
      </c>
      <c r="E17" s="38">
        <v>3000</v>
      </c>
      <c r="F17" s="38">
        <v>12</v>
      </c>
      <c r="G17" s="40">
        <f t="shared" si="1"/>
        <v>250</v>
      </c>
      <c r="H17" s="46">
        <v>4.5072300000000003E-2</v>
      </c>
      <c r="I17" s="47">
        <f t="shared" si="0"/>
        <v>11.268075000000001</v>
      </c>
    </row>
    <row r="18" spans="1:9" ht="106.95" customHeight="1" x14ac:dyDescent="0.3">
      <c r="A18" s="28">
        <v>16</v>
      </c>
      <c r="B18" s="27"/>
      <c r="C18" s="25">
        <v>267940</v>
      </c>
      <c r="D18" s="18" t="s">
        <v>25</v>
      </c>
      <c r="E18" s="38">
        <v>3000</v>
      </c>
      <c r="F18" s="38">
        <v>6</v>
      </c>
      <c r="G18" s="40">
        <f t="shared" si="1"/>
        <v>500</v>
      </c>
      <c r="H18" s="46">
        <v>3.8335000000000001E-2</v>
      </c>
      <c r="I18" s="47">
        <f t="shared" si="0"/>
        <v>19.1675</v>
      </c>
    </row>
    <row r="19" spans="1:9" ht="106.95" customHeight="1" x14ac:dyDescent="0.3">
      <c r="A19" s="28">
        <v>17</v>
      </c>
      <c r="B19" s="27"/>
      <c r="C19" s="26">
        <v>267941</v>
      </c>
      <c r="D19" s="20" t="s">
        <v>26</v>
      </c>
      <c r="E19" s="38">
        <v>3000</v>
      </c>
      <c r="F19" s="38">
        <v>12</v>
      </c>
      <c r="G19" s="40">
        <f t="shared" si="1"/>
        <v>250</v>
      </c>
      <c r="H19" s="46">
        <v>4.10868E-2</v>
      </c>
      <c r="I19" s="47">
        <f t="shared" si="0"/>
        <v>10.271699999999999</v>
      </c>
    </row>
    <row r="20" spans="1:9" ht="106.95" customHeight="1" x14ac:dyDescent="0.3">
      <c r="A20" s="28">
        <v>18</v>
      </c>
      <c r="B20" s="27"/>
      <c r="C20" s="25">
        <v>267942</v>
      </c>
      <c r="D20" s="18" t="s">
        <v>27</v>
      </c>
      <c r="E20" s="38">
        <v>3000</v>
      </c>
      <c r="F20" s="38">
        <v>12</v>
      </c>
      <c r="G20" s="40">
        <f t="shared" si="1"/>
        <v>250</v>
      </c>
      <c r="H20" s="46">
        <v>3.9844127999999999E-2</v>
      </c>
      <c r="I20" s="47">
        <f t="shared" si="0"/>
        <v>9.9610319999999994</v>
      </c>
    </row>
    <row r="21" spans="1:9" ht="106.95" customHeight="1" x14ac:dyDescent="0.3">
      <c r="A21" s="28">
        <v>19</v>
      </c>
      <c r="B21" s="12"/>
      <c r="C21" s="26">
        <v>267943</v>
      </c>
      <c r="D21" s="20" t="s">
        <v>28</v>
      </c>
      <c r="E21" s="38">
        <v>3000</v>
      </c>
      <c r="F21" s="38">
        <v>12</v>
      </c>
      <c r="G21" s="40">
        <f t="shared" si="1"/>
        <v>250</v>
      </c>
      <c r="H21" s="46">
        <v>6.5408019999999997E-2</v>
      </c>
      <c r="I21" s="47">
        <f t="shared" si="0"/>
        <v>16.352004999999998</v>
      </c>
    </row>
    <row r="22" spans="1:9" ht="106.95" customHeight="1" x14ac:dyDescent="0.3">
      <c r="A22" s="28">
        <v>20</v>
      </c>
      <c r="B22" s="27"/>
      <c r="C22" s="25">
        <v>267944</v>
      </c>
      <c r="D22" s="18" t="s">
        <v>29</v>
      </c>
      <c r="E22" s="38">
        <v>3000</v>
      </c>
      <c r="F22" s="38">
        <v>6</v>
      </c>
      <c r="G22" s="40">
        <f t="shared" si="1"/>
        <v>500</v>
      </c>
      <c r="H22" s="46">
        <v>4.3114800000000002E-2</v>
      </c>
      <c r="I22" s="47">
        <f t="shared" si="0"/>
        <v>21.557400000000001</v>
      </c>
    </row>
    <row r="23" spans="1:9" ht="106.95" customHeight="1" x14ac:dyDescent="0.3">
      <c r="A23" s="28">
        <v>21</v>
      </c>
      <c r="B23" s="27"/>
      <c r="C23" s="26">
        <v>267945</v>
      </c>
      <c r="D23" s="20" t="s">
        <v>30</v>
      </c>
      <c r="E23" s="38">
        <v>3000</v>
      </c>
      <c r="F23" s="38">
        <v>6</v>
      </c>
      <c r="G23" s="40">
        <f t="shared" si="1"/>
        <v>500</v>
      </c>
      <c r="H23" s="46">
        <v>2.9526E-2</v>
      </c>
      <c r="I23" s="47">
        <f t="shared" si="0"/>
        <v>14.763</v>
      </c>
    </row>
    <row r="24" spans="1:9" ht="106.95" customHeight="1" x14ac:dyDescent="0.3">
      <c r="A24" s="28">
        <v>22</v>
      </c>
      <c r="B24" s="27"/>
      <c r="C24" s="25">
        <v>267946</v>
      </c>
      <c r="D24" s="18" t="s">
        <v>31</v>
      </c>
      <c r="E24" s="38">
        <v>3000</v>
      </c>
      <c r="F24" s="38">
        <v>12</v>
      </c>
      <c r="G24" s="40">
        <f t="shared" si="1"/>
        <v>250</v>
      </c>
      <c r="H24" s="46">
        <v>2.2954344000000002E-2</v>
      </c>
      <c r="I24" s="47">
        <f t="shared" si="0"/>
        <v>5.7385860000000006</v>
      </c>
    </row>
    <row r="25" spans="1:9" ht="106.95" customHeight="1" x14ac:dyDescent="0.3">
      <c r="A25" s="28">
        <v>23</v>
      </c>
      <c r="B25" s="27"/>
      <c r="C25" s="26">
        <v>267947</v>
      </c>
      <c r="D25" s="20" t="s">
        <v>32</v>
      </c>
      <c r="E25" s="38">
        <v>3000</v>
      </c>
      <c r="F25" s="38">
        <v>12</v>
      </c>
      <c r="G25" s="40">
        <f t="shared" si="1"/>
        <v>250</v>
      </c>
      <c r="H25" s="46">
        <v>4.0205088E-2</v>
      </c>
      <c r="I25" s="47">
        <f t="shared" si="0"/>
        <v>10.051272000000001</v>
      </c>
    </row>
    <row r="26" spans="1:9" ht="106.95" customHeight="1" x14ac:dyDescent="0.3">
      <c r="A26" s="28">
        <v>24</v>
      </c>
      <c r="B26" s="27"/>
      <c r="C26" s="25">
        <v>268132</v>
      </c>
      <c r="D26" s="18" t="s">
        <v>33</v>
      </c>
      <c r="E26" s="41">
        <v>3000</v>
      </c>
      <c r="F26" s="38">
        <v>12</v>
      </c>
      <c r="G26" s="40">
        <f t="shared" si="1"/>
        <v>250</v>
      </c>
      <c r="H26" s="46">
        <v>6.0506160000000003E-2</v>
      </c>
      <c r="I26" s="47">
        <f t="shared" si="0"/>
        <v>15.12654</v>
      </c>
    </row>
    <row r="27" spans="1:9" ht="106.95" customHeight="1" x14ac:dyDescent="0.3">
      <c r="A27" s="28">
        <v>25</v>
      </c>
      <c r="B27" s="27"/>
      <c r="C27" s="26">
        <v>268133</v>
      </c>
      <c r="D27" s="20" t="s">
        <v>34</v>
      </c>
      <c r="E27" s="38">
        <v>3000</v>
      </c>
      <c r="F27" s="38">
        <v>24</v>
      </c>
      <c r="G27" s="40">
        <f t="shared" si="1"/>
        <v>125</v>
      </c>
      <c r="H27" s="46">
        <v>6.1680079999999998E-2</v>
      </c>
      <c r="I27" s="47">
        <f t="shared" si="0"/>
        <v>7.7100099999999996</v>
      </c>
    </row>
    <row r="28" spans="1:9" ht="106.95" customHeight="1" x14ac:dyDescent="0.3">
      <c r="A28" s="28">
        <v>26</v>
      </c>
      <c r="B28" s="12"/>
      <c r="C28" s="25">
        <v>269686</v>
      </c>
      <c r="D28" s="18" t="s">
        <v>35</v>
      </c>
      <c r="E28" s="38">
        <v>3000</v>
      </c>
      <c r="F28" s="38">
        <v>24</v>
      </c>
      <c r="G28" s="40">
        <f t="shared" si="1"/>
        <v>125</v>
      </c>
      <c r="H28" s="46">
        <v>4.2923999999999997E-2</v>
      </c>
      <c r="I28" s="47">
        <f t="shared" si="0"/>
        <v>5.3654999999999999</v>
      </c>
    </row>
    <row r="29" spans="1:9" ht="106.95" customHeight="1" x14ac:dyDescent="0.3">
      <c r="A29" s="28">
        <v>27</v>
      </c>
      <c r="B29" s="27"/>
      <c r="C29" s="25">
        <v>367983</v>
      </c>
      <c r="D29" s="21" t="s">
        <v>36</v>
      </c>
      <c r="E29" s="38">
        <v>3000</v>
      </c>
      <c r="F29" s="38">
        <v>8</v>
      </c>
      <c r="G29" s="40">
        <f t="shared" si="1"/>
        <v>375</v>
      </c>
      <c r="H29" s="46">
        <v>5.8000000000000003E-2</v>
      </c>
      <c r="I29" s="47">
        <f t="shared" si="0"/>
        <v>21.75</v>
      </c>
    </row>
    <row r="30" spans="1:9" ht="106.95" customHeight="1" x14ac:dyDescent="0.3">
      <c r="A30" s="28">
        <v>28</v>
      </c>
      <c r="B30" s="12"/>
      <c r="C30" s="25">
        <v>367984</v>
      </c>
      <c r="D30" s="21" t="s">
        <v>37</v>
      </c>
      <c r="E30" s="38">
        <v>3000</v>
      </c>
      <c r="F30" s="38">
        <v>8</v>
      </c>
      <c r="G30" s="40">
        <f t="shared" si="1"/>
        <v>375</v>
      </c>
      <c r="H30" s="46">
        <v>4.9000000000000002E-2</v>
      </c>
      <c r="I30" s="47">
        <f t="shared" si="0"/>
        <v>18.375</v>
      </c>
    </row>
    <row r="31" spans="1:9" ht="106.95" customHeight="1" x14ac:dyDescent="0.3">
      <c r="A31" s="28">
        <v>29</v>
      </c>
      <c r="B31" s="12"/>
      <c r="C31" s="25">
        <v>367985</v>
      </c>
      <c r="D31" s="21" t="s">
        <v>38</v>
      </c>
      <c r="E31" s="38">
        <v>3000</v>
      </c>
      <c r="F31" s="38">
        <v>8</v>
      </c>
      <c r="G31" s="40">
        <f t="shared" si="1"/>
        <v>375</v>
      </c>
      <c r="H31" s="46">
        <v>2.8000000000000001E-2</v>
      </c>
      <c r="I31" s="47">
        <f t="shared" si="0"/>
        <v>10.5</v>
      </c>
    </row>
    <row r="32" spans="1:9" ht="106.95" customHeight="1" x14ac:dyDescent="0.3">
      <c r="A32" s="28">
        <v>30</v>
      </c>
      <c r="B32" s="12"/>
      <c r="C32" s="26">
        <v>367986</v>
      </c>
      <c r="D32" s="22" t="s">
        <v>39</v>
      </c>
      <c r="E32" s="38">
        <v>3000</v>
      </c>
      <c r="F32" s="38">
        <v>8</v>
      </c>
      <c r="G32" s="40">
        <f t="shared" si="1"/>
        <v>375</v>
      </c>
      <c r="H32" s="46">
        <v>5.6000000000000001E-2</v>
      </c>
      <c r="I32" s="47">
        <f t="shared" si="0"/>
        <v>21</v>
      </c>
    </row>
    <row r="33" spans="1:9" ht="106.95" customHeight="1" x14ac:dyDescent="0.3">
      <c r="A33" s="28">
        <v>31</v>
      </c>
      <c r="B33" s="12"/>
      <c r="C33" s="25">
        <v>367987</v>
      </c>
      <c r="D33" s="22" t="s">
        <v>40</v>
      </c>
      <c r="E33" s="12">
        <v>3000</v>
      </c>
      <c r="F33" s="38">
        <v>8</v>
      </c>
      <c r="G33" s="40">
        <f t="shared" si="1"/>
        <v>375</v>
      </c>
      <c r="H33" s="46">
        <v>7.5999999999999998E-2</v>
      </c>
      <c r="I33" s="47">
        <f t="shared" si="0"/>
        <v>28.5</v>
      </c>
    </row>
    <row r="34" spans="1:9" ht="106.95" customHeight="1" x14ac:dyDescent="0.3">
      <c r="A34" s="28">
        <v>32</v>
      </c>
      <c r="B34" s="27"/>
      <c r="C34" s="25">
        <v>272958</v>
      </c>
      <c r="D34" s="22" t="s">
        <v>41</v>
      </c>
      <c r="E34" s="12">
        <v>2004</v>
      </c>
      <c r="F34" s="38">
        <v>12</v>
      </c>
      <c r="G34" s="40">
        <f t="shared" si="1"/>
        <v>167</v>
      </c>
      <c r="H34" s="46">
        <v>8.2000000000000003E-2</v>
      </c>
      <c r="I34" s="47">
        <f t="shared" si="0"/>
        <v>13.694000000000001</v>
      </c>
    </row>
    <row r="35" spans="1:9" ht="106.95" customHeight="1" x14ac:dyDescent="0.3">
      <c r="A35" s="28">
        <v>33</v>
      </c>
      <c r="B35" s="27"/>
      <c r="C35" s="25">
        <v>272956</v>
      </c>
      <c r="D35" s="22" t="s">
        <v>42</v>
      </c>
      <c r="E35" s="12">
        <v>2400</v>
      </c>
      <c r="F35" s="38">
        <v>24</v>
      </c>
      <c r="G35" s="40">
        <f t="shared" si="1"/>
        <v>100</v>
      </c>
      <c r="H35" s="46">
        <v>3.4000000000000002E-2</v>
      </c>
      <c r="I35" s="47">
        <f t="shared" si="0"/>
        <v>3.4000000000000004</v>
      </c>
    </row>
    <row r="36" spans="1:9" ht="106.95" customHeight="1" x14ac:dyDescent="0.3">
      <c r="A36" s="28">
        <v>34</v>
      </c>
      <c r="B36" s="27"/>
      <c r="C36" s="25">
        <v>272957</v>
      </c>
      <c r="D36" s="22" t="s">
        <v>43</v>
      </c>
      <c r="E36" s="12">
        <v>2400</v>
      </c>
      <c r="F36" s="39">
        <v>24</v>
      </c>
      <c r="G36" s="40">
        <f t="shared" si="1"/>
        <v>100</v>
      </c>
      <c r="H36" s="46">
        <v>3.5000000000000003E-2</v>
      </c>
      <c r="I36" s="47">
        <f t="shared" si="0"/>
        <v>3.5000000000000004</v>
      </c>
    </row>
    <row r="37" spans="1:9" ht="106.95" customHeight="1" x14ac:dyDescent="0.3">
      <c r="A37" s="28">
        <v>35</v>
      </c>
      <c r="B37" s="27"/>
      <c r="C37" s="25">
        <v>272959</v>
      </c>
      <c r="D37" s="22" t="s">
        <v>44</v>
      </c>
      <c r="E37" s="12">
        <v>2400</v>
      </c>
      <c r="F37" s="39">
        <v>6</v>
      </c>
      <c r="G37" s="40">
        <f t="shared" si="1"/>
        <v>400</v>
      </c>
      <c r="H37" s="46">
        <v>2.8400000000000002E-2</v>
      </c>
      <c r="I37" s="47">
        <f t="shared" si="0"/>
        <v>11.360000000000001</v>
      </c>
    </row>
    <row r="38" spans="1:9" ht="106.95" customHeight="1" x14ac:dyDescent="0.3">
      <c r="A38" s="28">
        <v>36</v>
      </c>
      <c r="B38" s="27"/>
      <c r="C38" s="25">
        <v>272951</v>
      </c>
      <c r="D38" s="22" t="s">
        <v>45</v>
      </c>
      <c r="E38" s="12">
        <v>2400</v>
      </c>
      <c r="F38" s="39">
        <v>8</v>
      </c>
      <c r="G38" s="40">
        <f t="shared" si="1"/>
        <v>300</v>
      </c>
      <c r="H38" s="46">
        <v>9.9000000000000005E-2</v>
      </c>
      <c r="I38" s="47">
        <f t="shared" si="0"/>
        <v>29.700000000000003</v>
      </c>
    </row>
    <row r="39" spans="1:9" ht="106.95" customHeight="1" x14ac:dyDescent="0.3">
      <c r="A39" s="28">
        <v>37</v>
      </c>
      <c r="C39" s="25">
        <v>272954</v>
      </c>
      <c r="D39" s="22" t="s">
        <v>46</v>
      </c>
      <c r="E39" s="12">
        <v>2400</v>
      </c>
      <c r="F39" s="39">
        <v>10</v>
      </c>
      <c r="G39" s="40">
        <f t="shared" si="1"/>
        <v>240</v>
      </c>
      <c r="H39" s="46">
        <v>6.6000000000000003E-2</v>
      </c>
      <c r="I39" s="47">
        <f t="shared" si="0"/>
        <v>15.84</v>
      </c>
    </row>
    <row r="40" spans="1:9" ht="106.95" customHeight="1" x14ac:dyDescent="0.3">
      <c r="A40" s="28">
        <v>38</v>
      </c>
      <c r="B40" s="27"/>
      <c r="C40" s="25">
        <v>272750</v>
      </c>
      <c r="D40" s="22" t="s">
        <v>47</v>
      </c>
      <c r="E40" s="12">
        <v>2400</v>
      </c>
      <c r="F40" s="39">
        <v>12</v>
      </c>
      <c r="G40" s="40">
        <f t="shared" si="1"/>
        <v>200</v>
      </c>
      <c r="H40" s="46">
        <v>6.4000000000000001E-2</v>
      </c>
      <c r="I40" s="47">
        <f t="shared" si="0"/>
        <v>12.8</v>
      </c>
    </row>
    <row r="41" spans="1:9" ht="106.95" customHeight="1" x14ac:dyDescent="0.3">
      <c r="A41" s="28">
        <v>39</v>
      </c>
      <c r="B41" s="12"/>
      <c r="C41" s="25">
        <v>272955</v>
      </c>
      <c r="D41" s="22" t="s">
        <v>48</v>
      </c>
      <c r="E41" s="12">
        <v>2400</v>
      </c>
      <c r="F41" s="39">
        <v>8</v>
      </c>
      <c r="G41" s="40">
        <f t="shared" si="1"/>
        <v>300</v>
      </c>
      <c r="H41" s="46">
        <v>6.7000000000000004E-2</v>
      </c>
      <c r="I41" s="47">
        <f t="shared" si="0"/>
        <v>20.100000000000001</v>
      </c>
    </row>
    <row r="42" spans="1:9" ht="106.95" customHeight="1" x14ac:dyDescent="0.3">
      <c r="A42" s="28">
        <v>40</v>
      </c>
      <c r="C42" s="25">
        <v>272748</v>
      </c>
      <c r="D42" s="22" t="s">
        <v>49</v>
      </c>
      <c r="E42" s="12">
        <v>2400</v>
      </c>
      <c r="F42" s="39">
        <v>4</v>
      </c>
      <c r="G42" s="40">
        <f t="shared" si="1"/>
        <v>600</v>
      </c>
      <c r="H42" s="46">
        <v>0.04</v>
      </c>
      <c r="I42" s="47">
        <f t="shared" si="0"/>
        <v>24</v>
      </c>
    </row>
    <row r="43" spans="1:9" ht="106.95" customHeight="1" x14ac:dyDescent="0.3">
      <c r="A43" s="28">
        <v>41</v>
      </c>
      <c r="C43" s="25">
        <v>272749</v>
      </c>
      <c r="D43" s="22" t="s">
        <v>50</v>
      </c>
      <c r="E43" s="12">
        <v>2000</v>
      </c>
      <c r="F43" s="39">
        <v>4</v>
      </c>
      <c r="G43" s="40">
        <f t="shared" si="1"/>
        <v>500</v>
      </c>
      <c r="H43" s="46">
        <v>7.6999999999999999E-2</v>
      </c>
      <c r="I43" s="47">
        <f t="shared" si="0"/>
        <v>38.5</v>
      </c>
    </row>
    <row r="44" spans="1:9" ht="106.95" customHeight="1" x14ac:dyDescent="0.3">
      <c r="A44" s="28">
        <v>42</v>
      </c>
      <c r="C44" s="25">
        <v>354935</v>
      </c>
      <c r="D44" s="22" t="s">
        <v>51</v>
      </c>
      <c r="E44" s="12">
        <v>2400</v>
      </c>
      <c r="F44" s="39">
        <v>6</v>
      </c>
      <c r="G44" s="40">
        <f t="shared" si="1"/>
        <v>400</v>
      </c>
      <c r="H44" s="46">
        <v>0.09</v>
      </c>
      <c r="I44" s="47">
        <f t="shared" si="0"/>
        <v>36</v>
      </c>
    </row>
    <row r="45" spans="1:9" ht="106.95" customHeight="1" x14ac:dyDescent="0.3">
      <c r="A45" s="33">
        <v>43</v>
      </c>
      <c r="B45" s="32"/>
      <c r="C45" s="25">
        <v>272953</v>
      </c>
      <c r="D45" s="22" t="s">
        <v>52</v>
      </c>
      <c r="E45" s="12">
        <v>2400</v>
      </c>
      <c r="F45" s="39">
        <v>12</v>
      </c>
      <c r="G45" s="40">
        <f t="shared" si="1"/>
        <v>200</v>
      </c>
      <c r="H45" s="46">
        <v>4.9000000000000002E-2</v>
      </c>
      <c r="I45" s="47">
        <f t="shared" si="0"/>
        <v>9.8000000000000007</v>
      </c>
    </row>
    <row r="46" spans="1:9" ht="106.95" customHeight="1" x14ac:dyDescent="0.3">
      <c r="A46" s="33">
        <v>44</v>
      </c>
      <c r="B46" s="31"/>
      <c r="C46" s="25">
        <v>358232</v>
      </c>
      <c r="D46" s="22" t="s">
        <v>53</v>
      </c>
      <c r="E46" s="12">
        <v>600</v>
      </c>
      <c r="F46" s="38">
        <v>1</v>
      </c>
      <c r="G46" s="40">
        <f t="shared" si="1"/>
        <v>600</v>
      </c>
      <c r="H46" s="46">
        <v>0.11</v>
      </c>
      <c r="I46" s="47">
        <f t="shared" si="0"/>
        <v>66</v>
      </c>
    </row>
    <row r="47" spans="1:9" ht="106.95" customHeight="1" x14ac:dyDescent="0.3">
      <c r="A47" s="33">
        <v>45</v>
      </c>
      <c r="B47" s="31"/>
      <c r="C47" s="25">
        <v>358229</v>
      </c>
      <c r="D47" s="22" t="s">
        <v>54</v>
      </c>
      <c r="E47" s="12">
        <v>272</v>
      </c>
      <c r="F47" s="39">
        <v>1</v>
      </c>
      <c r="G47" s="40">
        <f t="shared" si="1"/>
        <v>272</v>
      </c>
      <c r="H47" s="46">
        <v>0.11749999999999999</v>
      </c>
      <c r="I47" s="47">
        <f t="shared" si="0"/>
        <v>31.959999999999997</v>
      </c>
    </row>
    <row r="48" spans="1:9" ht="106.95" customHeight="1" x14ac:dyDescent="0.3">
      <c r="A48" s="33">
        <v>46</v>
      </c>
      <c r="B48" s="31"/>
      <c r="C48" s="25">
        <v>358230</v>
      </c>
      <c r="D48" s="22" t="s">
        <v>55</v>
      </c>
      <c r="E48" s="12">
        <v>250</v>
      </c>
      <c r="F48" s="39">
        <v>1</v>
      </c>
      <c r="G48" s="40">
        <f t="shared" si="1"/>
        <v>250</v>
      </c>
      <c r="H48" s="46">
        <v>0.2455</v>
      </c>
      <c r="I48" s="47">
        <f t="shared" si="0"/>
        <v>61.375</v>
      </c>
    </row>
    <row r="49" spans="1:9" ht="106.95" customHeight="1" x14ac:dyDescent="0.3">
      <c r="A49" s="33">
        <v>47</v>
      </c>
      <c r="B49" s="31"/>
      <c r="C49" s="25">
        <v>358231</v>
      </c>
      <c r="D49" s="22" t="s">
        <v>56</v>
      </c>
      <c r="E49" s="12">
        <v>250</v>
      </c>
      <c r="F49" s="39">
        <v>1</v>
      </c>
      <c r="G49" s="40">
        <f t="shared" si="1"/>
        <v>250</v>
      </c>
      <c r="H49" s="46">
        <v>0.2485</v>
      </c>
      <c r="I49" s="47">
        <f t="shared" si="0"/>
        <v>62.125</v>
      </c>
    </row>
    <row r="50" spans="1:9" ht="106.95" customHeight="1" x14ac:dyDescent="0.3">
      <c r="A50" s="33">
        <v>48</v>
      </c>
      <c r="B50" s="31"/>
      <c r="C50" s="25">
        <v>358233</v>
      </c>
      <c r="D50" s="22" t="s">
        <v>57</v>
      </c>
      <c r="E50" s="12">
        <v>800</v>
      </c>
      <c r="F50" s="38">
        <v>2</v>
      </c>
      <c r="G50" s="40">
        <f t="shared" si="1"/>
        <v>400</v>
      </c>
      <c r="H50" s="46">
        <v>5.7000000000000002E-2</v>
      </c>
      <c r="I50" s="47">
        <f t="shared" si="0"/>
        <v>22.8</v>
      </c>
    </row>
    <row r="51" spans="1:9" ht="106.95" customHeight="1" x14ac:dyDescent="0.3">
      <c r="A51" s="33">
        <v>49</v>
      </c>
      <c r="B51" s="31"/>
      <c r="C51" s="25">
        <v>358234</v>
      </c>
      <c r="D51" s="22" t="s">
        <v>58</v>
      </c>
      <c r="E51" s="12">
        <v>1480</v>
      </c>
      <c r="F51" s="38">
        <v>1</v>
      </c>
      <c r="G51" s="40">
        <f t="shared" si="1"/>
        <v>1480</v>
      </c>
      <c r="H51" s="46">
        <v>4.6300000000000001E-2</v>
      </c>
      <c r="I51" s="47">
        <f t="shared" si="0"/>
        <v>68.524000000000001</v>
      </c>
    </row>
    <row r="52" spans="1:9" ht="106.95" customHeight="1" x14ac:dyDescent="0.3">
      <c r="A52" s="33">
        <v>50</v>
      </c>
      <c r="B52" s="31"/>
      <c r="C52" s="25">
        <v>358235</v>
      </c>
      <c r="D52" s="22" t="s">
        <v>59</v>
      </c>
      <c r="E52" s="12">
        <v>630</v>
      </c>
      <c r="F52" s="38">
        <v>1</v>
      </c>
      <c r="G52" s="40">
        <f t="shared" si="1"/>
        <v>630</v>
      </c>
      <c r="H52" s="46">
        <v>0.10879999999999999</v>
      </c>
      <c r="I52" s="47">
        <f t="shared" si="0"/>
        <v>68.543999999999997</v>
      </c>
    </row>
    <row r="53" spans="1:9" ht="106.95" customHeight="1" x14ac:dyDescent="0.3">
      <c r="A53" s="33">
        <v>51</v>
      </c>
      <c r="B53" s="31"/>
      <c r="C53" s="25">
        <v>358236</v>
      </c>
      <c r="D53" s="22" t="s">
        <v>60</v>
      </c>
      <c r="E53" s="12">
        <v>630</v>
      </c>
      <c r="F53" s="38">
        <v>1</v>
      </c>
      <c r="G53" s="40">
        <f t="shared" si="1"/>
        <v>630</v>
      </c>
      <c r="H53" s="46">
        <v>0.10879999999999999</v>
      </c>
      <c r="I53" s="47">
        <f t="shared" si="0"/>
        <v>68.543999999999997</v>
      </c>
    </row>
    <row r="54" spans="1:9" ht="106.95" customHeight="1" x14ac:dyDescent="0.3">
      <c r="A54" s="33">
        <v>52</v>
      </c>
      <c r="B54" s="31"/>
      <c r="C54" s="25">
        <v>358237</v>
      </c>
      <c r="D54" s="22" t="s">
        <v>61</v>
      </c>
      <c r="E54" s="12">
        <v>630</v>
      </c>
      <c r="F54" s="38">
        <v>1</v>
      </c>
      <c r="G54" s="40">
        <f t="shared" si="1"/>
        <v>630</v>
      </c>
      <c r="H54" s="46">
        <v>8.2900000000000001E-2</v>
      </c>
      <c r="I54" s="47">
        <f t="shared" si="0"/>
        <v>52.227000000000004</v>
      </c>
    </row>
    <row r="55" spans="1:9" ht="106.95" customHeight="1" x14ac:dyDescent="0.3">
      <c r="A55" s="33">
        <v>53</v>
      </c>
      <c r="B55" s="32"/>
      <c r="C55" s="25">
        <v>370451</v>
      </c>
      <c r="D55" s="22" t="s">
        <v>62</v>
      </c>
      <c r="E55" s="12">
        <v>6000</v>
      </c>
      <c r="F55" s="38">
        <v>40</v>
      </c>
      <c r="G55" s="40">
        <f t="shared" si="1"/>
        <v>150</v>
      </c>
      <c r="H55" s="46">
        <v>3.3700000000000001E-2</v>
      </c>
      <c r="I55" s="47">
        <f t="shared" si="0"/>
        <v>5.0549999999999997</v>
      </c>
    </row>
    <row r="56" spans="1:9" ht="106.95" customHeight="1" x14ac:dyDescent="0.3">
      <c r="A56" s="33">
        <v>54</v>
      </c>
      <c r="B56" s="32"/>
      <c r="C56" s="25"/>
      <c r="D56" s="22" t="s">
        <v>63</v>
      </c>
      <c r="E56" s="12">
        <v>600</v>
      </c>
      <c r="F56" s="38">
        <v>20</v>
      </c>
      <c r="G56" s="40">
        <f t="shared" si="1"/>
        <v>30</v>
      </c>
      <c r="H56" s="46">
        <v>1.2500000000000001E-2</v>
      </c>
      <c r="I56" s="47">
        <f t="shared" si="0"/>
        <v>0.375</v>
      </c>
    </row>
    <row r="57" spans="1:9" ht="106.95" customHeight="1" x14ac:dyDescent="0.3">
      <c r="A57" s="33">
        <v>55</v>
      </c>
      <c r="B57" s="32"/>
      <c r="C57" s="25">
        <v>370452</v>
      </c>
      <c r="D57" s="22" t="s">
        <v>64</v>
      </c>
      <c r="E57" s="12">
        <v>3000</v>
      </c>
      <c r="F57" s="38">
        <v>10</v>
      </c>
      <c r="G57" s="40">
        <f t="shared" si="1"/>
        <v>300</v>
      </c>
      <c r="H57" s="46">
        <v>3.5900000000000001E-2</v>
      </c>
      <c r="I57" s="47">
        <f t="shared" si="0"/>
        <v>10.77</v>
      </c>
    </row>
    <row r="58" spans="1:9" ht="106.95" customHeight="1" x14ac:dyDescent="0.3">
      <c r="A58" s="33">
        <v>56</v>
      </c>
      <c r="B58" s="32"/>
      <c r="C58" s="25">
        <v>370453</v>
      </c>
      <c r="D58" s="22" t="s">
        <v>65</v>
      </c>
      <c r="E58" s="12">
        <v>2760</v>
      </c>
      <c r="F58" s="38">
        <v>6</v>
      </c>
      <c r="G58" s="40">
        <f t="shared" si="1"/>
        <v>460</v>
      </c>
      <c r="H58" s="46">
        <v>4.1599999999999998E-2</v>
      </c>
      <c r="I58" s="47">
        <f t="shared" si="0"/>
        <v>19.135999999999999</v>
      </c>
    </row>
    <row r="59" spans="1:9" ht="98.4" customHeight="1" x14ac:dyDescent="0.3">
      <c r="A59" s="28">
        <v>57</v>
      </c>
      <c r="B59" s="34"/>
      <c r="C59" s="25"/>
      <c r="D59" s="22" t="s">
        <v>66</v>
      </c>
      <c r="E59" s="42">
        <v>264</v>
      </c>
      <c r="F59" s="36">
        <v>12</v>
      </c>
      <c r="G59" s="40">
        <f t="shared" si="1"/>
        <v>22</v>
      </c>
      <c r="H59" s="37">
        <v>2.115564</v>
      </c>
      <c r="I59" s="47">
        <f t="shared" si="0"/>
        <v>46.542408000000002</v>
      </c>
    </row>
    <row r="60" spans="1:9" ht="98.4" customHeight="1" x14ac:dyDescent="0.3">
      <c r="A60" s="28">
        <v>58</v>
      </c>
      <c r="B60" s="30"/>
      <c r="C60" s="25"/>
      <c r="D60" s="22" t="s">
        <v>67</v>
      </c>
      <c r="E60" s="42">
        <v>264</v>
      </c>
      <c r="F60" s="1">
        <v>12</v>
      </c>
      <c r="G60" s="40">
        <f t="shared" si="1"/>
        <v>22</v>
      </c>
      <c r="H60" s="2">
        <v>2.1636449999999998</v>
      </c>
      <c r="I60" s="47">
        <f t="shared" si="0"/>
        <v>47.600189999999998</v>
      </c>
    </row>
    <row r="61" spans="1:9" ht="98.4" customHeight="1" x14ac:dyDescent="0.3">
      <c r="A61" s="28">
        <v>59</v>
      </c>
      <c r="B61" s="30"/>
      <c r="C61" s="25"/>
      <c r="D61" s="22" t="s">
        <v>68</v>
      </c>
      <c r="E61" s="42">
        <v>264</v>
      </c>
      <c r="F61" s="4">
        <v>12</v>
      </c>
      <c r="G61" s="40">
        <f t="shared" si="1"/>
        <v>22</v>
      </c>
      <c r="H61" s="5">
        <v>2.115564</v>
      </c>
      <c r="I61" s="47">
        <f t="shared" si="0"/>
        <v>46.542408000000002</v>
      </c>
    </row>
    <row r="62" spans="1:9" ht="98.4" customHeight="1" x14ac:dyDescent="0.3">
      <c r="A62" s="28">
        <v>60</v>
      </c>
      <c r="B62" s="30"/>
      <c r="C62" s="25"/>
      <c r="D62" s="22" t="s">
        <v>69</v>
      </c>
      <c r="E62" s="42">
        <v>264</v>
      </c>
      <c r="F62" s="4">
        <v>12</v>
      </c>
      <c r="G62" s="40">
        <f t="shared" si="1"/>
        <v>22</v>
      </c>
      <c r="H62" s="5">
        <v>4.1256599999999999</v>
      </c>
      <c r="I62" s="47">
        <f t="shared" si="0"/>
        <v>90.764520000000005</v>
      </c>
    </row>
    <row r="63" spans="1:9" ht="98.4" customHeight="1" x14ac:dyDescent="0.3">
      <c r="A63" s="28">
        <v>61</v>
      </c>
      <c r="B63" s="30"/>
      <c r="C63" s="25"/>
      <c r="D63" s="22" t="s">
        <v>70</v>
      </c>
      <c r="E63" s="42">
        <v>180</v>
      </c>
      <c r="F63" s="4">
        <v>12</v>
      </c>
      <c r="G63" s="40">
        <f t="shared" si="1"/>
        <v>15</v>
      </c>
      <c r="H63" s="5">
        <v>4.1256599999999999</v>
      </c>
      <c r="I63" s="47">
        <f t="shared" si="0"/>
        <v>61.884900000000002</v>
      </c>
    </row>
    <row r="64" spans="1:9" ht="98.4" customHeight="1" x14ac:dyDescent="0.3">
      <c r="A64" s="28">
        <v>62</v>
      </c>
      <c r="B64" s="30"/>
      <c r="C64" s="25"/>
      <c r="D64" s="22" t="s">
        <v>71</v>
      </c>
      <c r="E64" s="42">
        <v>264</v>
      </c>
      <c r="F64" s="4">
        <v>12</v>
      </c>
      <c r="G64" s="40">
        <f t="shared" si="1"/>
        <v>22</v>
      </c>
      <c r="H64" s="5">
        <v>4.1256599999999999</v>
      </c>
      <c r="I64" s="47">
        <f t="shared" si="0"/>
        <v>90.764520000000005</v>
      </c>
    </row>
    <row r="65" spans="1:9" ht="98.4" customHeight="1" x14ac:dyDescent="0.3">
      <c r="A65" s="28">
        <v>63</v>
      </c>
      <c r="B65" s="30"/>
      <c r="C65" s="25"/>
      <c r="D65" s="22" t="s">
        <v>72</v>
      </c>
      <c r="E65" s="42">
        <v>264</v>
      </c>
      <c r="F65" s="4">
        <v>10</v>
      </c>
      <c r="G65" s="40">
        <f t="shared" si="1"/>
        <v>26.4</v>
      </c>
      <c r="H65" s="5">
        <v>4.5599400000000001</v>
      </c>
      <c r="I65" s="47">
        <f t="shared" si="0"/>
        <v>120.38241599999999</v>
      </c>
    </row>
    <row r="66" spans="1:9" ht="98.4" customHeight="1" x14ac:dyDescent="0.3">
      <c r="A66" s="28">
        <v>64</v>
      </c>
      <c r="B66" s="30"/>
      <c r="C66" s="25"/>
      <c r="D66" s="22" t="s">
        <v>73</v>
      </c>
      <c r="E66" s="42">
        <v>264</v>
      </c>
      <c r="F66" s="4">
        <v>10</v>
      </c>
      <c r="G66" s="40">
        <f t="shared" si="1"/>
        <v>26.4</v>
      </c>
      <c r="H66" s="5">
        <v>4.5599400000000001</v>
      </c>
      <c r="I66" s="47">
        <f t="shared" si="0"/>
        <v>120.38241599999999</v>
      </c>
    </row>
    <row r="67" spans="1:9" ht="98.4" customHeight="1" x14ac:dyDescent="0.3">
      <c r="A67" s="28">
        <v>65</v>
      </c>
      <c r="B67" s="30"/>
      <c r="C67" s="25"/>
      <c r="D67" s="22" t="s">
        <v>74</v>
      </c>
      <c r="E67" s="42">
        <v>264</v>
      </c>
      <c r="F67" s="4">
        <v>10</v>
      </c>
      <c r="G67" s="40">
        <f t="shared" si="1"/>
        <v>26.4</v>
      </c>
      <c r="H67" s="5">
        <v>4.5599400000000001</v>
      </c>
      <c r="I67" s="47">
        <f t="shared" si="0"/>
        <v>120.38241599999999</v>
      </c>
    </row>
    <row r="68" spans="1:9" ht="98.4" customHeight="1" x14ac:dyDescent="0.3">
      <c r="A68" s="28">
        <v>66</v>
      </c>
      <c r="B68" s="30"/>
      <c r="C68" s="25"/>
      <c r="D68" s="22" t="s">
        <v>75</v>
      </c>
      <c r="E68" s="42">
        <v>264</v>
      </c>
      <c r="F68" s="4">
        <v>8</v>
      </c>
      <c r="G68" s="40">
        <f t="shared" si="1"/>
        <v>33</v>
      </c>
      <c r="H68" s="5">
        <v>2.8771049999999998</v>
      </c>
      <c r="I68" s="47">
        <f t="shared" ref="I68:I79" si="2">H68*G68</f>
        <v>94.944464999999994</v>
      </c>
    </row>
    <row r="69" spans="1:9" ht="98.4" customHeight="1" x14ac:dyDescent="0.3">
      <c r="A69" s="28">
        <v>67</v>
      </c>
      <c r="B69" s="30"/>
      <c r="C69" s="25"/>
      <c r="D69" s="22" t="s">
        <v>76</v>
      </c>
      <c r="E69" s="42">
        <v>264</v>
      </c>
      <c r="F69" s="4">
        <v>8</v>
      </c>
      <c r="G69" s="40">
        <f t="shared" ref="G69:G79" si="3">E69/F69</f>
        <v>33</v>
      </c>
      <c r="H69" s="5">
        <v>2.9856750000000001</v>
      </c>
      <c r="I69" s="47">
        <f t="shared" si="2"/>
        <v>98.527275000000003</v>
      </c>
    </row>
    <row r="70" spans="1:9" ht="98.4" customHeight="1" x14ac:dyDescent="0.3">
      <c r="A70" s="28">
        <v>68</v>
      </c>
      <c r="B70" s="30"/>
      <c r="C70" s="25"/>
      <c r="D70" s="22" t="s">
        <v>77</v>
      </c>
      <c r="E70" s="42">
        <v>264</v>
      </c>
      <c r="F70" s="6">
        <v>8</v>
      </c>
      <c r="G70" s="40">
        <f t="shared" si="3"/>
        <v>33</v>
      </c>
      <c r="H70" s="7">
        <v>2.8771049999999998</v>
      </c>
      <c r="I70" s="47">
        <f t="shared" si="2"/>
        <v>94.944464999999994</v>
      </c>
    </row>
    <row r="71" spans="1:9" ht="98.4" customHeight="1" x14ac:dyDescent="0.3">
      <c r="A71" s="28">
        <v>69</v>
      </c>
      <c r="B71" s="13"/>
      <c r="C71" s="15"/>
      <c r="D71" s="22" t="s">
        <v>78</v>
      </c>
      <c r="E71" s="42">
        <v>270</v>
      </c>
      <c r="F71" s="3">
        <v>18</v>
      </c>
      <c r="G71" s="40">
        <f t="shared" si="3"/>
        <v>15</v>
      </c>
      <c r="H71" s="2">
        <v>2.2440000000000002</v>
      </c>
      <c r="I71" s="47">
        <f t="shared" si="2"/>
        <v>33.660000000000004</v>
      </c>
    </row>
    <row r="72" spans="1:9" ht="98.4" customHeight="1" x14ac:dyDescent="0.3">
      <c r="A72" s="28">
        <v>70</v>
      </c>
      <c r="B72" s="14"/>
      <c r="C72" s="15"/>
      <c r="D72" s="22" t="s">
        <v>79</v>
      </c>
      <c r="E72" s="42">
        <v>198</v>
      </c>
      <c r="F72" s="3">
        <v>18</v>
      </c>
      <c r="G72" s="40">
        <f t="shared" si="3"/>
        <v>11</v>
      </c>
      <c r="H72" s="5">
        <v>2.31</v>
      </c>
      <c r="I72" s="47">
        <f t="shared" si="2"/>
        <v>25.41</v>
      </c>
    </row>
    <row r="73" spans="1:9" ht="98.4" customHeight="1" x14ac:dyDescent="0.3">
      <c r="A73" s="28">
        <v>71</v>
      </c>
      <c r="B73" s="14"/>
      <c r="C73" s="15"/>
      <c r="D73" s="22" t="s">
        <v>80</v>
      </c>
      <c r="E73" s="42">
        <v>198</v>
      </c>
      <c r="F73" s="3">
        <v>18</v>
      </c>
      <c r="G73" s="40">
        <f t="shared" si="3"/>
        <v>11</v>
      </c>
      <c r="H73" s="5">
        <v>2.31</v>
      </c>
      <c r="I73" s="47">
        <f t="shared" si="2"/>
        <v>25.41</v>
      </c>
    </row>
    <row r="74" spans="1:9" ht="98.4" customHeight="1" x14ac:dyDescent="0.3">
      <c r="A74" s="28">
        <v>72</v>
      </c>
      <c r="B74" s="14"/>
      <c r="C74" s="15"/>
      <c r="D74" s="22" t="s">
        <v>81</v>
      </c>
      <c r="E74" s="43">
        <v>198</v>
      </c>
      <c r="F74" s="3">
        <v>16</v>
      </c>
      <c r="G74" s="40">
        <f t="shared" si="3"/>
        <v>12.375</v>
      </c>
      <c r="H74" s="5">
        <v>2.5740000000000003</v>
      </c>
      <c r="I74" s="47">
        <f t="shared" si="2"/>
        <v>31.853250000000003</v>
      </c>
    </row>
    <row r="75" spans="1:9" ht="98.4" customHeight="1" x14ac:dyDescent="0.3">
      <c r="A75" s="28">
        <v>73</v>
      </c>
      <c r="B75" s="14"/>
      <c r="C75" s="15"/>
      <c r="D75" s="22" t="s">
        <v>82</v>
      </c>
      <c r="E75" s="43">
        <v>208</v>
      </c>
      <c r="F75" s="3">
        <v>16</v>
      </c>
      <c r="G75" s="40">
        <f t="shared" si="3"/>
        <v>13</v>
      </c>
      <c r="H75" s="5">
        <v>2.5740000000000003</v>
      </c>
      <c r="I75" s="47">
        <f t="shared" si="2"/>
        <v>33.462000000000003</v>
      </c>
    </row>
    <row r="76" spans="1:9" ht="98.4" customHeight="1" x14ac:dyDescent="0.3">
      <c r="A76" s="28">
        <v>74</v>
      </c>
      <c r="B76" s="14"/>
      <c r="C76" s="15"/>
      <c r="D76" s="22" t="s">
        <v>83</v>
      </c>
      <c r="E76" s="43">
        <v>208</v>
      </c>
      <c r="F76" s="3">
        <v>16</v>
      </c>
      <c r="G76" s="40">
        <f t="shared" si="3"/>
        <v>13</v>
      </c>
      <c r="H76" s="5">
        <v>2.5740000000000003</v>
      </c>
      <c r="I76" s="47">
        <f t="shared" si="2"/>
        <v>33.462000000000003</v>
      </c>
    </row>
    <row r="77" spans="1:9" ht="98.4" customHeight="1" x14ac:dyDescent="0.3">
      <c r="A77" s="28">
        <v>75</v>
      </c>
      <c r="B77" s="14"/>
      <c r="C77" s="15"/>
      <c r="D77" s="22" t="s">
        <v>84</v>
      </c>
      <c r="E77" s="43">
        <v>200</v>
      </c>
      <c r="F77" s="3">
        <v>8</v>
      </c>
      <c r="G77" s="40">
        <f t="shared" si="3"/>
        <v>25</v>
      </c>
      <c r="H77" s="5">
        <v>5.0819999999999999</v>
      </c>
      <c r="I77" s="47">
        <f t="shared" si="2"/>
        <v>127.05</v>
      </c>
    </row>
    <row r="78" spans="1:9" ht="98.4" customHeight="1" x14ac:dyDescent="0.3">
      <c r="A78" s="28">
        <v>76</v>
      </c>
      <c r="B78" s="14"/>
      <c r="C78" s="15"/>
      <c r="D78" s="22" t="s">
        <v>85</v>
      </c>
      <c r="E78" s="43">
        <v>200</v>
      </c>
      <c r="F78" s="3">
        <v>8</v>
      </c>
      <c r="G78" s="40">
        <f t="shared" si="3"/>
        <v>25</v>
      </c>
      <c r="H78" s="5">
        <v>5.0819999999999999</v>
      </c>
      <c r="I78" s="47">
        <f t="shared" si="2"/>
        <v>127.05</v>
      </c>
    </row>
    <row r="79" spans="1:9" ht="98.4" customHeight="1" x14ac:dyDescent="0.3">
      <c r="A79" s="28">
        <v>77</v>
      </c>
      <c r="B79" s="14"/>
      <c r="C79" s="15"/>
      <c r="D79" s="21" t="s">
        <v>86</v>
      </c>
      <c r="E79" s="43">
        <v>200</v>
      </c>
      <c r="F79" s="3">
        <v>8</v>
      </c>
      <c r="G79" s="40">
        <f t="shared" si="3"/>
        <v>25</v>
      </c>
      <c r="H79" s="5">
        <v>5.0819999999999999</v>
      </c>
      <c r="I79" s="47">
        <f t="shared" si="2"/>
        <v>127.05</v>
      </c>
    </row>
    <row r="80" spans="1:9" ht="14.4" x14ac:dyDescent="0.3">
      <c r="B80" s="8"/>
      <c r="C80" s="8"/>
      <c r="D80" s="8"/>
      <c r="E80" s="8"/>
      <c r="F80" s="8"/>
    </row>
    <row r="81" spans="2:6" ht="14.4" x14ac:dyDescent="0.3">
      <c r="B81" s="8"/>
      <c r="C81" s="8"/>
      <c r="D81" s="8"/>
      <c r="E81" s="8"/>
      <c r="F81" s="8"/>
    </row>
    <row r="82" spans="2:6" ht="14.4" x14ac:dyDescent="0.3">
      <c r="B82" s="8"/>
      <c r="C82" s="8"/>
      <c r="D82" s="8"/>
      <c r="E82" s="8"/>
      <c r="F82" s="8"/>
    </row>
    <row r="83" spans="2:6" ht="14.4" x14ac:dyDescent="0.3">
      <c r="F83" s="9"/>
    </row>
    <row r="84" spans="2:6" ht="14.4" x14ac:dyDescent="0.3">
      <c r="F84" s="10"/>
    </row>
    <row r="85" spans="2:6" ht="14.4" x14ac:dyDescent="0.3">
      <c r="F85" s="10"/>
    </row>
    <row r="87" spans="2:6" ht="14.4" x14ac:dyDescent="0.3">
      <c r="F87" s="11"/>
    </row>
  </sheetData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4BDD-C4D2-4229-98A9-74BEDB2E9BC2}">
  <dimension ref="A1:AS68"/>
  <sheetViews>
    <sheetView workbookViewId="0">
      <pane ySplit="3" topLeftCell="A4" activePane="bottomLeft" state="frozen"/>
      <selection pane="bottomLeft" activeCell="C9" sqref="C9"/>
    </sheetView>
  </sheetViews>
  <sheetFormatPr defaultRowHeight="14.4" x14ac:dyDescent="0.3"/>
  <cols>
    <col min="2" max="2" width="18.33203125" customWidth="1"/>
    <col min="3" max="4" width="34.33203125" customWidth="1"/>
    <col min="5" max="5" width="12" customWidth="1"/>
    <col min="6" max="6" width="80.109375" customWidth="1"/>
    <col min="7" max="12" width="14.33203125" style="61" customWidth="1"/>
    <col min="13" max="13" width="16.5546875" style="61" customWidth="1"/>
    <col min="14" max="14" width="14.33203125" style="61" customWidth="1"/>
    <col min="15" max="15" width="15.88671875" style="61" customWidth="1"/>
    <col min="16" max="20" width="14.33203125" style="61" customWidth="1"/>
    <col min="21" max="21" width="15.44140625" style="61" customWidth="1"/>
    <col min="22" max="22" width="14.33203125" style="61" customWidth="1"/>
    <col min="23" max="23" width="15.5546875" style="61" customWidth="1"/>
    <col min="24" max="34" width="14.33203125" style="61" customWidth="1"/>
    <col min="35" max="37" width="10.5546875" style="61" customWidth="1"/>
    <col min="38" max="38" width="12.5546875" customWidth="1"/>
    <col min="39" max="40" width="9.109375" bestFit="1" customWidth="1"/>
  </cols>
  <sheetData>
    <row r="1" spans="1:45" ht="42" customHeight="1" x14ac:dyDescent="0.3">
      <c r="F1" s="180" t="s">
        <v>87</v>
      </c>
    </row>
    <row r="2" spans="1:45" ht="31.5" customHeight="1" x14ac:dyDescent="0.3">
      <c r="A2" s="183"/>
      <c r="B2" s="183"/>
      <c r="C2" s="183"/>
      <c r="D2" s="183"/>
      <c r="E2" s="183"/>
      <c r="F2" s="184" t="s">
        <v>88</v>
      </c>
      <c r="G2" s="185">
        <v>46092</v>
      </c>
      <c r="H2" s="185">
        <v>46086</v>
      </c>
      <c r="I2" s="185">
        <v>46064</v>
      </c>
      <c r="J2" s="185">
        <v>46126</v>
      </c>
      <c r="K2" s="185"/>
      <c r="L2" s="185"/>
      <c r="M2" s="185"/>
      <c r="N2" s="185">
        <v>46126</v>
      </c>
      <c r="O2" s="185"/>
      <c r="P2" s="185">
        <v>46114</v>
      </c>
      <c r="Q2" s="185"/>
      <c r="R2" s="185"/>
      <c r="S2" s="185"/>
      <c r="T2" s="185"/>
      <c r="U2" s="185"/>
      <c r="V2" s="185"/>
      <c r="W2" s="185"/>
      <c r="X2" s="185">
        <v>46162</v>
      </c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6"/>
      <c r="AL2" s="185"/>
      <c r="AM2" s="187"/>
      <c r="AN2" s="187"/>
      <c r="AO2" s="187"/>
      <c r="AP2" s="187"/>
      <c r="AQ2" s="187"/>
      <c r="AR2" s="187"/>
      <c r="AS2" s="187"/>
    </row>
    <row r="3" spans="1:45" ht="27" customHeight="1" x14ac:dyDescent="0.3">
      <c r="A3" s="183"/>
      <c r="B3" s="183"/>
      <c r="C3" s="183"/>
      <c r="D3" s="182"/>
      <c r="E3" s="183"/>
      <c r="F3" s="184" t="s">
        <v>89</v>
      </c>
      <c r="G3" s="185">
        <v>46153</v>
      </c>
      <c r="H3" s="185" t="s">
        <v>90</v>
      </c>
      <c r="I3" s="185">
        <v>46142</v>
      </c>
      <c r="J3" s="185">
        <v>46187</v>
      </c>
      <c r="K3" s="185"/>
      <c r="L3" s="185"/>
      <c r="M3" s="185"/>
      <c r="N3" s="185">
        <v>46187</v>
      </c>
      <c r="O3" s="185"/>
      <c r="P3" s="185">
        <v>46191</v>
      </c>
      <c r="Q3" s="185"/>
      <c r="R3" s="185"/>
      <c r="S3" s="185"/>
      <c r="T3" s="185"/>
      <c r="U3" s="185"/>
      <c r="V3" s="185"/>
      <c r="W3" s="185"/>
      <c r="X3" s="185">
        <v>46219</v>
      </c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6"/>
      <c r="AL3" s="185"/>
      <c r="AM3" s="187"/>
      <c r="AN3" s="187"/>
      <c r="AO3" s="187"/>
      <c r="AP3" s="187"/>
      <c r="AQ3" s="187"/>
      <c r="AR3" s="187"/>
      <c r="AS3" s="187"/>
    </row>
    <row r="4" spans="1:45" x14ac:dyDescent="0.3">
      <c r="A4" s="181" t="s">
        <v>1</v>
      </c>
      <c r="B4" s="181" t="s">
        <v>91</v>
      </c>
      <c r="C4" s="181" t="s">
        <v>92</v>
      </c>
      <c r="D4" s="181" t="s">
        <v>93</v>
      </c>
      <c r="E4" s="181" t="s">
        <v>94</v>
      </c>
      <c r="F4" s="181" t="s">
        <v>95</v>
      </c>
      <c r="G4" s="181" t="s">
        <v>96</v>
      </c>
      <c r="H4" s="181" t="s">
        <v>97</v>
      </c>
      <c r="I4" s="181" t="s">
        <v>98</v>
      </c>
      <c r="J4" s="181" t="s">
        <v>99</v>
      </c>
      <c r="K4" s="181" t="s">
        <v>100</v>
      </c>
      <c r="L4" s="181" t="s">
        <v>101</v>
      </c>
      <c r="M4" s="181" t="s">
        <v>102</v>
      </c>
      <c r="N4" s="181" t="s">
        <v>103</v>
      </c>
      <c r="O4" s="181" t="s">
        <v>104</v>
      </c>
      <c r="P4" s="181" t="s">
        <v>105</v>
      </c>
      <c r="Q4" s="181" t="s">
        <v>106</v>
      </c>
      <c r="R4" s="181" t="s">
        <v>107</v>
      </c>
      <c r="S4" s="181" t="s">
        <v>108</v>
      </c>
      <c r="T4" s="181" t="s">
        <v>109</v>
      </c>
      <c r="U4" s="181" t="s">
        <v>110</v>
      </c>
      <c r="V4" s="181" t="s">
        <v>111</v>
      </c>
      <c r="W4" s="181" t="s">
        <v>112</v>
      </c>
      <c r="X4" s="181" t="s">
        <v>113</v>
      </c>
      <c r="Y4" s="181" t="s">
        <v>114</v>
      </c>
      <c r="Z4" s="181" t="s">
        <v>115</v>
      </c>
      <c r="AA4" s="181" t="s">
        <v>116</v>
      </c>
      <c r="AB4" s="181" t="s">
        <v>117</v>
      </c>
      <c r="AC4" s="181" t="s">
        <v>118</v>
      </c>
      <c r="AD4" s="181" t="s">
        <v>119</v>
      </c>
      <c r="AE4" s="181" t="s">
        <v>120</v>
      </c>
      <c r="AF4" s="181" t="s">
        <v>121</v>
      </c>
      <c r="AG4" s="181" t="s">
        <v>122</v>
      </c>
      <c r="AH4" s="181" t="s">
        <v>123</v>
      </c>
      <c r="AI4" s="181" t="s">
        <v>124</v>
      </c>
      <c r="AJ4" s="181" t="s">
        <v>125</v>
      </c>
      <c r="AK4" s="181" t="s">
        <v>126</v>
      </c>
      <c r="AL4" s="181" t="s">
        <v>127</v>
      </c>
      <c r="AM4" s="181" t="s">
        <v>128</v>
      </c>
      <c r="AN4" s="181" t="s">
        <v>129</v>
      </c>
      <c r="AO4" s="181" t="s">
        <v>130</v>
      </c>
      <c r="AP4" s="181" t="s">
        <v>131</v>
      </c>
      <c r="AQ4" s="181" t="s">
        <v>132</v>
      </c>
      <c r="AR4" s="181" t="s">
        <v>133</v>
      </c>
      <c r="AS4" s="181" t="s">
        <v>134</v>
      </c>
    </row>
    <row r="5" spans="1:45" x14ac:dyDescent="0.3">
      <c r="A5" s="54">
        <v>1</v>
      </c>
      <c r="B5" s="59">
        <v>111002004</v>
      </c>
      <c r="C5" s="59" t="s">
        <v>135</v>
      </c>
      <c r="D5" s="189" t="s">
        <v>136</v>
      </c>
      <c r="E5" s="80">
        <v>252881</v>
      </c>
      <c r="F5" s="31" t="s">
        <v>137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>
        <f t="shared" ref="AL5:AL27" si="0">SUM(G5:AJ5)</f>
        <v>0</v>
      </c>
    </row>
    <row r="6" spans="1:45" x14ac:dyDescent="0.3">
      <c r="A6" s="54">
        <v>2</v>
      </c>
      <c r="B6" s="59">
        <v>111002003</v>
      </c>
      <c r="C6" s="59" t="s">
        <v>138</v>
      </c>
      <c r="D6" s="189" t="s">
        <v>139</v>
      </c>
      <c r="E6" s="80">
        <v>252882</v>
      </c>
      <c r="F6" s="31" t="s">
        <v>140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>
        <f t="shared" si="0"/>
        <v>0</v>
      </c>
    </row>
    <row r="7" spans="1:45" x14ac:dyDescent="0.3">
      <c r="A7" s="54">
        <v>3</v>
      </c>
      <c r="B7" s="59">
        <v>120010004</v>
      </c>
      <c r="C7" s="59" t="s">
        <v>141</v>
      </c>
      <c r="D7" s="190" t="s">
        <v>142</v>
      </c>
      <c r="E7" s="52">
        <v>374681</v>
      </c>
      <c r="F7" s="31" t="s">
        <v>143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>
        <f t="shared" si="0"/>
        <v>0</v>
      </c>
    </row>
    <row r="8" spans="1:45" x14ac:dyDescent="0.3">
      <c r="A8" s="54">
        <v>4</v>
      </c>
      <c r="B8" s="59">
        <v>120010004</v>
      </c>
      <c r="C8" s="59" t="s">
        <v>141</v>
      </c>
      <c r="D8" s="52" t="s">
        <v>144</v>
      </c>
      <c r="E8" s="52">
        <v>391650</v>
      </c>
      <c r="F8" s="31" t="s">
        <v>145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>
        <f t="shared" si="0"/>
        <v>0</v>
      </c>
    </row>
    <row r="9" spans="1:45" x14ac:dyDescent="0.3">
      <c r="A9" s="54">
        <v>5</v>
      </c>
      <c r="B9" s="59">
        <v>120003013</v>
      </c>
      <c r="C9" s="59" t="s">
        <v>146</v>
      </c>
      <c r="D9" s="81" t="s">
        <v>147</v>
      </c>
      <c r="E9" s="52">
        <v>358745</v>
      </c>
      <c r="F9" s="31" t="s">
        <v>148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>
        <f t="shared" si="0"/>
        <v>0</v>
      </c>
    </row>
    <row r="10" spans="1:45" x14ac:dyDescent="0.3">
      <c r="A10" s="54">
        <v>6</v>
      </c>
      <c r="B10" s="59">
        <v>120003014</v>
      </c>
      <c r="C10" s="59" t="s">
        <v>149</v>
      </c>
      <c r="D10" s="81" t="s">
        <v>147</v>
      </c>
      <c r="E10" s="52">
        <v>358746</v>
      </c>
      <c r="F10" s="31" t="s">
        <v>150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>
        <f t="shared" si="0"/>
        <v>0</v>
      </c>
    </row>
    <row r="11" spans="1:45" x14ac:dyDescent="0.3">
      <c r="A11" s="54">
        <v>7</v>
      </c>
      <c r="B11" s="59">
        <v>120003014</v>
      </c>
      <c r="C11" s="59" t="s">
        <v>149</v>
      </c>
      <c r="D11" s="81" t="s">
        <v>147</v>
      </c>
      <c r="E11" s="52">
        <v>358747</v>
      </c>
      <c r="F11" s="31" t="s">
        <v>151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>
        <f t="shared" si="0"/>
        <v>0</v>
      </c>
    </row>
    <row r="12" spans="1:45" x14ac:dyDescent="0.3">
      <c r="A12" s="54">
        <v>8</v>
      </c>
      <c r="B12" s="59">
        <v>120010003</v>
      </c>
      <c r="C12" s="59" t="s">
        <v>152</v>
      </c>
      <c r="D12" s="52" t="s">
        <v>153</v>
      </c>
      <c r="E12" s="82">
        <v>394619</v>
      </c>
      <c r="F12" s="83" t="s">
        <v>154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>
        <f t="shared" si="0"/>
        <v>0</v>
      </c>
    </row>
    <row r="13" spans="1:45" x14ac:dyDescent="0.3">
      <c r="A13" s="54">
        <v>9</v>
      </c>
      <c r="B13" s="59">
        <v>120010006</v>
      </c>
      <c r="C13" s="59" t="s">
        <v>155</v>
      </c>
      <c r="D13" s="52" t="s">
        <v>153</v>
      </c>
      <c r="E13" s="82">
        <v>394620</v>
      </c>
      <c r="F13" s="83" t="s">
        <v>156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>
        <f t="shared" si="0"/>
        <v>0</v>
      </c>
    </row>
    <row r="14" spans="1:45" x14ac:dyDescent="0.3">
      <c r="A14" s="54">
        <v>10</v>
      </c>
      <c r="B14" s="59">
        <v>120010002</v>
      </c>
      <c r="C14" s="59" t="s">
        <v>157</v>
      </c>
      <c r="D14" s="52" t="s">
        <v>153</v>
      </c>
      <c r="E14" s="82">
        <v>395051</v>
      </c>
      <c r="F14" s="83" t="s">
        <v>158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>
        <f t="shared" si="0"/>
        <v>0</v>
      </c>
    </row>
    <row r="15" spans="1:45" x14ac:dyDescent="0.3">
      <c r="A15" s="54">
        <v>11</v>
      </c>
      <c r="B15" s="59">
        <v>120010002</v>
      </c>
      <c r="C15" s="59" t="s">
        <v>157</v>
      </c>
      <c r="D15" s="52" t="s">
        <v>153</v>
      </c>
      <c r="E15" s="82">
        <v>395052</v>
      </c>
      <c r="F15" s="83" t="s">
        <v>159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>
        <f t="shared" si="0"/>
        <v>0</v>
      </c>
    </row>
    <row r="16" spans="1:45" x14ac:dyDescent="0.3">
      <c r="A16" s="54">
        <v>12</v>
      </c>
      <c r="B16" s="59">
        <v>120010003</v>
      </c>
      <c r="C16" s="59" t="s">
        <v>152</v>
      </c>
      <c r="D16" s="52" t="s">
        <v>153</v>
      </c>
      <c r="E16" s="82">
        <v>395053</v>
      </c>
      <c r="F16" s="83" t="s">
        <v>160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>
        <f t="shared" si="0"/>
        <v>0</v>
      </c>
    </row>
    <row r="17" spans="1:38" x14ac:dyDescent="0.3">
      <c r="A17" s="54">
        <v>13</v>
      </c>
      <c r="B17" s="59">
        <v>120010002</v>
      </c>
      <c r="C17" s="59" t="s">
        <v>157</v>
      </c>
      <c r="D17" s="52" t="s">
        <v>153</v>
      </c>
      <c r="E17" s="82">
        <v>395054</v>
      </c>
      <c r="F17" s="83" t="s">
        <v>161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>
        <f t="shared" si="0"/>
        <v>0</v>
      </c>
    </row>
    <row r="18" spans="1:38" x14ac:dyDescent="0.3">
      <c r="A18" s="54">
        <v>14</v>
      </c>
      <c r="B18" s="59">
        <v>120011003</v>
      </c>
      <c r="C18" s="59" t="s">
        <v>162</v>
      </c>
      <c r="D18" s="52" t="s">
        <v>153</v>
      </c>
      <c r="E18" s="82">
        <v>395055</v>
      </c>
      <c r="F18" s="83" t="s">
        <v>163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>
        <f t="shared" si="0"/>
        <v>0</v>
      </c>
    </row>
    <row r="19" spans="1:38" x14ac:dyDescent="0.3">
      <c r="A19" s="54">
        <v>15</v>
      </c>
      <c r="B19" s="59">
        <v>120011005</v>
      </c>
      <c r="C19" s="59" t="s">
        <v>164</v>
      </c>
      <c r="D19" s="188" t="s">
        <v>165</v>
      </c>
      <c r="E19" s="52">
        <v>391006</v>
      </c>
      <c r="F19" s="31" t="s">
        <v>166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>
        <f t="shared" si="0"/>
        <v>0</v>
      </c>
    </row>
    <row r="20" spans="1:38" x14ac:dyDescent="0.3">
      <c r="A20" s="54">
        <v>16</v>
      </c>
      <c r="B20" s="59">
        <v>120011005</v>
      </c>
      <c r="C20" s="59" t="s">
        <v>164</v>
      </c>
      <c r="D20" s="188" t="s">
        <v>165</v>
      </c>
      <c r="E20" s="52">
        <v>391007</v>
      </c>
      <c r="F20" s="31" t="s">
        <v>167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>
        <f t="shared" si="0"/>
        <v>0</v>
      </c>
    </row>
    <row r="21" spans="1:38" x14ac:dyDescent="0.3">
      <c r="A21" s="54">
        <v>21</v>
      </c>
      <c r="B21" s="59">
        <v>117007002</v>
      </c>
      <c r="C21" s="59" t="s">
        <v>168</v>
      </c>
      <c r="D21" s="52" t="s">
        <v>169</v>
      </c>
      <c r="E21" s="52">
        <v>391016</v>
      </c>
      <c r="F21" s="31" t="s">
        <v>170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>
        <f t="shared" si="0"/>
        <v>0</v>
      </c>
    </row>
    <row r="22" spans="1:38" x14ac:dyDescent="0.3">
      <c r="A22" s="54">
        <v>22</v>
      </c>
      <c r="B22" s="59">
        <v>117007002</v>
      </c>
      <c r="C22" s="59" t="s">
        <v>168</v>
      </c>
      <c r="D22" s="52" t="s">
        <v>169</v>
      </c>
      <c r="E22" s="52">
        <v>394242</v>
      </c>
      <c r="F22" s="31" t="s">
        <v>171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>
        <f t="shared" si="0"/>
        <v>0</v>
      </c>
    </row>
    <row r="23" spans="1:38" x14ac:dyDescent="0.3">
      <c r="A23" s="54">
        <v>23</v>
      </c>
      <c r="B23" s="59">
        <v>120003014</v>
      </c>
      <c r="C23" s="59" t="s">
        <v>149</v>
      </c>
      <c r="D23" s="52" t="s">
        <v>172</v>
      </c>
      <c r="E23" s="52">
        <v>395060</v>
      </c>
      <c r="F23" s="31" t="s">
        <v>173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>
        <f t="shared" si="0"/>
        <v>0</v>
      </c>
    </row>
    <row r="24" spans="1:38" x14ac:dyDescent="0.3">
      <c r="A24" s="54">
        <v>24</v>
      </c>
      <c r="B24" s="59">
        <v>120003014</v>
      </c>
      <c r="C24" s="59" t="s">
        <v>149</v>
      </c>
      <c r="D24" s="67" t="s">
        <v>172</v>
      </c>
      <c r="E24" s="52">
        <v>395821</v>
      </c>
      <c r="F24" s="31" t="s">
        <v>174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>
        <f t="shared" si="0"/>
        <v>0</v>
      </c>
    </row>
    <row r="25" spans="1:38" x14ac:dyDescent="0.3">
      <c r="A25" s="54">
        <v>25</v>
      </c>
      <c r="B25" s="59">
        <v>111002004</v>
      </c>
      <c r="C25" s="59" t="s">
        <v>135</v>
      </c>
      <c r="D25" s="52" t="s">
        <v>175</v>
      </c>
      <c r="E25" s="54">
        <v>400881</v>
      </c>
      <c r="F25" s="31" t="s">
        <v>176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>
        <f t="shared" si="0"/>
        <v>0</v>
      </c>
    </row>
    <row r="26" spans="1:38" x14ac:dyDescent="0.3">
      <c r="A26" s="54">
        <v>26</v>
      </c>
      <c r="B26" s="59">
        <v>111002003</v>
      </c>
      <c r="C26" s="59" t="s">
        <v>138</v>
      </c>
      <c r="D26" s="52" t="s">
        <v>175</v>
      </c>
      <c r="E26" s="54">
        <v>400882</v>
      </c>
      <c r="F26" s="31" t="s">
        <v>177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>
        <f t="shared" si="0"/>
        <v>0</v>
      </c>
    </row>
    <row r="27" spans="1:38" x14ac:dyDescent="0.3">
      <c r="A27" s="54">
        <v>27</v>
      </c>
      <c r="B27" s="59">
        <v>111001017</v>
      </c>
      <c r="C27" s="59" t="s">
        <v>178</v>
      </c>
      <c r="D27" s="52" t="s">
        <v>175</v>
      </c>
      <c r="E27" s="54">
        <v>400883</v>
      </c>
      <c r="F27" s="31" t="s">
        <v>179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>
        <f t="shared" si="0"/>
        <v>0</v>
      </c>
    </row>
    <row r="28" spans="1:38" x14ac:dyDescent="0.3">
      <c r="A28" s="54">
        <v>28</v>
      </c>
      <c r="B28" s="59">
        <v>109001005</v>
      </c>
      <c r="C28" s="59" t="s">
        <v>180</v>
      </c>
      <c r="D28" s="52" t="s">
        <v>172</v>
      </c>
      <c r="E28" s="54">
        <v>402152</v>
      </c>
      <c r="F28" s="31" t="s">
        <v>181</v>
      </c>
    </row>
    <row r="29" spans="1:38" x14ac:dyDescent="0.3">
      <c r="A29" s="54">
        <v>29</v>
      </c>
      <c r="B29" s="59">
        <v>109001008</v>
      </c>
      <c r="C29" s="59" t="s">
        <v>182</v>
      </c>
      <c r="D29" s="67" t="s">
        <v>172</v>
      </c>
      <c r="E29" s="54">
        <v>402179</v>
      </c>
      <c r="F29" s="31" t="s">
        <v>183</v>
      </c>
    </row>
    <row r="30" spans="1:38" x14ac:dyDescent="0.3">
      <c r="A30" s="54">
        <v>30</v>
      </c>
      <c r="B30" s="59">
        <v>109004006</v>
      </c>
      <c r="C30" s="59" t="s">
        <v>184</v>
      </c>
      <c r="D30" s="67" t="s">
        <v>172</v>
      </c>
      <c r="E30" s="68">
        <v>402247</v>
      </c>
      <c r="F30" s="31" t="s">
        <v>185</v>
      </c>
    </row>
    <row r="31" spans="1:38" x14ac:dyDescent="0.3">
      <c r="A31" s="54">
        <v>31</v>
      </c>
      <c r="B31" s="59">
        <v>117004002</v>
      </c>
      <c r="C31" s="59" t="s">
        <v>186</v>
      </c>
      <c r="D31" s="54" t="s">
        <v>187</v>
      </c>
      <c r="E31" s="52">
        <v>406032</v>
      </c>
      <c r="F31" s="31" t="s">
        <v>188</v>
      </c>
    </row>
    <row r="32" spans="1:38" x14ac:dyDescent="0.3">
      <c r="A32" s="54">
        <v>32</v>
      </c>
      <c r="B32" s="59">
        <v>117004002</v>
      </c>
      <c r="C32" s="59" t="s">
        <v>186</v>
      </c>
      <c r="D32" s="54" t="s">
        <v>187</v>
      </c>
      <c r="E32" s="52">
        <v>406033</v>
      </c>
      <c r="F32" s="31" t="s">
        <v>189</v>
      </c>
    </row>
    <row r="33" spans="1:6" x14ac:dyDescent="0.3">
      <c r="A33" s="54">
        <v>33</v>
      </c>
      <c r="B33" s="59">
        <v>117004003</v>
      </c>
      <c r="C33" s="59" t="s">
        <v>190</v>
      </c>
      <c r="D33" s="54" t="s">
        <v>187</v>
      </c>
      <c r="E33" s="52">
        <v>406034</v>
      </c>
      <c r="F33" s="31" t="s">
        <v>191</v>
      </c>
    </row>
    <row r="34" spans="1:6" x14ac:dyDescent="0.3">
      <c r="A34" s="54">
        <v>34</v>
      </c>
      <c r="B34" s="59">
        <v>117004003</v>
      </c>
      <c r="C34" s="59" t="s">
        <v>190</v>
      </c>
      <c r="D34" s="54" t="s">
        <v>187</v>
      </c>
      <c r="E34" s="52">
        <v>406035</v>
      </c>
      <c r="F34" s="31" t="s">
        <v>192</v>
      </c>
    </row>
    <row r="35" spans="1:6" x14ac:dyDescent="0.3">
      <c r="A35" s="54">
        <v>35</v>
      </c>
      <c r="B35" s="59">
        <v>117004009</v>
      </c>
      <c r="C35" s="59" t="s">
        <v>193</v>
      </c>
      <c r="D35" s="54" t="s">
        <v>187</v>
      </c>
      <c r="E35" s="52">
        <v>406036</v>
      </c>
      <c r="F35" s="31" t="s">
        <v>194</v>
      </c>
    </row>
    <row r="36" spans="1:6" x14ac:dyDescent="0.3">
      <c r="A36" s="54">
        <v>36</v>
      </c>
      <c r="B36" s="59">
        <v>117001017</v>
      </c>
      <c r="C36" s="59" t="s">
        <v>195</v>
      </c>
      <c r="D36" s="54" t="s">
        <v>187</v>
      </c>
      <c r="E36" s="52">
        <v>406037</v>
      </c>
      <c r="F36" s="31" t="s">
        <v>196</v>
      </c>
    </row>
    <row r="37" spans="1:6" x14ac:dyDescent="0.3">
      <c r="A37" s="54">
        <v>37</v>
      </c>
      <c r="B37" s="59">
        <v>117007005</v>
      </c>
      <c r="C37" s="59" t="s">
        <v>197</v>
      </c>
      <c r="D37" s="54" t="s">
        <v>187</v>
      </c>
      <c r="E37" s="52">
        <v>406038</v>
      </c>
      <c r="F37" s="31" t="s">
        <v>198</v>
      </c>
    </row>
    <row r="38" spans="1:6" x14ac:dyDescent="0.3">
      <c r="A38" s="49"/>
      <c r="B38" s="61"/>
      <c r="C38" s="61"/>
      <c r="E38" s="61"/>
    </row>
    <row r="39" spans="1:6" x14ac:dyDescent="0.3">
      <c r="A39" s="49"/>
      <c r="B39" s="61"/>
      <c r="C39" s="61"/>
      <c r="E39" s="61"/>
    </row>
    <row r="40" spans="1:6" x14ac:dyDescent="0.3">
      <c r="A40" s="49"/>
      <c r="B40" s="61"/>
      <c r="C40" s="61"/>
      <c r="E40" s="61"/>
    </row>
    <row r="41" spans="1:6" x14ac:dyDescent="0.3">
      <c r="A41" s="49"/>
      <c r="B41" s="61"/>
      <c r="C41" s="61"/>
      <c r="E41" s="61"/>
    </row>
    <row r="42" spans="1:6" x14ac:dyDescent="0.3">
      <c r="A42" s="49"/>
      <c r="B42" s="61"/>
      <c r="C42" s="61"/>
      <c r="E42" s="61"/>
    </row>
    <row r="43" spans="1:6" x14ac:dyDescent="0.3">
      <c r="A43" s="49"/>
      <c r="B43" s="61"/>
      <c r="C43" s="61"/>
      <c r="E43" s="61"/>
    </row>
    <row r="44" spans="1:6" x14ac:dyDescent="0.3">
      <c r="A44" s="49"/>
      <c r="B44" s="61"/>
      <c r="C44" s="61"/>
      <c r="E44" s="61"/>
    </row>
    <row r="45" spans="1:6" x14ac:dyDescent="0.3">
      <c r="A45" s="49"/>
      <c r="B45" s="61"/>
      <c r="C45" s="61"/>
      <c r="E45" s="61"/>
    </row>
    <row r="46" spans="1:6" x14ac:dyDescent="0.3">
      <c r="A46" s="49"/>
      <c r="B46" s="61"/>
      <c r="C46" s="61"/>
      <c r="E46" s="61"/>
    </row>
    <row r="47" spans="1:6" x14ac:dyDescent="0.3">
      <c r="A47" s="49"/>
      <c r="B47" s="61"/>
      <c r="C47" s="61"/>
      <c r="E47" s="61"/>
    </row>
    <row r="48" spans="1:6" x14ac:dyDescent="0.3">
      <c r="A48" s="49"/>
      <c r="B48" s="61"/>
      <c r="C48" s="61"/>
      <c r="E48" s="61"/>
    </row>
    <row r="49" spans="1:5" x14ac:dyDescent="0.3">
      <c r="A49" s="49"/>
      <c r="B49" s="61"/>
      <c r="C49" s="61"/>
      <c r="E49" s="61"/>
    </row>
    <row r="50" spans="1:5" x14ac:dyDescent="0.3">
      <c r="A50" s="49"/>
      <c r="B50" s="61"/>
      <c r="C50" s="61"/>
      <c r="E50" s="61"/>
    </row>
    <row r="51" spans="1:5" x14ac:dyDescent="0.3">
      <c r="A51" s="49"/>
      <c r="B51" s="61"/>
      <c r="C51" s="61"/>
      <c r="E51" s="61"/>
    </row>
    <row r="52" spans="1:5" x14ac:dyDescent="0.3">
      <c r="A52" s="49"/>
      <c r="B52" s="61"/>
      <c r="C52" s="61"/>
      <c r="E52" s="61"/>
    </row>
    <row r="53" spans="1:5" x14ac:dyDescent="0.3">
      <c r="A53" s="49"/>
      <c r="B53" s="61"/>
      <c r="C53" s="61"/>
      <c r="E53" s="61"/>
    </row>
    <row r="54" spans="1:5" x14ac:dyDescent="0.3">
      <c r="A54" s="49"/>
      <c r="B54" s="61"/>
      <c r="C54" s="61"/>
      <c r="E54" s="61"/>
    </row>
    <row r="55" spans="1:5" x14ac:dyDescent="0.3">
      <c r="A55" s="49"/>
      <c r="B55" s="61"/>
      <c r="C55" s="61"/>
      <c r="E55" s="61"/>
    </row>
    <row r="56" spans="1:5" x14ac:dyDescent="0.3">
      <c r="A56" s="49"/>
      <c r="B56" s="49"/>
      <c r="C56" s="49"/>
      <c r="E56" s="61"/>
    </row>
    <row r="57" spans="1:5" x14ac:dyDescent="0.3">
      <c r="A57" s="49"/>
      <c r="B57" s="49"/>
      <c r="C57" s="49"/>
      <c r="E57" s="61"/>
    </row>
    <row r="58" spans="1:5" x14ac:dyDescent="0.3">
      <c r="A58" s="49"/>
      <c r="B58" s="49"/>
      <c r="C58" s="49"/>
      <c r="E58" s="61"/>
    </row>
    <row r="59" spans="1:5" x14ac:dyDescent="0.3">
      <c r="A59" s="49"/>
      <c r="B59" s="49"/>
      <c r="C59" s="49"/>
      <c r="E59" s="61"/>
    </row>
    <row r="60" spans="1:5" x14ac:dyDescent="0.3">
      <c r="A60" s="49"/>
      <c r="B60" s="49"/>
      <c r="C60" s="49"/>
      <c r="E60" s="61"/>
    </row>
    <row r="61" spans="1:5" x14ac:dyDescent="0.3">
      <c r="A61" s="49"/>
      <c r="B61" s="49"/>
      <c r="C61" s="49"/>
      <c r="E61" s="61"/>
    </row>
    <row r="62" spans="1:5" x14ac:dyDescent="0.3">
      <c r="A62" s="49"/>
      <c r="B62" s="49"/>
      <c r="C62" s="49"/>
      <c r="E62" s="61"/>
    </row>
    <row r="63" spans="1:5" x14ac:dyDescent="0.3">
      <c r="A63" s="49"/>
      <c r="B63" s="49"/>
      <c r="C63" s="49"/>
      <c r="E63" s="61"/>
    </row>
    <row r="64" spans="1:5" x14ac:dyDescent="0.3">
      <c r="A64" s="49"/>
      <c r="B64" s="49"/>
      <c r="C64" s="49"/>
      <c r="E64" s="61"/>
    </row>
    <row r="65" spans="1:5" x14ac:dyDescent="0.3">
      <c r="A65" s="49"/>
      <c r="B65" s="49"/>
      <c r="C65" s="49"/>
      <c r="E65" s="61"/>
    </row>
    <row r="66" spans="1:5" x14ac:dyDescent="0.3">
      <c r="A66" s="49"/>
      <c r="B66" s="49"/>
      <c r="C66" s="49"/>
      <c r="E66" s="61"/>
    </row>
    <row r="67" spans="1:5" x14ac:dyDescent="0.3">
      <c r="A67" s="49"/>
      <c r="B67" s="49"/>
      <c r="C67" s="49"/>
      <c r="E67" s="61"/>
    </row>
    <row r="68" spans="1:5" x14ac:dyDescent="0.3">
      <c r="A68" s="49"/>
      <c r="B68" s="49"/>
      <c r="C68" s="49"/>
      <c r="E68" s="61"/>
    </row>
  </sheetData>
  <autoFilter ref="A1:AS37" xr:uid="{C2854BDD-C4D2-4229-98A9-74BEDB2E9B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F9B9-8D17-4332-A093-E0E3ED7A4FFA}">
  <dimension ref="A2:N37"/>
  <sheetViews>
    <sheetView workbookViewId="0">
      <selection activeCell="F2" sqref="F2"/>
    </sheetView>
  </sheetViews>
  <sheetFormatPr defaultRowHeight="14.4" x14ac:dyDescent="0.3"/>
  <cols>
    <col min="1" max="1" width="11.88671875" customWidth="1"/>
    <col min="2" max="2" width="45" customWidth="1"/>
    <col min="3" max="3" width="17" hidden="1" customWidth="1"/>
    <col min="4" max="4" width="15.109375" customWidth="1"/>
    <col min="5" max="10" width="16.6640625" customWidth="1"/>
  </cols>
  <sheetData>
    <row r="2" spans="1:14" x14ac:dyDescent="0.3">
      <c r="A2" s="55" t="s">
        <v>199</v>
      </c>
      <c r="B2" s="55" t="s">
        <v>200</v>
      </c>
      <c r="C2" s="55" t="s">
        <v>201</v>
      </c>
      <c r="D2" s="55" t="s">
        <v>202</v>
      </c>
      <c r="E2" s="65" t="s">
        <v>203</v>
      </c>
      <c r="F2" s="65" t="s">
        <v>204</v>
      </c>
      <c r="G2" s="56"/>
      <c r="H2" s="56"/>
      <c r="I2" s="56"/>
      <c r="J2" s="55" t="s">
        <v>205</v>
      </c>
    </row>
    <row r="3" spans="1:14" x14ac:dyDescent="0.3">
      <c r="A3" s="54">
        <v>374885</v>
      </c>
      <c r="B3" s="54" t="s">
        <v>206</v>
      </c>
      <c r="C3" s="57"/>
      <c r="D3" s="58"/>
      <c r="E3" s="31"/>
      <c r="F3" s="31"/>
      <c r="G3" s="31"/>
      <c r="H3" s="31"/>
      <c r="I3" s="31"/>
      <c r="J3" s="31">
        <f t="shared" ref="J3:J34" si="0">SUM(C3:I3)</f>
        <v>0</v>
      </c>
      <c r="M3" s="73"/>
      <c r="N3" s="75"/>
    </row>
    <row r="4" spans="1:14" x14ac:dyDescent="0.3">
      <c r="A4" s="54">
        <v>374876</v>
      </c>
      <c r="B4" s="54" t="s">
        <v>207</v>
      </c>
      <c r="C4" s="57"/>
      <c r="D4" s="58"/>
      <c r="E4" s="31"/>
      <c r="F4" s="31"/>
      <c r="G4" s="31"/>
      <c r="H4" s="31"/>
      <c r="I4" s="31"/>
      <c r="J4" s="31">
        <f t="shared" si="0"/>
        <v>0</v>
      </c>
      <c r="M4" s="74"/>
      <c r="N4" s="75"/>
    </row>
    <row r="5" spans="1:14" x14ac:dyDescent="0.3">
      <c r="A5" s="54">
        <v>374873</v>
      </c>
      <c r="B5" s="54" t="s">
        <v>208</v>
      </c>
      <c r="C5" s="57"/>
      <c r="D5" s="58"/>
      <c r="E5" s="31"/>
      <c r="F5" s="31"/>
      <c r="G5" s="31"/>
      <c r="H5" s="31"/>
      <c r="I5" s="31"/>
      <c r="J5" s="31">
        <f t="shared" si="0"/>
        <v>0</v>
      </c>
      <c r="M5" s="74"/>
      <c r="N5" s="75"/>
    </row>
    <row r="6" spans="1:14" x14ac:dyDescent="0.3">
      <c r="A6" s="54">
        <v>374879</v>
      </c>
      <c r="B6" s="54" t="s">
        <v>209</v>
      </c>
      <c r="C6" s="57"/>
      <c r="D6" s="58"/>
      <c r="E6" s="31"/>
      <c r="F6" s="31"/>
      <c r="G6" s="31"/>
      <c r="H6" s="31"/>
      <c r="I6" s="31"/>
      <c r="J6" s="31">
        <f t="shared" si="0"/>
        <v>0</v>
      </c>
      <c r="M6" s="74"/>
      <c r="N6" s="75"/>
    </row>
    <row r="7" spans="1:14" x14ac:dyDescent="0.3">
      <c r="A7" s="54">
        <v>374882</v>
      </c>
      <c r="B7" s="54" t="s">
        <v>210</v>
      </c>
      <c r="C7" s="57"/>
      <c r="D7" s="58"/>
      <c r="E7" s="31"/>
      <c r="F7" s="31"/>
      <c r="G7" s="31"/>
      <c r="H7" s="31"/>
      <c r="I7" s="31"/>
      <c r="J7" s="31">
        <f t="shared" si="0"/>
        <v>0</v>
      </c>
      <c r="M7" s="74"/>
      <c r="N7" s="75"/>
    </row>
    <row r="8" spans="1:14" x14ac:dyDescent="0.3">
      <c r="A8" s="54">
        <v>374870</v>
      </c>
      <c r="B8" s="54" t="s">
        <v>211</v>
      </c>
      <c r="C8" s="57"/>
      <c r="D8" s="58">
        <v>600</v>
      </c>
      <c r="E8" s="31"/>
      <c r="F8" s="31">
        <v>4000</v>
      </c>
      <c r="G8" s="31"/>
      <c r="H8" s="31"/>
      <c r="I8" s="31"/>
      <c r="J8" s="31">
        <f t="shared" si="0"/>
        <v>4600</v>
      </c>
      <c r="M8" s="74"/>
      <c r="N8" s="75"/>
    </row>
    <row r="9" spans="1:14" x14ac:dyDescent="0.3">
      <c r="A9" s="54">
        <v>374867</v>
      </c>
      <c r="B9" s="54" t="s">
        <v>212</v>
      </c>
      <c r="C9" s="57"/>
      <c r="D9" s="58">
        <v>700</v>
      </c>
      <c r="E9" s="31"/>
      <c r="F9" s="31">
        <v>4000</v>
      </c>
      <c r="G9" s="31"/>
      <c r="H9" s="31"/>
      <c r="I9" s="31"/>
      <c r="J9" s="31">
        <f t="shared" si="0"/>
        <v>4700</v>
      </c>
      <c r="M9" s="74"/>
      <c r="N9" s="75"/>
    </row>
    <row r="10" spans="1:14" x14ac:dyDescent="0.3">
      <c r="A10" s="54">
        <v>374864</v>
      </c>
      <c r="B10" s="54" t="s">
        <v>213</v>
      </c>
      <c r="C10" s="57"/>
      <c r="D10" s="58">
        <v>1320</v>
      </c>
      <c r="E10" s="31"/>
      <c r="F10" s="31">
        <v>4000</v>
      </c>
      <c r="G10" s="31"/>
      <c r="H10" s="31"/>
      <c r="I10" s="31"/>
      <c r="J10" s="31">
        <f t="shared" si="0"/>
        <v>5320</v>
      </c>
      <c r="M10" s="74"/>
      <c r="N10" s="75"/>
    </row>
    <row r="11" spans="1:14" x14ac:dyDescent="0.3">
      <c r="A11" s="54">
        <v>374861</v>
      </c>
      <c r="B11" s="54" t="s">
        <v>214</v>
      </c>
      <c r="C11" s="57"/>
      <c r="D11" s="58">
        <v>1820</v>
      </c>
      <c r="E11" s="31"/>
      <c r="F11" s="31">
        <v>4000</v>
      </c>
      <c r="G11" s="31"/>
      <c r="H11" s="31"/>
      <c r="I11" s="31"/>
      <c r="J11" s="31">
        <f t="shared" si="0"/>
        <v>5820</v>
      </c>
      <c r="M11" s="74"/>
      <c r="N11" s="75"/>
    </row>
    <row r="12" spans="1:14" x14ac:dyDescent="0.3">
      <c r="A12" s="54">
        <v>374875</v>
      </c>
      <c r="B12" s="54" t="s">
        <v>215</v>
      </c>
      <c r="C12" s="57"/>
      <c r="D12" s="58"/>
      <c r="E12" s="31"/>
      <c r="F12" s="31"/>
      <c r="G12" s="31"/>
      <c r="H12" s="31"/>
      <c r="I12" s="31"/>
      <c r="J12" s="31">
        <f t="shared" si="0"/>
        <v>0</v>
      </c>
      <c r="M12" s="74"/>
      <c r="N12" s="75"/>
    </row>
    <row r="13" spans="1:14" x14ac:dyDescent="0.3">
      <c r="A13" s="54">
        <v>374881</v>
      </c>
      <c r="B13" s="54" t="s">
        <v>216</v>
      </c>
      <c r="C13" s="57"/>
      <c r="D13" s="58"/>
      <c r="E13" s="31"/>
      <c r="F13" s="31"/>
      <c r="G13" s="31"/>
      <c r="H13" s="31"/>
      <c r="I13" s="31"/>
      <c r="J13" s="31">
        <f t="shared" si="0"/>
        <v>0</v>
      </c>
      <c r="M13" s="74"/>
      <c r="N13" s="75"/>
    </row>
    <row r="14" spans="1:14" x14ac:dyDescent="0.3">
      <c r="A14" s="54">
        <v>374878</v>
      </c>
      <c r="B14" s="54" t="s">
        <v>217</v>
      </c>
      <c r="C14" s="57"/>
      <c r="D14" s="58"/>
      <c r="E14" s="31"/>
      <c r="F14" s="31"/>
      <c r="G14" s="31"/>
      <c r="H14" s="31"/>
      <c r="I14" s="31"/>
      <c r="J14" s="31">
        <f t="shared" si="0"/>
        <v>0</v>
      </c>
      <c r="M14" s="74"/>
      <c r="N14" s="75"/>
    </row>
    <row r="15" spans="1:14" x14ac:dyDescent="0.3">
      <c r="A15" s="54">
        <v>374888</v>
      </c>
      <c r="B15" s="54" t="s">
        <v>218</v>
      </c>
      <c r="C15" s="57"/>
      <c r="D15" s="58">
        <v>2070</v>
      </c>
      <c r="E15" s="31"/>
      <c r="F15" s="31">
        <v>4000</v>
      </c>
      <c r="G15" s="31"/>
      <c r="H15" s="31"/>
      <c r="I15" s="31"/>
      <c r="J15" s="31">
        <f t="shared" si="0"/>
        <v>6070</v>
      </c>
      <c r="M15" s="74"/>
      <c r="N15" s="75"/>
    </row>
    <row r="16" spans="1:14" x14ac:dyDescent="0.3">
      <c r="A16" s="54">
        <v>374884</v>
      </c>
      <c r="B16" s="54" t="s">
        <v>219</v>
      </c>
      <c r="C16" s="57"/>
      <c r="D16" s="58">
        <v>500</v>
      </c>
      <c r="E16" s="31"/>
      <c r="F16" s="31"/>
      <c r="G16" s="31"/>
      <c r="H16" s="31"/>
      <c r="I16" s="31"/>
      <c r="J16" s="31">
        <f t="shared" si="0"/>
        <v>500</v>
      </c>
      <c r="M16" s="74"/>
      <c r="N16" s="75"/>
    </row>
    <row r="17" spans="1:14" x14ac:dyDescent="0.3">
      <c r="A17" s="54">
        <v>374872</v>
      </c>
      <c r="B17" s="54" t="s">
        <v>220</v>
      </c>
      <c r="C17" s="57"/>
      <c r="D17" s="58">
        <v>500</v>
      </c>
      <c r="E17" s="31"/>
      <c r="F17" s="31"/>
      <c r="G17" s="31"/>
      <c r="H17" s="31"/>
      <c r="I17" s="31"/>
      <c r="J17" s="31">
        <f t="shared" si="0"/>
        <v>500</v>
      </c>
      <c r="M17" s="74"/>
      <c r="N17" s="75"/>
    </row>
    <row r="18" spans="1:14" x14ac:dyDescent="0.3">
      <c r="A18" s="54">
        <v>374858</v>
      </c>
      <c r="B18" s="54" t="s">
        <v>221</v>
      </c>
      <c r="C18" s="57"/>
      <c r="D18" s="58">
        <v>2200</v>
      </c>
      <c r="E18" s="31"/>
      <c r="F18" s="31">
        <v>4000</v>
      </c>
      <c r="G18" s="31"/>
      <c r="H18" s="31"/>
      <c r="I18" s="31"/>
      <c r="J18" s="31">
        <f t="shared" si="0"/>
        <v>6200</v>
      </c>
      <c r="M18" s="74"/>
      <c r="N18" s="75"/>
    </row>
    <row r="19" spans="1:14" x14ac:dyDescent="0.3">
      <c r="A19" s="54">
        <v>374869</v>
      </c>
      <c r="B19" s="54" t="s">
        <v>222</v>
      </c>
      <c r="C19" s="57">
        <v>1000</v>
      </c>
      <c r="D19" s="58"/>
      <c r="E19" s="31"/>
      <c r="F19" s="31">
        <v>4000</v>
      </c>
      <c r="G19" s="31"/>
      <c r="H19" s="31"/>
      <c r="I19" s="31"/>
      <c r="J19" s="31">
        <f t="shared" si="0"/>
        <v>5000</v>
      </c>
      <c r="M19" s="74"/>
      <c r="N19" s="75"/>
    </row>
    <row r="20" spans="1:14" x14ac:dyDescent="0.3">
      <c r="A20" s="54">
        <v>374866</v>
      </c>
      <c r="B20" s="54" t="s">
        <v>223</v>
      </c>
      <c r="C20" s="57">
        <v>1000</v>
      </c>
      <c r="D20" s="58">
        <v>500</v>
      </c>
      <c r="E20" s="31"/>
      <c r="F20" s="31">
        <v>4000</v>
      </c>
      <c r="G20" s="31"/>
      <c r="H20" s="31"/>
      <c r="I20" s="31"/>
      <c r="J20" s="31">
        <f t="shared" si="0"/>
        <v>5500</v>
      </c>
      <c r="M20" s="74"/>
      <c r="N20" s="75"/>
    </row>
    <row r="21" spans="1:14" x14ac:dyDescent="0.3">
      <c r="A21" s="54">
        <v>374863</v>
      </c>
      <c r="B21" s="54" t="s">
        <v>224</v>
      </c>
      <c r="C21" s="57">
        <v>1000</v>
      </c>
      <c r="D21" s="58">
        <v>1230</v>
      </c>
      <c r="E21" s="31"/>
      <c r="F21" s="31">
        <v>4000</v>
      </c>
      <c r="G21" s="31"/>
      <c r="H21" s="31"/>
      <c r="I21" s="31"/>
      <c r="J21" s="31">
        <f t="shared" si="0"/>
        <v>6230</v>
      </c>
    </row>
    <row r="22" spans="1:14" x14ac:dyDescent="0.3">
      <c r="A22" s="54">
        <v>374857</v>
      </c>
      <c r="B22" s="54" t="s">
        <v>225</v>
      </c>
      <c r="C22" s="57"/>
      <c r="D22" s="58">
        <v>2500</v>
      </c>
      <c r="E22" s="31"/>
      <c r="F22" s="31">
        <v>4000</v>
      </c>
      <c r="G22" s="31"/>
      <c r="H22" s="31"/>
      <c r="I22" s="31"/>
      <c r="J22" s="31">
        <f t="shared" si="0"/>
        <v>6500</v>
      </c>
    </row>
    <row r="23" spans="1:14" x14ac:dyDescent="0.3">
      <c r="A23" s="54">
        <v>374886</v>
      </c>
      <c r="B23" s="54" t="s">
        <v>226</v>
      </c>
      <c r="C23" s="57">
        <v>1000</v>
      </c>
      <c r="D23" s="58"/>
      <c r="E23" s="31"/>
      <c r="F23" s="31"/>
      <c r="G23" s="31"/>
      <c r="H23" s="31"/>
      <c r="I23" s="31"/>
      <c r="J23" s="31">
        <f t="shared" si="0"/>
        <v>1000</v>
      </c>
    </row>
    <row r="24" spans="1:14" x14ac:dyDescent="0.3">
      <c r="A24" s="54">
        <v>374887</v>
      </c>
      <c r="B24" s="54" t="s">
        <v>227</v>
      </c>
      <c r="C24" s="57">
        <v>1000</v>
      </c>
      <c r="D24" s="58">
        <v>1660</v>
      </c>
      <c r="E24" s="31"/>
      <c r="F24" s="31">
        <v>4000</v>
      </c>
      <c r="G24" s="31"/>
      <c r="H24" s="31"/>
      <c r="I24" s="31"/>
      <c r="J24" s="31">
        <f t="shared" si="0"/>
        <v>6660</v>
      </c>
    </row>
    <row r="25" spans="1:14" x14ac:dyDescent="0.3">
      <c r="A25" s="54">
        <v>374883</v>
      </c>
      <c r="B25" s="54" t="s">
        <v>228</v>
      </c>
      <c r="C25" s="57">
        <v>1000</v>
      </c>
      <c r="D25" s="58"/>
      <c r="E25" s="31"/>
      <c r="F25" s="31"/>
      <c r="G25" s="31"/>
      <c r="H25" s="31"/>
      <c r="I25" s="31"/>
      <c r="J25" s="31">
        <f t="shared" si="0"/>
        <v>1000</v>
      </c>
    </row>
    <row r="26" spans="1:14" x14ac:dyDescent="0.3">
      <c r="A26" s="54">
        <v>374880</v>
      </c>
      <c r="B26" s="54" t="s">
        <v>229</v>
      </c>
      <c r="C26" s="57">
        <v>1000</v>
      </c>
      <c r="D26" s="58"/>
      <c r="E26" s="31"/>
      <c r="F26" s="31"/>
      <c r="G26" s="31"/>
      <c r="H26" s="31"/>
      <c r="I26" s="31"/>
      <c r="J26" s="31">
        <f t="shared" si="0"/>
        <v>1000</v>
      </c>
    </row>
    <row r="27" spans="1:14" x14ac:dyDescent="0.3">
      <c r="A27" s="54">
        <v>374877</v>
      </c>
      <c r="B27" s="54" t="s">
        <v>230</v>
      </c>
      <c r="C27" s="57">
        <v>1000</v>
      </c>
      <c r="D27" s="58"/>
      <c r="E27" s="31"/>
      <c r="F27" s="31"/>
      <c r="G27" s="31"/>
      <c r="H27" s="31"/>
      <c r="I27" s="31"/>
      <c r="J27" s="31">
        <f t="shared" si="0"/>
        <v>1000</v>
      </c>
    </row>
    <row r="28" spans="1:14" x14ac:dyDescent="0.3">
      <c r="A28" s="54">
        <v>374860</v>
      </c>
      <c r="B28" s="54" t="s">
        <v>231</v>
      </c>
      <c r="C28" s="57">
        <v>1600</v>
      </c>
      <c r="D28" s="58">
        <v>1500</v>
      </c>
      <c r="E28" s="31"/>
      <c r="F28" s="31">
        <v>4000</v>
      </c>
      <c r="G28" s="31"/>
      <c r="H28" s="31"/>
      <c r="I28" s="31"/>
      <c r="J28" s="31">
        <f t="shared" si="0"/>
        <v>7100</v>
      </c>
    </row>
    <row r="29" spans="1:14" x14ac:dyDescent="0.3">
      <c r="A29" s="54">
        <v>374874</v>
      </c>
      <c r="B29" s="54" t="s">
        <v>232</v>
      </c>
      <c r="C29" s="57">
        <v>1000</v>
      </c>
      <c r="D29" s="58">
        <v>500</v>
      </c>
      <c r="E29" s="31"/>
      <c r="F29" s="31"/>
      <c r="G29" s="31"/>
      <c r="H29" s="31"/>
      <c r="I29" s="31"/>
      <c r="J29" s="31">
        <f t="shared" si="0"/>
        <v>1500</v>
      </c>
    </row>
    <row r="30" spans="1:14" x14ac:dyDescent="0.3">
      <c r="A30" s="54">
        <v>374868</v>
      </c>
      <c r="B30" s="54" t="s">
        <v>233</v>
      </c>
      <c r="C30" s="57">
        <v>1000</v>
      </c>
      <c r="D30" s="58">
        <v>500</v>
      </c>
      <c r="E30" s="31"/>
      <c r="F30" s="31">
        <v>4000</v>
      </c>
      <c r="G30" s="31"/>
      <c r="H30" s="31"/>
      <c r="I30" s="31"/>
      <c r="J30" s="31">
        <f t="shared" si="0"/>
        <v>5500</v>
      </c>
    </row>
    <row r="31" spans="1:14" x14ac:dyDescent="0.3">
      <c r="A31" s="54">
        <v>374871</v>
      </c>
      <c r="B31" s="54" t="s">
        <v>234</v>
      </c>
      <c r="C31" s="57">
        <v>1000</v>
      </c>
      <c r="D31" s="58">
        <v>500</v>
      </c>
      <c r="E31" s="31"/>
      <c r="F31" s="31">
        <v>4000</v>
      </c>
      <c r="G31" s="31"/>
      <c r="H31" s="31"/>
      <c r="I31" s="31"/>
      <c r="J31" s="31">
        <f t="shared" si="0"/>
        <v>5500</v>
      </c>
    </row>
    <row r="32" spans="1:14" x14ac:dyDescent="0.3">
      <c r="A32" s="54">
        <v>374865</v>
      </c>
      <c r="B32" s="54" t="s">
        <v>235</v>
      </c>
      <c r="C32" s="57">
        <v>1000</v>
      </c>
      <c r="D32" s="58">
        <v>500</v>
      </c>
      <c r="E32" s="31"/>
      <c r="F32" s="31">
        <v>4000</v>
      </c>
      <c r="G32" s="31"/>
      <c r="H32" s="31"/>
      <c r="I32" s="31"/>
      <c r="J32" s="31">
        <f t="shared" si="0"/>
        <v>5500</v>
      </c>
    </row>
    <row r="33" spans="1:10" x14ac:dyDescent="0.3">
      <c r="A33" s="54">
        <v>374862</v>
      </c>
      <c r="B33" s="54" t="s">
        <v>236</v>
      </c>
      <c r="C33" s="57">
        <v>1200</v>
      </c>
      <c r="D33" s="58">
        <v>500</v>
      </c>
      <c r="E33" s="31"/>
      <c r="F33" s="31">
        <v>4000</v>
      </c>
      <c r="G33" s="31"/>
      <c r="H33" s="31"/>
      <c r="I33" s="31"/>
      <c r="J33" s="31">
        <f t="shared" si="0"/>
        <v>5700</v>
      </c>
    </row>
    <row r="34" spans="1:10" x14ac:dyDescent="0.3">
      <c r="A34" s="52">
        <v>374889</v>
      </c>
      <c r="B34" s="54" t="s">
        <v>237</v>
      </c>
      <c r="C34" s="57">
        <v>1600</v>
      </c>
      <c r="D34" s="58">
        <v>500</v>
      </c>
      <c r="E34" s="31"/>
      <c r="F34" s="31">
        <v>4000</v>
      </c>
      <c r="G34" s="31"/>
      <c r="H34" s="31"/>
      <c r="I34" s="31"/>
      <c r="J34" s="31">
        <f t="shared" si="0"/>
        <v>6100</v>
      </c>
    </row>
    <row r="35" spans="1:10" x14ac:dyDescent="0.3">
      <c r="A35" s="67">
        <v>374859</v>
      </c>
      <c r="B35" s="68" t="s">
        <v>238</v>
      </c>
      <c r="C35" s="69">
        <v>2400</v>
      </c>
      <c r="D35" s="70"/>
      <c r="E35" s="71"/>
      <c r="F35" s="31">
        <v>4000</v>
      </c>
      <c r="G35" s="71"/>
      <c r="H35" s="71"/>
      <c r="I35" s="71"/>
      <c r="J35" s="71"/>
    </row>
    <row r="36" spans="1:10" ht="15.6" x14ac:dyDescent="0.3">
      <c r="A36" s="52">
        <v>382306</v>
      </c>
      <c r="B36" s="66" t="s">
        <v>239</v>
      </c>
      <c r="C36" s="31"/>
      <c r="D36" s="31"/>
      <c r="E36" s="31">
        <v>800</v>
      </c>
      <c r="F36" s="31"/>
      <c r="G36" s="31"/>
      <c r="H36" s="31"/>
      <c r="I36" s="31"/>
      <c r="J36" s="31"/>
    </row>
    <row r="37" spans="1:10" ht="15.6" x14ac:dyDescent="0.3">
      <c r="A37" s="52">
        <v>382305</v>
      </c>
      <c r="B37" s="66" t="s">
        <v>240</v>
      </c>
      <c r="C37" s="31"/>
      <c r="D37" s="31"/>
      <c r="E37" s="31">
        <v>1200</v>
      </c>
      <c r="F37" s="31"/>
      <c r="G37" s="31"/>
      <c r="H37" s="31"/>
      <c r="I37" s="31"/>
      <c r="J37" s="31"/>
    </row>
  </sheetData>
  <autoFilter ref="A2:J37" xr:uid="{145FF9B9-8D17-4332-A093-E0E3ED7A4FFA}"/>
  <conditionalFormatting sqref="A2">
    <cfRule type="duplicateValues" dxfId="25" priority="15"/>
    <cfRule type="duplicateValues" dxfId="24" priority="16"/>
    <cfRule type="duplicateValues" dxfId="23" priority="17"/>
    <cfRule type="duplicateValues" dxfId="22" priority="18"/>
    <cfRule type="duplicateValues" dxfId="21" priority="19"/>
    <cfRule type="duplicateValues" dxfId="20" priority="20"/>
    <cfRule type="duplicateValues" dxfId="19" priority="21"/>
    <cfRule type="duplicateValues" dxfId="18" priority="22"/>
  </conditionalFormatting>
  <conditionalFormatting sqref="A2:A35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23"/>
    <cfRule type="duplicateValues" dxfId="3" priority="24"/>
    <cfRule type="duplicateValues" dxfId="2" priority="25"/>
  </conditionalFormatting>
  <conditionalFormatting sqref="B3:B3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E502-6821-441E-A3F5-8A10E09E49DD}">
  <dimension ref="A1:VH97"/>
  <sheetViews>
    <sheetView topLeftCell="A23" workbookViewId="0">
      <pane xSplit="1" topLeftCell="B1" activePane="topRight" state="frozen"/>
      <selection pane="topRight" activeCell="B85" sqref="B85"/>
    </sheetView>
  </sheetViews>
  <sheetFormatPr defaultRowHeight="14.4" x14ac:dyDescent="0.3"/>
  <cols>
    <col min="1" max="2" width="27.5546875" customWidth="1"/>
    <col min="3" max="3" width="82.44140625" customWidth="1"/>
    <col min="4" max="4" width="23.6640625" style="49" customWidth="1"/>
    <col min="5" max="7" width="27.5546875" customWidth="1"/>
    <col min="8" max="8" width="19.6640625" bestFit="1" customWidth="1"/>
    <col min="9" max="27" width="27.5546875" customWidth="1"/>
  </cols>
  <sheetData>
    <row r="1" spans="1:14" ht="23.25" customHeight="1" x14ac:dyDescent="0.3">
      <c r="B1" s="49"/>
    </row>
    <row r="2" spans="1:14" ht="14.25" customHeight="1" x14ac:dyDescent="0.3">
      <c r="A2" s="62" t="s">
        <v>241</v>
      </c>
      <c r="B2" s="62" t="s">
        <v>242</v>
      </c>
      <c r="C2" s="63" t="s">
        <v>2</v>
      </c>
      <c r="D2" s="62" t="s">
        <v>87</v>
      </c>
      <c r="E2" s="62" t="s">
        <v>243</v>
      </c>
      <c r="F2" s="64" t="s">
        <v>244</v>
      </c>
      <c r="G2" s="64" t="s">
        <v>245</v>
      </c>
      <c r="H2" s="64" t="s">
        <v>246</v>
      </c>
      <c r="I2" s="64" t="s">
        <v>247</v>
      </c>
      <c r="J2" s="64" t="s">
        <v>248</v>
      </c>
      <c r="K2" s="64" t="s">
        <v>249</v>
      </c>
      <c r="L2" s="62" t="s">
        <v>250</v>
      </c>
      <c r="M2" s="62" t="s">
        <v>251</v>
      </c>
      <c r="N2" s="62" t="s">
        <v>252</v>
      </c>
    </row>
    <row r="3" spans="1:14" ht="14.25" customHeight="1" x14ac:dyDescent="0.3">
      <c r="A3" s="86" t="s">
        <v>253</v>
      </c>
      <c r="B3" s="87">
        <v>4508208614</v>
      </c>
      <c r="C3" s="88" t="s">
        <v>254</v>
      </c>
      <c r="D3" s="89">
        <v>45789</v>
      </c>
      <c r="E3" s="90">
        <v>45834</v>
      </c>
      <c r="F3" s="90">
        <v>45837</v>
      </c>
      <c r="G3" s="91" t="s">
        <v>255</v>
      </c>
      <c r="H3" s="91" t="s">
        <v>256</v>
      </c>
      <c r="I3" s="91" t="s">
        <v>257</v>
      </c>
      <c r="J3" s="91" t="s">
        <v>258</v>
      </c>
      <c r="K3" s="92">
        <v>5900</v>
      </c>
      <c r="L3" s="90">
        <v>45854</v>
      </c>
      <c r="M3" s="90">
        <v>45916</v>
      </c>
      <c r="N3" s="93" t="s">
        <v>259</v>
      </c>
    </row>
    <row r="4" spans="1:14" ht="14.25" customHeight="1" x14ac:dyDescent="0.3">
      <c r="A4" s="86" t="s">
        <v>260</v>
      </c>
      <c r="B4" s="87">
        <v>4508208616</v>
      </c>
      <c r="C4" s="88" t="s">
        <v>261</v>
      </c>
      <c r="D4" s="89">
        <v>45793</v>
      </c>
      <c r="E4" s="90">
        <v>45847</v>
      </c>
      <c r="F4" s="90">
        <v>45852</v>
      </c>
      <c r="G4" s="91" t="s">
        <v>262</v>
      </c>
      <c r="H4" s="91" t="s">
        <v>263</v>
      </c>
      <c r="I4" s="91" t="s">
        <v>257</v>
      </c>
      <c r="J4" s="91" t="s">
        <v>264</v>
      </c>
      <c r="K4" s="92">
        <v>5900</v>
      </c>
      <c r="L4" s="90">
        <v>45879</v>
      </c>
      <c r="M4" s="90">
        <v>45930</v>
      </c>
      <c r="N4" s="93" t="s">
        <v>259</v>
      </c>
    </row>
    <row r="5" spans="1:14" ht="14.25" customHeight="1" x14ac:dyDescent="0.3">
      <c r="A5" s="86" t="s">
        <v>265</v>
      </c>
      <c r="B5" s="87">
        <v>4508208537</v>
      </c>
      <c r="C5" s="88" t="s">
        <v>266</v>
      </c>
      <c r="D5" s="89">
        <v>45793</v>
      </c>
      <c r="E5" s="90">
        <v>45854</v>
      </c>
      <c r="F5" s="90">
        <v>45855</v>
      </c>
      <c r="G5" s="91" t="s">
        <v>267</v>
      </c>
      <c r="H5" s="91" t="s">
        <v>268</v>
      </c>
      <c r="I5" s="91" t="s">
        <v>257</v>
      </c>
      <c r="J5" s="91" t="s">
        <v>264</v>
      </c>
      <c r="K5" s="92">
        <v>5900</v>
      </c>
      <c r="L5" s="90">
        <v>45879</v>
      </c>
      <c r="M5" s="90">
        <v>45930</v>
      </c>
      <c r="N5" s="93" t="s">
        <v>259</v>
      </c>
    </row>
    <row r="6" spans="1:14" ht="14.25" customHeight="1" x14ac:dyDescent="0.3">
      <c r="A6" s="86" t="s">
        <v>269</v>
      </c>
      <c r="B6" s="87">
        <v>4508206547</v>
      </c>
      <c r="C6" s="88" t="s">
        <v>270</v>
      </c>
      <c r="D6" s="89">
        <v>45838</v>
      </c>
      <c r="E6" s="90">
        <v>46262</v>
      </c>
      <c r="F6" s="90">
        <v>45898</v>
      </c>
      <c r="G6" s="91" t="s">
        <v>271</v>
      </c>
      <c r="H6" s="91" t="s">
        <v>272</v>
      </c>
      <c r="I6" s="91" t="s">
        <v>273</v>
      </c>
      <c r="J6" s="91" t="s">
        <v>274</v>
      </c>
      <c r="K6" s="92">
        <v>4000</v>
      </c>
      <c r="L6" s="90">
        <v>45908</v>
      </c>
      <c r="M6" s="90">
        <v>45970</v>
      </c>
      <c r="N6" s="93" t="s">
        <v>259</v>
      </c>
    </row>
    <row r="7" spans="1:14" ht="14.25" customHeight="1" x14ac:dyDescent="0.3">
      <c r="A7" s="94" t="s">
        <v>275</v>
      </c>
      <c r="B7" s="95">
        <v>4508208626</v>
      </c>
      <c r="C7" s="96" t="s">
        <v>276</v>
      </c>
      <c r="D7" s="89">
        <v>45845</v>
      </c>
      <c r="E7" s="97">
        <v>45893</v>
      </c>
      <c r="F7" s="97">
        <v>45896</v>
      </c>
      <c r="G7" s="98" t="s">
        <v>277</v>
      </c>
      <c r="H7" s="98" t="s">
        <v>278</v>
      </c>
      <c r="I7" s="98" t="s">
        <v>257</v>
      </c>
      <c r="J7" s="98" t="s">
        <v>279</v>
      </c>
      <c r="K7" s="99">
        <v>4000</v>
      </c>
      <c r="L7" s="97">
        <v>45906</v>
      </c>
      <c r="M7" s="97">
        <v>45974</v>
      </c>
      <c r="N7" s="100" t="s">
        <v>259</v>
      </c>
    </row>
    <row r="8" spans="1:14" ht="14.25" customHeight="1" x14ac:dyDescent="0.3">
      <c r="A8" s="86" t="s">
        <v>280</v>
      </c>
      <c r="B8" s="87">
        <v>4508208624</v>
      </c>
      <c r="C8" s="88" t="s">
        <v>281</v>
      </c>
      <c r="D8" s="89">
        <v>45845</v>
      </c>
      <c r="E8" s="90">
        <v>45909</v>
      </c>
      <c r="F8" s="90">
        <v>45910</v>
      </c>
      <c r="G8" s="91" t="s">
        <v>282</v>
      </c>
      <c r="H8" s="91" t="s">
        <v>283</v>
      </c>
      <c r="I8" s="91" t="s">
        <v>284</v>
      </c>
      <c r="J8" s="91" t="s">
        <v>285</v>
      </c>
      <c r="K8" s="92">
        <v>4000</v>
      </c>
      <c r="L8" s="90">
        <v>45915</v>
      </c>
      <c r="M8" s="90">
        <v>45976</v>
      </c>
      <c r="N8" s="93" t="s">
        <v>259</v>
      </c>
    </row>
    <row r="9" spans="1:14" ht="14.25" customHeight="1" x14ac:dyDescent="0.3">
      <c r="A9" s="86" t="s">
        <v>286</v>
      </c>
      <c r="B9" s="101">
        <v>4508208633</v>
      </c>
      <c r="C9" s="102" t="s">
        <v>287</v>
      </c>
      <c r="D9" s="89">
        <v>45842</v>
      </c>
      <c r="E9" s="103">
        <v>45907</v>
      </c>
      <c r="F9" s="103">
        <v>45908</v>
      </c>
      <c r="G9" s="104" t="s">
        <v>288</v>
      </c>
      <c r="H9" s="91" t="s">
        <v>289</v>
      </c>
      <c r="I9" s="104" t="s">
        <v>257</v>
      </c>
      <c r="J9" s="91" t="s">
        <v>290</v>
      </c>
      <c r="K9" s="105">
        <v>3500</v>
      </c>
      <c r="L9" s="103">
        <v>45911</v>
      </c>
      <c r="M9" s="103">
        <v>45972</v>
      </c>
      <c r="N9" s="106" t="s">
        <v>259</v>
      </c>
    </row>
    <row r="10" spans="1:14" ht="14.25" customHeight="1" x14ac:dyDescent="0.3">
      <c r="A10" s="86" t="s">
        <v>291</v>
      </c>
      <c r="B10" s="87">
        <v>4508214286</v>
      </c>
      <c r="C10" s="88" t="s">
        <v>292</v>
      </c>
      <c r="D10" s="89">
        <v>45854</v>
      </c>
      <c r="E10" s="90">
        <v>45894</v>
      </c>
      <c r="F10" s="90">
        <v>45895</v>
      </c>
      <c r="G10" s="91" t="s">
        <v>293</v>
      </c>
      <c r="H10" s="91" t="s">
        <v>294</v>
      </c>
      <c r="I10" s="91" t="s">
        <v>257</v>
      </c>
      <c r="J10" s="91" t="s">
        <v>295</v>
      </c>
      <c r="K10" s="92">
        <v>3500</v>
      </c>
      <c r="L10" s="90">
        <v>45918</v>
      </c>
      <c r="M10" s="90">
        <v>45979</v>
      </c>
      <c r="N10" s="93" t="s">
        <v>259</v>
      </c>
    </row>
    <row r="11" spans="1:14" ht="45" customHeight="1" x14ac:dyDescent="0.3">
      <c r="A11" s="86" t="s">
        <v>296</v>
      </c>
      <c r="B11" s="87">
        <v>4508235799</v>
      </c>
      <c r="C11" s="88" t="s">
        <v>297</v>
      </c>
      <c r="D11" s="89">
        <v>45852</v>
      </c>
      <c r="E11" s="90">
        <v>45930</v>
      </c>
      <c r="F11" s="90">
        <v>45930</v>
      </c>
      <c r="G11" s="91" t="s">
        <v>298</v>
      </c>
      <c r="H11" s="107" t="s">
        <v>299</v>
      </c>
      <c r="I11" s="107" t="s">
        <v>300</v>
      </c>
      <c r="J11" s="91" t="s">
        <v>295</v>
      </c>
      <c r="K11" s="108">
        <v>5800</v>
      </c>
      <c r="L11" s="90">
        <v>45961</v>
      </c>
      <c r="M11" s="90">
        <v>46013</v>
      </c>
      <c r="N11" s="106" t="s">
        <v>259</v>
      </c>
    </row>
    <row r="12" spans="1:14" ht="14.25" customHeight="1" x14ac:dyDescent="0.3">
      <c r="A12" s="86" t="s">
        <v>301</v>
      </c>
      <c r="B12" s="87">
        <v>4508360745</v>
      </c>
      <c r="C12" s="88" t="s">
        <v>302</v>
      </c>
      <c r="D12" s="89">
        <v>45876</v>
      </c>
      <c r="E12" s="90">
        <v>45928</v>
      </c>
      <c r="F12" s="90">
        <v>45929</v>
      </c>
      <c r="G12" s="109" t="s">
        <v>303</v>
      </c>
      <c r="H12" s="110" t="s">
        <v>304</v>
      </c>
      <c r="I12" s="91" t="s">
        <v>257</v>
      </c>
      <c r="J12" s="91" t="s">
        <v>305</v>
      </c>
      <c r="K12" s="111">
        <v>2900</v>
      </c>
      <c r="L12" s="90">
        <v>45947</v>
      </c>
      <c r="M12" s="90">
        <v>46020</v>
      </c>
      <c r="N12" s="93" t="s">
        <v>259</v>
      </c>
    </row>
    <row r="13" spans="1:14" ht="14.25" customHeight="1" x14ac:dyDescent="0.3">
      <c r="A13" s="112" t="s">
        <v>306</v>
      </c>
      <c r="B13" s="87">
        <v>4508591119</v>
      </c>
      <c r="C13" s="113" t="s">
        <v>307</v>
      </c>
      <c r="D13" s="89">
        <v>45876</v>
      </c>
      <c r="E13" s="114">
        <v>45960</v>
      </c>
      <c r="F13" s="90">
        <v>45966</v>
      </c>
      <c r="G13" s="115" t="s">
        <v>308</v>
      </c>
      <c r="H13" s="115" t="s">
        <v>309</v>
      </c>
      <c r="I13" s="114" t="s">
        <v>310</v>
      </c>
      <c r="J13" s="91" t="s">
        <v>311</v>
      </c>
      <c r="K13" s="111">
        <v>5202.53</v>
      </c>
      <c r="L13" s="116">
        <v>45989</v>
      </c>
      <c r="M13" s="116">
        <v>46051</v>
      </c>
      <c r="N13" s="93" t="s">
        <v>259</v>
      </c>
    </row>
    <row r="14" spans="1:14" ht="14.25" customHeight="1" x14ac:dyDescent="0.3">
      <c r="A14" s="112" t="s">
        <v>306</v>
      </c>
      <c r="B14" s="87">
        <v>4508591119</v>
      </c>
      <c r="C14" s="113" t="s">
        <v>312</v>
      </c>
      <c r="D14" s="89">
        <v>45876</v>
      </c>
      <c r="E14" s="114">
        <v>45960</v>
      </c>
      <c r="F14" s="90">
        <v>45966</v>
      </c>
      <c r="G14" s="90" t="s">
        <v>308</v>
      </c>
      <c r="H14" s="90" t="s">
        <v>313</v>
      </c>
      <c r="I14" s="114" t="s">
        <v>310</v>
      </c>
      <c r="J14" s="91" t="s">
        <v>311</v>
      </c>
      <c r="K14" s="111">
        <v>5202.53</v>
      </c>
      <c r="L14" s="114">
        <v>45989</v>
      </c>
      <c r="M14" s="116">
        <v>46051</v>
      </c>
      <c r="N14" s="93" t="s">
        <v>259</v>
      </c>
    </row>
    <row r="15" spans="1:14" ht="14.25" customHeight="1" x14ac:dyDescent="0.3">
      <c r="A15" s="87" t="s">
        <v>314</v>
      </c>
      <c r="B15" s="87">
        <v>4508436265</v>
      </c>
      <c r="C15" s="113" t="s">
        <v>315</v>
      </c>
      <c r="D15" s="89">
        <v>45908</v>
      </c>
      <c r="E15" s="114">
        <v>45966</v>
      </c>
      <c r="F15" s="90">
        <v>45975</v>
      </c>
      <c r="G15" s="90" t="s">
        <v>316</v>
      </c>
      <c r="H15" s="90" t="s">
        <v>317</v>
      </c>
      <c r="I15" s="114" t="s">
        <v>310</v>
      </c>
      <c r="J15" s="90"/>
      <c r="K15" s="111">
        <v>2754</v>
      </c>
      <c r="L15" s="90">
        <v>45988</v>
      </c>
      <c r="M15" s="90">
        <v>46034</v>
      </c>
      <c r="N15" s="93" t="s">
        <v>259</v>
      </c>
    </row>
    <row r="16" spans="1:14" ht="14.25" customHeight="1" x14ac:dyDescent="0.3">
      <c r="A16" s="112" t="s">
        <v>318</v>
      </c>
      <c r="B16" s="87">
        <v>4508436285</v>
      </c>
      <c r="C16" s="113" t="s">
        <v>319</v>
      </c>
      <c r="D16" s="89">
        <v>45902</v>
      </c>
      <c r="E16" s="114">
        <v>45976</v>
      </c>
      <c r="F16" s="90">
        <v>45977</v>
      </c>
      <c r="G16" s="90" t="s">
        <v>320</v>
      </c>
      <c r="H16" s="90" t="s">
        <v>321</v>
      </c>
      <c r="I16" s="90" t="s">
        <v>310</v>
      </c>
      <c r="J16" s="90"/>
      <c r="K16" s="111">
        <v>2679</v>
      </c>
      <c r="L16" s="90">
        <v>45993</v>
      </c>
      <c r="M16" s="90">
        <v>46063</v>
      </c>
      <c r="N16" s="93" t="s">
        <v>259</v>
      </c>
    </row>
    <row r="17" spans="1:580" ht="14.25" customHeight="1" x14ac:dyDescent="0.3">
      <c r="A17" s="112" t="s">
        <v>322</v>
      </c>
      <c r="B17" s="87">
        <v>4508532679</v>
      </c>
      <c r="C17" s="88" t="s">
        <v>323</v>
      </c>
      <c r="D17" s="89">
        <v>45929</v>
      </c>
      <c r="E17" s="90">
        <v>45985</v>
      </c>
      <c r="F17" s="90" t="s">
        <v>324</v>
      </c>
      <c r="G17" s="90" t="s">
        <v>325</v>
      </c>
      <c r="H17" s="90" t="s">
        <v>326</v>
      </c>
      <c r="I17" s="90" t="s">
        <v>257</v>
      </c>
      <c r="J17" s="91" t="s">
        <v>327</v>
      </c>
      <c r="K17" s="111">
        <v>2459.85</v>
      </c>
      <c r="L17" s="90">
        <v>45992</v>
      </c>
      <c r="M17" s="90">
        <v>46056</v>
      </c>
      <c r="N17" s="106" t="s">
        <v>259</v>
      </c>
    </row>
    <row r="18" spans="1:580" ht="14.25" customHeight="1" x14ac:dyDescent="0.3">
      <c r="A18" s="112" t="s">
        <v>322</v>
      </c>
      <c r="B18" s="87">
        <v>4508532679</v>
      </c>
      <c r="C18" s="88" t="s">
        <v>328</v>
      </c>
      <c r="D18" s="89">
        <v>45929</v>
      </c>
      <c r="E18" s="90">
        <v>45985</v>
      </c>
      <c r="F18" s="90">
        <v>45987</v>
      </c>
      <c r="G18" s="90" t="s">
        <v>325</v>
      </c>
      <c r="H18" s="90" t="s">
        <v>329</v>
      </c>
      <c r="I18" s="90" t="s">
        <v>257</v>
      </c>
      <c r="J18" s="91" t="s">
        <v>327</v>
      </c>
      <c r="K18" s="111">
        <v>2459.85</v>
      </c>
      <c r="L18" s="90">
        <v>45992</v>
      </c>
      <c r="M18" s="90">
        <v>46056</v>
      </c>
      <c r="N18" s="106" t="s">
        <v>259</v>
      </c>
    </row>
    <row r="19" spans="1:580" ht="14.25" customHeight="1" x14ac:dyDescent="0.3">
      <c r="A19" s="112" t="s">
        <v>322</v>
      </c>
      <c r="B19" s="87">
        <v>4508532679</v>
      </c>
      <c r="C19" s="88" t="s">
        <v>328</v>
      </c>
      <c r="D19" s="89">
        <v>45929</v>
      </c>
      <c r="E19" s="90">
        <v>45985</v>
      </c>
      <c r="F19" s="90">
        <v>45987</v>
      </c>
      <c r="G19" s="90" t="s">
        <v>325</v>
      </c>
      <c r="H19" s="90" t="s">
        <v>330</v>
      </c>
      <c r="I19" s="90" t="s">
        <v>257</v>
      </c>
      <c r="J19" s="91" t="s">
        <v>327</v>
      </c>
      <c r="K19" s="111">
        <v>2459.85</v>
      </c>
      <c r="L19" s="90">
        <v>45992</v>
      </c>
      <c r="M19" s="90">
        <v>46056</v>
      </c>
      <c r="N19" s="93" t="s">
        <v>259</v>
      </c>
    </row>
    <row r="20" spans="1:580" ht="14.25" customHeight="1" x14ac:dyDescent="0.3">
      <c r="A20" s="112" t="s">
        <v>322</v>
      </c>
      <c r="B20" s="87">
        <v>4508532679</v>
      </c>
      <c r="C20" s="88" t="s">
        <v>328</v>
      </c>
      <c r="D20" s="89">
        <v>45929</v>
      </c>
      <c r="E20" s="90">
        <v>45985</v>
      </c>
      <c r="F20" s="90">
        <v>45987</v>
      </c>
      <c r="G20" s="90" t="s">
        <v>325</v>
      </c>
      <c r="H20" s="90" t="s">
        <v>331</v>
      </c>
      <c r="I20" s="90" t="s">
        <v>257</v>
      </c>
      <c r="J20" s="91" t="s">
        <v>327</v>
      </c>
      <c r="K20" s="111">
        <v>2459.85</v>
      </c>
      <c r="L20" s="90">
        <v>45992</v>
      </c>
      <c r="M20" s="90">
        <v>46056</v>
      </c>
      <c r="N20" s="93" t="s">
        <v>259</v>
      </c>
    </row>
    <row r="21" spans="1:580" ht="14.25" customHeight="1" x14ac:dyDescent="0.3">
      <c r="A21" s="112" t="s">
        <v>322</v>
      </c>
      <c r="B21" s="87">
        <v>4508532679</v>
      </c>
      <c r="C21" s="88" t="s">
        <v>328</v>
      </c>
      <c r="D21" s="89">
        <v>45929</v>
      </c>
      <c r="E21" s="90">
        <v>45985</v>
      </c>
      <c r="F21" s="90">
        <v>45987</v>
      </c>
      <c r="G21" s="90" t="s">
        <v>325</v>
      </c>
      <c r="H21" s="90" t="s">
        <v>332</v>
      </c>
      <c r="I21" s="90" t="s">
        <v>257</v>
      </c>
      <c r="J21" s="91" t="s">
        <v>327</v>
      </c>
      <c r="K21" s="111">
        <v>2459.85</v>
      </c>
      <c r="L21" s="90">
        <v>45992</v>
      </c>
      <c r="M21" s="90">
        <v>46056</v>
      </c>
      <c r="N21" s="93" t="s">
        <v>259</v>
      </c>
    </row>
    <row r="22" spans="1:580" ht="14.25" customHeight="1" x14ac:dyDescent="0.3">
      <c r="A22" s="112" t="s">
        <v>322</v>
      </c>
      <c r="B22" s="87">
        <v>4508532679</v>
      </c>
      <c r="C22" s="88" t="s">
        <v>328</v>
      </c>
      <c r="D22" s="89">
        <v>45929</v>
      </c>
      <c r="E22" s="90">
        <v>45985</v>
      </c>
      <c r="F22" s="90">
        <v>45987</v>
      </c>
      <c r="G22" s="90" t="s">
        <v>325</v>
      </c>
      <c r="H22" s="90" t="s">
        <v>333</v>
      </c>
      <c r="I22" s="90" t="s">
        <v>257</v>
      </c>
      <c r="J22" s="91" t="s">
        <v>327</v>
      </c>
      <c r="K22" s="111">
        <v>2459.85</v>
      </c>
      <c r="L22" s="90">
        <v>45992</v>
      </c>
      <c r="M22" s="90">
        <v>46056</v>
      </c>
      <c r="N22" s="93" t="s">
        <v>259</v>
      </c>
    </row>
    <row r="23" spans="1:580" ht="14.25" customHeight="1" x14ac:dyDescent="0.3">
      <c r="A23" s="112" t="s">
        <v>322</v>
      </c>
      <c r="B23" s="87">
        <v>4508532679</v>
      </c>
      <c r="C23" s="88" t="s">
        <v>334</v>
      </c>
      <c r="D23" s="89">
        <v>45929</v>
      </c>
      <c r="E23" s="90">
        <v>45985</v>
      </c>
      <c r="F23" s="90">
        <v>45987</v>
      </c>
      <c r="G23" s="90" t="s">
        <v>325</v>
      </c>
      <c r="H23" s="90" t="s">
        <v>335</v>
      </c>
      <c r="I23" s="90" t="s">
        <v>257</v>
      </c>
      <c r="J23" s="91" t="s">
        <v>327</v>
      </c>
      <c r="K23" s="111">
        <v>2459.85</v>
      </c>
      <c r="L23" s="90">
        <v>45992</v>
      </c>
      <c r="M23" s="90">
        <v>46056</v>
      </c>
      <c r="N23" s="93" t="s">
        <v>259</v>
      </c>
    </row>
    <row r="24" spans="1:580" ht="14.25" customHeight="1" x14ac:dyDescent="0.3">
      <c r="A24" s="112" t="s">
        <v>336</v>
      </c>
      <c r="B24" s="117">
        <v>4508417096</v>
      </c>
      <c r="C24" s="118" t="s">
        <v>254</v>
      </c>
      <c r="D24" s="89">
        <v>45971</v>
      </c>
      <c r="E24" s="90">
        <v>46013</v>
      </c>
      <c r="F24" s="90">
        <v>46013</v>
      </c>
      <c r="G24" s="90" t="s">
        <v>337</v>
      </c>
      <c r="H24" s="90" t="s">
        <v>338</v>
      </c>
      <c r="I24" s="90" t="s">
        <v>257</v>
      </c>
      <c r="J24" s="91" t="s">
        <v>339</v>
      </c>
      <c r="K24" s="111">
        <v>2663</v>
      </c>
      <c r="L24" s="90">
        <v>46026</v>
      </c>
      <c r="M24" s="90">
        <v>46084</v>
      </c>
      <c r="N24" s="93" t="s">
        <v>259</v>
      </c>
    </row>
    <row r="25" spans="1:580" ht="14.25" customHeight="1" x14ac:dyDescent="0.3">
      <c r="A25" s="112" t="s">
        <v>340</v>
      </c>
      <c r="B25" s="117">
        <v>4508490039</v>
      </c>
      <c r="C25" s="119" t="s">
        <v>341</v>
      </c>
      <c r="D25" s="89">
        <v>45971</v>
      </c>
      <c r="E25" s="90">
        <v>46000</v>
      </c>
      <c r="F25" s="90">
        <v>46002</v>
      </c>
      <c r="G25" s="90" t="s">
        <v>342</v>
      </c>
      <c r="H25" s="90" t="s">
        <v>343</v>
      </c>
      <c r="I25" s="90" t="s">
        <v>257</v>
      </c>
      <c r="J25" s="91" t="s">
        <v>339</v>
      </c>
      <c r="K25" s="111">
        <v>2663</v>
      </c>
      <c r="L25" s="90">
        <v>46026</v>
      </c>
      <c r="M25" s="90">
        <v>46084</v>
      </c>
      <c r="N25" s="93" t="s">
        <v>259</v>
      </c>
    </row>
    <row r="26" spans="1:580" ht="14.25" customHeight="1" x14ac:dyDescent="0.3">
      <c r="A26" s="112" t="s">
        <v>344</v>
      </c>
      <c r="B26" s="117">
        <v>4508490029</v>
      </c>
      <c r="C26" s="118" t="s">
        <v>345</v>
      </c>
      <c r="D26" s="89">
        <v>45973</v>
      </c>
      <c r="E26" s="120">
        <v>46007</v>
      </c>
      <c r="F26" s="120">
        <v>46007</v>
      </c>
      <c r="G26" s="120" t="s">
        <v>346</v>
      </c>
      <c r="H26" s="120" t="s">
        <v>347</v>
      </c>
      <c r="I26" s="120" t="s">
        <v>257</v>
      </c>
      <c r="J26" s="91" t="s">
        <v>339</v>
      </c>
      <c r="K26" s="121">
        <v>2663</v>
      </c>
      <c r="L26" s="120">
        <v>46026</v>
      </c>
      <c r="M26" s="120">
        <v>46084</v>
      </c>
      <c r="N26" s="93" t="s">
        <v>259</v>
      </c>
    </row>
    <row r="27" spans="1:580" ht="14.25" customHeight="1" x14ac:dyDescent="0.3">
      <c r="A27" s="112" t="s">
        <v>344</v>
      </c>
      <c r="B27" s="117">
        <v>4508490029</v>
      </c>
      <c r="C27" s="118" t="s">
        <v>345</v>
      </c>
      <c r="D27" s="122">
        <v>45973</v>
      </c>
      <c r="E27" s="123">
        <v>46006</v>
      </c>
      <c r="F27" s="120">
        <v>46007</v>
      </c>
      <c r="G27" s="120" t="s">
        <v>348</v>
      </c>
      <c r="H27" s="120" t="s">
        <v>349</v>
      </c>
      <c r="I27" s="120" t="s">
        <v>257</v>
      </c>
      <c r="J27" s="91" t="s">
        <v>350</v>
      </c>
      <c r="K27" s="121">
        <v>2663</v>
      </c>
      <c r="L27" s="120">
        <v>46384</v>
      </c>
      <c r="M27" s="120">
        <v>46077</v>
      </c>
      <c r="N27" s="124" t="s">
        <v>259</v>
      </c>
    </row>
    <row r="28" spans="1:580" ht="14.25" customHeight="1" x14ac:dyDescent="0.3">
      <c r="A28" s="112" t="s">
        <v>351</v>
      </c>
      <c r="B28" s="117">
        <v>4508645458</v>
      </c>
      <c r="C28" s="125" t="s">
        <v>352</v>
      </c>
      <c r="D28" s="126">
        <v>45960</v>
      </c>
      <c r="E28" s="127">
        <v>46001</v>
      </c>
      <c r="F28" s="128">
        <v>46002</v>
      </c>
      <c r="G28" s="128" t="s">
        <v>353</v>
      </c>
      <c r="H28" s="128" t="s">
        <v>354</v>
      </c>
      <c r="I28" s="128" t="s">
        <v>257</v>
      </c>
      <c r="J28" s="128"/>
      <c r="K28" s="129">
        <v>2538.09</v>
      </c>
      <c r="L28" s="128">
        <v>46034</v>
      </c>
      <c r="M28" s="128">
        <v>46084</v>
      </c>
      <c r="N28" s="124" t="s">
        <v>259</v>
      </c>
    </row>
    <row r="29" spans="1:580" ht="14.25" customHeight="1" x14ac:dyDescent="0.3">
      <c r="A29" s="112" t="s">
        <v>355</v>
      </c>
      <c r="B29" s="117">
        <v>4508657825</v>
      </c>
      <c r="C29" s="125" t="s">
        <v>356</v>
      </c>
      <c r="D29" s="126">
        <v>45960</v>
      </c>
      <c r="E29" s="127">
        <v>46011</v>
      </c>
      <c r="F29" s="128">
        <v>46012</v>
      </c>
      <c r="G29" s="128" t="s">
        <v>353</v>
      </c>
      <c r="H29" s="128" t="s">
        <v>357</v>
      </c>
      <c r="I29" s="128" t="s">
        <v>257</v>
      </c>
      <c r="J29" s="128"/>
      <c r="K29" s="129">
        <v>2538.09</v>
      </c>
      <c r="L29" s="128">
        <v>46034</v>
      </c>
      <c r="M29" s="128">
        <v>46084</v>
      </c>
      <c r="N29" s="124" t="s">
        <v>259</v>
      </c>
    </row>
    <row r="30" spans="1:580" ht="14.25" customHeight="1" x14ac:dyDescent="0.3">
      <c r="A30" s="112" t="s">
        <v>358</v>
      </c>
      <c r="B30" s="102">
        <v>4508696481</v>
      </c>
      <c r="C30" s="102" t="s">
        <v>292</v>
      </c>
      <c r="D30" s="126">
        <v>45992</v>
      </c>
      <c r="E30" s="127">
        <v>46021</v>
      </c>
      <c r="F30" s="130">
        <v>45677</v>
      </c>
      <c r="G30" s="131" t="s">
        <v>359</v>
      </c>
      <c r="H30" s="131" t="s">
        <v>360</v>
      </c>
      <c r="I30" s="131" t="s">
        <v>361</v>
      </c>
      <c r="J30" s="131" t="s">
        <v>362</v>
      </c>
      <c r="K30" s="132">
        <v>2006</v>
      </c>
      <c r="L30" s="130">
        <v>46058</v>
      </c>
      <c r="M30" s="130">
        <v>46114</v>
      </c>
      <c r="N30" s="124" t="s">
        <v>259</v>
      </c>
    </row>
    <row r="31" spans="1:580" ht="14.25" customHeight="1" x14ac:dyDescent="0.3">
      <c r="A31" s="112" t="s">
        <v>358</v>
      </c>
      <c r="B31" s="102">
        <v>4508696481</v>
      </c>
      <c r="C31" s="102" t="s">
        <v>292</v>
      </c>
      <c r="D31" s="126">
        <v>45992</v>
      </c>
      <c r="E31" s="127">
        <v>46021</v>
      </c>
      <c r="F31" s="130">
        <v>45677</v>
      </c>
      <c r="G31" s="131" t="s">
        <v>359</v>
      </c>
      <c r="H31" s="131" t="s">
        <v>363</v>
      </c>
      <c r="I31" s="131" t="s">
        <v>361</v>
      </c>
      <c r="J31" s="131" t="s">
        <v>362</v>
      </c>
      <c r="K31" s="132">
        <v>2006</v>
      </c>
      <c r="L31" s="130">
        <v>46058</v>
      </c>
      <c r="M31" s="130">
        <v>46114</v>
      </c>
      <c r="N31" s="124" t="s">
        <v>259</v>
      </c>
    </row>
    <row r="32" spans="1:580" s="72" customFormat="1" ht="14.25" customHeight="1" x14ac:dyDescent="0.3">
      <c r="A32" s="112" t="s">
        <v>364</v>
      </c>
      <c r="B32" s="102">
        <v>4508532742</v>
      </c>
      <c r="C32" s="102" t="s">
        <v>365</v>
      </c>
      <c r="D32" s="127">
        <v>46006</v>
      </c>
      <c r="E32" s="127">
        <v>46052</v>
      </c>
      <c r="F32" s="130">
        <v>46052</v>
      </c>
      <c r="G32" s="131" t="s">
        <v>366</v>
      </c>
      <c r="H32" s="131" t="s">
        <v>367</v>
      </c>
      <c r="I32" s="131" t="s">
        <v>368</v>
      </c>
      <c r="J32" s="131"/>
      <c r="K32" s="132">
        <v>2050</v>
      </c>
      <c r="L32" s="130">
        <v>46086</v>
      </c>
      <c r="M32" s="130">
        <v>46147</v>
      </c>
      <c r="N32" s="124" t="s">
        <v>259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</row>
    <row r="33" spans="1:580" s="72" customFormat="1" ht="14.25" customHeight="1" x14ac:dyDescent="0.3">
      <c r="A33" s="112" t="s">
        <v>369</v>
      </c>
      <c r="B33" s="102">
        <v>4508770727</v>
      </c>
      <c r="C33" s="102" t="s">
        <v>370</v>
      </c>
      <c r="D33" s="127">
        <v>46006</v>
      </c>
      <c r="E33" s="127">
        <v>46096</v>
      </c>
      <c r="F33" s="127">
        <v>46097</v>
      </c>
      <c r="G33" s="131" t="s">
        <v>366</v>
      </c>
      <c r="H33" s="131" t="s">
        <v>371</v>
      </c>
      <c r="I33" s="131" t="s">
        <v>368</v>
      </c>
      <c r="J33" s="131"/>
      <c r="K33" s="132">
        <v>2050</v>
      </c>
      <c r="L33" s="130">
        <v>46092</v>
      </c>
      <c r="M33" s="130">
        <v>46153</v>
      </c>
      <c r="N33" s="124" t="s">
        <v>259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</row>
    <row r="34" spans="1:580" ht="14.25" customHeight="1" x14ac:dyDescent="0.3">
      <c r="A34" s="112" t="s">
        <v>372</v>
      </c>
      <c r="B34" s="102">
        <v>4508750228</v>
      </c>
      <c r="C34" s="102" t="s">
        <v>292</v>
      </c>
      <c r="D34" s="126">
        <v>46014</v>
      </c>
      <c r="E34" s="127">
        <v>46054</v>
      </c>
      <c r="F34" s="130">
        <v>46055</v>
      </c>
      <c r="G34" s="131" t="s">
        <v>373</v>
      </c>
      <c r="H34" s="131" t="s">
        <v>374</v>
      </c>
      <c r="I34" s="131" t="s">
        <v>257</v>
      </c>
      <c r="J34" s="131" t="s">
        <v>375</v>
      </c>
      <c r="K34" s="132">
        <v>1900</v>
      </c>
      <c r="L34" s="130">
        <v>46064</v>
      </c>
      <c r="M34" s="130">
        <v>46140</v>
      </c>
      <c r="N34" s="124" t="s">
        <v>259</v>
      </c>
    </row>
    <row r="35" spans="1:580" ht="14.25" customHeight="1" x14ac:dyDescent="0.3">
      <c r="A35" s="112" t="s">
        <v>372</v>
      </c>
      <c r="B35" s="102">
        <v>4508750228</v>
      </c>
      <c r="C35" s="102" t="s">
        <v>292</v>
      </c>
      <c r="D35" s="126">
        <v>46014</v>
      </c>
      <c r="E35" s="127">
        <v>46054</v>
      </c>
      <c r="F35" s="130">
        <v>46055</v>
      </c>
      <c r="G35" s="131" t="s">
        <v>373</v>
      </c>
      <c r="H35" s="131" t="s">
        <v>376</v>
      </c>
      <c r="I35" s="131" t="s">
        <v>257</v>
      </c>
      <c r="J35" s="131" t="s">
        <v>375</v>
      </c>
      <c r="K35" s="132">
        <v>1900</v>
      </c>
      <c r="L35" s="130">
        <v>46064</v>
      </c>
      <c r="M35" s="130">
        <v>46140</v>
      </c>
      <c r="N35" s="124" t="s">
        <v>259</v>
      </c>
    </row>
    <row r="36" spans="1:580" ht="14.25" customHeight="1" x14ac:dyDescent="0.3">
      <c r="A36" s="112" t="s">
        <v>372</v>
      </c>
      <c r="B36" s="102">
        <v>4508750228</v>
      </c>
      <c r="C36" s="102" t="s">
        <v>292</v>
      </c>
      <c r="D36" s="126">
        <v>46014</v>
      </c>
      <c r="E36" s="127">
        <v>46054</v>
      </c>
      <c r="F36" s="130">
        <v>46055</v>
      </c>
      <c r="G36" s="131" t="s">
        <v>373</v>
      </c>
      <c r="H36" s="131" t="s">
        <v>377</v>
      </c>
      <c r="I36" s="131" t="s">
        <v>257</v>
      </c>
      <c r="J36" s="131" t="s">
        <v>375</v>
      </c>
      <c r="K36" s="132">
        <v>1900</v>
      </c>
      <c r="L36" s="130">
        <v>46064</v>
      </c>
      <c r="M36" s="130">
        <v>46140</v>
      </c>
      <c r="N36" s="124" t="s">
        <v>259</v>
      </c>
    </row>
    <row r="37" spans="1:580" ht="14.25" customHeight="1" x14ac:dyDescent="0.3">
      <c r="A37" s="112" t="s">
        <v>372</v>
      </c>
      <c r="B37" s="102">
        <v>4508750228</v>
      </c>
      <c r="C37" s="102" t="s">
        <v>292</v>
      </c>
      <c r="D37" s="126">
        <v>46014</v>
      </c>
      <c r="E37" s="127">
        <v>46054</v>
      </c>
      <c r="F37" s="130">
        <v>46055</v>
      </c>
      <c r="G37" s="131" t="s">
        <v>373</v>
      </c>
      <c r="H37" s="131" t="s">
        <v>378</v>
      </c>
      <c r="I37" s="131" t="s">
        <v>257</v>
      </c>
      <c r="J37" s="131" t="s">
        <v>375</v>
      </c>
      <c r="K37" s="132">
        <v>1900</v>
      </c>
      <c r="L37" s="130">
        <v>46064</v>
      </c>
      <c r="M37" s="130">
        <v>46140</v>
      </c>
      <c r="N37" s="124" t="s">
        <v>259</v>
      </c>
    </row>
    <row r="38" spans="1:580" ht="14.25" customHeight="1" x14ac:dyDescent="0.3">
      <c r="A38" s="112" t="s">
        <v>372</v>
      </c>
      <c r="B38" s="102">
        <v>4508750228</v>
      </c>
      <c r="C38" s="102" t="s">
        <v>292</v>
      </c>
      <c r="D38" s="126">
        <v>46014</v>
      </c>
      <c r="E38" s="127">
        <v>46054</v>
      </c>
      <c r="F38" s="130">
        <v>46055</v>
      </c>
      <c r="G38" s="131" t="s">
        <v>373</v>
      </c>
      <c r="H38" s="131" t="s">
        <v>379</v>
      </c>
      <c r="I38" s="131" t="s">
        <v>257</v>
      </c>
      <c r="J38" s="131" t="s">
        <v>375</v>
      </c>
      <c r="K38" s="132">
        <v>1900</v>
      </c>
      <c r="L38" s="130">
        <v>46064</v>
      </c>
      <c r="M38" s="130">
        <v>46140</v>
      </c>
      <c r="N38" s="124" t="s">
        <v>259</v>
      </c>
    </row>
    <row r="39" spans="1:580" ht="14.25" customHeight="1" x14ac:dyDescent="0.3">
      <c r="A39" s="112" t="s">
        <v>372</v>
      </c>
      <c r="B39" s="102">
        <v>4508750228</v>
      </c>
      <c r="C39" s="102" t="s">
        <v>292</v>
      </c>
      <c r="D39" s="126">
        <v>46014</v>
      </c>
      <c r="E39" s="127">
        <v>46054</v>
      </c>
      <c r="F39" s="130">
        <v>46055</v>
      </c>
      <c r="G39" s="131" t="s">
        <v>373</v>
      </c>
      <c r="H39" s="131" t="s">
        <v>380</v>
      </c>
      <c r="I39" s="131" t="s">
        <v>257</v>
      </c>
      <c r="J39" s="131" t="s">
        <v>375</v>
      </c>
      <c r="K39" s="132">
        <v>1900</v>
      </c>
      <c r="L39" s="130">
        <v>46064</v>
      </c>
      <c r="M39" s="130">
        <v>46140</v>
      </c>
      <c r="N39" s="124" t="s">
        <v>259</v>
      </c>
    </row>
    <row r="40" spans="1:580" ht="14.25" customHeight="1" x14ac:dyDescent="0.3">
      <c r="A40" s="112" t="s">
        <v>381</v>
      </c>
      <c r="B40" s="102">
        <v>4508779388</v>
      </c>
      <c r="C40" s="102" t="s">
        <v>382</v>
      </c>
      <c r="D40" s="126">
        <v>46014</v>
      </c>
      <c r="E40" s="127">
        <v>46049</v>
      </c>
      <c r="F40" s="130">
        <v>46050</v>
      </c>
      <c r="G40" s="131" t="s">
        <v>383</v>
      </c>
      <c r="H40" s="131" t="s">
        <v>384</v>
      </c>
      <c r="I40" s="131" t="s">
        <v>257</v>
      </c>
      <c r="J40" s="131" t="s">
        <v>385</v>
      </c>
      <c r="K40" s="132">
        <v>2250</v>
      </c>
      <c r="L40" s="130">
        <v>46086</v>
      </c>
      <c r="M40" s="130">
        <v>46156</v>
      </c>
      <c r="N40" s="124" t="s">
        <v>259</v>
      </c>
    </row>
    <row r="41" spans="1:580" ht="14.25" customHeight="1" x14ac:dyDescent="0.3">
      <c r="A41" s="112" t="s">
        <v>381</v>
      </c>
      <c r="B41" s="102">
        <v>4508779388</v>
      </c>
      <c r="C41" s="102" t="s">
        <v>386</v>
      </c>
      <c r="D41" s="126">
        <v>46014</v>
      </c>
      <c r="E41" s="127">
        <v>46049</v>
      </c>
      <c r="F41" s="130">
        <v>46050</v>
      </c>
      <c r="G41" s="131" t="s">
        <v>383</v>
      </c>
      <c r="H41" s="131" t="s">
        <v>387</v>
      </c>
      <c r="I41" s="131" t="s">
        <v>257</v>
      </c>
      <c r="J41" s="131" t="s">
        <v>385</v>
      </c>
      <c r="K41" s="132">
        <v>2250</v>
      </c>
      <c r="L41" s="130">
        <v>46086</v>
      </c>
      <c r="M41" s="130">
        <v>46156</v>
      </c>
      <c r="N41" s="124" t="s">
        <v>259</v>
      </c>
    </row>
    <row r="42" spans="1:580" ht="14.25" customHeight="1" x14ac:dyDescent="0.3">
      <c r="A42" s="133" t="s">
        <v>388</v>
      </c>
      <c r="B42" s="134">
        <v>4508751729</v>
      </c>
      <c r="C42" s="134" t="s">
        <v>389</v>
      </c>
      <c r="D42" s="135">
        <v>46014</v>
      </c>
      <c r="E42" s="136">
        <v>46090</v>
      </c>
      <c r="F42" s="137">
        <v>46091</v>
      </c>
      <c r="G42" s="138" t="s">
        <v>390</v>
      </c>
      <c r="H42" s="138" t="s">
        <v>391</v>
      </c>
      <c r="I42" s="138" t="s">
        <v>361</v>
      </c>
      <c r="J42" s="138" t="s">
        <v>392</v>
      </c>
      <c r="K42" s="139">
        <v>3573.0754716981151</v>
      </c>
      <c r="L42" s="137">
        <v>46126</v>
      </c>
      <c r="M42" s="140">
        <v>46205</v>
      </c>
      <c r="N42" s="141"/>
    </row>
    <row r="43" spans="1:580" ht="14.25" customHeight="1" x14ac:dyDescent="0.3">
      <c r="A43" s="133" t="s">
        <v>388</v>
      </c>
      <c r="B43" s="134">
        <v>4508751729</v>
      </c>
      <c r="C43" s="134" t="s">
        <v>389</v>
      </c>
      <c r="D43" s="135">
        <v>46014</v>
      </c>
      <c r="E43" s="136">
        <v>46101</v>
      </c>
      <c r="F43" s="137">
        <v>46102</v>
      </c>
      <c r="G43" s="138" t="s">
        <v>390</v>
      </c>
      <c r="H43" s="138" t="s">
        <v>393</v>
      </c>
      <c r="I43" s="138" t="s">
        <v>361</v>
      </c>
      <c r="J43" s="138" t="s">
        <v>392</v>
      </c>
      <c r="K43" s="139">
        <v>3573.0754716981151</v>
      </c>
      <c r="L43" s="137">
        <v>46126</v>
      </c>
      <c r="M43" s="140">
        <v>46205</v>
      </c>
      <c r="N43" s="141"/>
    </row>
    <row r="44" spans="1:580" ht="14.25" customHeight="1" x14ac:dyDescent="0.3">
      <c r="A44" s="112" t="s">
        <v>394</v>
      </c>
      <c r="B44" s="102">
        <v>4508576884</v>
      </c>
      <c r="C44" s="102" t="s">
        <v>395</v>
      </c>
      <c r="D44" s="174">
        <v>46063</v>
      </c>
      <c r="E44" s="123">
        <v>46096</v>
      </c>
      <c r="F44" s="130">
        <v>46107</v>
      </c>
      <c r="G44" s="131" t="s">
        <v>396</v>
      </c>
      <c r="H44" s="131" t="s">
        <v>397</v>
      </c>
      <c r="I44" s="131" t="s">
        <v>273</v>
      </c>
      <c r="J44" s="131" t="s">
        <v>385</v>
      </c>
      <c r="K44" s="132">
        <v>2600</v>
      </c>
      <c r="L44" s="130">
        <v>46114</v>
      </c>
      <c r="M44" s="130">
        <v>46205</v>
      </c>
      <c r="N44" s="124" t="s">
        <v>259</v>
      </c>
    </row>
    <row r="45" spans="1:580" ht="14.25" customHeight="1" x14ac:dyDescent="0.3">
      <c r="A45" s="112" t="s">
        <v>394</v>
      </c>
      <c r="B45" s="102">
        <v>4508576884</v>
      </c>
      <c r="C45" s="102" t="s">
        <v>395</v>
      </c>
      <c r="D45" s="174">
        <v>46063</v>
      </c>
      <c r="E45" s="123">
        <v>46096</v>
      </c>
      <c r="F45" s="130">
        <v>46107</v>
      </c>
      <c r="G45" s="131" t="s">
        <v>396</v>
      </c>
      <c r="H45" s="131" t="s">
        <v>398</v>
      </c>
      <c r="I45" s="131" t="s">
        <v>273</v>
      </c>
      <c r="J45" s="131" t="s">
        <v>385</v>
      </c>
      <c r="K45" s="132">
        <v>2600</v>
      </c>
      <c r="L45" s="130">
        <v>46114</v>
      </c>
      <c r="M45" s="130">
        <v>46205</v>
      </c>
      <c r="N45" s="124" t="s">
        <v>259</v>
      </c>
    </row>
    <row r="46" spans="1:580" ht="14.25" customHeight="1" x14ac:dyDescent="0.3">
      <c r="A46" s="112" t="s">
        <v>394</v>
      </c>
      <c r="B46" s="102">
        <v>4508576884</v>
      </c>
      <c r="C46" s="102" t="s">
        <v>395</v>
      </c>
      <c r="D46" s="174">
        <v>46063</v>
      </c>
      <c r="E46" s="123">
        <v>46096</v>
      </c>
      <c r="F46" s="130">
        <v>46107</v>
      </c>
      <c r="G46" s="131" t="s">
        <v>396</v>
      </c>
      <c r="H46" s="131" t="s">
        <v>399</v>
      </c>
      <c r="I46" s="131" t="s">
        <v>273</v>
      </c>
      <c r="J46" s="131" t="s">
        <v>385</v>
      </c>
      <c r="K46" s="132">
        <v>2600</v>
      </c>
      <c r="L46" s="130">
        <v>46114</v>
      </c>
      <c r="M46" s="130">
        <v>46205</v>
      </c>
      <c r="N46" s="124" t="s">
        <v>259</v>
      </c>
    </row>
    <row r="47" spans="1:580" ht="14.25" customHeight="1" x14ac:dyDescent="0.3">
      <c r="A47" s="112" t="s">
        <v>400</v>
      </c>
      <c r="B47" s="102">
        <v>4508559921</v>
      </c>
      <c r="C47" s="102" t="s">
        <v>401</v>
      </c>
      <c r="D47" s="174">
        <v>46055</v>
      </c>
      <c r="E47" s="123">
        <v>46099</v>
      </c>
      <c r="F47" s="130">
        <v>46099</v>
      </c>
      <c r="G47" s="131" t="s">
        <v>402</v>
      </c>
      <c r="H47" s="131" t="s">
        <v>397</v>
      </c>
      <c r="I47" s="131" t="s">
        <v>273</v>
      </c>
      <c r="J47" s="131" t="s">
        <v>392</v>
      </c>
      <c r="K47" s="132">
        <v>2600</v>
      </c>
      <c r="L47" s="130">
        <v>46126</v>
      </c>
      <c r="M47" s="130">
        <v>46205</v>
      </c>
      <c r="N47" s="124" t="s">
        <v>259</v>
      </c>
    </row>
    <row r="48" spans="1:580" ht="14.25" customHeight="1" x14ac:dyDescent="0.3">
      <c r="A48" s="112" t="s">
        <v>400</v>
      </c>
      <c r="B48" s="102">
        <v>4508559921</v>
      </c>
      <c r="C48" s="102" t="s">
        <v>401</v>
      </c>
      <c r="D48" s="174">
        <v>46055</v>
      </c>
      <c r="E48" s="123">
        <v>46099</v>
      </c>
      <c r="F48" s="130">
        <v>46099</v>
      </c>
      <c r="G48" s="131" t="s">
        <v>402</v>
      </c>
      <c r="H48" s="131" t="s">
        <v>398</v>
      </c>
      <c r="I48" s="131" t="s">
        <v>273</v>
      </c>
      <c r="J48" s="131" t="s">
        <v>392</v>
      </c>
      <c r="K48" s="132">
        <v>2600</v>
      </c>
      <c r="L48" s="130">
        <v>46126</v>
      </c>
      <c r="M48" s="130">
        <v>46205</v>
      </c>
      <c r="N48" s="124" t="s">
        <v>259</v>
      </c>
    </row>
    <row r="49" spans="1:580" ht="14.25" customHeight="1" x14ac:dyDescent="0.3">
      <c r="A49" s="112" t="s">
        <v>400</v>
      </c>
      <c r="B49" s="102">
        <v>4508559921</v>
      </c>
      <c r="C49" s="102" t="s">
        <v>401</v>
      </c>
      <c r="D49" s="174">
        <v>46055</v>
      </c>
      <c r="E49" s="123">
        <v>46099</v>
      </c>
      <c r="F49" s="130">
        <v>46099</v>
      </c>
      <c r="G49" s="131" t="s">
        <v>402</v>
      </c>
      <c r="H49" s="131" t="s">
        <v>399</v>
      </c>
      <c r="I49" s="131" t="s">
        <v>273</v>
      </c>
      <c r="J49" s="131" t="s">
        <v>392</v>
      </c>
      <c r="K49" s="132">
        <v>2600</v>
      </c>
      <c r="L49" s="130">
        <v>46126</v>
      </c>
      <c r="M49" s="130">
        <v>46205</v>
      </c>
      <c r="N49" s="124" t="s">
        <v>259</v>
      </c>
    </row>
    <row r="50" spans="1:580" s="76" customFormat="1" ht="14.25" customHeight="1" x14ac:dyDescent="0.3">
      <c r="A50" s="133" t="s">
        <v>403</v>
      </c>
      <c r="B50" s="138">
        <v>4508840421</v>
      </c>
      <c r="C50" s="145" t="s">
        <v>404</v>
      </c>
      <c r="D50" s="146">
        <v>46084</v>
      </c>
      <c r="E50" s="137">
        <v>46134</v>
      </c>
      <c r="F50" s="137">
        <v>46135</v>
      </c>
      <c r="G50" s="138" t="s">
        <v>405</v>
      </c>
      <c r="H50" s="138" t="s">
        <v>406</v>
      </c>
      <c r="I50" s="138" t="s">
        <v>407</v>
      </c>
      <c r="J50" s="138"/>
      <c r="K50" s="139">
        <v>2156</v>
      </c>
      <c r="L50" s="137">
        <v>46147</v>
      </c>
      <c r="M50" s="140">
        <v>46242</v>
      </c>
      <c r="N50" s="138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</row>
    <row r="51" spans="1:580" ht="14.25" customHeight="1" x14ac:dyDescent="0.3">
      <c r="A51" s="142" t="s">
        <v>408</v>
      </c>
      <c r="B51" s="141" t="s">
        <v>409</v>
      </c>
      <c r="C51" s="143" t="s">
        <v>410</v>
      </c>
      <c r="D51" s="172" t="s">
        <v>411</v>
      </c>
      <c r="E51" s="144">
        <v>46265</v>
      </c>
      <c r="F51" s="144" t="s">
        <v>412</v>
      </c>
      <c r="G51" s="144" t="s">
        <v>413</v>
      </c>
      <c r="H51" s="144" t="s">
        <v>413</v>
      </c>
      <c r="I51" s="144" t="s">
        <v>413</v>
      </c>
      <c r="J51" s="144" t="s">
        <v>413</v>
      </c>
      <c r="K51" s="144" t="s">
        <v>413</v>
      </c>
      <c r="L51" s="144" t="s">
        <v>413</v>
      </c>
      <c r="M51" s="144" t="s">
        <v>413</v>
      </c>
      <c r="N51" s="144" t="s">
        <v>414</v>
      </c>
    </row>
    <row r="52" spans="1:580" s="76" customFormat="1" ht="14.25" customHeight="1" x14ac:dyDescent="0.3">
      <c r="A52" s="142" t="s">
        <v>415</v>
      </c>
      <c r="B52" s="147">
        <v>4508840505</v>
      </c>
      <c r="C52" s="148" t="s">
        <v>416</v>
      </c>
      <c r="D52" s="172" t="s">
        <v>411</v>
      </c>
      <c r="E52" s="144">
        <v>46249</v>
      </c>
      <c r="F52" s="144" t="s">
        <v>412</v>
      </c>
      <c r="G52" s="149" t="s">
        <v>413</v>
      </c>
      <c r="H52" s="149" t="s">
        <v>413</v>
      </c>
      <c r="I52" s="149" t="s">
        <v>413</v>
      </c>
      <c r="J52" s="151"/>
      <c r="K52" s="166"/>
      <c r="L52" s="165"/>
      <c r="M52" s="173"/>
      <c r="N52" s="151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</row>
    <row r="53" spans="1:580" ht="14.25" customHeight="1" x14ac:dyDescent="0.3">
      <c r="A53" s="142" t="s">
        <v>417</v>
      </c>
      <c r="B53" s="147" t="s">
        <v>418</v>
      </c>
      <c r="C53" s="148" t="s">
        <v>419</v>
      </c>
      <c r="D53" s="172" t="s">
        <v>411</v>
      </c>
      <c r="E53" s="144">
        <v>46234</v>
      </c>
      <c r="F53" s="144" t="s">
        <v>412</v>
      </c>
      <c r="G53" s="149" t="s">
        <v>413</v>
      </c>
      <c r="H53" s="149" t="s">
        <v>413</v>
      </c>
      <c r="I53" s="149" t="s">
        <v>413</v>
      </c>
      <c r="J53" s="149"/>
      <c r="K53" s="150"/>
      <c r="L53" s="165"/>
      <c r="M53" s="149"/>
      <c r="N53" s="151"/>
    </row>
    <row r="54" spans="1:580" s="76" customFormat="1" ht="14.25" customHeight="1" x14ac:dyDescent="0.3">
      <c r="A54" s="138" t="s">
        <v>420</v>
      </c>
      <c r="B54" s="154">
        <v>4508894878</v>
      </c>
      <c r="C54" s="155" t="s">
        <v>421</v>
      </c>
      <c r="D54" s="146">
        <v>46090</v>
      </c>
      <c r="E54" s="137">
        <v>46139</v>
      </c>
      <c r="F54" s="154" t="s">
        <v>412</v>
      </c>
      <c r="G54" s="154">
        <v>1074377332</v>
      </c>
      <c r="H54" s="154" t="s">
        <v>422</v>
      </c>
      <c r="I54" s="154" t="s">
        <v>361</v>
      </c>
      <c r="J54" s="154"/>
      <c r="K54" s="156">
        <v>2650</v>
      </c>
      <c r="L54" s="137">
        <v>46169</v>
      </c>
      <c r="M54" s="140">
        <v>46233</v>
      </c>
      <c r="N54" s="138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</row>
    <row r="55" spans="1:580" ht="14.25" customHeight="1" x14ac:dyDescent="0.3">
      <c r="A55" s="141" t="s">
        <v>423</v>
      </c>
      <c r="B55" s="147" t="s">
        <v>424</v>
      </c>
      <c r="C55" s="152" t="s">
        <v>425</v>
      </c>
      <c r="D55" s="157">
        <v>46160</v>
      </c>
      <c r="E55" s="144">
        <v>46226</v>
      </c>
      <c r="F55" s="144" t="s">
        <v>413</v>
      </c>
      <c r="G55" s="147" t="s">
        <v>413</v>
      </c>
      <c r="H55" s="147" t="s">
        <v>413</v>
      </c>
      <c r="I55" s="147" t="s">
        <v>413</v>
      </c>
      <c r="J55" s="147"/>
      <c r="K55" s="153"/>
      <c r="L55" s="147"/>
      <c r="M55" s="147"/>
      <c r="N55" s="141" t="s">
        <v>426</v>
      </c>
    </row>
    <row r="56" spans="1:580" s="76" customFormat="1" ht="14.25" customHeight="1" x14ac:dyDescent="0.3">
      <c r="A56" s="138" t="s">
        <v>427</v>
      </c>
      <c r="B56" s="154">
        <v>4508840296</v>
      </c>
      <c r="C56" s="155" t="s">
        <v>428</v>
      </c>
      <c r="D56" s="146">
        <v>46090</v>
      </c>
      <c r="E56" s="137">
        <v>46150</v>
      </c>
      <c r="F56" s="154" t="s">
        <v>412</v>
      </c>
      <c r="G56" s="154" t="s">
        <v>429</v>
      </c>
      <c r="H56" s="154" t="s">
        <v>430</v>
      </c>
      <c r="I56" s="154" t="s">
        <v>361</v>
      </c>
      <c r="J56" s="154"/>
      <c r="K56" s="156">
        <v>2606</v>
      </c>
      <c r="L56" s="158">
        <v>46162</v>
      </c>
      <c r="M56" s="158">
        <v>46233</v>
      </c>
      <c r="N56" s="138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</row>
    <row r="57" spans="1:580" s="76" customFormat="1" ht="14.25" customHeight="1" x14ac:dyDescent="0.3">
      <c r="A57" s="138" t="s">
        <v>431</v>
      </c>
      <c r="B57" s="154">
        <v>4508840510</v>
      </c>
      <c r="C57" s="155" t="s">
        <v>341</v>
      </c>
      <c r="D57" s="146">
        <v>46093</v>
      </c>
      <c r="E57" s="137">
        <v>46147</v>
      </c>
      <c r="F57" s="154" t="s">
        <v>412</v>
      </c>
      <c r="G57" s="154" t="s">
        <v>432</v>
      </c>
      <c r="H57" s="154" t="s">
        <v>433</v>
      </c>
      <c r="I57" s="154" t="s">
        <v>257</v>
      </c>
      <c r="J57" s="154"/>
      <c r="K57" s="156">
        <v>2656</v>
      </c>
      <c r="L57" s="158">
        <v>46172</v>
      </c>
      <c r="M57" s="158">
        <v>46231</v>
      </c>
      <c r="N57" s="138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</row>
    <row r="58" spans="1:580" s="76" customFormat="1" ht="14.25" customHeight="1" x14ac:dyDescent="0.3">
      <c r="A58" s="159" t="s">
        <v>434</v>
      </c>
      <c r="B58" s="160">
        <v>4508840536</v>
      </c>
      <c r="C58" s="161" t="s">
        <v>435</v>
      </c>
      <c r="D58" s="146">
        <v>46093</v>
      </c>
      <c r="E58" s="146">
        <v>46162</v>
      </c>
      <c r="F58" s="154" t="s">
        <v>412</v>
      </c>
      <c r="G58" s="160" t="s">
        <v>436</v>
      </c>
      <c r="H58" s="160" t="s">
        <v>437</v>
      </c>
      <c r="I58" s="160" t="s">
        <v>257</v>
      </c>
      <c r="J58" s="160"/>
      <c r="K58" s="162">
        <v>4400</v>
      </c>
      <c r="L58" s="158">
        <v>46176</v>
      </c>
      <c r="M58" s="158">
        <v>46239</v>
      </c>
      <c r="N58" s="159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</row>
    <row r="59" spans="1:580" s="76" customFormat="1" ht="14.25" customHeight="1" x14ac:dyDescent="0.3">
      <c r="A59" s="138" t="s">
        <v>438</v>
      </c>
      <c r="B59" s="154">
        <v>4508699466</v>
      </c>
      <c r="C59" s="154" t="s">
        <v>439</v>
      </c>
      <c r="D59" s="146">
        <v>46093</v>
      </c>
      <c r="E59" s="137">
        <v>46177</v>
      </c>
      <c r="F59" s="138" t="s">
        <v>412</v>
      </c>
      <c r="G59" s="138"/>
      <c r="H59" s="138"/>
      <c r="I59" s="138"/>
      <c r="J59" s="138"/>
      <c r="K59" s="139"/>
      <c r="L59" s="138"/>
      <c r="M59" s="138"/>
      <c r="N59" s="138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</row>
    <row r="60" spans="1:580" s="76" customFormat="1" ht="14.25" customHeight="1" x14ac:dyDescent="0.3">
      <c r="A60" s="138" t="s">
        <v>440</v>
      </c>
      <c r="B60" s="138">
        <v>4508840545</v>
      </c>
      <c r="C60" s="154" t="s">
        <v>441</v>
      </c>
      <c r="D60" s="146">
        <v>46108</v>
      </c>
      <c r="E60" s="137">
        <v>46177</v>
      </c>
      <c r="F60" s="154" t="s">
        <v>412</v>
      </c>
      <c r="G60" s="138" t="s">
        <v>442</v>
      </c>
      <c r="H60" s="138" t="s">
        <v>443</v>
      </c>
      <c r="I60" s="138" t="s">
        <v>361</v>
      </c>
      <c r="J60" s="138"/>
      <c r="K60" s="139">
        <v>2796</v>
      </c>
      <c r="L60" s="158">
        <v>46191</v>
      </c>
      <c r="M60" s="158">
        <v>46247</v>
      </c>
      <c r="N60" s="138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</row>
    <row r="61" spans="1:580" s="76" customFormat="1" ht="14.25" customHeight="1" x14ac:dyDescent="0.3">
      <c r="A61" s="138" t="s">
        <v>440</v>
      </c>
      <c r="B61" s="138">
        <v>4508840545</v>
      </c>
      <c r="C61" s="154" t="s">
        <v>441</v>
      </c>
      <c r="D61" s="146">
        <v>46108</v>
      </c>
      <c r="E61" s="137">
        <v>46177</v>
      </c>
      <c r="F61" s="154" t="s">
        <v>412</v>
      </c>
      <c r="G61" s="159" t="s">
        <v>442</v>
      </c>
      <c r="H61" s="159" t="s">
        <v>444</v>
      </c>
      <c r="I61" s="159" t="s">
        <v>361</v>
      </c>
      <c r="J61" s="159"/>
      <c r="K61" s="163">
        <v>2796</v>
      </c>
      <c r="L61" s="158">
        <v>46191</v>
      </c>
      <c r="M61" s="158">
        <v>46247</v>
      </c>
      <c r="N61" s="159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</row>
    <row r="62" spans="1:580" ht="14.25" customHeight="1" x14ac:dyDescent="0.3">
      <c r="A62" s="141" t="s">
        <v>445</v>
      </c>
      <c r="B62" s="147">
        <v>4508894889</v>
      </c>
      <c r="C62" s="152" t="s">
        <v>446</v>
      </c>
      <c r="D62" s="164" t="s">
        <v>413</v>
      </c>
      <c r="E62" s="165">
        <v>46178</v>
      </c>
      <c r="F62" s="144" t="s">
        <v>412</v>
      </c>
      <c r="G62" s="147" t="s">
        <v>413</v>
      </c>
      <c r="H62" s="147" t="s">
        <v>413</v>
      </c>
      <c r="I62" s="147" t="s">
        <v>413</v>
      </c>
      <c r="J62" s="151"/>
      <c r="K62" s="166"/>
      <c r="L62" s="166"/>
      <c r="M62" s="166"/>
      <c r="N62" s="151"/>
    </row>
    <row r="63" spans="1:580" s="76" customFormat="1" x14ac:dyDescent="0.3">
      <c r="A63" s="133" t="s">
        <v>447</v>
      </c>
      <c r="B63" s="154">
        <v>4508727560</v>
      </c>
      <c r="C63" s="155" t="s">
        <v>439</v>
      </c>
      <c r="D63" s="146">
        <v>46139</v>
      </c>
      <c r="E63" s="146">
        <v>46198</v>
      </c>
      <c r="F63" s="154" t="s">
        <v>412</v>
      </c>
      <c r="G63" s="160" t="s">
        <v>413</v>
      </c>
      <c r="H63" s="160" t="s">
        <v>413</v>
      </c>
      <c r="I63" s="160" t="s">
        <v>361</v>
      </c>
      <c r="J63" s="160"/>
      <c r="K63" s="162">
        <v>7400</v>
      </c>
      <c r="L63" s="158">
        <v>46205</v>
      </c>
      <c r="M63" s="158">
        <v>46266</v>
      </c>
      <c r="N63" s="159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</row>
    <row r="64" spans="1:580" s="76" customFormat="1" x14ac:dyDescent="0.3">
      <c r="A64" s="133" t="s">
        <v>447</v>
      </c>
      <c r="B64" s="154">
        <v>4508727560</v>
      </c>
      <c r="C64" s="155" t="s">
        <v>439</v>
      </c>
      <c r="D64" s="146">
        <v>46139</v>
      </c>
      <c r="E64" s="146">
        <v>46198</v>
      </c>
      <c r="F64" s="160" t="s">
        <v>412</v>
      </c>
      <c r="G64" s="160" t="s">
        <v>413</v>
      </c>
      <c r="H64" s="160" t="s">
        <v>413</v>
      </c>
      <c r="I64" s="160" t="s">
        <v>361</v>
      </c>
      <c r="J64" s="160"/>
      <c r="K64" s="162">
        <v>7400</v>
      </c>
      <c r="L64" s="158">
        <v>46205</v>
      </c>
      <c r="M64" s="158">
        <v>46266</v>
      </c>
      <c r="N64" s="159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</row>
    <row r="65" spans="1:580" s="76" customFormat="1" x14ac:dyDescent="0.3">
      <c r="A65" s="133" t="s">
        <v>447</v>
      </c>
      <c r="B65" s="154">
        <v>4508727560</v>
      </c>
      <c r="C65" s="155" t="s">
        <v>439</v>
      </c>
      <c r="D65" s="146">
        <v>46139</v>
      </c>
      <c r="E65" s="146">
        <v>46198</v>
      </c>
      <c r="F65" s="160" t="s">
        <v>412</v>
      </c>
      <c r="G65" s="160" t="s">
        <v>413</v>
      </c>
      <c r="H65" s="160" t="s">
        <v>413</v>
      </c>
      <c r="I65" s="160" t="s">
        <v>361</v>
      </c>
      <c r="J65" s="160"/>
      <c r="K65" s="162">
        <v>7400</v>
      </c>
      <c r="L65" s="158">
        <v>46205</v>
      </c>
      <c r="M65" s="158">
        <v>46266</v>
      </c>
      <c r="N65" s="159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</row>
    <row r="66" spans="1:580" s="76" customFormat="1" x14ac:dyDescent="0.3">
      <c r="A66" s="133" t="s">
        <v>448</v>
      </c>
      <c r="B66" s="154">
        <v>4508894894</v>
      </c>
      <c r="C66" s="155" t="s">
        <v>341</v>
      </c>
      <c r="D66" s="146">
        <v>46139</v>
      </c>
      <c r="E66" s="146">
        <v>46190</v>
      </c>
      <c r="F66" s="154" t="s">
        <v>412</v>
      </c>
      <c r="G66" s="154" t="s">
        <v>413</v>
      </c>
      <c r="H66" s="154" t="s">
        <v>413</v>
      </c>
      <c r="I66" s="154" t="s">
        <v>407</v>
      </c>
      <c r="J66" s="154"/>
      <c r="K66" s="156">
        <v>3975</v>
      </c>
      <c r="L66" s="158">
        <v>46203</v>
      </c>
      <c r="M66" s="158">
        <v>46246</v>
      </c>
      <c r="N66" s="138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</row>
    <row r="67" spans="1:580" s="76" customFormat="1" x14ac:dyDescent="0.3">
      <c r="A67" s="133" t="s">
        <v>449</v>
      </c>
      <c r="B67" s="154">
        <v>4508727727</v>
      </c>
      <c r="C67" s="167" t="s">
        <v>450</v>
      </c>
      <c r="D67" s="146">
        <v>46139</v>
      </c>
      <c r="E67" s="146">
        <v>46172</v>
      </c>
      <c r="F67" s="154" t="s">
        <v>412</v>
      </c>
      <c r="G67" s="154" t="s">
        <v>451</v>
      </c>
      <c r="H67" s="154">
        <v>4508727727</v>
      </c>
      <c r="I67" s="154" t="s">
        <v>452</v>
      </c>
      <c r="J67" s="154"/>
      <c r="K67" s="156">
        <v>8356</v>
      </c>
      <c r="L67" s="158">
        <v>46183</v>
      </c>
      <c r="M67" s="158">
        <v>46246</v>
      </c>
      <c r="N67" s="138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</row>
    <row r="68" spans="1:580" s="76" customFormat="1" x14ac:dyDescent="0.3">
      <c r="A68" s="133" t="s">
        <v>449</v>
      </c>
      <c r="B68" s="154">
        <v>4508727727</v>
      </c>
      <c r="C68" s="167" t="s">
        <v>450</v>
      </c>
      <c r="D68" s="146">
        <v>46139</v>
      </c>
      <c r="E68" s="146">
        <v>46172</v>
      </c>
      <c r="F68" s="154" t="s">
        <v>412</v>
      </c>
      <c r="G68" s="154" t="s">
        <v>451</v>
      </c>
      <c r="H68" s="154">
        <v>4508727727</v>
      </c>
      <c r="I68" s="154" t="s">
        <v>452</v>
      </c>
      <c r="J68" s="154"/>
      <c r="K68" s="156">
        <v>8356</v>
      </c>
      <c r="L68" s="158">
        <v>46183</v>
      </c>
      <c r="M68" s="158">
        <v>46246</v>
      </c>
      <c r="N68" s="13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</row>
    <row r="69" spans="1:580" s="76" customFormat="1" x14ac:dyDescent="0.3">
      <c r="A69" s="133" t="s">
        <v>453</v>
      </c>
      <c r="B69" s="154" t="s">
        <v>418</v>
      </c>
      <c r="C69" s="155" t="s">
        <v>454</v>
      </c>
      <c r="D69" s="146">
        <v>46139</v>
      </c>
      <c r="E69" s="146">
        <v>46188</v>
      </c>
      <c r="F69" s="154" t="s">
        <v>412</v>
      </c>
      <c r="G69" s="154" t="s">
        <v>455</v>
      </c>
      <c r="H69" s="154" t="s">
        <v>456</v>
      </c>
      <c r="I69" s="154" t="s">
        <v>361</v>
      </c>
      <c r="J69" s="154"/>
      <c r="K69" s="156">
        <v>7400</v>
      </c>
      <c r="L69" s="158">
        <v>46204</v>
      </c>
      <c r="M69" s="158">
        <v>46259</v>
      </c>
      <c r="N69" s="138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</row>
    <row r="70" spans="1:580" s="76" customFormat="1" x14ac:dyDescent="0.3">
      <c r="A70" s="133" t="s">
        <v>457</v>
      </c>
      <c r="B70" s="154">
        <v>4508894854</v>
      </c>
      <c r="C70" s="155" t="s">
        <v>458</v>
      </c>
      <c r="D70" s="146">
        <v>46139</v>
      </c>
      <c r="E70" s="146">
        <v>46183</v>
      </c>
      <c r="F70" s="154" t="s">
        <v>412</v>
      </c>
      <c r="G70" s="154" t="s">
        <v>459</v>
      </c>
      <c r="H70" s="154" t="s">
        <v>460</v>
      </c>
      <c r="I70" s="154" t="s">
        <v>361</v>
      </c>
      <c r="J70" s="154"/>
      <c r="K70" s="156">
        <v>7400</v>
      </c>
      <c r="L70" s="154">
        <v>46205</v>
      </c>
      <c r="M70" s="154">
        <v>46259</v>
      </c>
      <c r="N70" s="138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</row>
    <row r="71" spans="1:580" s="77" customFormat="1" x14ac:dyDescent="0.3">
      <c r="A71" s="142" t="s">
        <v>461</v>
      </c>
      <c r="B71" s="147">
        <f>_xlfn.XLOOKUP(A71,'Base de Dados'!D:D,'Base de Dados'!C:C)</f>
        <v>4508894918</v>
      </c>
      <c r="C71" s="168" t="s">
        <v>462</v>
      </c>
      <c r="D71" s="144">
        <v>46139</v>
      </c>
      <c r="E71" s="157">
        <v>46205</v>
      </c>
      <c r="F71" s="147" t="s">
        <v>412</v>
      </c>
      <c r="G71" s="147" t="s">
        <v>413</v>
      </c>
      <c r="H71" s="147" t="s">
        <v>413</v>
      </c>
      <c r="I71" s="147" t="s">
        <v>257</v>
      </c>
      <c r="J71" s="147"/>
      <c r="K71" s="147">
        <f t="shared" ref="K71:K82" si="0">77173.53/10</f>
        <v>7717.3530000000001</v>
      </c>
      <c r="L71" s="147"/>
      <c r="M71" s="147"/>
      <c r="N71" s="14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</row>
    <row r="72" spans="1:580" s="77" customFormat="1" x14ac:dyDescent="0.3">
      <c r="A72" s="142" t="s">
        <v>461</v>
      </c>
      <c r="B72" s="147">
        <f>_xlfn.XLOOKUP(A72,'Base de Dados'!D:D,'Base de Dados'!C:C)</f>
        <v>4508894918</v>
      </c>
      <c r="C72" s="168" t="s">
        <v>462</v>
      </c>
      <c r="D72" s="144">
        <v>46139</v>
      </c>
      <c r="E72" s="157">
        <v>46205</v>
      </c>
      <c r="F72" s="147" t="s">
        <v>412</v>
      </c>
      <c r="G72" s="147" t="s">
        <v>413</v>
      </c>
      <c r="H72" s="147" t="s">
        <v>413</v>
      </c>
      <c r="I72" s="147" t="s">
        <v>257</v>
      </c>
      <c r="J72" s="147"/>
      <c r="K72" s="147">
        <f t="shared" si="0"/>
        <v>7717.3530000000001</v>
      </c>
      <c r="L72" s="147"/>
      <c r="M72" s="147"/>
      <c r="N72" s="141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</row>
    <row r="73" spans="1:580" s="77" customFormat="1" x14ac:dyDescent="0.3">
      <c r="A73" s="142" t="s">
        <v>461</v>
      </c>
      <c r="B73" s="147">
        <f>_xlfn.XLOOKUP(A73,'Base de Dados'!D:D,'Base de Dados'!C:C)</f>
        <v>4508894918</v>
      </c>
      <c r="C73" s="168" t="s">
        <v>462</v>
      </c>
      <c r="D73" s="144">
        <v>46139</v>
      </c>
      <c r="E73" s="157">
        <v>46205</v>
      </c>
      <c r="F73" s="147" t="s">
        <v>412</v>
      </c>
      <c r="G73" s="147" t="s">
        <v>413</v>
      </c>
      <c r="H73" s="147" t="s">
        <v>413</v>
      </c>
      <c r="I73" s="147" t="s">
        <v>257</v>
      </c>
      <c r="J73" s="147"/>
      <c r="K73" s="147">
        <f t="shared" si="0"/>
        <v>7717.3530000000001</v>
      </c>
      <c r="L73" s="147"/>
      <c r="M73" s="147"/>
      <c r="N73" s="141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</row>
    <row r="74" spans="1:580" s="77" customFormat="1" x14ac:dyDescent="0.3">
      <c r="A74" s="142" t="s">
        <v>461</v>
      </c>
      <c r="B74" s="147">
        <f>_xlfn.XLOOKUP(A74,'Base de Dados'!D:D,'Base de Dados'!C:C)</f>
        <v>4508894918</v>
      </c>
      <c r="C74" s="168" t="s">
        <v>462</v>
      </c>
      <c r="D74" s="144">
        <v>46139</v>
      </c>
      <c r="E74" s="157">
        <v>46205</v>
      </c>
      <c r="F74" s="147" t="s">
        <v>412</v>
      </c>
      <c r="G74" s="147" t="s">
        <v>413</v>
      </c>
      <c r="H74" s="147" t="s">
        <v>413</v>
      </c>
      <c r="I74" s="147" t="s">
        <v>257</v>
      </c>
      <c r="J74" s="147"/>
      <c r="K74" s="147">
        <f t="shared" si="0"/>
        <v>7717.3530000000001</v>
      </c>
      <c r="L74" s="147"/>
      <c r="M74" s="147"/>
      <c r="N74" s="141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</row>
    <row r="75" spans="1:580" s="77" customFormat="1" x14ac:dyDescent="0.3">
      <c r="A75" s="142" t="s">
        <v>461</v>
      </c>
      <c r="B75" s="147">
        <f>_xlfn.XLOOKUP(A75,'Base de Dados'!D:D,'Base de Dados'!C:C)</f>
        <v>4508894918</v>
      </c>
      <c r="C75" s="168" t="s">
        <v>462</v>
      </c>
      <c r="D75" s="144">
        <v>46139</v>
      </c>
      <c r="E75" s="157">
        <v>46205</v>
      </c>
      <c r="F75" s="147" t="s">
        <v>412</v>
      </c>
      <c r="G75" s="147" t="s">
        <v>413</v>
      </c>
      <c r="H75" s="147" t="s">
        <v>413</v>
      </c>
      <c r="I75" s="147" t="s">
        <v>257</v>
      </c>
      <c r="J75" s="147"/>
      <c r="K75" s="147">
        <f t="shared" si="0"/>
        <v>7717.3530000000001</v>
      </c>
      <c r="L75" s="147"/>
      <c r="M75" s="147"/>
      <c r="N75" s="141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</row>
    <row r="76" spans="1:580" s="77" customFormat="1" x14ac:dyDescent="0.3">
      <c r="A76" s="142" t="s">
        <v>461</v>
      </c>
      <c r="B76" s="147">
        <f>_xlfn.XLOOKUP(A76,'Base de Dados'!D:D,'Base de Dados'!C:C)</f>
        <v>4508894918</v>
      </c>
      <c r="C76" s="168" t="s">
        <v>462</v>
      </c>
      <c r="D76" s="144">
        <v>46139</v>
      </c>
      <c r="E76" s="157">
        <v>46205</v>
      </c>
      <c r="F76" s="147" t="s">
        <v>412</v>
      </c>
      <c r="G76" s="147" t="s">
        <v>413</v>
      </c>
      <c r="H76" s="147" t="s">
        <v>413</v>
      </c>
      <c r="I76" s="147" t="s">
        <v>257</v>
      </c>
      <c r="J76" s="147"/>
      <c r="K76" s="147">
        <f t="shared" si="0"/>
        <v>7717.3530000000001</v>
      </c>
      <c r="L76" s="147"/>
      <c r="M76" s="147"/>
      <c r="N76" s="141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</row>
    <row r="77" spans="1:580" s="77" customFormat="1" x14ac:dyDescent="0.3">
      <c r="A77" s="142" t="s">
        <v>461</v>
      </c>
      <c r="B77" s="147">
        <f>_xlfn.XLOOKUP(A77,'Base de Dados'!D:D,'Base de Dados'!C:C)</f>
        <v>4508894918</v>
      </c>
      <c r="C77" s="168" t="s">
        <v>462</v>
      </c>
      <c r="D77" s="144">
        <v>46139</v>
      </c>
      <c r="E77" s="157">
        <v>46205</v>
      </c>
      <c r="F77" s="147" t="s">
        <v>412</v>
      </c>
      <c r="G77" s="147" t="s">
        <v>413</v>
      </c>
      <c r="H77" s="147" t="s">
        <v>413</v>
      </c>
      <c r="I77" s="147" t="s">
        <v>257</v>
      </c>
      <c r="J77" s="147"/>
      <c r="K77" s="147">
        <f t="shared" si="0"/>
        <v>7717.3530000000001</v>
      </c>
      <c r="L77" s="147"/>
      <c r="M77" s="147"/>
      <c r="N77" s="141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</row>
    <row r="78" spans="1:580" s="77" customFormat="1" x14ac:dyDescent="0.3">
      <c r="A78" s="142" t="s">
        <v>461</v>
      </c>
      <c r="B78" s="147">
        <f>_xlfn.XLOOKUP(A78,'Base de Dados'!D:D,'Base de Dados'!C:C)</f>
        <v>4508894918</v>
      </c>
      <c r="C78" s="168" t="s">
        <v>462</v>
      </c>
      <c r="D78" s="144">
        <v>46139</v>
      </c>
      <c r="E78" s="157">
        <v>46205</v>
      </c>
      <c r="F78" s="147" t="s">
        <v>412</v>
      </c>
      <c r="G78" s="147" t="s">
        <v>413</v>
      </c>
      <c r="H78" s="147" t="s">
        <v>413</v>
      </c>
      <c r="I78" s="147" t="s">
        <v>257</v>
      </c>
      <c r="J78" s="147"/>
      <c r="K78" s="147">
        <f t="shared" si="0"/>
        <v>7717.3530000000001</v>
      </c>
      <c r="L78" s="147"/>
      <c r="M78" s="147"/>
      <c r="N78" s="141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</row>
    <row r="79" spans="1:580" s="77" customFormat="1" x14ac:dyDescent="0.3">
      <c r="A79" s="142" t="s">
        <v>461</v>
      </c>
      <c r="B79" s="147">
        <f>_xlfn.XLOOKUP(A79,'Base de Dados'!D:D,'Base de Dados'!C:C)</f>
        <v>4508894918</v>
      </c>
      <c r="C79" s="168" t="s">
        <v>462</v>
      </c>
      <c r="D79" s="144">
        <v>46139</v>
      </c>
      <c r="E79" s="157">
        <v>46205</v>
      </c>
      <c r="F79" s="147" t="s">
        <v>412</v>
      </c>
      <c r="G79" s="147" t="s">
        <v>413</v>
      </c>
      <c r="H79" s="147" t="s">
        <v>413</v>
      </c>
      <c r="I79" s="147" t="s">
        <v>257</v>
      </c>
      <c r="J79" s="147"/>
      <c r="K79" s="147">
        <f t="shared" si="0"/>
        <v>7717.3530000000001</v>
      </c>
      <c r="L79" s="147"/>
      <c r="M79" s="147"/>
      <c r="N79" s="141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</row>
    <row r="80" spans="1:580" s="77" customFormat="1" x14ac:dyDescent="0.3">
      <c r="A80" s="142" t="s">
        <v>461</v>
      </c>
      <c r="B80" s="147">
        <f>_xlfn.XLOOKUP(A80,'Base de Dados'!D:D,'Base de Dados'!C:C)</f>
        <v>4508894918</v>
      </c>
      <c r="C80" s="168" t="s">
        <v>462</v>
      </c>
      <c r="D80" s="144">
        <v>46139</v>
      </c>
      <c r="E80" s="157">
        <v>46205</v>
      </c>
      <c r="F80" s="147" t="s">
        <v>412</v>
      </c>
      <c r="G80" s="147" t="s">
        <v>413</v>
      </c>
      <c r="H80" s="147" t="s">
        <v>413</v>
      </c>
      <c r="I80" s="147" t="s">
        <v>257</v>
      </c>
      <c r="J80" s="147"/>
      <c r="K80" s="147">
        <f t="shared" si="0"/>
        <v>7717.3530000000001</v>
      </c>
      <c r="L80" s="147"/>
      <c r="M80" s="147"/>
      <c r="N80" s="141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</row>
    <row r="81" spans="1:580" s="77" customFormat="1" x14ac:dyDescent="0.3">
      <c r="A81" s="142" t="s">
        <v>461</v>
      </c>
      <c r="B81" s="147">
        <f>_xlfn.XLOOKUP(A81,'Base de Dados'!D:D,'Base de Dados'!C:C)</f>
        <v>4508894918</v>
      </c>
      <c r="C81" s="168" t="s">
        <v>462</v>
      </c>
      <c r="D81" s="144">
        <v>46139</v>
      </c>
      <c r="E81" s="157">
        <v>46205</v>
      </c>
      <c r="F81" s="147" t="s">
        <v>412</v>
      </c>
      <c r="G81" s="147" t="s">
        <v>413</v>
      </c>
      <c r="H81" s="147" t="s">
        <v>413</v>
      </c>
      <c r="I81" s="147" t="s">
        <v>257</v>
      </c>
      <c r="J81" s="147"/>
      <c r="K81" s="147">
        <f t="shared" si="0"/>
        <v>7717.3530000000001</v>
      </c>
      <c r="L81" s="147"/>
      <c r="M81" s="147"/>
      <c r="N81" s="14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</row>
    <row r="82" spans="1:580" s="77" customFormat="1" x14ac:dyDescent="0.3">
      <c r="A82" s="142" t="s">
        <v>461</v>
      </c>
      <c r="B82" s="147">
        <f>_xlfn.XLOOKUP(A82,'Base de Dados'!D:D,'Base de Dados'!C:C)</f>
        <v>4508894918</v>
      </c>
      <c r="C82" s="168" t="s">
        <v>462</v>
      </c>
      <c r="D82" s="144">
        <v>46139</v>
      </c>
      <c r="E82" s="157">
        <v>46205</v>
      </c>
      <c r="F82" s="147" t="s">
        <v>412</v>
      </c>
      <c r="G82" s="147" t="s">
        <v>413</v>
      </c>
      <c r="H82" s="147" t="s">
        <v>413</v>
      </c>
      <c r="I82" s="147" t="s">
        <v>257</v>
      </c>
      <c r="J82" s="147"/>
      <c r="K82" s="147">
        <f t="shared" si="0"/>
        <v>7717.3530000000001</v>
      </c>
      <c r="L82" s="147"/>
      <c r="M82" s="147"/>
      <c r="N82" s="141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</row>
    <row r="83" spans="1:580" s="76" customFormat="1" x14ac:dyDescent="0.3">
      <c r="A83" s="133" t="s">
        <v>463</v>
      </c>
      <c r="B83" s="147">
        <f>_xlfn.XLOOKUP(A83,'Base de Dados'!D:D,'Base de Dados'!C:C)</f>
        <v>4508894928</v>
      </c>
      <c r="C83" s="155" t="s">
        <v>341</v>
      </c>
      <c r="D83" s="137">
        <v>46147</v>
      </c>
      <c r="E83" s="169">
        <v>46198</v>
      </c>
      <c r="F83" s="154" t="s">
        <v>412</v>
      </c>
      <c r="G83" s="154" t="s">
        <v>464</v>
      </c>
      <c r="H83" s="154"/>
      <c r="I83" s="154" t="s">
        <v>407</v>
      </c>
      <c r="J83" s="154"/>
      <c r="K83" s="156">
        <v>3975</v>
      </c>
      <c r="L83" s="158">
        <v>46204</v>
      </c>
      <c r="M83" s="158">
        <v>46246</v>
      </c>
      <c r="N83" s="138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</row>
    <row r="84" spans="1:580" s="76" customFormat="1" x14ac:dyDescent="0.3">
      <c r="A84" s="133" t="s">
        <v>463</v>
      </c>
      <c r="B84" s="147">
        <f>_xlfn.XLOOKUP(A84,'Base de Dados'!D:D,'Base de Dados'!C:C)</f>
        <v>4508894928</v>
      </c>
      <c r="C84" s="155" t="s">
        <v>341</v>
      </c>
      <c r="D84" s="137">
        <v>46147</v>
      </c>
      <c r="E84" s="169">
        <v>46198</v>
      </c>
      <c r="F84" s="154" t="s">
        <v>412</v>
      </c>
      <c r="G84" s="154" t="s">
        <v>464</v>
      </c>
      <c r="H84" s="154"/>
      <c r="I84" s="154" t="s">
        <v>407</v>
      </c>
      <c r="J84" s="154"/>
      <c r="K84" s="156">
        <v>3975</v>
      </c>
      <c r="L84" s="158">
        <v>46204</v>
      </c>
      <c r="M84" s="158">
        <v>46246</v>
      </c>
      <c r="N84" s="138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</row>
    <row r="85" spans="1:580" x14ac:dyDescent="0.3">
      <c r="A85" s="142" t="s">
        <v>465</v>
      </c>
      <c r="B85" s="147">
        <f>_xlfn.XLOOKUP(A85,'Base de Dados'!D:D,'Base de Dados'!C:C)</f>
        <v>4508896119</v>
      </c>
      <c r="C85" s="168" t="s">
        <v>466</v>
      </c>
      <c r="D85" s="144">
        <v>46147</v>
      </c>
      <c r="E85" s="157">
        <v>46203</v>
      </c>
      <c r="F85" s="147" t="s">
        <v>412</v>
      </c>
      <c r="G85" s="147"/>
      <c r="H85" s="147"/>
      <c r="I85" s="147"/>
      <c r="J85" s="147"/>
      <c r="K85" s="153"/>
      <c r="L85" s="171">
        <v>46211</v>
      </c>
      <c r="M85" s="171">
        <v>46268</v>
      </c>
      <c r="N85" s="141"/>
    </row>
    <row r="86" spans="1:580" x14ac:dyDescent="0.3">
      <c r="A86" s="142" t="s">
        <v>467</v>
      </c>
      <c r="B86" s="147">
        <f>_xlfn.XLOOKUP(A86,'Base de Dados'!D:D,'Base de Dados'!C:C)</f>
        <v>4508894942</v>
      </c>
      <c r="C86" s="168" t="s">
        <v>468</v>
      </c>
      <c r="D86" s="144">
        <v>46147</v>
      </c>
      <c r="E86" s="157">
        <v>46212</v>
      </c>
      <c r="F86" s="147" t="s">
        <v>412</v>
      </c>
      <c r="G86" s="147"/>
      <c r="H86" s="147"/>
      <c r="I86" s="147"/>
      <c r="J86" s="147"/>
      <c r="K86" s="153"/>
      <c r="L86" s="147"/>
      <c r="M86" s="147"/>
      <c r="N86" s="141"/>
    </row>
    <row r="87" spans="1:580" s="76" customFormat="1" x14ac:dyDescent="0.3">
      <c r="A87" s="133" t="s">
        <v>469</v>
      </c>
      <c r="B87" s="147">
        <f>_xlfn.XLOOKUP(A87,'Base de Dados'!D:D,'Base de Dados'!C:C)</f>
        <v>4508897826</v>
      </c>
      <c r="C87" s="170" t="s">
        <v>439</v>
      </c>
      <c r="D87" s="137">
        <v>46147</v>
      </c>
      <c r="E87" s="169">
        <v>46199</v>
      </c>
      <c r="F87" s="154" t="s">
        <v>412</v>
      </c>
      <c r="G87" s="154"/>
      <c r="H87" s="154"/>
      <c r="I87" s="154" t="s">
        <v>361</v>
      </c>
      <c r="J87" s="154"/>
      <c r="K87" s="156">
        <v>7600</v>
      </c>
      <c r="L87" s="154"/>
      <c r="M87" s="154"/>
      <c r="N87" s="138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</row>
    <row r="88" spans="1:580" x14ac:dyDescent="0.3">
      <c r="A88" s="142" t="s">
        <v>470</v>
      </c>
      <c r="B88" s="147">
        <f>_xlfn.XLOOKUP(A88,'Base de Dados'!D:D,'Base de Dados'!C:C)</f>
        <v>4508896055</v>
      </c>
      <c r="C88" s="168" t="s">
        <v>471</v>
      </c>
      <c r="D88" s="144">
        <v>46160</v>
      </c>
      <c r="E88" s="157">
        <v>46225</v>
      </c>
      <c r="F88" s="147" t="s">
        <v>412</v>
      </c>
      <c r="G88" s="147"/>
      <c r="H88" s="147"/>
      <c r="I88" s="147"/>
      <c r="J88" s="147"/>
      <c r="K88" s="153"/>
      <c r="L88" s="147"/>
      <c r="M88" s="147"/>
      <c r="N88" s="141"/>
    </row>
    <row r="89" spans="1:580" x14ac:dyDescent="0.3">
      <c r="A89" s="142" t="s">
        <v>472</v>
      </c>
      <c r="B89" s="147">
        <f>_xlfn.XLOOKUP(A89,'Base de Dados'!D:D,'Base de Dados'!C:C)</f>
        <v>4508896073</v>
      </c>
      <c r="C89" s="168" t="s">
        <v>473</v>
      </c>
      <c r="D89" s="144">
        <v>46155</v>
      </c>
      <c r="E89" s="157">
        <v>46230</v>
      </c>
      <c r="F89" s="147" t="s">
        <v>412</v>
      </c>
      <c r="G89" s="147"/>
      <c r="H89" s="147"/>
      <c r="I89" s="147"/>
      <c r="J89" s="147"/>
      <c r="K89" s="153"/>
      <c r="L89" s="147"/>
      <c r="M89" s="147"/>
      <c r="N89" s="141"/>
    </row>
    <row r="90" spans="1:580" x14ac:dyDescent="0.3">
      <c r="A90" s="142" t="s">
        <v>474</v>
      </c>
      <c r="B90" s="147">
        <f>_xlfn.XLOOKUP(A90,'Base de Dados'!D:D,'Base de Dados'!C:C)</f>
        <v>4508918015</v>
      </c>
      <c r="C90" s="168" t="s">
        <v>475</v>
      </c>
      <c r="D90" s="144">
        <v>46182</v>
      </c>
      <c r="E90" s="157">
        <v>46231</v>
      </c>
      <c r="F90" s="147" t="s">
        <v>412</v>
      </c>
      <c r="G90" s="147"/>
      <c r="H90" s="147"/>
      <c r="I90" s="147"/>
      <c r="J90" s="147"/>
      <c r="K90" s="153"/>
      <c r="L90" s="147"/>
      <c r="M90" s="147"/>
      <c r="N90" s="141"/>
    </row>
    <row r="91" spans="1:580" x14ac:dyDescent="0.3">
      <c r="A91" s="142" t="s">
        <v>476</v>
      </c>
      <c r="B91" s="147">
        <f>_xlfn.XLOOKUP(A91,'Base de Dados'!D:D,'Base de Dados'!C:C)</f>
        <v>4508896020</v>
      </c>
      <c r="C91" s="168" t="s">
        <v>254</v>
      </c>
      <c r="D91" s="144">
        <v>46182</v>
      </c>
      <c r="E91" s="157">
        <v>46223</v>
      </c>
      <c r="F91" s="147" t="s">
        <v>412</v>
      </c>
      <c r="G91" s="147"/>
      <c r="H91" s="147"/>
      <c r="I91" s="147"/>
      <c r="J91" s="147"/>
      <c r="K91" s="153"/>
      <c r="L91" s="147"/>
      <c r="M91" s="147"/>
      <c r="N91" s="141"/>
    </row>
    <row r="92" spans="1:580" x14ac:dyDescent="0.3">
      <c r="A92" s="142" t="s">
        <v>477</v>
      </c>
      <c r="B92" s="147">
        <f>_xlfn.XLOOKUP(A92,'Base de Dados'!D:D,'Base de Dados'!C:C)</f>
        <v>4508896009</v>
      </c>
      <c r="C92" s="168" t="s">
        <v>341</v>
      </c>
      <c r="D92" s="144">
        <v>46182</v>
      </c>
      <c r="E92" s="157">
        <v>46244</v>
      </c>
      <c r="F92" s="147" t="s">
        <v>412</v>
      </c>
      <c r="G92" s="147"/>
      <c r="H92" s="147"/>
      <c r="I92" s="147"/>
      <c r="J92" s="147"/>
      <c r="K92" s="153"/>
      <c r="L92" s="147"/>
      <c r="M92" s="147"/>
      <c r="N92" s="141"/>
    </row>
    <row r="93" spans="1:580" x14ac:dyDescent="0.3">
      <c r="A93" s="142" t="s">
        <v>478</v>
      </c>
      <c r="B93" s="147">
        <f>_xlfn.XLOOKUP(A93,'Base de Dados'!D:D,'Base de Dados'!C:C)</f>
        <v>4508896000</v>
      </c>
      <c r="C93" s="168" t="s">
        <v>479</v>
      </c>
      <c r="D93" s="144">
        <v>46182</v>
      </c>
      <c r="E93" s="157">
        <v>46236</v>
      </c>
      <c r="F93" s="147" t="s">
        <v>412</v>
      </c>
      <c r="G93" s="147"/>
      <c r="H93" s="147"/>
      <c r="I93" s="147"/>
      <c r="J93" s="147"/>
      <c r="K93" s="153"/>
      <c r="L93" s="147"/>
      <c r="M93" s="147"/>
      <c r="N93" s="141"/>
    </row>
    <row r="94" spans="1:580" x14ac:dyDescent="0.3">
      <c r="A94" s="142" t="s">
        <v>480</v>
      </c>
      <c r="B94" s="147">
        <f>_xlfn.XLOOKUP(A94,'Base de Dados'!D:D,'Base de Dados'!C:C)</f>
        <v>4508895990</v>
      </c>
      <c r="C94" s="168" t="s">
        <v>481</v>
      </c>
      <c r="D94" s="144">
        <v>46182</v>
      </c>
      <c r="E94" s="144">
        <v>46244</v>
      </c>
      <c r="F94" s="171" t="s">
        <v>412</v>
      </c>
      <c r="G94" s="147"/>
      <c r="H94" s="147"/>
      <c r="I94" s="147"/>
      <c r="J94" s="147"/>
      <c r="K94" s="153"/>
      <c r="L94" s="147"/>
      <c r="M94" s="147"/>
      <c r="N94" s="141"/>
    </row>
    <row r="95" spans="1:580" x14ac:dyDescent="0.3">
      <c r="A95" s="142" t="s">
        <v>482</v>
      </c>
      <c r="B95" s="147">
        <f>_xlfn.XLOOKUP(A95,'Base de Dados'!D:D,'Base de Dados'!C:C)</f>
        <v>4508856527</v>
      </c>
      <c r="C95" s="168" t="s">
        <v>483</v>
      </c>
      <c r="D95" s="144">
        <v>46182</v>
      </c>
      <c r="E95" s="157">
        <v>46261</v>
      </c>
      <c r="F95" s="147" t="s">
        <v>412</v>
      </c>
      <c r="G95" s="147"/>
      <c r="H95" s="147"/>
      <c r="I95" s="147"/>
      <c r="J95" s="147"/>
      <c r="K95" s="153"/>
      <c r="L95" s="147"/>
      <c r="M95" s="147"/>
      <c r="N95" s="141"/>
    </row>
    <row r="96" spans="1:580" x14ac:dyDescent="0.3">
      <c r="A96" s="142" t="s">
        <v>484</v>
      </c>
      <c r="B96" s="147">
        <f>_xlfn.XLOOKUP(A96,'Base de Dados'!D:D,'Base de Dados'!C:C)</f>
        <v>4508856516</v>
      </c>
      <c r="C96" s="168" t="s">
        <v>485</v>
      </c>
      <c r="D96" s="144">
        <v>46182</v>
      </c>
      <c r="E96" s="157">
        <v>46261</v>
      </c>
      <c r="F96" s="147" t="s">
        <v>412</v>
      </c>
      <c r="G96" s="147"/>
      <c r="H96" s="147"/>
      <c r="I96" s="147"/>
      <c r="J96" s="147"/>
      <c r="K96" s="153"/>
      <c r="L96" s="147"/>
      <c r="M96" s="147"/>
      <c r="N96" s="141"/>
    </row>
    <row r="97" spans="1:14" x14ac:dyDescent="0.3">
      <c r="A97" s="142" t="s">
        <v>486</v>
      </c>
      <c r="B97" s="147">
        <f>_xlfn.XLOOKUP(A97,'Base de Dados'!D:D,'Base de Dados'!C:C)</f>
        <v>4508890168</v>
      </c>
      <c r="C97" s="168" t="s">
        <v>487</v>
      </c>
      <c r="D97" s="144">
        <v>46217</v>
      </c>
      <c r="E97" s="157">
        <v>46273</v>
      </c>
      <c r="F97" s="147" t="s">
        <v>412</v>
      </c>
      <c r="G97" s="147"/>
      <c r="H97" s="147"/>
      <c r="I97" s="147"/>
      <c r="J97" s="147"/>
      <c r="K97" s="153"/>
      <c r="L97" s="147"/>
      <c r="M97" s="147"/>
      <c r="N97" s="141"/>
    </row>
  </sheetData>
  <autoFilter ref="A2:VH2" xr:uid="{2D39E502-6821-441E-A3F5-8A10E09E49D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AEC9-B8F2-4055-9EB5-F62769CA8778}">
  <sheetPr filterMode="1">
    <tabColor rgb="FF0070C0"/>
  </sheetPr>
  <dimension ref="A1:AX1048553"/>
  <sheetViews>
    <sheetView zoomScale="70" zoomScaleNormal="70" workbookViewId="0">
      <pane ySplit="4" topLeftCell="A5" activePane="bottomLeft" state="frozen"/>
      <selection pane="bottomLeft" activeCell="E142" sqref="E142"/>
    </sheetView>
  </sheetViews>
  <sheetFormatPr defaultColWidth="9.109375" defaultRowHeight="14.4" x14ac:dyDescent="0.3"/>
  <cols>
    <col min="1" max="1" width="13" customWidth="1"/>
    <col min="2" max="2" width="14.44140625" customWidth="1"/>
    <col min="3" max="3" width="36.44140625" bestFit="1" customWidth="1"/>
    <col min="4" max="4" width="21.44140625" customWidth="1"/>
    <col min="5" max="5" width="12.44140625" customWidth="1"/>
    <col min="6" max="6" width="70" bestFit="1" customWidth="1"/>
    <col min="7" max="7" width="21.109375" customWidth="1"/>
    <col min="8" max="33" width="21.109375" style="61" customWidth="1"/>
    <col min="34" max="34" width="14.6640625" style="61" customWidth="1"/>
    <col min="35" max="37" width="21.109375" style="61" customWidth="1"/>
    <col min="38" max="41" width="21.109375" customWidth="1"/>
    <col min="42" max="43" width="11.44140625" bestFit="1" customWidth="1"/>
    <col min="44" max="46" width="9.109375" customWidth="1"/>
  </cols>
  <sheetData>
    <row r="1" spans="1:50" ht="30.75" customHeight="1" x14ac:dyDescent="0.3">
      <c r="A1" s="344" t="e" vm="1">
        <v>#VALUE!</v>
      </c>
      <c r="B1" s="344"/>
      <c r="C1" s="344"/>
      <c r="D1" s="344" t="e" vm="2">
        <v>#VALUE!</v>
      </c>
      <c r="E1" s="346"/>
      <c r="F1" s="195" t="s">
        <v>87</v>
      </c>
      <c r="G1" s="202">
        <v>46213</v>
      </c>
      <c r="H1" s="210">
        <f>_xlfn.XLOOKUP(H4,Consolidado!$A:$A,Consolidado!$D:$D)</f>
        <v>46014</v>
      </c>
      <c r="I1" s="210">
        <f>_xlfn.XLOOKUP(I4,Consolidado!$A:$A,Consolidado!$D:$D)</f>
        <v>46084</v>
      </c>
      <c r="J1" s="210" t="str">
        <f>_xlfn.XLOOKUP(J4,Consolidado!$A:$A,Consolidado!$D:$D)</f>
        <v>Novo desenvolvimento</v>
      </c>
      <c r="K1" s="210" t="str">
        <f>_xlfn.XLOOKUP(K4,Consolidado!$A:$A,Consolidado!$D:$D)</f>
        <v>Novo desenvolvimento</v>
      </c>
      <c r="L1" s="210">
        <v>46100</v>
      </c>
      <c r="M1" s="210">
        <v>46504</v>
      </c>
      <c r="N1" s="210" t="e">
        <f>_xlfn.XLOOKUP(N4,Consolidado!$A:$A,Consolidado!$D:$D)</f>
        <v>#N/A</v>
      </c>
      <c r="O1" s="210" t="str">
        <f>_xlfn.XLOOKUP(O4,Consolidado!$A:$A,Consolidado!$D:$D)</f>
        <v>Novo desenvolvimento</v>
      </c>
      <c r="P1" s="210">
        <f>_xlfn.XLOOKUP(P4,Consolidado!$A:$A,Consolidado!$D:$D)</f>
        <v>46090</v>
      </c>
      <c r="Q1" s="210">
        <f>_xlfn.XLOOKUP(Q4,Consolidado!$A:$A,Consolidado!$D:$D)</f>
        <v>46160</v>
      </c>
      <c r="R1" s="210">
        <f>_xlfn.XLOOKUP(R4,Consolidado!$A:$A,Consolidado!$D:$D)</f>
        <v>46090</v>
      </c>
      <c r="S1" s="210">
        <f>_xlfn.XLOOKUP(S4,Consolidado!$A:$A,Consolidado!$D:$D)</f>
        <v>46093</v>
      </c>
      <c r="T1" s="210">
        <f>_xlfn.XLOOKUP(T4,Consolidado!$A:$A,Consolidado!$D:$D)</f>
        <v>46093</v>
      </c>
      <c r="U1" s="210">
        <f>_xlfn.XLOOKUP(U4,Consolidado!$A:$A,Consolidado!$D:$D)</f>
        <v>46108</v>
      </c>
      <c r="V1" s="210">
        <f>_xlfn.XLOOKUP(V4,Consolidado!$A:$A,Consolidado!$D:$D)</f>
        <v>46093</v>
      </c>
      <c r="W1" s="210" t="str">
        <f>_xlfn.XLOOKUP(W4,Consolidado!$A:$A,Consolidado!$D:$D)</f>
        <v>-</v>
      </c>
      <c r="X1" s="210">
        <f>_xlfn.XLOOKUP(X4,Consolidado!$A:$A,Consolidado!$D:$D)</f>
        <v>46139</v>
      </c>
      <c r="Y1" s="210">
        <f>_xlfn.XLOOKUP(Y4,Consolidado!$A:$A,Consolidado!$D:$D)</f>
        <v>46139</v>
      </c>
      <c r="Z1" s="210">
        <f>_xlfn.XLOOKUP(Z4,Consolidado!$A:$A,Consolidado!$D:$D)</f>
        <v>46139</v>
      </c>
      <c r="AA1" s="210">
        <f>_xlfn.XLOOKUP(AA4,Consolidado!$A:$A,Consolidado!$D:$D)</f>
        <v>46139</v>
      </c>
      <c r="AB1" s="210">
        <f>_xlfn.XLOOKUP(AB4,Consolidado!$A:$A,Consolidado!$D:$D)</f>
        <v>46139</v>
      </c>
      <c r="AC1" s="210">
        <f>_xlfn.XLOOKUP(AC4,Consolidado!$A:$A,Consolidado!$D:$D)</f>
        <v>46139</v>
      </c>
      <c r="AD1" s="210">
        <f>_xlfn.XLOOKUP(AD4,Consolidado!$A:$A,Consolidado!$D:$D)</f>
        <v>46147</v>
      </c>
      <c r="AE1" s="210">
        <f>_xlfn.XLOOKUP(AE4,Consolidado!$A:$A,Consolidado!$D:$D)</f>
        <v>46147</v>
      </c>
      <c r="AF1" s="210">
        <f>_xlfn.XLOOKUP(AF4,Consolidado!$A:$A,Consolidado!$D:$D)</f>
        <v>46147</v>
      </c>
      <c r="AG1" s="210">
        <f>_xlfn.XLOOKUP(AG4,Consolidado!$A:$A,Consolidado!$D:$D)</f>
        <v>46147</v>
      </c>
      <c r="AH1" s="210">
        <f>_xlfn.XLOOKUP(AH4,Consolidado!$A:$A,Consolidado!$D:$D)</f>
        <v>46160</v>
      </c>
      <c r="AI1" s="210">
        <f>_xlfn.XLOOKUP(AI4,Consolidado!$A:$A,Consolidado!$D:$D)</f>
        <v>46155</v>
      </c>
      <c r="AJ1" s="210">
        <f>_xlfn.XLOOKUP(AJ4,Consolidado!$A:$A,Consolidado!$D:$D)</f>
        <v>46182</v>
      </c>
      <c r="AK1" s="210">
        <f>_xlfn.XLOOKUP(AK4,Consolidado!$A:$A,Consolidado!$D:$D)</f>
        <v>46182</v>
      </c>
      <c r="AL1" s="210">
        <f>_xlfn.XLOOKUP(AL4,Consolidado!$A:$A,Consolidado!$D:$D)</f>
        <v>46182</v>
      </c>
      <c r="AM1" s="210">
        <f>_xlfn.XLOOKUP(AM4,Consolidado!$A:$A,Consolidado!$D:$D)</f>
        <v>46182</v>
      </c>
      <c r="AN1" s="210">
        <f>_xlfn.XLOOKUP(AN4,Consolidado!$A:$A,Consolidado!$D:$D)</f>
        <v>46182</v>
      </c>
      <c r="AO1" s="210">
        <f>_xlfn.XLOOKUP(AO4,Consolidado!$A:$A,Consolidado!$D:$D)</f>
        <v>46182</v>
      </c>
      <c r="AP1" s="210">
        <f>_xlfn.XLOOKUP(AP4,Consolidado!$A:$A,Consolidado!$D:$D)</f>
        <v>46182</v>
      </c>
      <c r="AQ1" s="210">
        <f>_xlfn.XLOOKUP(AQ4,Consolidado!$A:$A,Consolidado!$D:$D)</f>
        <v>46217</v>
      </c>
      <c r="AR1" s="210" t="e">
        <f>_xlfn.XLOOKUP(AR4,Consolidado!$A:$A,Consolidado!$D:$D)</f>
        <v>#N/A</v>
      </c>
      <c r="AS1" s="210" t="e">
        <f>_xlfn.XLOOKUP(AS4,Consolidado!$A:$A,Consolidado!$D:$D)</f>
        <v>#N/A</v>
      </c>
      <c r="AT1" s="196"/>
    </row>
    <row r="2" spans="1:50" ht="31.5" customHeight="1" x14ac:dyDescent="0.3">
      <c r="A2" s="344"/>
      <c r="B2" s="344"/>
      <c r="C2" s="344"/>
      <c r="D2" s="344"/>
      <c r="E2" s="346"/>
      <c r="F2" s="184" t="s">
        <v>88</v>
      </c>
      <c r="G2" s="203">
        <f>G1+45</f>
        <v>46258</v>
      </c>
      <c r="H2" s="185">
        <v>46092</v>
      </c>
      <c r="I2" s="185">
        <v>46064</v>
      </c>
      <c r="J2" s="185">
        <v>46126</v>
      </c>
      <c r="K2" s="185">
        <f>_xlfn.XLOOKUP(K4,Consolidado!$A:$A,Consolidado!$E:$E)</f>
        <v>46234</v>
      </c>
      <c r="L2" s="185" t="e">
        <f>_xlfn.XLOOKUP(L4,Consolidado!$A:$A,Consolidado!$E:$E)</f>
        <v>#N/A</v>
      </c>
      <c r="M2" s="185" t="e">
        <f>_xlfn.XLOOKUP(M4,Consolidado!$A:$A,Consolidado!$E:$E)</f>
        <v>#N/A</v>
      </c>
      <c r="N2" s="185" t="e">
        <f>_xlfn.XLOOKUP(N4,Consolidado!$A:$A,Consolidado!$E:$E)</f>
        <v>#N/A</v>
      </c>
      <c r="O2" s="185">
        <f>_xlfn.XLOOKUP(O4,Consolidado!$A:$A,Consolidado!$E:$E)</f>
        <v>46249</v>
      </c>
      <c r="P2" s="185">
        <f>_xlfn.XLOOKUP(P4,Consolidado!$A:$A,Consolidado!$E:$E)</f>
        <v>46139</v>
      </c>
      <c r="Q2" s="185">
        <f>_xlfn.XLOOKUP(Q4,Consolidado!$A:$A,Consolidado!$E:$E)</f>
        <v>46226</v>
      </c>
      <c r="R2" s="185">
        <f>_xlfn.XLOOKUP(R4,Consolidado!$A:$A,Consolidado!$E:$E)</f>
        <v>46150</v>
      </c>
      <c r="S2" s="185">
        <f>_xlfn.XLOOKUP(S4,Consolidado!$A:$A,Consolidado!$E:$E)</f>
        <v>46147</v>
      </c>
      <c r="T2" s="185">
        <f>_xlfn.XLOOKUP(T4,Consolidado!$A:$A,Consolidado!$E:$E)</f>
        <v>46162</v>
      </c>
      <c r="U2" s="185">
        <f>_xlfn.XLOOKUP(U4,Consolidado!$A:$A,Consolidado!$E:$E)</f>
        <v>46177</v>
      </c>
      <c r="V2" s="185">
        <f>_xlfn.XLOOKUP(V4,Consolidado!$A:$A,Consolidado!$E:$E)</f>
        <v>46177</v>
      </c>
      <c r="W2" s="185">
        <f>_xlfn.XLOOKUP(W4,Consolidado!$A:$A,Consolidado!$E:$E)</f>
        <v>46178</v>
      </c>
      <c r="X2" s="185">
        <f>_xlfn.XLOOKUP(X4,Consolidado!$A:$A,Consolidado!$E:$E)</f>
        <v>46198</v>
      </c>
      <c r="Y2" s="185">
        <f>_xlfn.XLOOKUP(Y4,Consolidado!$A:$A,Consolidado!$E:$E)</f>
        <v>46190</v>
      </c>
      <c r="Z2" s="185">
        <f>_xlfn.XLOOKUP(Z4,Consolidado!$A:$A,Consolidado!$E:$E)</f>
        <v>46172</v>
      </c>
      <c r="AA2" s="185">
        <f>_xlfn.XLOOKUP(AA4,Consolidado!$A:$A,Consolidado!$E:$E)</f>
        <v>46188</v>
      </c>
      <c r="AB2" s="185">
        <f>_xlfn.XLOOKUP(AB4,Consolidado!$A:$A,Consolidado!$E:$E)</f>
        <v>46183</v>
      </c>
      <c r="AC2" s="185">
        <f>_xlfn.XLOOKUP(AC4,Consolidado!$A:$A,Consolidado!$E:$E)</f>
        <v>46205</v>
      </c>
      <c r="AD2" s="185">
        <f>_xlfn.XLOOKUP(AD4,Consolidado!$A:$A,Consolidado!$E:$E)</f>
        <v>46198</v>
      </c>
      <c r="AE2" s="185">
        <f>_xlfn.XLOOKUP(AE4,Consolidado!$A:$A,Consolidado!$E:$E)</f>
        <v>46203</v>
      </c>
      <c r="AF2" s="185">
        <f>_xlfn.XLOOKUP(AF4,Consolidado!$A:$A,Consolidado!$E:$E)</f>
        <v>46212</v>
      </c>
      <c r="AG2" s="185">
        <f>_xlfn.XLOOKUP(AG4,Consolidado!$A:$A,Consolidado!$E:$E)</f>
        <v>46199</v>
      </c>
      <c r="AH2" s="185">
        <f>_xlfn.XLOOKUP(AH4,Consolidado!$A:$A,Consolidado!$E:$E)</f>
        <v>46225</v>
      </c>
      <c r="AI2" s="185">
        <f>_xlfn.XLOOKUP(AI4,Consolidado!$A:$A,Consolidado!$E:$E)</f>
        <v>46230</v>
      </c>
      <c r="AJ2" s="185">
        <f>_xlfn.XLOOKUP(AJ4,Consolidado!$A:$A,Consolidado!$E:$E)</f>
        <v>46223</v>
      </c>
      <c r="AK2" s="185">
        <f>_xlfn.XLOOKUP(AK4,Consolidado!$A:$A,Consolidado!$E:$E)</f>
        <v>46231</v>
      </c>
      <c r="AL2" s="185">
        <f>_xlfn.XLOOKUP(AL4,Consolidado!$A:$A,Consolidado!$E:$E)</f>
        <v>46244</v>
      </c>
      <c r="AM2" s="185">
        <f>_xlfn.XLOOKUP(AM4,Consolidado!$A:$A,Consolidado!$E:$E)</f>
        <v>46236</v>
      </c>
      <c r="AN2" s="185">
        <f>_xlfn.XLOOKUP(AN4,Consolidado!$A:$A,Consolidado!$E:$E)</f>
        <v>46244</v>
      </c>
      <c r="AO2" s="185">
        <f>_xlfn.XLOOKUP(AO4,Consolidado!$A:$A,Consolidado!$E:$E)</f>
        <v>46261</v>
      </c>
      <c r="AP2" s="185">
        <f>_xlfn.XLOOKUP(AP4,Consolidado!$A:$A,Consolidado!$E:$E)</f>
        <v>46261</v>
      </c>
      <c r="AQ2" s="185">
        <f>_xlfn.XLOOKUP(AQ4,Consolidado!$A:$A,Consolidado!$E:$E)</f>
        <v>46273</v>
      </c>
      <c r="AR2" s="185" t="e">
        <f>_xlfn.XLOOKUP(AR4,Consolidado!$A:$A,Consolidado!$E:$E)</f>
        <v>#N/A</v>
      </c>
      <c r="AS2" s="185" t="e">
        <f>_xlfn.XLOOKUP(AS4,Consolidado!$A:$A,Consolidado!$E:$E)</f>
        <v>#N/A</v>
      </c>
      <c r="AT2" s="187"/>
    </row>
    <row r="3" spans="1:50" ht="23.25" customHeight="1" x14ac:dyDescent="0.3">
      <c r="A3" s="345"/>
      <c r="B3" s="345"/>
      <c r="C3" s="345"/>
      <c r="D3" s="345"/>
      <c r="E3" s="347"/>
      <c r="F3" s="184" t="s">
        <v>89</v>
      </c>
      <c r="G3" s="203">
        <f>G2+60</f>
        <v>46318</v>
      </c>
      <c r="H3" s="185">
        <v>46153</v>
      </c>
      <c r="I3" s="185">
        <v>46142</v>
      </c>
      <c r="J3" s="185">
        <v>46187</v>
      </c>
      <c r="K3" s="185">
        <f t="shared" ref="K3:O3" si="0">K2+60</f>
        <v>46294</v>
      </c>
      <c r="L3" s="185" t="e">
        <f t="shared" si="0"/>
        <v>#N/A</v>
      </c>
      <c r="M3" s="185" t="e">
        <f t="shared" si="0"/>
        <v>#N/A</v>
      </c>
      <c r="N3" s="185" t="e">
        <f t="shared" si="0"/>
        <v>#N/A</v>
      </c>
      <c r="O3" s="185">
        <f t="shared" si="0"/>
        <v>46309</v>
      </c>
      <c r="P3" s="185">
        <v>46191</v>
      </c>
      <c r="Q3" s="185">
        <f t="shared" ref="Q3:AS3" si="1">Q2+60</f>
        <v>46286</v>
      </c>
      <c r="R3" s="185">
        <f t="shared" si="1"/>
        <v>46210</v>
      </c>
      <c r="S3" s="185">
        <f t="shared" si="1"/>
        <v>46207</v>
      </c>
      <c r="T3" s="185">
        <f t="shared" si="1"/>
        <v>46222</v>
      </c>
      <c r="U3" s="185">
        <f t="shared" si="1"/>
        <v>46237</v>
      </c>
      <c r="V3" s="185">
        <f t="shared" si="1"/>
        <v>46237</v>
      </c>
      <c r="W3" s="185">
        <f t="shared" si="1"/>
        <v>46238</v>
      </c>
      <c r="X3" s="185">
        <f t="shared" si="1"/>
        <v>46258</v>
      </c>
      <c r="Y3" s="185">
        <f t="shared" si="1"/>
        <v>46250</v>
      </c>
      <c r="Z3" s="185">
        <f t="shared" si="1"/>
        <v>46232</v>
      </c>
      <c r="AA3" s="185">
        <f t="shared" si="1"/>
        <v>46248</v>
      </c>
      <c r="AB3" s="185">
        <f t="shared" si="1"/>
        <v>46243</v>
      </c>
      <c r="AC3" s="185">
        <f t="shared" si="1"/>
        <v>46265</v>
      </c>
      <c r="AD3" s="185">
        <f t="shared" si="1"/>
        <v>46258</v>
      </c>
      <c r="AE3" s="185">
        <f t="shared" si="1"/>
        <v>46263</v>
      </c>
      <c r="AF3" s="185">
        <f t="shared" si="1"/>
        <v>46272</v>
      </c>
      <c r="AG3" s="185">
        <f t="shared" si="1"/>
        <v>46259</v>
      </c>
      <c r="AH3" s="185">
        <f t="shared" si="1"/>
        <v>46285</v>
      </c>
      <c r="AI3" s="185">
        <f t="shared" si="1"/>
        <v>46290</v>
      </c>
      <c r="AJ3" s="185">
        <f t="shared" si="1"/>
        <v>46283</v>
      </c>
      <c r="AK3" s="185">
        <f t="shared" si="1"/>
        <v>46291</v>
      </c>
      <c r="AL3" s="185">
        <f t="shared" si="1"/>
        <v>46304</v>
      </c>
      <c r="AM3" s="185">
        <f t="shared" si="1"/>
        <v>46296</v>
      </c>
      <c r="AN3" s="185">
        <f t="shared" si="1"/>
        <v>46304</v>
      </c>
      <c r="AO3" s="185">
        <f t="shared" si="1"/>
        <v>46321</v>
      </c>
      <c r="AP3" s="185">
        <f t="shared" si="1"/>
        <v>46321</v>
      </c>
      <c r="AQ3" s="185">
        <f t="shared" si="1"/>
        <v>46333</v>
      </c>
      <c r="AR3" s="185" t="e">
        <f t="shared" si="1"/>
        <v>#N/A</v>
      </c>
      <c r="AS3" s="185" t="e">
        <f t="shared" si="1"/>
        <v>#N/A</v>
      </c>
      <c r="AT3" s="185"/>
    </row>
    <row r="4" spans="1:50" ht="49.5" customHeight="1" x14ac:dyDescent="0.3">
      <c r="A4" s="181" t="s">
        <v>1</v>
      </c>
      <c r="B4" s="181" t="s">
        <v>91</v>
      </c>
      <c r="C4" s="181" t="s">
        <v>92</v>
      </c>
      <c r="D4" s="209" t="s">
        <v>93</v>
      </c>
      <c r="E4" s="209" t="s">
        <v>94</v>
      </c>
      <c r="F4" s="200" t="s">
        <v>95</v>
      </c>
      <c r="G4" s="200" t="s">
        <v>488</v>
      </c>
      <c r="H4" s="201" t="s">
        <v>96</v>
      </c>
      <c r="I4" s="201" t="s">
        <v>98</v>
      </c>
      <c r="J4" s="201" t="s">
        <v>99</v>
      </c>
      <c r="K4" s="201" t="s">
        <v>101</v>
      </c>
      <c r="L4" s="201" t="s">
        <v>489</v>
      </c>
      <c r="M4" s="201" t="s">
        <v>490</v>
      </c>
      <c r="N4" s="201" t="s">
        <v>491</v>
      </c>
      <c r="O4" s="201" t="s">
        <v>103</v>
      </c>
      <c r="P4" s="201" t="s">
        <v>105</v>
      </c>
      <c r="Q4" s="201" t="s">
        <v>106</v>
      </c>
      <c r="R4" s="201" t="s">
        <v>107</v>
      </c>
      <c r="S4" s="201" t="s">
        <v>108</v>
      </c>
      <c r="T4" s="201" t="s">
        <v>109</v>
      </c>
      <c r="U4" s="201" t="s">
        <v>110</v>
      </c>
      <c r="V4" s="201" t="s">
        <v>111</v>
      </c>
      <c r="W4" s="201" t="s">
        <v>112</v>
      </c>
      <c r="X4" s="201" t="s">
        <v>113</v>
      </c>
      <c r="Y4" s="201" t="s">
        <v>114</v>
      </c>
      <c r="Z4" s="201" t="s">
        <v>115</v>
      </c>
      <c r="AA4" s="201" t="s">
        <v>116</v>
      </c>
      <c r="AB4" s="201" t="s">
        <v>117</v>
      </c>
      <c r="AC4" s="201" t="s">
        <v>118</v>
      </c>
      <c r="AD4" s="201" t="s">
        <v>119</v>
      </c>
      <c r="AE4" s="201" t="s">
        <v>120</v>
      </c>
      <c r="AF4" s="201" t="s">
        <v>121</v>
      </c>
      <c r="AG4" s="201" t="s">
        <v>122</v>
      </c>
      <c r="AH4" s="201" t="s">
        <v>123</v>
      </c>
      <c r="AI4" s="201" t="s">
        <v>124</v>
      </c>
      <c r="AJ4" s="201" t="s">
        <v>125</v>
      </c>
      <c r="AK4" s="201" t="s">
        <v>126</v>
      </c>
      <c r="AL4" s="201" t="s">
        <v>127</v>
      </c>
      <c r="AM4" s="201" t="s">
        <v>128</v>
      </c>
      <c r="AN4" s="201" t="s">
        <v>129</v>
      </c>
      <c r="AO4" s="201" t="s">
        <v>130</v>
      </c>
      <c r="AP4" s="201" t="s">
        <v>131</v>
      </c>
      <c r="AQ4" s="201" t="s">
        <v>132</v>
      </c>
      <c r="AR4" s="201" t="s">
        <v>133</v>
      </c>
      <c r="AS4" s="192" t="s">
        <v>134</v>
      </c>
      <c r="AT4" s="192" t="s">
        <v>492</v>
      </c>
    </row>
    <row r="5" spans="1:50" hidden="1" x14ac:dyDescent="0.3">
      <c r="A5" s="54">
        <v>1</v>
      </c>
      <c r="B5" s="59">
        <v>111001012</v>
      </c>
      <c r="C5" s="188" t="s">
        <v>493</v>
      </c>
      <c r="D5" s="191" t="s">
        <v>494</v>
      </c>
      <c r="E5" s="193">
        <v>238697</v>
      </c>
      <c r="F5" s="31" t="s">
        <v>10</v>
      </c>
      <c r="G5" s="52"/>
      <c r="H5" s="52">
        <v>1628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>
        <v>1400</v>
      </c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31"/>
      <c r="AN5" s="31"/>
      <c r="AO5" s="31"/>
      <c r="AP5" s="31"/>
      <c r="AQ5" s="31"/>
      <c r="AR5" s="79"/>
      <c r="AS5" s="31"/>
      <c r="AT5" s="31">
        <f>SUM(G5:AS5)</f>
        <v>3028</v>
      </c>
    </row>
    <row r="6" spans="1:50" hidden="1" x14ac:dyDescent="0.3">
      <c r="A6" s="54">
        <v>2</v>
      </c>
      <c r="B6" s="59">
        <v>111001012</v>
      </c>
      <c r="C6" s="188" t="s">
        <v>493</v>
      </c>
      <c r="D6" s="191" t="s">
        <v>494</v>
      </c>
      <c r="E6" s="193">
        <v>238698</v>
      </c>
      <c r="F6" s="31" t="s">
        <v>11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>
        <v>1112</v>
      </c>
      <c r="T6" s="52"/>
      <c r="U6" s="52">
        <v>1150</v>
      </c>
      <c r="V6" s="52"/>
      <c r="W6" s="52"/>
      <c r="X6" s="52"/>
      <c r="Y6" s="52">
        <v>1112</v>
      </c>
      <c r="Z6" s="52"/>
      <c r="AA6" s="52"/>
      <c r="AB6" s="52"/>
      <c r="AC6" s="52"/>
      <c r="AD6" s="52">
        <v>2224</v>
      </c>
      <c r="AE6" s="52"/>
      <c r="AF6" s="52">
        <v>476</v>
      </c>
      <c r="AG6" s="52"/>
      <c r="AH6" s="52"/>
      <c r="AI6" s="52"/>
      <c r="AJ6" s="52"/>
      <c r="AK6" s="52"/>
      <c r="AL6" s="52">
        <v>2224</v>
      </c>
      <c r="AM6" s="31"/>
      <c r="AN6" s="31"/>
      <c r="AO6" s="31"/>
      <c r="AP6" s="31"/>
      <c r="AQ6" s="31"/>
      <c r="AR6" s="79"/>
      <c r="AS6" s="31"/>
      <c r="AT6" s="31">
        <f t="shared" ref="AT6:AT69" si="2">SUM(G6:AS6)</f>
        <v>8298</v>
      </c>
      <c r="AW6">
        <v>373758</v>
      </c>
      <c r="AX6">
        <v>9000</v>
      </c>
    </row>
    <row r="7" spans="1:50" hidden="1" x14ac:dyDescent="0.3">
      <c r="A7" s="54">
        <v>3</v>
      </c>
      <c r="B7" s="59">
        <v>111001005</v>
      </c>
      <c r="C7" s="188" t="s">
        <v>495</v>
      </c>
      <c r="D7" s="191" t="s">
        <v>494</v>
      </c>
      <c r="E7" s="193">
        <v>238699</v>
      </c>
      <c r="F7" s="31" t="s">
        <v>12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31"/>
      <c r="AN7" s="31"/>
      <c r="AO7" s="31"/>
      <c r="AP7" s="31"/>
      <c r="AQ7" s="31"/>
      <c r="AR7" s="79"/>
      <c r="AS7" s="31"/>
      <c r="AT7" s="31">
        <f t="shared" si="2"/>
        <v>0</v>
      </c>
      <c r="AW7">
        <v>370451</v>
      </c>
      <c r="AX7">
        <v>5000</v>
      </c>
    </row>
    <row r="8" spans="1:50" hidden="1" x14ac:dyDescent="0.3">
      <c r="A8" s="54">
        <v>4</v>
      </c>
      <c r="B8" s="59">
        <v>111001020</v>
      </c>
      <c r="C8" s="188" t="s">
        <v>496</v>
      </c>
      <c r="D8" s="191" t="s">
        <v>494</v>
      </c>
      <c r="E8" s="193">
        <v>238700</v>
      </c>
      <c r="F8" s="31" t="s">
        <v>13</v>
      </c>
      <c r="G8" s="52"/>
      <c r="H8" s="52">
        <v>3804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>
        <v>3000</v>
      </c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31"/>
      <c r="AN8" s="31"/>
      <c r="AO8" s="31"/>
      <c r="AP8" s="31"/>
      <c r="AQ8" s="31">
        <v>3900</v>
      </c>
      <c r="AR8" s="79"/>
      <c r="AS8" s="31"/>
      <c r="AT8" s="31">
        <f t="shared" si="2"/>
        <v>10704</v>
      </c>
      <c r="AW8">
        <v>370452</v>
      </c>
      <c r="AX8">
        <v>2000</v>
      </c>
    </row>
    <row r="9" spans="1:50" hidden="1" x14ac:dyDescent="0.3">
      <c r="A9" s="54">
        <v>5</v>
      </c>
      <c r="B9" s="59">
        <v>111001013</v>
      </c>
      <c r="C9" s="188" t="s">
        <v>497</v>
      </c>
      <c r="D9" s="191" t="s">
        <v>494</v>
      </c>
      <c r="E9" s="193">
        <v>238721</v>
      </c>
      <c r="F9" s="31" t="s">
        <v>14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>
        <v>1920</v>
      </c>
      <c r="U9" s="52"/>
      <c r="V9" s="52"/>
      <c r="W9" s="52"/>
      <c r="X9" s="52"/>
      <c r="Y9" s="52"/>
      <c r="Z9" s="52"/>
      <c r="AA9" s="52"/>
      <c r="AB9" s="52">
        <v>2004</v>
      </c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31"/>
      <c r="AN9" s="31"/>
      <c r="AO9" s="31"/>
      <c r="AP9" s="31">
        <v>1920</v>
      </c>
      <c r="AQ9" s="31"/>
      <c r="AR9" s="79"/>
      <c r="AS9" s="31"/>
      <c r="AT9" s="31">
        <f t="shared" si="2"/>
        <v>5844</v>
      </c>
      <c r="AW9">
        <v>370453</v>
      </c>
      <c r="AX9">
        <v>2004</v>
      </c>
    </row>
    <row r="10" spans="1:50" hidden="1" x14ac:dyDescent="0.3">
      <c r="A10" s="54">
        <v>6</v>
      </c>
      <c r="B10" s="59">
        <v>111003005</v>
      </c>
      <c r="C10" s="188" t="s">
        <v>498</v>
      </c>
      <c r="D10" s="191" t="s">
        <v>494</v>
      </c>
      <c r="E10" s="193">
        <v>238722</v>
      </c>
      <c r="F10" s="31" t="s">
        <v>15</v>
      </c>
      <c r="G10" s="52"/>
      <c r="H10" s="52">
        <v>2892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31"/>
      <c r="AN10" s="31"/>
      <c r="AO10" s="31">
        <v>2400</v>
      </c>
      <c r="AP10" s="31"/>
      <c r="AQ10" s="31"/>
      <c r="AR10" s="79"/>
      <c r="AS10" s="31"/>
      <c r="AT10" s="31">
        <f t="shared" si="2"/>
        <v>5292</v>
      </c>
      <c r="AW10">
        <v>238700</v>
      </c>
      <c r="AX10">
        <v>3900</v>
      </c>
    </row>
    <row r="11" spans="1:50" hidden="1" x14ac:dyDescent="0.3">
      <c r="A11" s="54">
        <v>7</v>
      </c>
      <c r="B11" s="59">
        <v>111003001</v>
      </c>
      <c r="C11" s="188" t="s">
        <v>499</v>
      </c>
      <c r="D11" s="191" t="s">
        <v>494</v>
      </c>
      <c r="E11" s="193">
        <v>238723</v>
      </c>
      <c r="F11" s="31" t="s">
        <v>16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>
        <v>2400</v>
      </c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31"/>
      <c r="AN11" s="31"/>
      <c r="AO11" s="31">
        <v>2400</v>
      </c>
      <c r="AP11" s="31"/>
      <c r="AQ11" s="31"/>
      <c r="AR11" s="79"/>
      <c r="AS11" s="31"/>
      <c r="AT11" s="31">
        <f t="shared" si="2"/>
        <v>4800</v>
      </c>
    </row>
    <row r="12" spans="1:50" hidden="1" x14ac:dyDescent="0.3">
      <c r="A12" s="54">
        <v>8</v>
      </c>
      <c r="B12" s="59">
        <v>127001014</v>
      </c>
      <c r="C12" s="188" t="s">
        <v>500</v>
      </c>
      <c r="D12" s="191" t="s">
        <v>494</v>
      </c>
      <c r="E12" s="193">
        <v>267869</v>
      </c>
      <c r="F12" s="31" t="s">
        <v>17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>
        <v>1008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31"/>
      <c r="AN12" s="31"/>
      <c r="AO12" s="31"/>
      <c r="AP12" s="31"/>
      <c r="AQ12" s="31"/>
      <c r="AR12" s="79"/>
      <c r="AS12" s="31"/>
      <c r="AT12" s="31">
        <f t="shared" si="2"/>
        <v>1008</v>
      </c>
    </row>
    <row r="13" spans="1:50" hidden="1" x14ac:dyDescent="0.3">
      <c r="A13" s="54">
        <v>9</v>
      </c>
      <c r="B13" s="59">
        <v>127001014</v>
      </c>
      <c r="C13" s="188" t="s">
        <v>500</v>
      </c>
      <c r="D13" s="191" t="s">
        <v>494</v>
      </c>
      <c r="E13" s="193">
        <v>267870</v>
      </c>
      <c r="F13" s="31" t="s">
        <v>18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>
        <v>12960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31"/>
      <c r="AN13" s="31"/>
      <c r="AO13" s="31"/>
      <c r="AP13" s="31"/>
      <c r="AQ13" s="31"/>
      <c r="AR13" s="79"/>
      <c r="AS13" s="31"/>
      <c r="AT13" s="31">
        <f t="shared" si="2"/>
        <v>12960</v>
      </c>
    </row>
    <row r="14" spans="1:50" hidden="1" x14ac:dyDescent="0.3">
      <c r="A14" s="54">
        <v>10</v>
      </c>
      <c r="B14" s="59">
        <v>127001014</v>
      </c>
      <c r="C14" s="188" t="s">
        <v>500</v>
      </c>
      <c r="D14" s="191" t="s">
        <v>494</v>
      </c>
      <c r="E14" s="193">
        <v>267931</v>
      </c>
      <c r="F14" s="31" t="s">
        <v>19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31"/>
      <c r="AN14" s="31"/>
      <c r="AO14" s="31"/>
      <c r="AP14" s="31"/>
      <c r="AQ14" s="31"/>
      <c r="AR14" s="79"/>
      <c r="AS14" s="31"/>
      <c r="AT14" s="31">
        <f t="shared" si="2"/>
        <v>0</v>
      </c>
    </row>
    <row r="15" spans="1:50" hidden="1" x14ac:dyDescent="0.3">
      <c r="A15" s="54">
        <v>11</v>
      </c>
      <c r="B15" s="59">
        <v>127001014</v>
      </c>
      <c r="C15" s="188" t="s">
        <v>500</v>
      </c>
      <c r="D15" s="191" t="s">
        <v>494</v>
      </c>
      <c r="E15" s="193">
        <v>267932</v>
      </c>
      <c r="F15" s="31" t="s">
        <v>20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>
        <v>1872</v>
      </c>
      <c r="AH15" s="52"/>
      <c r="AI15" s="52"/>
      <c r="AJ15" s="52"/>
      <c r="AK15" s="52"/>
      <c r="AL15" s="52"/>
      <c r="AM15" s="31"/>
      <c r="AN15" s="31"/>
      <c r="AO15" s="31"/>
      <c r="AP15" s="31"/>
      <c r="AQ15" s="31"/>
      <c r="AR15" s="79"/>
      <c r="AS15" s="31"/>
      <c r="AT15" s="31">
        <f t="shared" si="2"/>
        <v>1872</v>
      </c>
    </row>
    <row r="16" spans="1:50" hidden="1" x14ac:dyDescent="0.3">
      <c r="A16" s="54">
        <v>12</v>
      </c>
      <c r="B16" s="59">
        <v>127001014</v>
      </c>
      <c r="C16" s="188" t="s">
        <v>500</v>
      </c>
      <c r="D16" s="191" t="s">
        <v>494</v>
      </c>
      <c r="E16" s="193">
        <v>267936</v>
      </c>
      <c r="F16" s="31" t="s">
        <v>21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>
        <v>1440</v>
      </c>
      <c r="Y16" s="52"/>
      <c r="Z16" s="52"/>
      <c r="AA16" s="52"/>
      <c r="AB16" s="52"/>
      <c r="AC16" s="52"/>
      <c r="AD16" s="52"/>
      <c r="AE16" s="52"/>
      <c r="AF16" s="52"/>
      <c r="AG16" s="52">
        <v>2304</v>
      </c>
      <c r="AH16" s="52"/>
      <c r="AI16" s="52"/>
      <c r="AJ16" s="52"/>
      <c r="AK16" s="52"/>
      <c r="AL16" s="52"/>
      <c r="AM16" s="31"/>
      <c r="AN16" s="31"/>
      <c r="AO16" s="31"/>
      <c r="AP16" s="31"/>
      <c r="AQ16" s="31"/>
      <c r="AR16" s="79"/>
      <c r="AS16" s="31"/>
      <c r="AT16" s="31">
        <f t="shared" si="2"/>
        <v>3744</v>
      </c>
    </row>
    <row r="17" spans="1:46" hidden="1" x14ac:dyDescent="0.3">
      <c r="A17" s="54">
        <v>13</v>
      </c>
      <c r="B17" s="59">
        <v>127001014</v>
      </c>
      <c r="C17" s="188" t="s">
        <v>500</v>
      </c>
      <c r="D17" s="191" t="s">
        <v>494</v>
      </c>
      <c r="E17" s="193">
        <v>267937</v>
      </c>
      <c r="F17" s="31" t="s">
        <v>22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>
        <v>1512</v>
      </c>
      <c r="AH17" s="52"/>
      <c r="AI17" s="52"/>
      <c r="AJ17" s="52"/>
      <c r="AK17" s="52"/>
      <c r="AL17" s="52"/>
      <c r="AM17" s="31"/>
      <c r="AN17" s="31"/>
      <c r="AO17" s="31"/>
      <c r="AP17" s="31"/>
      <c r="AQ17" s="31"/>
      <c r="AR17" s="79"/>
      <c r="AS17" s="31"/>
      <c r="AT17" s="31">
        <f t="shared" si="2"/>
        <v>1512</v>
      </c>
    </row>
    <row r="18" spans="1:46" hidden="1" x14ac:dyDescent="0.3">
      <c r="A18" s="54">
        <v>14</v>
      </c>
      <c r="B18" s="59">
        <v>127001014</v>
      </c>
      <c r="C18" s="188" t="s">
        <v>500</v>
      </c>
      <c r="D18" s="191" t="s">
        <v>494</v>
      </c>
      <c r="E18" s="193">
        <v>267938</v>
      </c>
      <c r="F18" s="31" t="s">
        <v>23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>
        <v>2820</v>
      </c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>
        <v>1572</v>
      </c>
      <c r="AH18" s="52"/>
      <c r="AI18" s="52"/>
      <c r="AJ18" s="52"/>
      <c r="AK18" s="52"/>
      <c r="AL18" s="52"/>
      <c r="AM18" s="31"/>
      <c r="AN18" s="31"/>
      <c r="AO18" s="31"/>
      <c r="AP18" s="31"/>
      <c r="AQ18" s="31"/>
      <c r="AR18" s="79"/>
      <c r="AS18" s="31"/>
      <c r="AT18" s="31">
        <f t="shared" si="2"/>
        <v>4392</v>
      </c>
    </row>
    <row r="19" spans="1:46" hidden="1" x14ac:dyDescent="0.3">
      <c r="A19" s="54">
        <v>15</v>
      </c>
      <c r="B19" s="59">
        <v>127001002</v>
      </c>
      <c r="C19" s="188" t="s">
        <v>501</v>
      </c>
      <c r="D19" s="191" t="s">
        <v>494</v>
      </c>
      <c r="E19" s="193">
        <v>267939</v>
      </c>
      <c r="F19" s="31" t="s">
        <v>24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>
        <v>1512</v>
      </c>
      <c r="AH19" s="52"/>
      <c r="AI19" s="52"/>
      <c r="AJ19" s="52"/>
      <c r="AK19" s="52"/>
      <c r="AL19" s="52"/>
      <c r="AM19" s="31"/>
      <c r="AN19" s="31"/>
      <c r="AO19" s="31"/>
      <c r="AP19" s="31"/>
      <c r="AQ19" s="31"/>
      <c r="AR19" s="79"/>
      <c r="AS19" s="31"/>
      <c r="AT19" s="31">
        <f t="shared" si="2"/>
        <v>1512</v>
      </c>
    </row>
    <row r="20" spans="1:46" hidden="1" x14ac:dyDescent="0.3">
      <c r="A20" s="54">
        <v>16</v>
      </c>
      <c r="B20" s="59">
        <v>127001002</v>
      </c>
      <c r="C20" s="188" t="s">
        <v>501</v>
      </c>
      <c r="D20" s="191" t="s">
        <v>494</v>
      </c>
      <c r="E20" s="193">
        <v>267940</v>
      </c>
      <c r="F20" s="31" t="s">
        <v>25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>
        <v>1500</v>
      </c>
      <c r="AH20" s="52"/>
      <c r="AI20" s="52"/>
      <c r="AJ20" s="52"/>
      <c r="AK20" s="52"/>
      <c r="AL20" s="52"/>
      <c r="AM20" s="31"/>
      <c r="AN20" s="31"/>
      <c r="AO20" s="31"/>
      <c r="AP20" s="31"/>
      <c r="AQ20" s="31"/>
      <c r="AR20" s="79"/>
      <c r="AS20" s="31"/>
      <c r="AT20" s="31">
        <f t="shared" si="2"/>
        <v>1500</v>
      </c>
    </row>
    <row r="21" spans="1:46" hidden="1" x14ac:dyDescent="0.3">
      <c r="A21" s="54">
        <v>17</v>
      </c>
      <c r="B21" s="59">
        <v>127001002</v>
      </c>
      <c r="C21" s="188" t="s">
        <v>501</v>
      </c>
      <c r="D21" s="191" t="s">
        <v>494</v>
      </c>
      <c r="E21" s="193">
        <v>267941</v>
      </c>
      <c r="F21" s="31" t="s">
        <v>26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31"/>
      <c r="AN21" s="31"/>
      <c r="AO21" s="31"/>
      <c r="AP21" s="31"/>
      <c r="AQ21" s="31"/>
      <c r="AR21" s="79"/>
      <c r="AS21" s="31"/>
      <c r="AT21" s="31">
        <f t="shared" si="2"/>
        <v>0</v>
      </c>
    </row>
    <row r="22" spans="1:46" hidden="1" x14ac:dyDescent="0.3">
      <c r="A22" s="54">
        <v>18</v>
      </c>
      <c r="B22" s="59">
        <v>127001006</v>
      </c>
      <c r="C22" s="188" t="s">
        <v>502</v>
      </c>
      <c r="D22" s="191" t="s">
        <v>494</v>
      </c>
      <c r="E22" s="193">
        <v>267942</v>
      </c>
      <c r="F22" s="31" t="s">
        <v>27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31"/>
      <c r="AN22" s="31"/>
      <c r="AO22" s="31"/>
      <c r="AP22" s="31"/>
      <c r="AQ22" s="31"/>
      <c r="AR22" s="79"/>
      <c r="AS22" s="31"/>
      <c r="AT22" s="31">
        <f t="shared" si="2"/>
        <v>0</v>
      </c>
    </row>
    <row r="23" spans="1:46" hidden="1" x14ac:dyDescent="0.3">
      <c r="A23" s="54">
        <v>19</v>
      </c>
      <c r="B23" s="59">
        <v>127001006</v>
      </c>
      <c r="C23" s="188" t="s">
        <v>502</v>
      </c>
      <c r="D23" s="191" t="s">
        <v>494</v>
      </c>
      <c r="E23" s="193">
        <v>267943</v>
      </c>
      <c r="F23" s="31" t="s">
        <v>28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>
        <v>1992</v>
      </c>
      <c r="AH23" s="52"/>
      <c r="AI23" s="52"/>
      <c r="AJ23" s="52"/>
      <c r="AK23" s="52"/>
      <c r="AL23" s="52"/>
      <c r="AM23" s="31"/>
      <c r="AN23" s="31"/>
      <c r="AO23" s="31"/>
      <c r="AP23" s="31"/>
      <c r="AQ23" s="31"/>
      <c r="AR23" s="79"/>
      <c r="AS23" s="31"/>
      <c r="AT23" s="31">
        <f t="shared" si="2"/>
        <v>1992</v>
      </c>
    </row>
    <row r="24" spans="1:46" hidden="1" x14ac:dyDescent="0.3">
      <c r="A24" s="54">
        <v>20</v>
      </c>
      <c r="B24" s="59">
        <v>127001006</v>
      </c>
      <c r="C24" s="188" t="s">
        <v>502</v>
      </c>
      <c r="D24" s="191" t="s">
        <v>494</v>
      </c>
      <c r="E24" s="193">
        <v>267944</v>
      </c>
      <c r="F24" s="31" t="s">
        <v>29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>
        <v>2040</v>
      </c>
      <c r="AH24" s="52"/>
      <c r="AI24" s="52"/>
      <c r="AJ24" s="52"/>
      <c r="AK24" s="52"/>
      <c r="AL24" s="52"/>
      <c r="AM24" s="31"/>
      <c r="AN24" s="31"/>
      <c r="AO24" s="31"/>
      <c r="AP24" s="31"/>
      <c r="AQ24" s="31"/>
      <c r="AR24" s="79"/>
      <c r="AS24" s="31"/>
      <c r="AT24" s="31">
        <f t="shared" si="2"/>
        <v>2040</v>
      </c>
    </row>
    <row r="25" spans="1:46" hidden="1" x14ac:dyDescent="0.3">
      <c r="A25" s="54">
        <v>21</v>
      </c>
      <c r="B25" s="59">
        <v>127001002</v>
      </c>
      <c r="C25" s="188" t="s">
        <v>501</v>
      </c>
      <c r="D25" s="191" t="s">
        <v>494</v>
      </c>
      <c r="E25" s="193">
        <v>267945</v>
      </c>
      <c r="F25" s="31" t="s">
        <v>30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31"/>
      <c r="AN25" s="31"/>
      <c r="AO25" s="31"/>
      <c r="AP25" s="31"/>
      <c r="AQ25" s="31"/>
      <c r="AR25" s="79"/>
      <c r="AS25" s="31"/>
      <c r="AT25" s="31">
        <f t="shared" si="2"/>
        <v>0</v>
      </c>
    </row>
    <row r="26" spans="1:46" hidden="1" x14ac:dyDescent="0.3">
      <c r="A26" s="54">
        <v>22</v>
      </c>
      <c r="B26" s="59">
        <v>127001001</v>
      </c>
      <c r="C26" s="188" t="s">
        <v>503</v>
      </c>
      <c r="D26" s="191" t="s">
        <v>494</v>
      </c>
      <c r="E26" s="193">
        <v>267946</v>
      </c>
      <c r="F26" s="31" t="s">
        <v>31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>
        <v>1500</v>
      </c>
      <c r="AH26" s="52"/>
      <c r="AI26" s="52"/>
      <c r="AJ26" s="52"/>
      <c r="AK26" s="52"/>
      <c r="AL26" s="52"/>
      <c r="AM26" s="31"/>
      <c r="AN26" s="31"/>
      <c r="AO26" s="31"/>
      <c r="AP26" s="31"/>
      <c r="AQ26" s="31"/>
      <c r="AR26" s="79"/>
      <c r="AS26" s="31"/>
      <c r="AT26" s="31">
        <f t="shared" si="2"/>
        <v>1500</v>
      </c>
    </row>
    <row r="27" spans="1:46" hidden="1" x14ac:dyDescent="0.3">
      <c r="A27" s="54">
        <v>23</v>
      </c>
      <c r="B27" s="59">
        <v>127001001</v>
      </c>
      <c r="C27" s="188" t="s">
        <v>503</v>
      </c>
      <c r="D27" s="191" t="s">
        <v>494</v>
      </c>
      <c r="E27" s="193">
        <v>267947</v>
      </c>
      <c r="F27" s="31" t="s">
        <v>32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>
        <v>1584</v>
      </c>
      <c r="AH27" s="52"/>
      <c r="AI27" s="52"/>
      <c r="AJ27" s="52"/>
      <c r="AK27" s="52"/>
      <c r="AL27" s="52"/>
      <c r="AM27" s="31"/>
      <c r="AN27" s="31"/>
      <c r="AO27" s="31"/>
      <c r="AP27" s="31"/>
      <c r="AQ27" s="31"/>
      <c r="AR27" s="79"/>
      <c r="AS27" s="31"/>
      <c r="AT27" s="31">
        <f t="shared" si="2"/>
        <v>1584</v>
      </c>
    </row>
    <row r="28" spans="1:46" hidden="1" x14ac:dyDescent="0.3">
      <c r="A28" s="54">
        <v>24</v>
      </c>
      <c r="B28" s="59">
        <v>127001014</v>
      </c>
      <c r="C28" s="188" t="s">
        <v>500</v>
      </c>
      <c r="D28" s="191" t="s">
        <v>494</v>
      </c>
      <c r="E28" s="193">
        <v>268132</v>
      </c>
      <c r="F28" s="31" t="s">
        <v>33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>
        <v>2820</v>
      </c>
      <c r="W28" s="52"/>
      <c r="X28" s="52">
        <v>7824</v>
      </c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31"/>
      <c r="AN28" s="31"/>
      <c r="AO28" s="31"/>
      <c r="AP28" s="31"/>
      <c r="AQ28" s="31"/>
      <c r="AR28" s="79"/>
      <c r="AS28" s="31"/>
      <c r="AT28" s="31">
        <f t="shared" si="2"/>
        <v>10644</v>
      </c>
    </row>
    <row r="29" spans="1:46" hidden="1" x14ac:dyDescent="0.3">
      <c r="A29" s="54">
        <v>25</v>
      </c>
      <c r="B29" s="59">
        <v>127001014</v>
      </c>
      <c r="C29" s="188" t="s">
        <v>500</v>
      </c>
      <c r="D29" s="191" t="s">
        <v>494</v>
      </c>
      <c r="E29" s="193">
        <v>268133</v>
      </c>
      <c r="F29" s="31" t="s">
        <v>34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>
        <v>4704</v>
      </c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31"/>
      <c r="AN29" s="31"/>
      <c r="AO29" s="31"/>
      <c r="AP29" s="31"/>
      <c r="AQ29" s="31"/>
      <c r="AR29" s="79"/>
      <c r="AS29" s="31"/>
      <c r="AT29" s="31">
        <f t="shared" si="2"/>
        <v>4704</v>
      </c>
    </row>
    <row r="30" spans="1:46" hidden="1" x14ac:dyDescent="0.3">
      <c r="A30" s="54">
        <v>26</v>
      </c>
      <c r="B30" s="59">
        <v>127001014</v>
      </c>
      <c r="C30" s="188" t="s">
        <v>500</v>
      </c>
      <c r="D30" s="191" t="s">
        <v>494</v>
      </c>
      <c r="E30" s="193">
        <v>269686</v>
      </c>
      <c r="F30" s="31" t="s">
        <v>35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>
        <v>1512</v>
      </c>
      <c r="AH30" s="52"/>
      <c r="AI30" s="52"/>
      <c r="AJ30" s="52"/>
      <c r="AK30" s="52"/>
      <c r="AL30" s="52"/>
      <c r="AM30" s="31"/>
      <c r="AN30" s="31"/>
      <c r="AO30" s="31"/>
      <c r="AP30" s="31"/>
      <c r="AQ30" s="31"/>
      <c r="AR30" s="79"/>
      <c r="AS30" s="31"/>
      <c r="AT30" s="31">
        <f t="shared" si="2"/>
        <v>1512</v>
      </c>
    </row>
    <row r="31" spans="1:46" hidden="1" x14ac:dyDescent="0.3">
      <c r="A31" s="54">
        <v>27</v>
      </c>
      <c r="B31" s="59">
        <v>127001002</v>
      </c>
      <c r="C31" s="188" t="s">
        <v>501</v>
      </c>
      <c r="D31" s="191" t="s">
        <v>494</v>
      </c>
      <c r="E31" s="193">
        <v>367983</v>
      </c>
      <c r="F31" s="31" t="s">
        <v>36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>
        <v>2802</v>
      </c>
      <c r="W31" s="52"/>
      <c r="X31" s="52">
        <v>9030</v>
      </c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31"/>
      <c r="AN31" s="31"/>
      <c r="AO31" s="31"/>
      <c r="AP31" s="31"/>
      <c r="AQ31" s="31"/>
      <c r="AR31" s="79"/>
      <c r="AS31" s="31"/>
      <c r="AT31" s="31">
        <f t="shared" si="2"/>
        <v>11832</v>
      </c>
    </row>
    <row r="32" spans="1:46" hidden="1" x14ac:dyDescent="0.3">
      <c r="A32" s="54">
        <v>28</v>
      </c>
      <c r="B32" s="59">
        <v>127001002</v>
      </c>
      <c r="C32" s="188" t="s">
        <v>501</v>
      </c>
      <c r="D32" s="191" t="s">
        <v>494</v>
      </c>
      <c r="E32" s="193">
        <v>367984</v>
      </c>
      <c r="F32" s="31" t="s">
        <v>37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>
        <v>2802</v>
      </c>
      <c r="W32" s="52"/>
      <c r="X32" s="52">
        <v>3588</v>
      </c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31"/>
      <c r="AN32" s="31"/>
      <c r="AO32" s="31"/>
      <c r="AP32" s="31"/>
      <c r="AQ32" s="31"/>
      <c r="AR32" s="79"/>
      <c r="AS32" s="31"/>
      <c r="AT32" s="31">
        <f t="shared" si="2"/>
        <v>6390</v>
      </c>
    </row>
    <row r="33" spans="1:46" hidden="1" x14ac:dyDescent="0.3">
      <c r="A33" s="54">
        <v>29</v>
      </c>
      <c r="B33" s="59">
        <v>127001027</v>
      </c>
      <c r="C33" s="188" t="s">
        <v>504</v>
      </c>
      <c r="D33" s="191" t="s">
        <v>494</v>
      </c>
      <c r="E33" s="193">
        <v>367985</v>
      </c>
      <c r="F33" s="31" t="s">
        <v>38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31"/>
      <c r="AN33" s="31"/>
      <c r="AO33" s="31"/>
      <c r="AP33" s="31"/>
      <c r="AQ33" s="31"/>
      <c r="AR33" s="79"/>
      <c r="AS33" s="31"/>
      <c r="AT33" s="31">
        <f t="shared" si="2"/>
        <v>0</v>
      </c>
    </row>
    <row r="34" spans="1:46" hidden="1" x14ac:dyDescent="0.3">
      <c r="A34" s="54">
        <v>30</v>
      </c>
      <c r="B34" s="59">
        <v>127001027</v>
      </c>
      <c r="C34" s="188" t="s">
        <v>504</v>
      </c>
      <c r="D34" s="191" t="s">
        <v>494</v>
      </c>
      <c r="E34" s="193">
        <v>367986</v>
      </c>
      <c r="F34" s="31" t="s">
        <v>39</v>
      </c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31"/>
      <c r="AN34" s="31"/>
      <c r="AO34" s="31"/>
      <c r="AP34" s="31"/>
      <c r="AQ34" s="31"/>
      <c r="AR34" s="79"/>
      <c r="AS34" s="31"/>
      <c r="AT34" s="31">
        <f t="shared" si="2"/>
        <v>0</v>
      </c>
    </row>
    <row r="35" spans="1:46" hidden="1" x14ac:dyDescent="0.3">
      <c r="A35" s="54">
        <v>31</v>
      </c>
      <c r="B35" s="59">
        <v>127001027</v>
      </c>
      <c r="C35" s="188" t="s">
        <v>504</v>
      </c>
      <c r="D35" s="191" t="s">
        <v>494</v>
      </c>
      <c r="E35" s="193">
        <v>367987</v>
      </c>
      <c r="F35" s="31" t="s">
        <v>40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31"/>
      <c r="AN35" s="31"/>
      <c r="AO35" s="31"/>
      <c r="AP35" s="31"/>
      <c r="AQ35" s="31"/>
      <c r="AR35" s="79"/>
      <c r="AS35" s="31"/>
      <c r="AT35" s="31">
        <f t="shared" si="2"/>
        <v>0</v>
      </c>
    </row>
    <row r="36" spans="1:46" hidden="1" x14ac:dyDescent="0.3">
      <c r="A36" s="54">
        <v>32</v>
      </c>
      <c r="B36" s="59">
        <v>127001003</v>
      </c>
      <c r="C36" s="188" t="s">
        <v>505</v>
      </c>
      <c r="D36" s="191" t="s">
        <v>494</v>
      </c>
      <c r="E36" s="193">
        <v>383492</v>
      </c>
      <c r="F36" s="31" t="s">
        <v>506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>
        <v>1254</v>
      </c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31"/>
      <c r="AN36" s="31"/>
      <c r="AO36" s="31"/>
      <c r="AP36" s="31"/>
      <c r="AQ36" s="31"/>
      <c r="AR36" s="79"/>
      <c r="AS36" s="31"/>
      <c r="AT36" s="31">
        <f t="shared" si="2"/>
        <v>1254</v>
      </c>
    </row>
    <row r="37" spans="1:46" hidden="1" x14ac:dyDescent="0.3">
      <c r="A37" s="54">
        <v>33</v>
      </c>
      <c r="B37" s="59">
        <v>127001003</v>
      </c>
      <c r="C37" s="188" t="s">
        <v>505</v>
      </c>
      <c r="D37" s="191" t="s">
        <v>494</v>
      </c>
      <c r="E37" s="193">
        <v>383493</v>
      </c>
      <c r="F37" s="31" t="s">
        <v>507</v>
      </c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31"/>
      <c r="AN37" s="31"/>
      <c r="AO37" s="31"/>
      <c r="AP37" s="31"/>
      <c r="AQ37" s="31"/>
      <c r="AR37" s="79"/>
      <c r="AS37" s="31"/>
      <c r="AT37" s="31">
        <f t="shared" si="2"/>
        <v>0</v>
      </c>
    </row>
    <row r="38" spans="1:46" hidden="1" x14ac:dyDescent="0.3">
      <c r="A38" s="54">
        <v>34</v>
      </c>
      <c r="B38" s="59">
        <v>127001003</v>
      </c>
      <c r="C38" s="188" t="s">
        <v>505</v>
      </c>
      <c r="D38" s="191" t="s">
        <v>494</v>
      </c>
      <c r="E38" s="193">
        <v>383494</v>
      </c>
      <c r="F38" s="31" t="s">
        <v>508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>
        <v>420</v>
      </c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31"/>
      <c r="AN38" s="31"/>
      <c r="AO38" s="31"/>
      <c r="AP38" s="31"/>
      <c r="AQ38" s="31"/>
      <c r="AR38" s="79"/>
      <c r="AS38" s="31"/>
      <c r="AT38" s="31">
        <f t="shared" si="2"/>
        <v>420</v>
      </c>
    </row>
    <row r="39" spans="1:46" hidden="1" x14ac:dyDescent="0.3">
      <c r="A39" s="54">
        <v>35</v>
      </c>
      <c r="B39" s="59">
        <v>127001003</v>
      </c>
      <c r="C39" s="188" t="s">
        <v>505</v>
      </c>
      <c r="D39" s="191" t="s">
        <v>494</v>
      </c>
      <c r="E39" s="193">
        <v>383495</v>
      </c>
      <c r="F39" s="31" t="s">
        <v>509</v>
      </c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31"/>
      <c r="AN39" s="31"/>
      <c r="AO39" s="31"/>
      <c r="AP39" s="31"/>
      <c r="AQ39" s="31"/>
      <c r="AR39" s="79"/>
      <c r="AS39" s="31"/>
      <c r="AT39" s="31">
        <f t="shared" si="2"/>
        <v>0</v>
      </c>
    </row>
    <row r="40" spans="1:46" hidden="1" x14ac:dyDescent="0.3">
      <c r="A40" s="54">
        <v>36</v>
      </c>
      <c r="B40" s="59">
        <v>127001003</v>
      </c>
      <c r="C40" s="188" t="s">
        <v>505</v>
      </c>
      <c r="D40" s="191" t="s">
        <v>494</v>
      </c>
      <c r="E40" s="193">
        <v>383496</v>
      </c>
      <c r="F40" s="31" t="s">
        <v>510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31"/>
      <c r="AN40" s="31"/>
      <c r="AO40" s="31"/>
      <c r="AP40" s="31"/>
      <c r="AQ40" s="31"/>
      <c r="AR40" s="79"/>
      <c r="AS40" s="31"/>
      <c r="AT40" s="31">
        <f t="shared" si="2"/>
        <v>0</v>
      </c>
    </row>
    <row r="41" spans="1:46" hidden="1" x14ac:dyDescent="0.3">
      <c r="A41" s="54">
        <v>37</v>
      </c>
      <c r="B41" s="59">
        <v>127001003</v>
      </c>
      <c r="C41" s="188" t="s">
        <v>505</v>
      </c>
      <c r="D41" s="191" t="s">
        <v>494</v>
      </c>
      <c r="E41" s="193">
        <v>383497</v>
      </c>
      <c r="F41" s="31" t="s">
        <v>511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>
        <v>870</v>
      </c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31"/>
      <c r="AN41" s="31"/>
      <c r="AO41" s="31"/>
      <c r="AP41" s="31"/>
      <c r="AQ41" s="31"/>
      <c r="AR41" s="79"/>
      <c r="AS41" s="31"/>
      <c r="AT41" s="31">
        <f t="shared" si="2"/>
        <v>870</v>
      </c>
    </row>
    <row r="42" spans="1:46" hidden="1" x14ac:dyDescent="0.3">
      <c r="A42" s="54">
        <v>38</v>
      </c>
      <c r="B42" s="59">
        <v>110001009</v>
      </c>
      <c r="C42" s="188" t="s">
        <v>512</v>
      </c>
      <c r="D42" s="191" t="s">
        <v>494</v>
      </c>
      <c r="E42" s="197">
        <v>272958</v>
      </c>
      <c r="F42" s="84" t="s">
        <v>41</v>
      </c>
      <c r="G42" s="204"/>
      <c r="H42" s="204">
        <v>3000</v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>
        <v>1920</v>
      </c>
      <c r="AG42" s="52"/>
      <c r="AH42" s="52"/>
      <c r="AI42" s="52"/>
      <c r="AJ42" s="52"/>
      <c r="AK42" s="52"/>
      <c r="AL42" s="52"/>
      <c r="AM42" s="31"/>
      <c r="AN42" s="31">
        <v>3636</v>
      </c>
      <c r="AO42" s="31"/>
      <c r="AP42" s="31"/>
      <c r="AQ42" s="31"/>
      <c r="AR42" s="79"/>
      <c r="AS42" s="31"/>
      <c r="AT42" s="31">
        <f t="shared" si="2"/>
        <v>8556</v>
      </c>
    </row>
    <row r="43" spans="1:46" hidden="1" x14ac:dyDescent="0.3">
      <c r="A43" s="54">
        <v>39</v>
      </c>
      <c r="B43" s="59">
        <v>110001004</v>
      </c>
      <c r="C43" s="188" t="s">
        <v>513</v>
      </c>
      <c r="D43" s="191" t="s">
        <v>494</v>
      </c>
      <c r="E43" s="193">
        <v>272956</v>
      </c>
      <c r="F43" s="31" t="s">
        <v>42</v>
      </c>
      <c r="G43" s="52"/>
      <c r="H43" s="52">
        <v>2016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31"/>
      <c r="AN43" s="31">
        <v>3000</v>
      </c>
      <c r="AO43" s="31"/>
      <c r="AP43" s="31"/>
      <c r="AQ43" s="31"/>
      <c r="AR43" s="79"/>
      <c r="AS43" s="31"/>
      <c r="AT43" s="31">
        <f t="shared" si="2"/>
        <v>5016</v>
      </c>
    </row>
    <row r="44" spans="1:46" hidden="1" x14ac:dyDescent="0.3">
      <c r="A44" s="54">
        <v>40</v>
      </c>
      <c r="B44" s="59">
        <v>110001004</v>
      </c>
      <c r="C44" s="188" t="s">
        <v>513</v>
      </c>
      <c r="D44" s="191" t="s">
        <v>494</v>
      </c>
      <c r="E44" s="193">
        <v>272957</v>
      </c>
      <c r="F44" s="31" t="s">
        <v>43</v>
      </c>
      <c r="G44" s="205"/>
      <c r="H44" s="205">
        <v>3240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>
        <v>1920</v>
      </c>
      <c r="U44" s="52"/>
      <c r="V44" s="52"/>
      <c r="W44" s="52"/>
      <c r="X44" s="52"/>
      <c r="Y44" s="52"/>
      <c r="Z44" s="52"/>
      <c r="AA44" s="52">
        <v>2160</v>
      </c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31"/>
      <c r="AN44" s="31"/>
      <c r="AO44" s="31"/>
      <c r="AP44" s="31"/>
      <c r="AQ44" s="31"/>
      <c r="AR44" s="79"/>
      <c r="AS44" s="31"/>
      <c r="AT44" s="31">
        <f t="shared" si="2"/>
        <v>7320</v>
      </c>
    </row>
    <row r="45" spans="1:46" hidden="1" x14ac:dyDescent="0.3">
      <c r="A45" s="54">
        <v>41</v>
      </c>
      <c r="B45" s="59">
        <v>110001006</v>
      </c>
      <c r="C45" s="188" t="s">
        <v>514</v>
      </c>
      <c r="D45" s="191" t="s">
        <v>494</v>
      </c>
      <c r="E45" s="193">
        <v>272959</v>
      </c>
      <c r="F45" s="31" t="s">
        <v>44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>
        <v>2004</v>
      </c>
      <c r="U45" s="52">
        <v>2400</v>
      </c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31"/>
      <c r="AN45" s="31"/>
      <c r="AO45" s="31"/>
      <c r="AP45" s="31"/>
      <c r="AQ45" s="31"/>
      <c r="AR45" s="79"/>
      <c r="AS45" s="31"/>
      <c r="AT45" s="31">
        <f t="shared" si="2"/>
        <v>4404</v>
      </c>
    </row>
    <row r="46" spans="1:46" ht="15.6" hidden="1" x14ac:dyDescent="0.3">
      <c r="A46" s="54">
        <v>42</v>
      </c>
      <c r="B46" s="59">
        <v>110001004</v>
      </c>
      <c r="C46" s="188" t="s">
        <v>513</v>
      </c>
      <c r="D46" s="191" t="s">
        <v>494</v>
      </c>
      <c r="E46" s="193">
        <v>394254</v>
      </c>
      <c r="F46" s="66" t="s">
        <v>515</v>
      </c>
      <c r="G46" s="206"/>
      <c r="H46" s="206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>
        <v>2400</v>
      </c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31"/>
      <c r="AN46" s="31"/>
      <c r="AO46" s="31"/>
      <c r="AP46" s="31"/>
      <c r="AQ46" s="31"/>
      <c r="AR46" s="79"/>
      <c r="AS46" s="31"/>
      <c r="AT46" s="31">
        <f t="shared" si="2"/>
        <v>2400</v>
      </c>
    </row>
    <row r="47" spans="1:46" ht="15.6" hidden="1" x14ac:dyDescent="0.3">
      <c r="A47" s="54">
        <v>43</v>
      </c>
      <c r="B47" s="59">
        <v>110001004</v>
      </c>
      <c r="C47" s="188" t="s">
        <v>513</v>
      </c>
      <c r="D47" s="191" t="s">
        <v>494</v>
      </c>
      <c r="E47" s="193">
        <v>394253</v>
      </c>
      <c r="F47" s="66" t="s">
        <v>516</v>
      </c>
      <c r="G47" s="206"/>
      <c r="H47" s="206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>
        <v>2400</v>
      </c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31"/>
      <c r="AN47" s="31"/>
      <c r="AO47" s="31"/>
      <c r="AP47" s="31"/>
      <c r="AQ47" s="31"/>
      <c r="AR47" s="79"/>
      <c r="AS47" s="31"/>
      <c r="AT47" s="31">
        <f t="shared" si="2"/>
        <v>2400</v>
      </c>
    </row>
    <row r="48" spans="1:46" ht="15.6" hidden="1" x14ac:dyDescent="0.3">
      <c r="A48" s="54">
        <v>44</v>
      </c>
      <c r="B48" s="59">
        <v>110001006</v>
      </c>
      <c r="C48" s="188" t="s">
        <v>514</v>
      </c>
      <c r="D48" s="191" t="s">
        <v>494</v>
      </c>
      <c r="E48" s="193">
        <v>394252</v>
      </c>
      <c r="F48" s="66" t="s">
        <v>517</v>
      </c>
      <c r="G48" s="206"/>
      <c r="H48" s="206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>
        <v>2400</v>
      </c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31"/>
      <c r="AN48" s="31"/>
      <c r="AO48" s="31"/>
      <c r="AP48" s="31"/>
      <c r="AQ48" s="31"/>
      <c r="AR48" s="79"/>
      <c r="AS48" s="31"/>
      <c r="AT48" s="31">
        <f t="shared" si="2"/>
        <v>2400</v>
      </c>
    </row>
    <row r="49" spans="1:46" ht="15.6" hidden="1" x14ac:dyDescent="0.3">
      <c r="A49" s="54">
        <v>45</v>
      </c>
      <c r="B49" s="59">
        <v>110001009</v>
      </c>
      <c r="C49" s="188" t="s">
        <v>512</v>
      </c>
      <c r="D49" s="191" t="s">
        <v>494</v>
      </c>
      <c r="E49" s="193">
        <v>394251</v>
      </c>
      <c r="F49" s="66" t="s">
        <v>518</v>
      </c>
      <c r="G49" s="206"/>
      <c r="H49" s="206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>
        <v>2400</v>
      </c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31"/>
      <c r="AN49" s="31"/>
      <c r="AO49" s="31"/>
      <c r="AP49" s="31"/>
      <c r="AQ49" s="31"/>
      <c r="AR49" s="79"/>
      <c r="AS49" s="31"/>
      <c r="AT49" s="31">
        <f t="shared" si="2"/>
        <v>2400</v>
      </c>
    </row>
    <row r="50" spans="1:46" hidden="1" x14ac:dyDescent="0.3">
      <c r="A50" s="54">
        <v>46</v>
      </c>
      <c r="B50" s="59">
        <v>111001010</v>
      </c>
      <c r="C50" s="188" t="s">
        <v>519</v>
      </c>
      <c r="D50" s="191" t="s">
        <v>494</v>
      </c>
      <c r="E50" s="193">
        <v>272951</v>
      </c>
      <c r="F50" s="31" t="s">
        <v>45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>
        <v>1200</v>
      </c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31"/>
      <c r="AN50" s="31"/>
      <c r="AO50" s="31">
        <v>2400</v>
      </c>
      <c r="AP50" s="31"/>
      <c r="AQ50" s="31"/>
      <c r="AR50" s="79"/>
      <c r="AS50" s="31"/>
      <c r="AT50" s="31">
        <f t="shared" si="2"/>
        <v>3600</v>
      </c>
    </row>
    <row r="51" spans="1:46" hidden="1" x14ac:dyDescent="0.3">
      <c r="A51" s="54">
        <v>47</v>
      </c>
      <c r="B51" s="59">
        <v>111003002</v>
      </c>
      <c r="C51" s="188" t="s">
        <v>520</v>
      </c>
      <c r="D51" s="191" t="s">
        <v>494</v>
      </c>
      <c r="E51" s="197">
        <v>272954</v>
      </c>
      <c r="F51" s="84" t="s">
        <v>46</v>
      </c>
      <c r="G51" s="204"/>
      <c r="H51" s="204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31"/>
      <c r="AN51" s="31"/>
      <c r="AO51" s="31">
        <v>2400</v>
      </c>
      <c r="AP51" s="31"/>
      <c r="AQ51" s="31"/>
      <c r="AR51" s="79"/>
      <c r="AS51" s="31"/>
      <c r="AT51" s="31">
        <f t="shared" si="2"/>
        <v>2400</v>
      </c>
    </row>
    <row r="52" spans="1:46" hidden="1" x14ac:dyDescent="0.3">
      <c r="A52" s="54">
        <v>48</v>
      </c>
      <c r="B52" s="59">
        <v>111001010</v>
      </c>
      <c r="C52" s="188" t="s">
        <v>519</v>
      </c>
      <c r="D52" s="191" t="s">
        <v>494</v>
      </c>
      <c r="E52" s="193">
        <v>272750</v>
      </c>
      <c r="F52" s="31" t="s">
        <v>47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31"/>
      <c r="AN52" s="31"/>
      <c r="AO52" s="31"/>
      <c r="AP52" s="31">
        <v>3000</v>
      </c>
      <c r="AQ52" s="31"/>
      <c r="AR52" s="79"/>
      <c r="AS52" s="31"/>
      <c r="AT52" s="31">
        <f t="shared" si="2"/>
        <v>3000</v>
      </c>
    </row>
    <row r="53" spans="1:46" hidden="1" x14ac:dyDescent="0.3">
      <c r="A53" s="54">
        <v>49</v>
      </c>
      <c r="B53" s="59">
        <v>111003006</v>
      </c>
      <c r="C53" s="188" t="s">
        <v>521</v>
      </c>
      <c r="D53" s="191" t="s">
        <v>494</v>
      </c>
      <c r="E53" s="193">
        <v>272955</v>
      </c>
      <c r="F53" s="31" t="s">
        <v>48</v>
      </c>
      <c r="G53" s="52"/>
      <c r="H53" s="52"/>
      <c r="I53" s="52"/>
      <c r="J53" s="52"/>
      <c r="K53" s="52"/>
      <c r="L53" s="52"/>
      <c r="M53" s="52"/>
      <c r="N53" s="52"/>
      <c r="O53" s="52"/>
      <c r="P53" s="52">
        <v>1520</v>
      </c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>
        <v>1600</v>
      </c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31"/>
      <c r="AN53" s="31"/>
      <c r="AO53" s="31"/>
      <c r="AP53" s="31">
        <v>1600</v>
      </c>
      <c r="AQ53" s="31"/>
      <c r="AR53" s="79"/>
      <c r="AS53" s="31"/>
      <c r="AT53" s="31">
        <f t="shared" si="2"/>
        <v>4720</v>
      </c>
    </row>
    <row r="54" spans="1:46" hidden="1" x14ac:dyDescent="0.3">
      <c r="A54" s="54">
        <v>50</v>
      </c>
      <c r="B54" s="59">
        <v>111001001</v>
      </c>
      <c r="C54" s="188" t="s">
        <v>522</v>
      </c>
      <c r="D54" s="191" t="s">
        <v>494</v>
      </c>
      <c r="E54" s="197">
        <v>272748</v>
      </c>
      <c r="F54" s="84" t="s">
        <v>49</v>
      </c>
      <c r="G54" s="204"/>
      <c r="H54" s="204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31"/>
      <c r="AN54" s="31"/>
      <c r="AO54" s="31"/>
      <c r="AP54" s="31"/>
      <c r="AQ54" s="31"/>
      <c r="AR54" s="79"/>
      <c r="AS54" s="31"/>
      <c r="AT54" s="31">
        <f t="shared" si="2"/>
        <v>0</v>
      </c>
    </row>
    <row r="55" spans="1:46" hidden="1" x14ac:dyDescent="0.3">
      <c r="A55" s="54">
        <v>51</v>
      </c>
      <c r="B55" s="59">
        <v>111001017</v>
      </c>
      <c r="C55" s="188" t="s">
        <v>178</v>
      </c>
      <c r="D55" s="191" t="s">
        <v>494</v>
      </c>
      <c r="E55" s="193">
        <v>272749</v>
      </c>
      <c r="F55" s="31" t="s">
        <v>50</v>
      </c>
      <c r="G55" s="52"/>
      <c r="H55" s="52"/>
      <c r="I55" s="52"/>
      <c r="J55" s="52"/>
      <c r="K55" s="52"/>
      <c r="L55" s="52"/>
      <c r="M55" s="52"/>
      <c r="N55" s="52"/>
      <c r="O55" s="52"/>
      <c r="P55" s="52">
        <v>1000</v>
      </c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>
        <v>1220</v>
      </c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31"/>
      <c r="AN55" s="31"/>
      <c r="AO55" s="31"/>
      <c r="AP55" s="31"/>
      <c r="AQ55" s="31"/>
      <c r="AR55" s="79"/>
      <c r="AS55" s="31"/>
      <c r="AT55" s="31">
        <f t="shared" si="2"/>
        <v>2220</v>
      </c>
    </row>
    <row r="56" spans="1:46" hidden="1" x14ac:dyDescent="0.3">
      <c r="A56" s="54">
        <v>52</v>
      </c>
      <c r="B56" s="59">
        <v>111001016</v>
      </c>
      <c r="C56" s="188" t="s">
        <v>523</v>
      </c>
      <c r="D56" s="191" t="s">
        <v>494</v>
      </c>
      <c r="E56" s="197">
        <v>354935</v>
      </c>
      <c r="F56" s="84" t="s">
        <v>524</v>
      </c>
      <c r="G56" s="204"/>
      <c r="H56" s="204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>
        <v>992</v>
      </c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31"/>
      <c r="AN56" s="31"/>
      <c r="AO56" s="31"/>
      <c r="AP56" s="31"/>
      <c r="AQ56" s="31"/>
      <c r="AR56" s="79"/>
      <c r="AS56" s="31"/>
      <c r="AT56" s="31">
        <f t="shared" si="2"/>
        <v>992</v>
      </c>
    </row>
    <row r="57" spans="1:46" hidden="1" x14ac:dyDescent="0.3">
      <c r="A57" s="54">
        <v>53</v>
      </c>
      <c r="B57" s="59">
        <v>111001019</v>
      </c>
      <c r="C57" s="188" t="s">
        <v>525</v>
      </c>
      <c r="D57" s="191" t="s">
        <v>494</v>
      </c>
      <c r="E57" s="193">
        <v>272953</v>
      </c>
      <c r="F57" s="31" t="s">
        <v>52</v>
      </c>
      <c r="G57" s="52"/>
      <c r="H57" s="52">
        <v>4008</v>
      </c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31"/>
      <c r="AN57" s="31"/>
      <c r="AO57" s="31"/>
      <c r="AP57" s="31">
        <v>3000</v>
      </c>
      <c r="AQ57" s="31"/>
      <c r="AR57" s="79"/>
      <c r="AS57" s="31"/>
      <c r="AT57" s="31">
        <f t="shared" si="2"/>
        <v>7008</v>
      </c>
    </row>
    <row r="58" spans="1:46" ht="15.6" hidden="1" x14ac:dyDescent="0.3">
      <c r="A58" s="54">
        <v>54</v>
      </c>
      <c r="B58" s="59">
        <v>117001006</v>
      </c>
      <c r="C58" s="188" t="s">
        <v>526</v>
      </c>
      <c r="D58" s="191" t="s">
        <v>494</v>
      </c>
      <c r="E58" s="193">
        <v>358232</v>
      </c>
      <c r="F58" s="85" t="s">
        <v>53</v>
      </c>
      <c r="G58" s="207"/>
      <c r="H58" s="207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31"/>
      <c r="AN58" s="31"/>
      <c r="AO58" s="31"/>
      <c r="AP58" s="31"/>
      <c r="AQ58" s="31"/>
      <c r="AR58" s="79"/>
      <c r="AS58" s="31"/>
      <c r="AT58" s="31">
        <f t="shared" si="2"/>
        <v>0</v>
      </c>
    </row>
    <row r="59" spans="1:46" ht="15.6" hidden="1" x14ac:dyDescent="0.3">
      <c r="A59" s="54">
        <v>55</v>
      </c>
      <c r="B59" s="59">
        <v>117001006</v>
      </c>
      <c r="C59" s="188" t="s">
        <v>526</v>
      </c>
      <c r="D59" s="191" t="s">
        <v>494</v>
      </c>
      <c r="E59" s="193">
        <v>387147</v>
      </c>
      <c r="F59" s="85" t="s">
        <v>527</v>
      </c>
      <c r="G59" s="207"/>
      <c r="H59" s="207"/>
      <c r="I59" s="52"/>
      <c r="J59" s="52"/>
      <c r="K59" s="52"/>
      <c r="L59" s="52"/>
      <c r="M59" s="52"/>
      <c r="N59" s="52"/>
      <c r="O59" s="52"/>
      <c r="P59" s="52"/>
      <c r="Q59" s="52"/>
      <c r="R59" s="52">
        <v>500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31"/>
      <c r="AN59" s="31"/>
      <c r="AO59" s="31"/>
      <c r="AP59" s="31"/>
      <c r="AQ59" s="31"/>
      <c r="AR59" s="79"/>
      <c r="AS59" s="31"/>
      <c r="AT59" s="31">
        <f t="shared" si="2"/>
        <v>500</v>
      </c>
    </row>
    <row r="60" spans="1:46" ht="15.6" hidden="1" x14ac:dyDescent="0.3">
      <c r="A60" s="54">
        <v>56</v>
      </c>
      <c r="B60" s="59">
        <v>117006005</v>
      </c>
      <c r="C60" s="188" t="s">
        <v>528</v>
      </c>
      <c r="D60" s="191" t="s">
        <v>494</v>
      </c>
      <c r="E60" s="193">
        <v>358229</v>
      </c>
      <c r="F60" s="85" t="s">
        <v>54</v>
      </c>
      <c r="G60" s="85"/>
      <c r="H60" s="8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>
        <v>1160</v>
      </c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>
        <v>1160</v>
      </c>
      <c r="AN60" s="31"/>
      <c r="AO60" s="31"/>
      <c r="AP60" s="31"/>
      <c r="AQ60" s="31"/>
      <c r="AR60" s="79"/>
      <c r="AS60" s="31"/>
      <c r="AT60" s="31">
        <f t="shared" si="2"/>
        <v>2320</v>
      </c>
    </row>
    <row r="61" spans="1:46" ht="15.6" hidden="1" x14ac:dyDescent="0.3">
      <c r="A61" s="54">
        <v>57</v>
      </c>
      <c r="B61" s="59">
        <v>117006005</v>
      </c>
      <c r="C61" s="188" t="s">
        <v>528</v>
      </c>
      <c r="D61" s="191" t="s">
        <v>494</v>
      </c>
      <c r="E61" s="193">
        <v>358230</v>
      </c>
      <c r="F61" s="85" t="s">
        <v>55</v>
      </c>
      <c r="G61" s="85"/>
      <c r="H61" s="85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31"/>
      <c r="AN61" s="31"/>
      <c r="AO61" s="31"/>
      <c r="AP61" s="31"/>
      <c r="AQ61" s="31"/>
      <c r="AR61" s="79"/>
      <c r="AS61" s="31"/>
      <c r="AT61" s="31">
        <f t="shared" si="2"/>
        <v>0</v>
      </c>
    </row>
    <row r="62" spans="1:46" ht="15.6" hidden="1" x14ac:dyDescent="0.3">
      <c r="A62" s="54">
        <v>58</v>
      </c>
      <c r="B62" s="59">
        <v>117006005</v>
      </c>
      <c r="C62" s="188" t="s">
        <v>528</v>
      </c>
      <c r="D62" s="191" t="s">
        <v>494</v>
      </c>
      <c r="E62" s="193">
        <v>358231</v>
      </c>
      <c r="F62" s="85" t="s">
        <v>56</v>
      </c>
      <c r="G62" s="85"/>
      <c r="H62" s="85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31"/>
      <c r="AN62" s="31"/>
      <c r="AO62" s="31"/>
      <c r="AP62" s="31"/>
      <c r="AQ62" s="31"/>
      <c r="AR62" s="79"/>
      <c r="AS62" s="31"/>
      <c r="AT62" s="31">
        <f t="shared" si="2"/>
        <v>0</v>
      </c>
    </row>
    <row r="63" spans="1:46" ht="15.6" hidden="1" x14ac:dyDescent="0.3">
      <c r="A63" s="54">
        <v>59</v>
      </c>
      <c r="B63" s="59">
        <v>111001019</v>
      </c>
      <c r="C63" s="188" t="s">
        <v>525</v>
      </c>
      <c r="D63" s="191" t="s">
        <v>494</v>
      </c>
      <c r="E63" s="193">
        <v>358233</v>
      </c>
      <c r="F63" s="85" t="s">
        <v>57</v>
      </c>
      <c r="G63" s="85"/>
      <c r="H63" s="85"/>
      <c r="I63" s="52"/>
      <c r="J63" s="52"/>
      <c r="K63" s="52"/>
      <c r="L63" s="52"/>
      <c r="M63" s="52"/>
      <c r="N63" s="52"/>
      <c r="O63" s="52"/>
      <c r="P63" s="52">
        <v>800</v>
      </c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>
        <v>800</v>
      </c>
      <c r="AG63" s="52"/>
      <c r="AH63" s="52"/>
      <c r="AI63" s="52"/>
      <c r="AJ63" s="52"/>
      <c r="AK63" s="52"/>
      <c r="AL63" s="52"/>
      <c r="AM63" s="31"/>
      <c r="AN63" s="31">
        <v>1400</v>
      </c>
      <c r="AO63" s="31"/>
      <c r="AP63" s="31"/>
      <c r="AQ63" s="31"/>
      <c r="AR63" s="79"/>
      <c r="AS63" s="31"/>
      <c r="AT63" s="31">
        <f t="shared" si="2"/>
        <v>3000</v>
      </c>
    </row>
    <row r="64" spans="1:46" ht="15.6" hidden="1" x14ac:dyDescent="0.3">
      <c r="A64" s="54">
        <v>60</v>
      </c>
      <c r="B64" s="59">
        <v>117001002</v>
      </c>
      <c r="C64" s="188" t="s">
        <v>529</v>
      </c>
      <c r="D64" s="191" t="s">
        <v>494</v>
      </c>
      <c r="E64" s="193">
        <v>358234</v>
      </c>
      <c r="F64" s="85" t="s">
        <v>58</v>
      </c>
      <c r="G64" s="85"/>
      <c r="H64" s="85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>
        <v>1480</v>
      </c>
      <c r="AD64" s="52"/>
      <c r="AE64" s="52"/>
      <c r="AF64" s="52"/>
      <c r="AG64" s="52"/>
      <c r="AH64" s="52"/>
      <c r="AI64" s="52"/>
      <c r="AJ64" s="52"/>
      <c r="AK64" s="52"/>
      <c r="AL64" s="52"/>
      <c r="AM64" s="31"/>
      <c r="AN64" s="31"/>
      <c r="AO64" s="31"/>
      <c r="AP64" s="31"/>
      <c r="AQ64" s="31"/>
      <c r="AR64" s="79"/>
      <c r="AS64" s="31"/>
      <c r="AT64" s="31">
        <f t="shared" si="2"/>
        <v>1480</v>
      </c>
    </row>
    <row r="65" spans="1:46" ht="15.6" hidden="1" x14ac:dyDescent="0.3">
      <c r="A65" s="54">
        <v>61</v>
      </c>
      <c r="B65" s="59">
        <v>117001001</v>
      </c>
      <c r="C65" s="188" t="s">
        <v>530</v>
      </c>
      <c r="D65" s="191" t="s">
        <v>494</v>
      </c>
      <c r="E65" s="193">
        <v>358235</v>
      </c>
      <c r="F65" s="175" t="s">
        <v>59</v>
      </c>
      <c r="G65" s="175"/>
      <c r="H65" s="175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>
        <v>1180</v>
      </c>
      <c r="AD65" s="52"/>
      <c r="AE65" s="52">
        <v>630</v>
      </c>
      <c r="AF65" s="52"/>
      <c r="AG65" s="52"/>
      <c r="AH65" s="52"/>
      <c r="AI65" s="52"/>
      <c r="AJ65" s="52"/>
      <c r="AK65" s="52"/>
      <c r="AL65" s="52"/>
      <c r="AM65" s="31"/>
      <c r="AN65" s="31"/>
      <c r="AO65" s="31"/>
      <c r="AP65" s="31"/>
      <c r="AQ65" s="31"/>
      <c r="AR65" s="79"/>
      <c r="AS65" s="31"/>
      <c r="AT65" s="31">
        <f t="shared" si="2"/>
        <v>1810</v>
      </c>
    </row>
    <row r="66" spans="1:46" ht="15.6" hidden="1" x14ac:dyDescent="0.3">
      <c r="A66" s="54">
        <v>62</v>
      </c>
      <c r="B66" s="59">
        <v>117001001</v>
      </c>
      <c r="C66" s="188" t="s">
        <v>530</v>
      </c>
      <c r="D66" s="191" t="s">
        <v>494</v>
      </c>
      <c r="E66" s="193">
        <v>358236</v>
      </c>
      <c r="F66" s="175" t="s">
        <v>531</v>
      </c>
      <c r="G66" s="175"/>
      <c r="H66" s="17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>
        <v>3450</v>
      </c>
      <c r="AD66" s="52"/>
      <c r="AE66" s="52"/>
      <c r="AF66" s="52"/>
      <c r="AG66" s="52"/>
      <c r="AH66" s="52"/>
      <c r="AI66" s="52"/>
      <c r="AJ66" s="52"/>
      <c r="AK66" s="52"/>
      <c r="AL66" s="52"/>
      <c r="AM66" s="31"/>
      <c r="AN66" s="31"/>
      <c r="AO66" s="31"/>
      <c r="AP66" s="31"/>
      <c r="AQ66" s="31"/>
      <c r="AR66" s="79"/>
      <c r="AS66" s="31"/>
      <c r="AT66" s="31">
        <f t="shared" si="2"/>
        <v>3450</v>
      </c>
    </row>
    <row r="67" spans="1:46" ht="15.6" hidden="1" x14ac:dyDescent="0.3">
      <c r="A67" s="54">
        <v>63</v>
      </c>
      <c r="B67" s="59">
        <v>117001001</v>
      </c>
      <c r="C67" s="188" t="s">
        <v>530</v>
      </c>
      <c r="D67" s="191" t="s">
        <v>494</v>
      </c>
      <c r="E67" s="193">
        <v>358237</v>
      </c>
      <c r="F67" s="175" t="s">
        <v>61</v>
      </c>
      <c r="G67" s="175"/>
      <c r="H67" s="175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>
        <v>1300</v>
      </c>
      <c r="AD67" s="52"/>
      <c r="AE67" s="52"/>
      <c r="AF67" s="52"/>
      <c r="AG67" s="52"/>
      <c r="AH67" s="52"/>
      <c r="AI67" s="52"/>
      <c r="AJ67" s="52"/>
      <c r="AK67" s="52"/>
      <c r="AL67" s="52"/>
      <c r="AM67" s="31"/>
      <c r="AN67" s="31"/>
      <c r="AO67" s="31"/>
      <c r="AP67" s="31"/>
      <c r="AQ67" s="31"/>
      <c r="AR67" s="79"/>
      <c r="AS67" s="31"/>
      <c r="AT67" s="31">
        <f t="shared" si="2"/>
        <v>1300</v>
      </c>
    </row>
    <row r="68" spans="1:46" ht="15.6" hidden="1" x14ac:dyDescent="0.3">
      <c r="A68" s="54">
        <v>64</v>
      </c>
      <c r="B68" s="59">
        <v>130001013</v>
      </c>
      <c r="C68" s="188" t="s">
        <v>532</v>
      </c>
      <c r="D68" s="191" t="s">
        <v>494</v>
      </c>
      <c r="E68" s="193">
        <v>370451</v>
      </c>
      <c r="F68" s="85" t="s">
        <v>62</v>
      </c>
      <c r="G68" s="85"/>
      <c r="H68" s="85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>
        <v>5000</v>
      </c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31"/>
      <c r="AN68" s="31"/>
      <c r="AO68" s="31"/>
      <c r="AP68" s="31"/>
      <c r="AQ68" s="31">
        <v>5000</v>
      </c>
      <c r="AR68" s="79"/>
      <c r="AS68" s="31"/>
      <c r="AT68" s="31">
        <f t="shared" si="2"/>
        <v>10000</v>
      </c>
    </row>
    <row r="69" spans="1:46" ht="15.6" hidden="1" x14ac:dyDescent="0.3">
      <c r="A69" s="54">
        <v>65</v>
      </c>
      <c r="B69" s="59">
        <v>130001013</v>
      </c>
      <c r="C69" s="188" t="s">
        <v>532</v>
      </c>
      <c r="D69" s="191" t="s">
        <v>494</v>
      </c>
      <c r="E69" s="193">
        <v>373758</v>
      </c>
      <c r="F69" s="85" t="s">
        <v>533</v>
      </c>
      <c r="G69" s="85"/>
      <c r="H69" s="85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31"/>
      <c r="AN69" s="31"/>
      <c r="AO69" s="31"/>
      <c r="AP69" s="31">
        <v>3000</v>
      </c>
      <c r="AQ69" s="31">
        <v>9000</v>
      </c>
      <c r="AR69" s="79"/>
      <c r="AS69" s="31"/>
      <c r="AT69" s="31">
        <f t="shared" si="2"/>
        <v>12000</v>
      </c>
    </row>
    <row r="70" spans="1:46" ht="15.6" hidden="1" x14ac:dyDescent="0.3">
      <c r="A70" s="54">
        <v>66</v>
      </c>
      <c r="B70" s="59">
        <v>130001013</v>
      </c>
      <c r="C70" s="188" t="s">
        <v>532</v>
      </c>
      <c r="D70" s="191" t="s">
        <v>494</v>
      </c>
      <c r="E70" s="193">
        <v>370452</v>
      </c>
      <c r="F70" s="85" t="s">
        <v>64</v>
      </c>
      <c r="G70" s="85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>
        <v>2200</v>
      </c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31"/>
      <c r="AN70" s="31"/>
      <c r="AO70" s="31"/>
      <c r="AP70" s="31"/>
      <c r="AQ70" s="31">
        <v>2000</v>
      </c>
      <c r="AR70" s="79"/>
      <c r="AS70" s="31"/>
      <c r="AT70" s="31">
        <f t="shared" ref="AT70:AT101" si="3">SUM(G70:AS70)</f>
        <v>4200</v>
      </c>
    </row>
    <row r="71" spans="1:46" ht="15.6" hidden="1" x14ac:dyDescent="0.3">
      <c r="A71" s="54">
        <v>67</v>
      </c>
      <c r="B71" s="59">
        <v>130001013</v>
      </c>
      <c r="C71" s="188" t="s">
        <v>532</v>
      </c>
      <c r="D71" s="191" t="s">
        <v>494</v>
      </c>
      <c r="E71" s="193">
        <v>370453</v>
      </c>
      <c r="F71" s="85" t="s">
        <v>65</v>
      </c>
      <c r="G71" s="85"/>
      <c r="H71" s="52"/>
      <c r="I71" s="52"/>
      <c r="J71" s="52"/>
      <c r="K71" s="52"/>
      <c r="L71" s="52"/>
      <c r="M71" s="52"/>
      <c r="N71" s="52"/>
      <c r="O71" s="52"/>
      <c r="P71" s="52">
        <v>2004</v>
      </c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>
        <v>900</v>
      </c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31"/>
      <c r="AN71" s="31"/>
      <c r="AO71" s="31"/>
      <c r="AP71" s="31"/>
      <c r="AQ71" s="31">
        <v>2004</v>
      </c>
      <c r="AR71" s="79"/>
      <c r="AS71" s="31"/>
      <c r="AT71" s="31">
        <f t="shared" si="3"/>
        <v>4908</v>
      </c>
    </row>
    <row r="72" spans="1:46" ht="15.6" hidden="1" x14ac:dyDescent="0.3">
      <c r="A72" s="54">
        <v>68</v>
      </c>
      <c r="B72" s="59">
        <v>107001003</v>
      </c>
      <c r="C72" s="188" t="s">
        <v>534</v>
      </c>
      <c r="D72" s="191" t="s">
        <v>494</v>
      </c>
      <c r="E72" s="198">
        <v>373481</v>
      </c>
      <c r="F72" s="176" t="s">
        <v>535</v>
      </c>
      <c r="G72" s="176"/>
      <c r="H72" s="52"/>
      <c r="I72" s="52">
        <v>300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31"/>
      <c r="AN72" s="31"/>
      <c r="AO72" s="31"/>
      <c r="AP72" s="31"/>
      <c r="AQ72" s="31"/>
      <c r="AR72" s="79"/>
      <c r="AS72" s="31"/>
      <c r="AT72" s="31">
        <f t="shared" si="3"/>
        <v>300</v>
      </c>
    </row>
    <row r="73" spans="1:46" ht="15.6" hidden="1" x14ac:dyDescent="0.3">
      <c r="A73" s="54">
        <v>69</v>
      </c>
      <c r="B73" s="59">
        <v>107001003</v>
      </c>
      <c r="C73" s="188" t="s">
        <v>534</v>
      </c>
      <c r="D73" s="191" t="s">
        <v>494</v>
      </c>
      <c r="E73" s="198">
        <v>373482</v>
      </c>
      <c r="F73" s="176" t="s">
        <v>536</v>
      </c>
      <c r="G73" s="176"/>
      <c r="H73" s="52"/>
      <c r="I73" s="52">
        <v>300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31"/>
      <c r="AN73" s="31"/>
      <c r="AO73" s="31"/>
      <c r="AP73" s="31"/>
      <c r="AQ73" s="31"/>
      <c r="AR73" s="79"/>
      <c r="AS73" s="31"/>
      <c r="AT73" s="31">
        <f t="shared" si="3"/>
        <v>300</v>
      </c>
    </row>
    <row r="74" spans="1:46" ht="15.6" hidden="1" x14ac:dyDescent="0.3">
      <c r="A74" s="54">
        <v>70</v>
      </c>
      <c r="B74" s="59">
        <v>107001003</v>
      </c>
      <c r="C74" s="188" t="s">
        <v>534</v>
      </c>
      <c r="D74" s="191" t="s">
        <v>494</v>
      </c>
      <c r="E74" s="198">
        <v>373483</v>
      </c>
      <c r="F74" s="176" t="s">
        <v>537</v>
      </c>
      <c r="G74" s="176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31"/>
      <c r="AN74" s="31"/>
      <c r="AO74" s="31"/>
      <c r="AP74" s="31"/>
      <c r="AQ74" s="31"/>
      <c r="AR74" s="79"/>
      <c r="AS74" s="31"/>
      <c r="AT74" s="31">
        <f t="shared" si="3"/>
        <v>0</v>
      </c>
    </row>
    <row r="75" spans="1:46" ht="15.6" hidden="1" x14ac:dyDescent="0.3">
      <c r="A75" s="54">
        <v>71</v>
      </c>
      <c r="B75" s="59">
        <v>107001003</v>
      </c>
      <c r="C75" s="188" t="s">
        <v>534</v>
      </c>
      <c r="D75" s="191" t="s">
        <v>494</v>
      </c>
      <c r="E75" s="198">
        <v>387143</v>
      </c>
      <c r="F75" s="176" t="s">
        <v>538</v>
      </c>
      <c r="G75" s="176"/>
      <c r="H75" s="52"/>
      <c r="I75" s="52">
        <v>300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31"/>
      <c r="AN75" s="31"/>
      <c r="AO75" s="31"/>
      <c r="AP75" s="31"/>
      <c r="AQ75" s="31"/>
      <c r="AR75" s="79"/>
      <c r="AS75" s="31"/>
      <c r="AT75" s="31">
        <f t="shared" si="3"/>
        <v>300</v>
      </c>
    </row>
    <row r="76" spans="1:46" ht="15.6" hidden="1" x14ac:dyDescent="0.3">
      <c r="A76" s="54">
        <v>72</v>
      </c>
      <c r="B76" s="59">
        <v>107001003</v>
      </c>
      <c r="C76" s="188" t="s">
        <v>534</v>
      </c>
      <c r="D76" s="191" t="s">
        <v>494</v>
      </c>
      <c r="E76" s="198">
        <v>373484</v>
      </c>
      <c r="F76" s="176" t="s">
        <v>539</v>
      </c>
      <c r="G76" s="176"/>
      <c r="H76" s="52"/>
      <c r="I76" s="52">
        <v>372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31"/>
      <c r="AN76" s="31"/>
      <c r="AO76" s="31"/>
      <c r="AP76" s="31"/>
      <c r="AQ76" s="31"/>
      <c r="AR76" s="79"/>
      <c r="AS76" s="31"/>
      <c r="AT76" s="31">
        <f t="shared" si="3"/>
        <v>372</v>
      </c>
    </row>
    <row r="77" spans="1:46" ht="15.6" hidden="1" x14ac:dyDescent="0.3">
      <c r="A77" s="54">
        <v>73</v>
      </c>
      <c r="B77" s="59">
        <v>107001003</v>
      </c>
      <c r="C77" s="188" t="s">
        <v>534</v>
      </c>
      <c r="D77" s="191" t="s">
        <v>494</v>
      </c>
      <c r="E77" s="198">
        <v>373485</v>
      </c>
      <c r="F77" s="176" t="s">
        <v>540</v>
      </c>
      <c r="G77" s="176"/>
      <c r="H77" s="52"/>
      <c r="I77" s="52">
        <v>372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31"/>
      <c r="AN77" s="31"/>
      <c r="AO77" s="31"/>
      <c r="AP77" s="31"/>
      <c r="AQ77" s="31"/>
      <c r="AR77" s="79"/>
      <c r="AS77" s="31"/>
      <c r="AT77" s="31">
        <f t="shared" si="3"/>
        <v>372</v>
      </c>
    </row>
    <row r="78" spans="1:46" ht="15.6" hidden="1" x14ac:dyDescent="0.3">
      <c r="A78" s="54">
        <v>74</v>
      </c>
      <c r="B78" s="59">
        <v>107001003</v>
      </c>
      <c r="C78" s="188" t="s">
        <v>534</v>
      </c>
      <c r="D78" s="191" t="s">
        <v>494</v>
      </c>
      <c r="E78" s="198">
        <v>373486</v>
      </c>
      <c r="F78" s="176" t="s">
        <v>541</v>
      </c>
      <c r="G78" s="176"/>
      <c r="H78" s="52"/>
      <c r="I78" s="52">
        <v>372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31"/>
      <c r="AN78" s="31"/>
      <c r="AO78" s="31"/>
      <c r="AP78" s="31"/>
      <c r="AQ78" s="31"/>
      <c r="AR78" s="79"/>
      <c r="AS78" s="31"/>
      <c r="AT78" s="31">
        <f t="shared" si="3"/>
        <v>372</v>
      </c>
    </row>
    <row r="79" spans="1:46" ht="15.6" hidden="1" x14ac:dyDescent="0.3">
      <c r="A79" s="54">
        <v>75</v>
      </c>
      <c r="B79" s="59">
        <v>107001003</v>
      </c>
      <c r="C79" s="188" t="s">
        <v>534</v>
      </c>
      <c r="D79" s="191" t="s">
        <v>494</v>
      </c>
      <c r="E79" s="198">
        <v>387144</v>
      </c>
      <c r="F79" s="176" t="s">
        <v>542</v>
      </c>
      <c r="G79" s="176"/>
      <c r="H79" s="52"/>
      <c r="I79" s="52">
        <v>372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>
        <v>360</v>
      </c>
      <c r="AJ79" s="52"/>
      <c r="AK79" s="52">
        <v>360</v>
      </c>
      <c r="AL79" s="52"/>
      <c r="AM79" s="31"/>
      <c r="AN79" s="31"/>
      <c r="AO79" s="31"/>
      <c r="AP79" s="31"/>
      <c r="AQ79" s="31"/>
      <c r="AR79" s="79"/>
      <c r="AS79" s="31"/>
      <c r="AT79" s="31">
        <f t="shared" si="3"/>
        <v>1092</v>
      </c>
    </row>
    <row r="80" spans="1:46" ht="15.6" hidden="1" x14ac:dyDescent="0.3">
      <c r="A80" s="54">
        <v>76</v>
      </c>
      <c r="B80" s="59">
        <v>107001003</v>
      </c>
      <c r="C80" s="188" t="s">
        <v>534</v>
      </c>
      <c r="D80" s="191" t="s">
        <v>494</v>
      </c>
      <c r="E80" s="198">
        <v>373487</v>
      </c>
      <c r="F80" s="176" t="s">
        <v>543</v>
      </c>
      <c r="G80" s="176"/>
      <c r="H80" s="52"/>
      <c r="I80" s="52">
        <v>380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31"/>
      <c r="AN80" s="31"/>
      <c r="AO80" s="31"/>
      <c r="AP80" s="31"/>
      <c r="AQ80" s="31"/>
      <c r="AR80" s="79"/>
      <c r="AS80" s="31"/>
      <c r="AT80" s="31">
        <f t="shared" si="3"/>
        <v>380</v>
      </c>
    </row>
    <row r="81" spans="1:46" ht="15.6" hidden="1" x14ac:dyDescent="0.3">
      <c r="A81" s="54">
        <v>77</v>
      </c>
      <c r="B81" s="59">
        <v>107001003</v>
      </c>
      <c r="C81" s="188" t="s">
        <v>534</v>
      </c>
      <c r="D81" s="191" t="s">
        <v>494</v>
      </c>
      <c r="E81" s="198">
        <v>373488</v>
      </c>
      <c r="F81" s="176" t="s">
        <v>544</v>
      </c>
      <c r="G81" s="176"/>
      <c r="H81" s="52"/>
      <c r="I81" s="52">
        <v>380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31"/>
      <c r="AN81" s="31"/>
      <c r="AO81" s="31"/>
      <c r="AP81" s="31"/>
      <c r="AQ81" s="31"/>
      <c r="AR81" s="79"/>
      <c r="AS81" s="31"/>
      <c r="AT81" s="31">
        <f t="shared" si="3"/>
        <v>380</v>
      </c>
    </row>
    <row r="82" spans="1:46" ht="15.6" hidden="1" x14ac:dyDescent="0.3">
      <c r="A82" s="54">
        <v>78</v>
      </c>
      <c r="B82" s="59">
        <v>107001003</v>
      </c>
      <c r="C82" s="188" t="s">
        <v>534</v>
      </c>
      <c r="D82" s="191" t="s">
        <v>494</v>
      </c>
      <c r="E82" s="198">
        <v>373489</v>
      </c>
      <c r="F82" s="176" t="s">
        <v>545</v>
      </c>
      <c r="G82" s="176"/>
      <c r="H82" s="52"/>
      <c r="I82" s="52">
        <v>380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31"/>
      <c r="AN82" s="31"/>
      <c r="AO82" s="31"/>
      <c r="AP82" s="31"/>
      <c r="AQ82" s="31"/>
      <c r="AR82" s="79"/>
      <c r="AS82" s="31"/>
      <c r="AT82" s="31">
        <f t="shared" si="3"/>
        <v>380</v>
      </c>
    </row>
    <row r="83" spans="1:46" ht="15.6" hidden="1" x14ac:dyDescent="0.3">
      <c r="A83" s="54">
        <v>79</v>
      </c>
      <c r="B83" s="59">
        <v>107001003</v>
      </c>
      <c r="C83" s="188" t="s">
        <v>534</v>
      </c>
      <c r="D83" s="191" t="s">
        <v>494</v>
      </c>
      <c r="E83" s="198">
        <v>387145</v>
      </c>
      <c r="F83" s="176" t="s">
        <v>546</v>
      </c>
      <c r="G83" s="176"/>
      <c r="H83" s="52"/>
      <c r="I83" s="52">
        <v>380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>
        <v>350</v>
      </c>
      <c r="AJ83" s="52"/>
      <c r="AK83" s="52">
        <v>350</v>
      </c>
      <c r="AL83" s="52"/>
      <c r="AM83" s="31"/>
      <c r="AN83" s="31"/>
      <c r="AO83" s="31"/>
      <c r="AP83" s="31"/>
      <c r="AQ83" s="31"/>
      <c r="AR83" s="79"/>
      <c r="AS83" s="31"/>
      <c r="AT83" s="31">
        <f t="shared" si="3"/>
        <v>1080</v>
      </c>
    </row>
    <row r="84" spans="1:46" ht="19.5" hidden="1" customHeight="1" x14ac:dyDescent="0.3">
      <c r="A84" s="54">
        <v>80</v>
      </c>
      <c r="B84" s="59">
        <v>107001003</v>
      </c>
      <c r="C84" s="188" t="s">
        <v>534</v>
      </c>
      <c r="D84" s="191" t="s">
        <v>494</v>
      </c>
      <c r="E84" s="198">
        <v>373490</v>
      </c>
      <c r="F84" s="176" t="s">
        <v>547</v>
      </c>
      <c r="G84" s="176"/>
      <c r="H84" s="52"/>
      <c r="I84" s="52">
        <v>352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31"/>
      <c r="AN84" s="31"/>
      <c r="AO84" s="31"/>
      <c r="AP84" s="31"/>
      <c r="AQ84" s="31"/>
      <c r="AR84" s="79"/>
      <c r="AS84" s="31"/>
      <c r="AT84" s="31">
        <f t="shared" si="3"/>
        <v>352</v>
      </c>
    </row>
    <row r="85" spans="1:46" ht="19.5" hidden="1" customHeight="1" x14ac:dyDescent="0.3">
      <c r="A85" s="54">
        <v>81</v>
      </c>
      <c r="B85" s="59">
        <v>107001003</v>
      </c>
      <c r="C85" s="188" t="s">
        <v>534</v>
      </c>
      <c r="D85" s="191" t="s">
        <v>494</v>
      </c>
      <c r="E85" s="198">
        <v>373491</v>
      </c>
      <c r="F85" s="176" t="s">
        <v>548</v>
      </c>
      <c r="G85" s="176"/>
      <c r="H85" s="52"/>
      <c r="I85" s="52">
        <v>352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31"/>
      <c r="AN85" s="31"/>
      <c r="AO85" s="31"/>
      <c r="AP85" s="31"/>
      <c r="AQ85" s="31"/>
      <c r="AR85" s="79"/>
      <c r="AS85" s="31"/>
      <c r="AT85" s="31">
        <f t="shared" si="3"/>
        <v>352</v>
      </c>
    </row>
    <row r="86" spans="1:46" ht="19.5" hidden="1" customHeight="1" x14ac:dyDescent="0.3">
      <c r="A86" s="54">
        <v>82</v>
      </c>
      <c r="B86" s="59">
        <v>107001003</v>
      </c>
      <c r="C86" s="188" t="s">
        <v>534</v>
      </c>
      <c r="D86" s="191" t="s">
        <v>494</v>
      </c>
      <c r="E86" s="198">
        <v>373492</v>
      </c>
      <c r="F86" s="176" t="s">
        <v>549</v>
      </c>
      <c r="G86" s="176"/>
      <c r="H86" s="52"/>
      <c r="I86" s="52">
        <v>352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31"/>
      <c r="AN86" s="31"/>
      <c r="AO86" s="31"/>
      <c r="AP86" s="31"/>
      <c r="AQ86" s="31"/>
      <c r="AR86" s="79"/>
      <c r="AS86" s="31"/>
      <c r="AT86" s="31">
        <f t="shared" si="3"/>
        <v>352</v>
      </c>
    </row>
    <row r="87" spans="1:46" ht="19.5" hidden="1" customHeight="1" x14ac:dyDescent="0.3">
      <c r="A87" s="54">
        <v>83</v>
      </c>
      <c r="B87" s="59">
        <v>107001003</v>
      </c>
      <c r="C87" s="188" t="s">
        <v>534</v>
      </c>
      <c r="D87" s="191" t="s">
        <v>494</v>
      </c>
      <c r="E87" s="198">
        <v>387146</v>
      </c>
      <c r="F87" s="176" t="s">
        <v>550</v>
      </c>
      <c r="G87" s="176"/>
      <c r="H87" s="52"/>
      <c r="I87" s="52">
        <v>352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>
        <v>352</v>
      </c>
      <c r="AJ87" s="52"/>
      <c r="AK87" s="52">
        <v>352</v>
      </c>
      <c r="AL87" s="52"/>
      <c r="AM87" s="31"/>
      <c r="AN87" s="31"/>
      <c r="AO87" s="31"/>
      <c r="AP87" s="31"/>
      <c r="AQ87" s="31"/>
      <c r="AR87" s="79"/>
      <c r="AS87" s="31"/>
      <c r="AT87" s="31">
        <f t="shared" si="3"/>
        <v>1056</v>
      </c>
    </row>
    <row r="88" spans="1:46" ht="19.5" hidden="1" customHeight="1" x14ac:dyDescent="0.3">
      <c r="A88" s="54">
        <v>84</v>
      </c>
      <c r="B88" s="59">
        <v>107001003</v>
      </c>
      <c r="C88" s="188" t="s">
        <v>534</v>
      </c>
      <c r="D88" s="191" t="s">
        <v>494</v>
      </c>
      <c r="E88" s="199">
        <v>387131</v>
      </c>
      <c r="F88" s="177" t="s">
        <v>551</v>
      </c>
      <c r="G88" s="177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>
        <v>252</v>
      </c>
      <c r="AJ88" s="52"/>
      <c r="AK88" s="52">
        <v>252</v>
      </c>
      <c r="AL88" s="52"/>
      <c r="AM88" s="31"/>
      <c r="AN88" s="31"/>
      <c r="AO88" s="31"/>
      <c r="AP88" s="31"/>
      <c r="AQ88" s="31"/>
      <c r="AR88" s="79"/>
      <c r="AS88" s="31"/>
      <c r="AT88" s="31">
        <f t="shared" si="3"/>
        <v>504</v>
      </c>
    </row>
    <row r="89" spans="1:46" ht="19.5" hidden="1" customHeight="1" x14ac:dyDescent="0.3">
      <c r="A89" s="54">
        <v>85</v>
      </c>
      <c r="B89" s="59">
        <v>107001003</v>
      </c>
      <c r="C89" s="188" t="s">
        <v>534</v>
      </c>
      <c r="D89" s="191" t="s">
        <v>494</v>
      </c>
      <c r="E89" s="199">
        <v>387132</v>
      </c>
      <c r="F89" s="177" t="s">
        <v>552</v>
      </c>
      <c r="G89" s="177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>
        <v>252</v>
      </c>
      <c r="AJ89" s="52"/>
      <c r="AK89" s="52">
        <v>252</v>
      </c>
      <c r="AL89" s="52"/>
      <c r="AM89" s="31"/>
      <c r="AN89" s="31"/>
      <c r="AO89" s="31"/>
      <c r="AP89" s="31"/>
      <c r="AQ89" s="31"/>
      <c r="AR89" s="79"/>
      <c r="AS89" s="31"/>
      <c r="AT89" s="31">
        <f t="shared" si="3"/>
        <v>504</v>
      </c>
    </row>
    <row r="90" spans="1:46" ht="19.5" hidden="1" customHeight="1" x14ac:dyDescent="0.3">
      <c r="A90" s="54">
        <v>86</v>
      </c>
      <c r="B90" s="59">
        <v>107001003</v>
      </c>
      <c r="C90" s="188" t="s">
        <v>534</v>
      </c>
      <c r="D90" s="191" t="s">
        <v>494</v>
      </c>
      <c r="E90" s="199">
        <v>387133</v>
      </c>
      <c r="F90" s="177" t="s">
        <v>553</v>
      </c>
      <c r="G90" s="177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>
        <v>252</v>
      </c>
      <c r="AJ90" s="52"/>
      <c r="AK90" s="52">
        <v>252</v>
      </c>
      <c r="AL90" s="52"/>
      <c r="AM90" s="31"/>
      <c r="AN90" s="31"/>
      <c r="AO90" s="31"/>
      <c r="AP90" s="31"/>
      <c r="AQ90" s="31"/>
      <c r="AR90" s="79"/>
      <c r="AS90" s="31"/>
      <c r="AT90" s="31">
        <f t="shared" si="3"/>
        <v>504</v>
      </c>
    </row>
    <row r="91" spans="1:46" ht="19.5" hidden="1" customHeight="1" x14ac:dyDescent="0.3">
      <c r="A91" s="54">
        <v>87</v>
      </c>
      <c r="B91" s="59">
        <v>107001003</v>
      </c>
      <c r="C91" s="188" t="s">
        <v>534</v>
      </c>
      <c r="D91" s="191" t="s">
        <v>494</v>
      </c>
      <c r="E91" s="199">
        <v>387134</v>
      </c>
      <c r="F91" s="177" t="s">
        <v>554</v>
      </c>
      <c r="G91" s="177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>
        <v>252</v>
      </c>
      <c r="AJ91" s="52"/>
      <c r="AK91" s="52">
        <v>252</v>
      </c>
      <c r="AL91" s="52"/>
      <c r="AM91" s="31"/>
      <c r="AN91" s="31"/>
      <c r="AO91" s="31"/>
      <c r="AP91" s="31"/>
      <c r="AQ91" s="31"/>
      <c r="AR91" s="79"/>
      <c r="AS91" s="31"/>
      <c r="AT91" s="31">
        <f t="shared" si="3"/>
        <v>504</v>
      </c>
    </row>
    <row r="92" spans="1:46" ht="19.5" hidden="1" customHeight="1" x14ac:dyDescent="0.3">
      <c r="A92" s="54">
        <v>88</v>
      </c>
      <c r="B92" s="59">
        <v>107001003</v>
      </c>
      <c r="C92" s="188" t="s">
        <v>534</v>
      </c>
      <c r="D92" s="191" t="s">
        <v>494</v>
      </c>
      <c r="E92" s="199">
        <v>387135</v>
      </c>
      <c r="F92" s="177" t="s">
        <v>555</v>
      </c>
      <c r="G92" s="177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>
        <v>250</v>
      </c>
      <c r="AJ92" s="52"/>
      <c r="AK92" s="52">
        <v>250</v>
      </c>
      <c r="AL92" s="52"/>
      <c r="AM92" s="31"/>
      <c r="AN92" s="31"/>
      <c r="AO92" s="31"/>
      <c r="AP92" s="31"/>
      <c r="AQ92" s="31"/>
      <c r="AR92" s="79"/>
      <c r="AS92" s="31"/>
      <c r="AT92" s="31">
        <f t="shared" si="3"/>
        <v>500</v>
      </c>
    </row>
    <row r="93" spans="1:46" ht="19.5" hidden="1" customHeight="1" x14ac:dyDescent="0.3">
      <c r="A93" s="54">
        <v>89</v>
      </c>
      <c r="B93" s="59">
        <v>107001003</v>
      </c>
      <c r="C93" s="188" t="s">
        <v>534</v>
      </c>
      <c r="D93" s="191" t="s">
        <v>494</v>
      </c>
      <c r="E93" s="199">
        <v>387136</v>
      </c>
      <c r="F93" s="177" t="s">
        <v>556</v>
      </c>
      <c r="G93" s="177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>
        <v>250</v>
      </c>
      <c r="AJ93" s="52"/>
      <c r="AK93" s="52">
        <v>250</v>
      </c>
      <c r="AL93" s="52"/>
      <c r="AM93" s="31"/>
      <c r="AN93" s="31"/>
      <c r="AO93" s="31"/>
      <c r="AP93" s="31"/>
      <c r="AQ93" s="31"/>
      <c r="AR93" s="79"/>
      <c r="AS93" s="31"/>
      <c r="AT93" s="31">
        <f t="shared" si="3"/>
        <v>500</v>
      </c>
    </row>
    <row r="94" spans="1:46" ht="19.5" hidden="1" customHeight="1" x14ac:dyDescent="0.3">
      <c r="A94" s="54">
        <v>90</v>
      </c>
      <c r="B94" s="59">
        <v>107001003</v>
      </c>
      <c r="C94" s="188" t="s">
        <v>534</v>
      </c>
      <c r="D94" s="191" t="s">
        <v>494</v>
      </c>
      <c r="E94" s="199">
        <v>387137</v>
      </c>
      <c r="F94" s="177" t="s">
        <v>557</v>
      </c>
      <c r="G94" s="177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>
        <v>250</v>
      </c>
      <c r="AJ94" s="52"/>
      <c r="AK94" s="52">
        <v>250</v>
      </c>
      <c r="AL94" s="52"/>
      <c r="AM94" s="31"/>
      <c r="AN94" s="31"/>
      <c r="AO94" s="31"/>
      <c r="AP94" s="31"/>
      <c r="AQ94" s="31"/>
      <c r="AR94" s="79"/>
      <c r="AS94" s="31"/>
      <c r="AT94" s="31">
        <f t="shared" si="3"/>
        <v>500</v>
      </c>
    </row>
    <row r="95" spans="1:46" ht="19.5" hidden="1" customHeight="1" x14ac:dyDescent="0.3">
      <c r="A95" s="54">
        <v>91</v>
      </c>
      <c r="B95" s="59">
        <v>107001003</v>
      </c>
      <c r="C95" s="188" t="s">
        <v>534</v>
      </c>
      <c r="D95" s="191" t="s">
        <v>494</v>
      </c>
      <c r="E95" s="199">
        <v>387138</v>
      </c>
      <c r="F95" s="177" t="s">
        <v>558</v>
      </c>
      <c r="G95" s="177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>
        <v>250</v>
      </c>
      <c r="AJ95" s="52"/>
      <c r="AK95" s="52">
        <v>250</v>
      </c>
      <c r="AL95" s="52"/>
      <c r="AM95" s="31"/>
      <c r="AN95" s="31"/>
      <c r="AO95" s="31"/>
      <c r="AP95" s="31"/>
      <c r="AQ95" s="31"/>
      <c r="AR95" s="79"/>
      <c r="AS95" s="31"/>
      <c r="AT95" s="31">
        <f t="shared" si="3"/>
        <v>500</v>
      </c>
    </row>
    <row r="96" spans="1:46" ht="19.5" hidden="1" customHeight="1" x14ac:dyDescent="0.3">
      <c r="A96" s="54">
        <v>92</v>
      </c>
      <c r="B96" s="59">
        <v>107001003</v>
      </c>
      <c r="C96" s="188" t="s">
        <v>534</v>
      </c>
      <c r="D96" s="191" t="s">
        <v>494</v>
      </c>
      <c r="E96" s="199">
        <v>387139</v>
      </c>
      <c r="F96" s="177" t="s">
        <v>559</v>
      </c>
      <c r="G96" s="177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>
        <v>256</v>
      </c>
      <c r="AJ96" s="52"/>
      <c r="AK96" s="52">
        <v>256</v>
      </c>
      <c r="AL96" s="52"/>
      <c r="AM96" s="31"/>
      <c r="AN96" s="31"/>
      <c r="AO96" s="31"/>
      <c r="AP96" s="31"/>
      <c r="AQ96" s="31"/>
      <c r="AR96" s="79"/>
      <c r="AS96" s="31"/>
      <c r="AT96" s="31">
        <f t="shared" si="3"/>
        <v>512</v>
      </c>
    </row>
    <row r="97" spans="1:46" ht="19.5" hidden="1" customHeight="1" x14ac:dyDescent="0.3">
      <c r="A97" s="54">
        <v>93</v>
      </c>
      <c r="B97" s="59">
        <v>107001003</v>
      </c>
      <c r="C97" s="188" t="s">
        <v>534</v>
      </c>
      <c r="D97" s="191" t="s">
        <v>494</v>
      </c>
      <c r="E97" s="199">
        <v>387140</v>
      </c>
      <c r="F97" s="177" t="s">
        <v>560</v>
      </c>
      <c r="G97" s="177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>
        <v>256</v>
      </c>
      <c r="AJ97" s="52"/>
      <c r="AK97" s="52">
        <v>256</v>
      </c>
      <c r="AL97" s="52"/>
      <c r="AM97" s="31"/>
      <c r="AN97" s="31"/>
      <c r="AO97" s="31"/>
      <c r="AP97" s="31"/>
      <c r="AQ97" s="31"/>
      <c r="AR97" s="79"/>
      <c r="AS97" s="31"/>
      <c r="AT97" s="31">
        <f t="shared" si="3"/>
        <v>512</v>
      </c>
    </row>
    <row r="98" spans="1:46" ht="19.5" hidden="1" customHeight="1" x14ac:dyDescent="0.3">
      <c r="A98" s="54">
        <v>94</v>
      </c>
      <c r="B98" s="59">
        <v>107001003</v>
      </c>
      <c r="C98" s="188" t="s">
        <v>534</v>
      </c>
      <c r="D98" s="191" t="s">
        <v>494</v>
      </c>
      <c r="E98" s="199">
        <v>387141</v>
      </c>
      <c r="F98" s="177" t="s">
        <v>561</v>
      </c>
      <c r="G98" s="177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>
        <v>256</v>
      </c>
      <c r="AJ98" s="52"/>
      <c r="AK98" s="52">
        <v>256</v>
      </c>
      <c r="AL98" s="52"/>
      <c r="AM98" s="31"/>
      <c r="AN98" s="31"/>
      <c r="AO98" s="31"/>
      <c r="AP98" s="31"/>
      <c r="AQ98" s="31"/>
      <c r="AR98" s="79"/>
      <c r="AS98" s="31"/>
      <c r="AT98" s="31">
        <f t="shared" si="3"/>
        <v>512</v>
      </c>
    </row>
    <row r="99" spans="1:46" ht="19.5" hidden="1" customHeight="1" x14ac:dyDescent="0.3">
      <c r="A99" s="54">
        <v>95</v>
      </c>
      <c r="B99" s="59">
        <v>107001003</v>
      </c>
      <c r="C99" s="188" t="s">
        <v>534</v>
      </c>
      <c r="D99" s="191" t="s">
        <v>494</v>
      </c>
      <c r="E99" s="199">
        <v>387142</v>
      </c>
      <c r="F99" s="177" t="s">
        <v>562</v>
      </c>
      <c r="G99" s="177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>
        <v>256</v>
      </c>
      <c r="AJ99" s="52"/>
      <c r="AK99" s="52">
        <v>256</v>
      </c>
      <c r="AL99" s="52"/>
      <c r="AM99" s="31"/>
      <c r="AN99" s="31"/>
      <c r="AO99" s="31"/>
      <c r="AP99" s="31"/>
      <c r="AQ99" s="31"/>
      <c r="AR99" s="79"/>
      <c r="AS99" s="31"/>
      <c r="AT99" s="31">
        <f t="shared" si="3"/>
        <v>512</v>
      </c>
    </row>
    <row r="100" spans="1:46" ht="19.5" hidden="1" customHeight="1" x14ac:dyDescent="0.3">
      <c r="A100" s="54">
        <v>96</v>
      </c>
      <c r="B100" s="59">
        <v>107001004</v>
      </c>
      <c r="C100" s="188" t="s">
        <v>563</v>
      </c>
      <c r="D100" s="191" t="s">
        <v>494</v>
      </c>
      <c r="E100" s="198">
        <v>373493</v>
      </c>
      <c r="F100" s="178" t="s">
        <v>564</v>
      </c>
      <c r="G100" s="178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>
        <v>1242</v>
      </c>
      <c r="AJ100" s="52"/>
      <c r="AK100" s="52">
        <v>1242</v>
      </c>
      <c r="AL100" s="52"/>
      <c r="AM100" s="31"/>
      <c r="AN100" s="31"/>
      <c r="AO100" s="31"/>
      <c r="AP100" s="31"/>
      <c r="AQ100" s="31"/>
      <c r="AR100" s="79"/>
      <c r="AS100" s="31"/>
      <c r="AT100" s="31">
        <f t="shared" si="3"/>
        <v>2484</v>
      </c>
    </row>
    <row r="101" spans="1:46" ht="19.5" hidden="1" customHeight="1" x14ac:dyDescent="0.3">
      <c r="A101" s="54">
        <v>97</v>
      </c>
      <c r="B101" s="59">
        <v>107001004</v>
      </c>
      <c r="C101" s="188" t="s">
        <v>563</v>
      </c>
      <c r="D101" s="191" t="s">
        <v>494</v>
      </c>
      <c r="E101" s="198">
        <v>373494</v>
      </c>
      <c r="F101" s="178" t="s">
        <v>565</v>
      </c>
      <c r="G101" s="178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>
        <v>1332</v>
      </c>
      <c r="AJ101" s="52"/>
      <c r="AK101" s="52">
        <v>1332</v>
      </c>
      <c r="AL101" s="52"/>
      <c r="AM101" s="31"/>
      <c r="AN101" s="31"/>
      <c r="AO101" s="31"/>
      <c r="AP101" s="31"/>
      <c r="AQ101" s="31"/>
      <c r="AR101" s="79"/>
      <c r="AS101" s="31"/>
      <c r="AT101" s="31">
        <f t="shared" si="3"/>
        <v>2664</v>
      </c>
    </row>
    <row r="102" spans="1:46" ht="19.5" hidden="1" customHeight="1" x14ac:dyDescent="0.3">
      <c r="A102" s="54">
        <v>98</v>
      </c>
      <c r="B102" s="59">
        <v>107001004</v>
      </c>
      <c r="C102" s="188" t="s">
        <v>563</v>
      </c>
      <c r="D102" s="191" t="s">
        <v>494</v>
      </c>
      <c r="E102" s="198">
        <v>373495</v>
      </c>
      <c r="F102" s="178" t="s">
        <v>566</v>
      </c>
      <c r="G102" s="178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>
        <v>792</v>
      </c>
      <c r="AJ102" s="52"/>
      <c r="AK102" s="52">
        <v>792</v>
      </c>
      <c r="AL102" s="52"/>
      <c r="AM102" s="31"/>
      <c r="AN102" s="31"/>
      <c r="AO102" s="31"/>
      <c r="AP102" s="31"/>
      <c r="AQ102" s="31"/>
      <c r="AR102" s="79"/>
      <c r="AS102" s="31"/>
      <c r="AT102" s="31">
        <f t="shared" ref="AT102:AT133" si="4">SUM(G102:AS102)</f>
        <v>1584</v>
      </c>
    </row>
    <row r="103" spans="1:46" ht="19.5" hidden="1" customHeight="1" x14ac:dyDescent="0.3">
      <c r="A103" s="54">
        <v>99</v>
      </c>
      <c r="B103" s="59">
        <v>107001004</v>
      </c>
      <c r="C103" s="188" t="s">
        <v>563</v>
      </c>
      <c r="D103" s="191" t="s">
        <v>494</v>
      </c>
      <c r="E103" s="78">
        <v>382297</v>
      </c>
      <c r="F103" s="178" t="s">
        <v>567</v>
      </c>
      <c r="G103" s="178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31"/>
      <c r="AN103" s="31"/>
      <c r="AO103" s="31"/>
      <c r="AP103" s="31"/>
      <c r="AQ103" s="31"/>
      <c r="AR103" s="79"/>
      <c r="AS103" s="31"/>
      <c r="AT103" s="31">
        <f t="shared" si="4"/>
        <v>0</v>
      </c>
    </row>
    <row r="104" spans="1:46" ht="19.5" hidden="1" customHeight="1" x14ac:dyDescent="0.3">
      <c r="A104" s="54">
        <v>100</v>
      </c>
      <c r="B104" s="59">
        <v>107001004</v>
      </c>
      <c r="C104" s="188" t="s">
        <v>563</v>
      </c>
      <c r="D104" s="191" t="s">
        <v>494</v>
      </c>
      <c r="E104" s="78">
        <v>382298</v>
      </c>
      <c r="F104" s="178" t="s">
        <v>568</v>
      </c>
      <c r="G104" s="178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31"/>
      <c r="AN104" s="31"/>
      <c r="AO104" s="31"/>
      <c r="AP104" s="31"/>
      <c r="AQ104" s="31"/>
      <c r="AR104" s="79"/>
      <c r="AS104" s="31"/>
      <c r="AT104" s="31">
        <f t="shared" si="4"/>
        <v>0</v>
      </c>
    </row>
    <row r="105" spans="1:46" ht="19.5" hidden="1" customHeight="1" x14ac:dyDescent="0.3">
      <c r="A105" s="54">
        <v>101</v>
      </c>
      <c r="B105" s="59">
        <v>107001004</v>
      </c>
      <c r="C105" s="188" t="s">
        <v>563</v>
      </c>
      <c r="D105" s="191" t="s">
        <v>494</v>
      </c>
      <c r="E105" s="78">
        <v>382296</v>
      </c>
      <c r="F105" s="178" t="s">
        <v>569</v>
      </c>
      <c r="G105" s="178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31"/>
      <c r="AN105" s="31"/>
      <c r="AO105" s="31"/>
      <c r="AP105" s="31"/>
      <c r="AQ105" s="31"/>
      <c r="AR105" s="79"/>
      <c r="AS105" s="31"/>
      <c r="AT105" s="31">
        <f t="shared" si="4"/>
        <v>0</v>
      </c>
    </row>
    <row r="106" spans="1:46" ht="19.5" hidden="1" customHeight="1" x14ac:dyDescent="0.3">
      <c r="A106" s="54">
        <v>102</v>
      </c>
      <c r="B106" s="59">
        <v>107001004</v>
      </c>
      <c r="C106" s="188" t="s">
        <v>563</v>
      </c>
      <c r="D106" s="191" t="s">
        <v>494</v>
      </c>
      <c r="E106" s="198">
        <v>373496</v>
      </c>
      <c r="F106" s="176" t="s">
        <v>570</v>
      </c>
      <c r="G106" s="176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31"/>
      <c r="AN106" s="31"/>
      <c r="AO106" s="31"/>
      <c r="AP106" s="31"/>
      <c r="AQ106" s="31"/>
      <c r="AR106" s="79"/>
      <c r="AS106" s="31"/>
      <c r="AT106" s="31">
        <f t="shared" si="4"/>
        <v>0</v>
      </c>
    </row>
    <row r="107" spans="1:46" ht="19.5" hidden="1" customHeight="1" x14ac:dyDescent="0.3">
      <c r="A107" s="54">
        <v>103</v>
      </c>
      <c r="B107" s="59">
        <v>107001004</v>
      </c>
      <c r="C107" s="188" t="s">
        <v>563</v>
      </c>
      <c r="D107" s="191" t="s">
        <v>494</v>
      </c>
      <c r="E107" s="193">
        <v>373497</v>
      </c>
      <c r="F107" s="176" t="s">
        <v>571</v>
      </c>
      <c r="G107" s="176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31"/>
      <c r="AN107" s="31"/>
      <c r="AO107" s="31"/>
      <c r="AP107" s="31"/>
      <c r="AQ107" s="31"/>
      <c r="AR107" s="79"/>
      <c r="AS107" s="31"/>
      <c r="AT107" s="31">
        <f t="shared" si="4"/>
        <v>0</v>
      </c>
    </row>
    <row r="108" spans="1:46" ht="19.5" hidden="1" customHeight="1" x14ac:dyDescent="0.3">
      <c r="A108" s="54">
        <v>104</v>
      </c>
      <c r="B108" s="59">
        <v>107001004</v>
      </c>
      <c r="C108" s="188" t="s">
        <v>563</v>
      </c>
      <c r="D108" s="191" t="s">
        <v>494</v>
      </c>
      <c r="E108" s="193">
        <v>373498</v>
      </c>
      <c r="F108" s="176" t="s">
        <v>572</v>
      </c>
      <c r="G108" s="176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>
        <v>336</v>
      </c>
      <c r="AJ108" s="52"/>
      <c r="AK108" s="52">
        <v>336</v>
      </c>
      <c r="AL108" s="52"/>
      <c r="AM108" s="31"/>
      <c r="AN108" s="31"/>
      <c r="AO108" s="31"/>
      <c r="AP108" s="31"/>
      <c r="AQ108" s="31"/>
      <c r="AR108" s="79"/>
      <c r="AS108" s="31"/>
      <c r="AT108" s="31">
        <f t="shared" si="4"/>
        <v>672</v>
      </c>
    </row>
    <row r="109" spans="1:46" ht="19.5" hidden="1" customHeight="1" x14ac:dyDescent="0.3">
      <c r="A109" s="54">
        <v>105</v>
      </c>
      <c r="B109" s="59">
        <v>107001004</v>
      </c>
      <c r="C109" s="188" t="s">
        <v>563</v>
      </c>
      <c r="D109" s="191" t="s">
        <v>494</v>
      </c>
      <c r="E109" s="193">
        <v>382303</v>
      </c>
      <c r="F109" s="176" t="s">
        <v>573</v>
      </c>
      <c r="G109" s="176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31"/>
      <c r="AN109" s="31"/>
      <c r="AO109" s="31"/>
      <c r="AP109" s="31"/>
      <c r="AQ109" s="31"/>
      <c r="AR109" s="79"/>
      <c r="AS109" s="31"/>
      <c r="AT109" s="31">
        <f t="shared" si="4"/>
        <v>0</v>
      </c>
    </row>
    <row r="110" spans="1:46" ht="19.5" hidden="1" customHeight="1" x14ac:dyDescent="0.3">
      <c r="A110" s="54">
        <v>106</v>
      </c>
      <c r="B110" s="59">
        <v>107001004</v>
      </c>
      <c r="C110" s="188" t="s">
        <v>563</v>
      </c>
      <c r="D110" s="191" t="s">
        <v>494</v>
      </c>
      <c r="E110" s="193">
        <v>382304</v>
      </c>
      <c r="F110" s="176" t="s">
        <v>574</v>
      </c>
      <c r="G110" s="176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31"/>
      <c r="AN110" s="31"/>
      <c r="AO110" s="31"/>
      <c r="AP110" s="31"/>
      <c r="AQ110" s="31"/>
      <c r="AR110" s="79"/>
      <c r="AS110" s="31"/>
      <c r="AT110" s="31">
        <f t="shared" si="4"/>
        <v>0</v>
      </c>
    </row>
    <row r="111" spans="1:46" ht="19.5" hidden="1" customHeight="1" x14ac:dyDescent="0.3">
      <c r="A111" s="54">
        <v>107</v>
      </c>
      <c r="B111" s="59">
        <v>107001004</v>
      </c>
      <c r="C111" s="188" t="s">
        <v>563</v>
      </c>
      <c r="D111" s="191" t="s">
        <v>494</v>
      </c>
      <c r="E111" s="193">
        <v>382302</v>
      </c>
      <c r="F111" s="176" t="s">
        <v>575</v>
      </c>
      <c r="G111" s="176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31"/>
      <c r="AN111" s="31"/>
      <c r="AO111" s="31"/>
      <c r="AP111" s="31"/>
      <c r="AQ111" s="31"/>
      <c r="AR111" s="79"/>
      <c r="AS111" s="31"/>
      <c r="AT111" s="31">
        <f t="shared" si="4"/>
        <v>0</v>
      </c>
    </row>
    <row r="112" spans="1:46" ht="19.5" hidden="1" customHeight="1" x14ac:dyDescent="0.3">
      <c r="A112" s="54">
        <v>108</v>
      </c>
      <c r="B112" s="59">
        <v>107001004</v>
      </c>
      <c r="C112" s="188" t="s">
        <v>563</v>
      </c>
      <c r="D112" s="191" t="s">
        <v>494</v>
      </c>
      <c r="E112" s="193">
        <v>373499</v>
      </c>
      <c r="F112" s="176" t="s">
        <v>576</v>
      </c>
      <c r="G112" s="176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>
        <v>340</v>
      </c>
      <c r="AJ112" s="52"/>
      <c r="AK112" s="52">
        <v>340</v>
      </c>
      <c r="AL112" s="52"/>
      <c r="AM112" s="31"/>
      <c r="AN112" s="31"/>
      <c r="AO112" s="31"/>
      <c r="AP112" s="31"/>
      <c r="AQ112" s="31"/>
      <c r="AR112" s="79"/>
      <c r="AS112" s="31"/>
      <c r="AT112" s="31">
        <f t="shared" si="4"/>
        <v>680</v>
      </c>
    </row>
    <row r="113" spans="1:46" ht="19.5" hidden="1" customHeight="1" x14ac:dyDescent="0.3">
      <c r="A113" s="54">
        <v>109</v>
      </c>
      <c r="B113" s="59">
        <v>107001004</v>
      </c>
      <c r="C113" s="188" t="s">
        <v>563</v>
      </c>
      <c r="D113" s="191" t="s">
        <v>494</v>
      </c>
      <c r="E113" s="193">
        <v>373500</v>
      </c>
      <c r="F113" s="176" t="s">
        <v>577</v>
      </c>
      <c r="G113" s="176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>
        <v>380</v>
      </c>
      <c r="AJ113" s="52"/>
      <c r="AK113" s="52">
        <v>380</v>
      </c>
      <c r="AL113" s="52"/>
      <c r="AM113" s="31"/>
      <c r="AN113" s="31"/>
      <c r="AO113" s="31"/>
      <c r="AP113" s="31"/>
      <c r="AQ113" s="31"/>
      <c r="AR113" s="79"/>
      <c r="AS113" s="31"/>
      <c r="AT113" s="31">
        <f t="shared" si="4"/>
        <v>760</v>
      </c>
    </row>
    <row r="114" spans="1:46" ht="19.5" hidden="1" customHeight="1" x14ac:dyDescent="0.3">
      <c r="A114" s="54">
        <v>110</v>
      </c>
      <c r="B114" s="59">
        <v>107001004</v>
      </c>
      <c r="C114" s="188" t="s">
        <v>563</v>
      </c>
      <c r="D114" s="191" t="s">
        <v>494</v>
      </c>
      <c r="E114" s="193">
        <v>373501</v>
      </c>
      <c r="F114" s="176" t="s">
        <v>578</v>
      </c>
      <c r="G114" s="176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>
        <v>660</v>
      </c>
      <c r="AJ114" s="52"/>
      <c r="AK114" s="52">
        <v>660</v>
      </c>
      <c r="AL114" s="52"/>
      <c r="AM114" s="31"/>
      <c r="AN114" s="31"/>
      <c r="AO114" s="31"/>
      <c r="AP114" s="31"/>
      <c r="AQ114" s="31"/>
      <c r="AR114" s="79"/>
      <c r="AS114" s="31"/>
      <c r="AT114" s="31">
        <f t="shared" si="4"/>
        <v>1320</v>
      </c>
    </row>
    <row r="115" spans="1:46" ht="19.5" hidden="1" customHeight="1" x14ac:dyDescent="0.3">
      <c r="A115" s="54">
        <v>111</v>
      </c>
      <c r="B115" s="59">
        <v>107001004</v>
      </c>
      <c r="C115" s="188" t="s">
        <v>563</v>
      </c>
      <c r="D115" s="191" t="s">
        <v>494</v>
      </c>
      <c r="E115" s="193">
        <v>382300</v>
      </c>
      <c r="F115" s="176" t="s">
        <v>579</v>
      </c>
      <c r="G115" s="176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31"/>
      <c r="AN115" s="31"/>
      <c r="AO115" s="31"/>
      <c r="AP115" s="31"/>
      <c r="AQ115" s="31"/>
      <c r="AR115" s="79"/>
      <c r="AS115" s="31"/>
      <c r="AT115" s="31">
        <f t="shared" si="4"/>
        <v>0</v>
      </c>
    </row>
    <row r="116" spans="1:46" ht="19.5" hidden="1" customHeight="1" x14ac:dyDescent="0.3">
      <c r="A116" s="54">
        <v>112</v>
      </c>
      <c r="B116" s="59">
        <v>107001004</v>
      </c>
      <c r="C116" s="188" t="s">
        <v>563</v>
      </c>
      <c r="D116" s="191" t="s">
        <v>494</v>
      </c>
      <c r="E116" s="193">
        <v>382301</v>
      </c>
      <c r="F116" s="53" t="s">
        <v>580</v>
      </c>
      <c r="G116" s="53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31"/>
      <c r="AN116" s="31"/>
      <c r="AO116" s="31"/>
      <c r="AP116" s="31"/>
      <c r="AQ116" s="31"/>
      <c r="AR116" s="79"/>
      <c r="AS116" s="31"/>
      <c r="AT116" s="31">
        <f t="shared" si="4"/>
        <v>0</v>
      </c>
    </row>
    <row r="117" spans="1:46" ht="19.5" hidden="1" customHeight="1" x14ac:dyDescent="0.3">
      <c r="A117" s="54">
        <v>113</v>
      </c>
      <c r="B117" s="59">
        <v>107001004</v>
      </c>
      <c r="C117" s="188" t="s">
        <v>563</v>
      </c>
      <c r="D117" s="191" t="s">
        <v>494</v>
      </c>
      <c r="E117" s="193">
        <v>382299</v>
      </c>
      <c r="F117" s="53" t="s">
        <v>581</v>
      </c>
      <c r="G117" s="53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31"/>
      <c r="AN117" s="31"/>
      <c r="AO117" s="31"/>
      <c r="AP117" s="31"/>
      <c r="AQ117" s="31"/>
      <c r="AR117" s="79"/>
      <c r="AS117" s="31"/>
      <c r="AT117" s="31">
        <f t="shared" si="4"/>
        <v>0</v>
      </c>
    </row>
    <row r="118" spans="1:46" ht="19.5" hidden="1" customHeight="1" x14ac:dyDescent="0.3">
      <c r="A118" s="54">
        <v>114</v>
      </c>
      <c r="B118" s="59">
        <v>117005002</v>
      </c>
      <c r="C118" s="188" t="s">
        <v>582</v>
      </c>
      <c r="D118" s="191" t="s">
        <v>494</v>
      </c>
      <c r="E118" s="193">
        <v>372039</v>
      </c>
      <c r="F118" s="85" t="s">
        <v>583</v>
      </c>
      <c r="G118" s="85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31"/>
      <c r="AN118" s="31"/>
      <c r="AO118" s="31"/>
      <c r="AP118" s="31"/>
      <c r="AQ118" s="31"/>
      <c r="AR118" s="79"/>
      <c r="AS118" s="31"/>
      <c r="AT118" s="31">
        <f t="shared" si="4"/>
        <v>0</v>
      </c>
    </row>
    <row r="119" spans="1:46" ht="19.5" hidden="1" customHeight="1" x14ac:dyDescent="0.3">
      <c r="A119" s="54">
        <v>115</v>
      </c>
      <c r="B119" s="59">
        <v>117005002</v>
      </c>
      <c r="C119" s="188" t="s">
        <v>582</v>
      </c>
      <c r="D119" s="54" t="s">
        <v>584</v>
      </c>
      <c r="E119" s="193">
        <v>372040</v>
      </c>
      <c r="F119" s="85" t="s">
        <v>585</v>
      </c>
      <c r="G119" s="85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31"/>
      <c r="AN119" s="31"/>
      <c r="AO119" s="31"/>
      <c r="AP119" s="31"/>
      <c r="AQ119" s="31"/>
      <c r="AR119" s="79"/>
      <c r="AS119" s="31"/>
      <c r="AT119" s="31">
        <f t="shared" si="4"/>
        <v>0</v>
      </c>
    </row>
    <row r="120" spans="1:46" ht="19.5" hidden="1" customHeight="1" x14ac:dyDescent="0.3">
      <c r="A120" s="54">
        <v>116</v>
      </c>
      <c r="B120" s="59">
        <v>117005002</v>
      </c>
      <c r="C120" s="188" t="s">
        <v>582</v>
      </c>
      <c r="D120" s="54" t="s">
        <v>584</v>
      </c>
      <c r="E120" s="198">
        <v>372041</v>
      </c>
      <c r="F120" s="51" t="s">
        <v>586</v>
      </c>
      <c r="G120" s="51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31"/>
      <c r="AN120" s="31"/>
      <c r="AO120" s="31"/>
      <c r="AP120" s="31"/>
      <c r="AQ120" s="31"/>
      <c r="AR120" s="79"/>
      <c r="AS120" s="31"/>
      <c r="AT120" s="31">
        <f t="shared" si="4"/>
        <v>0</v>
      </c>
    </row>
    <row r="121" spans="1:46" ht="19.5" hidden="1" customHeight="1" x14ac:dyDescent="0.3">
      <c r="A121" s="54">
        <v>117</v>
      </c>
      <c r="B121" s="59">
        <v>110001006</v>
      </c>
      <c r="C121" s="188" t="s">
        <v>514</v>
      </c>
      <c r="D121" s="54" t="s">
        <v>584</v>
      </c>
      <c r="E121" s="198">
        <v>382619</v>
      </c>
      <c r="F121" s="51" t="s">
        <v>587</v>
      </c>
      <c r="G121" s="51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31"/>
      <c r="AN121" s="31"/>
      <c r="AO121" s="31"/>
      <c r="AP121" s="31"/>
      <c r="AQ121" s="31"/>
      <c r="AR121" s="79"/>
      <c r="AS121" s="31"/>
      <c r="AT121" s="31">
        <f t="shared" si="4"/>
        <v>0</v>
      </c>
    </row>
    <row r="122" spans="1:46" ht="19.5" hidden="1" customHeight="1" x14ac:dyDescent="0.3">
      <c r="A122" s="54">
        <v>118</v>
      </c>
      <c r="B122" s="59">
        <v>102001006</v>
      </c>
      <c r="C122" s="188" t="s">
        <v>588</v>
      </c>
      <c r="D122" s="54" t="s">
        <v>584</v>
      </c>
      <c r="E122" s="198">
        <v>382674</v>
      </c>
      <c r="F122" s="53" t="s">
        <v>589</v>
      </c>
      <c r="G122" s="53"/>
      <c r="H122" s="52"/>
      <c r="I122" s="52"/>
      <c r="J122" s="52"/>
      <c r="K122" s="52"/>
      <c r="L122" s="52">
        <v>1100</v>
      </c>
      <c r="M122" s="52">
        <v>1427</v>
      </c>
      <c r="N122" s="52">
        <v>3175</v>
      </c>
      <c r="O122" s="52"/>
      <c r="P122" s="52"/>
      <c r="Q122" s="52"/>
      <c r="R122" s="48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205">
        <v>2112</v>
      </c>
      <c r="AK122" s="52"/>
      <c r="AL122" s="52"/>
      <c r="AM122" s="31"/>
      <c r="AN122" s="31"/>
      <c r="AO122" s="31"/>
      <c r="AP122" s="31"/>
      <c r="AQ122" s="31"/>
      <c r="AR122" s="79"/>
      <c r="AS122" s="31"/>
      <c r="AT122" s="31">
        <f t="shared" si="4"/>
        <v>7814</v>
      </c>
    </row>
    <row r="123" spans="1:46" ht="19.5" hidden="1" customHeight="1" x14ac:dyDescent="0.3">
      <c r="A123" s="54">
        <v>119</v>
      </c>
      <c r="B123" s="59">
        <v>102001006</v>
      </c>
      <c r="C123" s="188" t="s">
        <v>588</v>
      </c>
      <c r="D123" s="54" t="s">
        <v>584</v>
      </c>
      <c r="E123" s="193">
        <v>386195</v>
      </c>
      <c r="F123" s="53" t="s">
        <v>590</v>
      </c>
      <c r="G123" s="53"/>
      <c r="H123" s="52"/>
      <c r="I123" s="52"/>
      <c r="J123" s="52"/>
      <c r="K123" s="52"/>
      <c r="L123" s="52">
        <v>600</v>
      </c>
      <c r="M123" s="52"/>
      <c r="N123" s="52">
        <v>668</v>
      </c>
      <c r="O123" s="52"/>
      <c r="P123" s="52"/>
      <c r="Q123" s="52"/>
      <c r="R123" s="48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31"/>
      <c r="AN123" s="31"/>
      <c r="AO123" s="31"/>
      <c r="AP123" s="31"/>
      <c r="AQ123" s="31"/>
      <c r="AR123" s="79"/>
      <c r="AS123" s="31"/>
      <c r="AT123" s="31">
        <f t="shared" si="4"/>
        <v>1268</v>
      </c>
    </row>
    <row r="124" spans="1:46" ht="19.5" hidden="1" customHeight="1" x14ac:dyDescent="0.3">
      <c r="A124" s="54">
        <v>120</v>
      </c>
      <c r="B124" s="59">
        <v>102001006</v>
      </c>
      <c r="C124" s="188" t="s">
        <v>588</v>
      </c>
      <c r="D124" s="54" t="s">
        <v>584</v>
      </c>
      <c r="E124" s="193">
        <v>386196</v>
      </c>
      <c r="F124" s="53" t="s">
        <v>591</v>
      </c>
      <c r="G124" s="53"/>
      <c r="H124" s="52"/>
      <c r="I124" s="52"/>
      <c r="J124" s="52"/>
      <c r="K124" s="52"/>
      <c r="L124" s="52">
        <v>400</v>
      </c>
      <c r="M124" s="52"/>
      <c r="N124" s="52">
        <v>894</v>
      </c>
      <c r="O124" s="52"/>
      <c r="P124" s="52"/>
      <c r="Q124" s="52"/>
      <c r="R124" s="48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31"/>
      <c r="AN124" s="31"/>
      <c r="AO124" s="31"/>
      <c r="AP124" s="31"/>
      <c r="AQ124" s="31"/>
      <c r="AR124" s="79"/>
      <c r="AS124" s="31"/>
      <c r="AT124" s="31">
        <f t="shared" si="4"/>
        <v>1294</v>
      </c>
    </row>
    <row r="125" spans="1:46" ht="19.5" hidden="1" customHeight="1" x14ac:dyDescent="0.3">
      <c r="A125" s="54">
        <v>121</v>
      </c>
      <c r="B125" s="59">
        <v>102001006</v>
      </c>
      <c r="C125" s="188" t="s">
        <v>588</v>
      </c>
      <c r="D125" s="54" t="s">
        <v>584</v>
      </c>
      <c r="E125" s="193">
        <v>386197</v>
      </c>
      <c r="F125" s="53" t="s">
        <v>592</v>
      </c>
      <c r="G125" s="53"/>
      <c r="H125" s="52"/>
      <c r="I125" s="52"/>
      <c r="J125" s="52"/>
      <c r="K125" s="52"/>
      <c r="L125" s="52">
        <v>600</v>
      </c>
      <c r="M125" s="52"/>
      <c r="N125" s="52">
        <v>763</v>
      </c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31"/>
      <c r="AN125" s="31"/>
      <c r="AO125" s="31"/>
      <c r="AP125" s="31"/>
      <c r="AQ125" s="31"/>
      <c r="AR125" s="79"/>
      <c r="AS125" s="31"/>
      <c r="AT125" s="31">
        <f t="shared" si="4"/>
        <v>1363</v>
      </c>
    </row>
    <row r="126" spans="1:46" ht="19.5" hidden="1" customHeight="1" x14ac:dyDescent="0.3">
      <c r="A126" s="54">
        <v>122</v>
      </c>
      <c r="B126" s="59">
        <v>107001009</v>
      </c>
      <c r="C126" s="188" t="s">
        <v>593</v>
      </c>
      <c r="D126" s="54" t="s">
        <v>584</v>
      </c>
      <c r="E126" s="198">
        <v>378288</v>
      </c>
      <c r="F126" s="179" t="s">
        <v>594</v>
      </c>
      <c r="G126" s="179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31"/>
      <c r="AN126" s="31"/>
      <c r="AO126" s="31"/>
      <c r="AP126" s="31"/>
      <c r="AQ126" s="31"/>
      <c r="AR126" s="79"/>
      <c r="AS126" s="31"/>
      <c r="AT126" s="31">
        <f t="shared" si="4"/>
        <v>0</v>
      </c>
    </row>
    <row r="127" spans="1:46" ht="19.5" hidden="1" customHeight="1" x14ac:dyDescent="0.3">
      <c r="A127" s="54">
        <v>123</v>
      </c>
      <c r="B127" s="59">
        <v>107001009</v>
      </c>
      <c r="C127" s="188" t="s">
        <v>593</v>
      </c>
      <c r="D127" s="54" t="s">
        <v>584</v>
      </c>
      <c r="E127" s="198">
        <v>378192</v>
      </c>
      <c r="F127" s="179" t="s">
        <v>595</v>
      </c>
      <c r="G127" s="179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31"/>
      <c r="AN127" s="31"/>
      <c r="AO127" s="31"/>
      <c r="AP127" s="31"/>
      <c r="AQ127" s="31"/>
      <c r="AR127" s="79"/>
      <c r="AS127" s="31"/>
      <c r="AT127" s="31">
        <f t="shared" si="4"/>
        <v>0</v>
      </c>
    </row>
    <row r="128" spans="1:46" ht="19.5" hidden="1" customHeight="1" x14ac:dyDescent="0.3">
      <c r="A128" s="54">
        <v>124</v>
      </c>
      <c r="B128" s="59">
        <v>107001009</v>
      </c>
      <c r="C128" s="188" t="s">
        <v>593</v>
      </c>
      <c r="D128" s="54" t="s">
        <v>584</v>
      </c>
      <c r="E128" s="198">
        <v>378287</v>
      </c>
      <c r="F128" s="179" t="s">
        <v>596</v>
      </c>
      <c r="G128" s="179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31"/>
      <c r="AN128" s="31"/>
      <c r="AO128" s="31"/>
      <c r="AP128" s="31"/>
      <c r="AQ128" s="31"/>
      <c r="AR128" s="79"/>
      <c r="AS128" s="31"/>
      <c r="AT128" s="31">
        <f t="shared" si="4"/>
        <v>0</v>
      </c>
    </row>
    <row r="129" spans="1:46" ht="19.5" hidden="1" customHeight="1" x14ac:dyDescent="0.3">
      <c r="A129" s="54">
        <v>125</v>
      </c>
      <c r="B129" s="59">
        <v>107001009</v>
      </c>
      <c r="C129" s="188" t="s">
        <v>593</v>
      </c>
      <c r="D129" s="54" t="s">
        <v>584</v>
      </c>
      <c r="E129" s="198">
        <v>378195</v>
      </c>
      <c r="F129" s="179" t="s">
        <v>597</v>
      </c>
      <c r="G129" s="179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31"/>
      <c r="AN129" s="31"/>
      <c r="AO129" s="31"/>
      <c r="AP129" s="31"/>
      <c r="AQ129" s="31"/>
      <c r="AR129" s="79"/>
      <c r="AS129" s="31"/>
      <c r="AT129" s="31">
        <f t="shared" si="4"/>
        <v>0</v>
      </c>
    </row>
    <row r="130" spans="1:46" ht="19.5" hidden="1" customHeight="1" x14ac:dyDescent="0.3">
      <c r="A130" s="54">
        <v>126</v>
      </c>
      <c r="B130" s="59">
        <v>107001009</v>
      </c>
      <c r="C130" s="188" t="s">
        <v>593</v>
      </c>
      <c r="D130" s="54" t="s">
        <v>584</v>
      </c>
      <c r="E130" s="198">
        <v>378286</v>
      </c>
      <c r="F130" s="179" t="s">
        <v>598</v>
      </c>
      <c r="G130" s="179"/>
      <c r="H130" s="52"/>
      <c r="I130" s="52"/>
      <c r="J130" s="52"/>
      <c r="K130" s="52"/>
      <c r="L130" s="52"/>
      <c r="M130" s="52"/>
      <c r="N130" s="52">
        <v>80</v>
      </c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31"/>
      <c r="AN130" s="31"/>
      <c r="AO130" s="31"/>
      <c r="AP130" s="31"/>
      <c r="AQ130" s="31"/>
      <c r="AR130" s="79"/>
      <c r="AS130" s="31"/>
      <c r="AT130" s="31">
        <f t="shared" si="4"/>
        <v>80</v>
      </c>
    </row>
    <row r="131" spans="1:46" ht="19.5" hidden="1" customHeight="1" x14ac:dyDescent="0.3">
      <c r="A131" s="54">
        <v>127</v>
      </c>
      <c r="B131" s="59">
        <v>107001009</v>
      </c>
      <c r="C131" s="188" t="s">
        <v>593</v>
      </c>
      <c r="D131" s="54" t="s">
        <v>584</v>
      </c>
      <c r="E131" s="198">
        <v>378285</v>
      </c>
      <c r="F131" s="179" t="s">
        <v>599</v>
      </c>
      <c r="G131" s="179"/>
      <c r="H131" s="52"/>
      <c r="I131" s="52"/>
      <c r="J131" s="52"/>
      <c r="K131" s="52"/>
      <c r="L131" s="52"/>
      <c r="M131" s="52"/>
      <c r="N131" s="52">
        <v>247</v>
      </c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31"/>
      <c r="AN131" s="31"/>
      <c r="AO131" s="31"/>
      <c r="AP131" s="31"/>
      <c r="AQ131" s="31"/>
      <c r="AR131" s="79"/>
      <c r="AS131" s="31"/>
      <c r="AT131" s="31">
        <f t="shared" si="4"/>
        <v>247</v>
      </c>
    </row>
    <row r="132" spans="1:46" ht="19.5" hidden="1" customHeight="1" x14ac:dyDescent="0.3">
      <c r="A132" s="54">
        <v>128</v>
      </c>
      <c r="B132" s="59">
        <v>107001009</v>
      </c>
      <c r="C132" s="188" t="s">
        <v>593</v>
      </c>
      <c r="D132" s="54" t="s">
        <v>584</v>
      </c>
      <c r="E132" s="198">
        <v>378194</v>
      </c>
      <c r="F132" s="179" t="s">
        <v>600</v>
      </c>
      <c r="G132" s="179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31"/>
      <c r="AN132" s="31"/>
      <c r="AO132" s="31"/>
      <c r="AP132" s="31"/>
      <c r="AQ132" s="31"/>
      <c r="AR132" s="79"/>
      <c r="AS132" s="31"/>
      <c r="AT132" s="31">
        <f t="shared" si="4"/>
        <v>0</v>
      </c>
    </row>
    <row r="133" spans="1:46" ht="19.5" hidden="1" customHeight="1" x14ac:dyDescent="0.3">
      <c r="A133" s="54">
        <v>129</v>
      </c>
      <c r="B133" s="59">
        <v>107001009</v>
      </c>
      <c r="C133" s="188" t="s">
        <v>593</v>
      </c>
      <c r="D133" s="54" t="s">
        <v>584</v>
      </c>
      <c r="E133" s="198">
        <v>378193</v>
      </c>
      <c r="F133" s="179" t="s">
        <v>601</v>
      </c>
      <c r="G133" s="179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31"/>
      <c r="AN133" s="31"/>
      <c r="AO133" s="31"/>
      <c r="AP133" s="31"/>
      <c r="AQ133" s="31"/>
      <c r="AR133" s="79"/>
      <c r="AS133" s="31"/>
      <c r="AT133" s="31">
        <f t="shared" si="4"/>
        <v>0</v>
      </c>
    </row>
    <row r="134" spans="1:46" ht="19.5" hidden="1" customHeight="1" x14ac:dyDescent="0.3">
      <c r="A134" s="54">
        <v>130</v>
      </c>
      <c r="B134" s="59">
        <v>107001009</v>
      </c>
      <c r="C134" s="188" t="s">
        <v>593</v>
      </c>
      <c r="D134" s="54" t="s">
        <v>584</v>
      </c>
      <c r="E134" s="198">
        <v>378191</v>
      </c>
      <c r="F134" s="179" t="s">
        <v>602</v>
      </c>
      <c r="G134" s="179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31"/>
      <c r="AN134" s="31"/>
      <c r="AO134" s="31"/>
      <c r="AP134" s="31"/>
      <c r="AQ134" s="31"/>
      <c r="AR134" s="79"/>
      <c r="AS134" s="31"/>
      <c r="AT134" s="31">
        <f t="shared" ref="AT134:AT197" si="5">SUM(G134:AS134)</f>
        <v>0</v>
      </c>
    </row>
    <row r="135" spans="1:46" ht="19.5" hidden="1" customHeight="1" x14ac:dyDescent="0.3">
      <c r="A135" s="54">
        <v>131</v>
      </c>
      <c r="B135" s="59">
        <v>127002002</v>
      </c>
      <c r="C135" s="188" t="s">
        <v>603</v>
      </c>
      <c r="D135" s="54" t="s">
        <v>584</v>
      </c>
      <c r="E135" s="198">
        <v>379944</v>
      </c>
      <c r="F135" s="50" t="s">
        <v>604</v>
      </c>
      <c r="G135" s="50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31"/>
      <c r="AN135" s="31"/>
      <c r="AO135" s="31"/>
      <c r="AP135" s="31"/>
      <c r="AQ135" s="31"/>
      <c r="AR135" s="79"/>
      <c r="AS135" s="31"/>
      <c r="AT135" s="31">
        <f t="shared" si="5"/>
        <v>0</v>
      </c>
    </row>
    <row r="136" spans="1:46" ht="19.5" hidden="1" customHeight="1" x14ac:dyDescent="0.3">
      <c r="A136" s="54">
        <v>132</v>
      </c>
      <c r="B136" s="59">
        <v>127002002</v>
      </c>
      <c r="C136" s="188" t="s">
        <v>603</v>
      </c>
      <c r="D136" s="54" t="s">
        <v>584</v>
      </c>
      <c r="E136" s="198">
        <v>379938</v>
      </c>
      <c r="F136" s="50" t="s">
        <v>605</v>
      </c>
      <c r="G136" s="50"/>
      <c r="H136" s="52"/>
      <c r="I136" s="52"/>
      <c r="J136" s="52"/>
      <c r="K136" s="52"/>
      <c r="L136" s="52"/>
      <c r="M136" s="52"/>
      <c r="N136" s="52">
        <v>120</v>
      </c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31"/>
      <c r="AN136" s="31"/>
      <c r="AO136" s="31"/>
      <c r="AP136" s="31"/>
      <c r="AQ136" s="31"/>
      <c r="AR136" s="79"/>
      <c r="AS136" s="31"/>
      <c r="AT136" s="31">
        <f t="shared" si="5"/>
        <v>120</v>
      </c>
    </row>
    <row r="137" spans="1:46" ht="19.5" hidden="1" customHeight="1" x14ac:dyDescent="0.3">
      <c r="A137" s="54">
        <v>133</v>
      </c>
      <c r="B137" s="59">
        <v>127002002</v>
      </c>
      <c r="C137" s="188" t="s">
        <v>603</v>
      </c>
      <c r="D137" s="54" t="s">
        <v>584</v>
      </c>
      <c r="E137" s="198">
        <v>379940</v>
      </c>
      <c r="F137" s="50" t="s">
        <v>606</v>
      </c>
      <c r="G137" s="50"/>
      <c r="H137" s="52"/>
      <c r="I137" s="52"/>
      <c r="J137" s="52"/>
      <c r="K137" s="52"/>
      <c r="L137" s="52"/>
      <c r="M137" s="52"/>
      <c r="N137" s="52">
        <v>1000</v>
      </c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31"/>
      <c r="AN137" s="31"/>
      <c r="AO137" s="31"/>
      <c r="AP137" s="31"/>
      <c r="AQ137" s="31"/>
      <c r="AR137" s="79"/>
      <c r="AS137" s="31"/>
      <c r="AT137" s="31">
        <f t="shared" si="5"/>
        <v>1000</v>
      </c>
    </row>
    <row r="138" spans="1:46" ht="19.5" hidden="1" customHeight="1" x14ac:dyDescent="0.3">
      <c r="A138" s="54">
        <v>134</v>
      </c>
      <c r="B138" s="59">
        <v>127002002</v>
      </c>
      <c r="C138" s="188" t="s">
        <v>603</v>
      </c>
      <c r="D138" s="54" t="s">
        <v>584</v>
      </c>
      <c r="E138" s="198">
        <v>379939</v>
      </c>
      <c r="F138" s="50" t="s">
        <v>607</v>
      </c>
      <c r="G138" s="50"/>
      <c r="H138" s="52"/>
      <c r="I138" s="52"/>
      <c r="J138" s="52"/>
      <c r="K138" s="52"/>
      <c r="L138" s="52"/>
      <c r="M138" s="52"/>
      <c r="N138" s="52">
        <v>1000</v>
      </c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31"/>
      <c r="AN138" s="31"/>
      <c r="AO138" s="31"/>
      <c r="AP138" s="31"/>
      <c r="AQ138" s="31"/>
      <c r="AR138" s="79"/>
      <c r="AS138" s="31"/>
      <c r="AT138" s="31">
        <f t="shared" si="5"/>
        <v>1000</v>
      </c>
    </row>
    <row r="139" spans="1:46" ht="19.5" hidden="1" customHeight="1" x14ac:dyDescent="0.3">
      <c r="A139" s="54">
        <v>135</v>
      </c>
      <c r="B139" s="59">
        <v>127002002</v>
      </c>
      <c r="C139" s="188" t="s">
        <v>603</v>
      </c>
      <c r="D139" s="54" t="s">
        <v>584</v>
      </c>
      <c r="E139" s="198">
        <v>379941</v>
      </c>
      <c r="F139" s="50" t="s">
        <v>608</v>
      </c>
      <c r="G139" s="50"/>
      <c r="H139" s="52"/>
      <c r="I139" s="52"/>
      <c r="J139" s="52"/>
      <c r="K139" s="52"/>
      <c r="L139" s="52"/>
      <c r="M139" s="52"/>
      <c r="N139" s="52">
        <v>240</v>
      </c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31"/>
      <c r="AN139" s="31"/>
      <c r="AO139" s="31"/>
      <c r="AP139" s="31"/>
      <c r="AQ139" s="31"/>
      <c r="AR139" s="79"/>
      <c r="AS139" s="31"/>
      <c r="AT139" s="31">
        <f t="shared" si="5"/>
        <v>240</v>
      </c>
    </row>
    <row r="140" spans="1:46" ht="19.5" hidden="1" customHeight="1" x14ac:dyDescent="0.3">
      <c r="A140" s="54">
        <v>136</v>
      </c>
      <c r="B140" s="59">
        <v>127002002</v>
      </c>
      <c r="C140" s="188" t="s">
        <v>603</v>
      </c>
      <c r="D140" s="54" t="s">
        <v>584</v>
      </c>
      <c r="E140" s="198">
        <v>379942</v>
      </c>
      <c r="F140" s="50" t="s">
        <v>609</v>
      </c>
      <c r="G140" s="50"/>
      <c r="H140" s="52"/>
      <c r="I140" s="52"/>
      <c r="J140" s="52"/>
      <c r="K140" s="52"/>
      <c r="L140" s="52"/>
      <c r="M140" s="52"/>
      <c r="N140" s="52">
        <v>120</v>
      </c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31"/>
      <c r="AN140" s="31"/>
      <c r="AO140" s="31"/>
      <c r="AP140" s="31"/>
      <c r="AQ140" s="31"/>
      <c r="AR140" s="79"/>
      <c r="AS140" s="31"/>
      <c r="AT140" s="31">
        <f t="shared" si="5"/>
        <v>120</v>
      </c>
    </row>
    <row r="141" spans="1:46" ht="19.5" hidden="1" customHeight="1" x14ac:dyDescent="0.3">
      <c r="A141" s="54">
        <v>137</v>
      </c>
      <c r="B141" s="59">
        <v>127002002</v>
      </c>
      <c r="C141" s="188" t="s">
        <v>603</v>
      </c>
      <c r="D141" s="54" t="s">
        <v>584</v>
      </c>
      <c r="E141" s="198">
        <v>379943</v>
      </c>
      <c r="F141" s="50" t="s">
        <v>610</v>
      </c>
      <c r="G141" s="50"/>
      <c r="H141" s="52"/>
      <c r="I141" s="52"/>
      <c r="J141" s="52"/>
      <c r="K141" s="52"/>
      <c r="L141" s="52"/>
      <c r="M141" s="52"/>
      <c r="N141" s="52">
        <v>448</v>
      </c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31"/>
      <c r="AN141" s="31"/>
      <c r="AO141" s="31"/>
      <c r="AP141" s="31"/>
      <c r="AQ141" s="31"/>
      <c r="AR141" s="79"/>
      <c r="AS141" s="31"/>
      <c r="AT141" s="31">
        <f t="shared" si="5"/>
        <v>448</v>
      </c>
    </row>
    <row r="142" spans="1:46" ht="19.5" customHeight="1" x14ac:dyDescent="0.3">
      <c r="A142" s="54">
        <v>138</v>
      </c>
      <c r="B142" s="59">
        <v>102001014</v>
      </c>
      <c r="C142" s="188" t="s">
        <v>611</v>
      </c>
      <c r="D142" s="52" t="s">
        <v>612</v>
      </c>
      <c r="E142" s="193">
        <v>386792</v>
      </c>
      <c r="F142" s="31" t="s">
        <v>613</v>
      </c>
      <c r="G142" s="31"/>
      <c r="H142" s="52"/>
      <c r="I142" s="52"/>
      <c r="J142" s="52"/>
      <c r="K142" s="52"/>
      <c r="L142" s="52"/>
      <c r="M142" s="52"/>
      <c r="N142" s="52">
        <v>2889</v>
      </c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31"/>
      <c r="AN142" s="31"/>
      <c r="AO142" s="31"/>
      <c r="AP142" s="31"/>
      <c r="AQ142" s="31"/>
      <c r="AR142" s="79"/>
      <c r="AS142" s="31"/>
      <c r="AT142" s="31">
        <f t="shared" si="5"/>
        <v>2889</v>
      </c>
    </row>
    <row r="143" spans="1:46" ht="19.5" customHeight="1" x14ac:dyDescent="0.3">
      <c r="A143" s="54">
        <v>139</v>
      </c>
      <c r="B143" s="59">
        <v>126002008</v>
      </c>
      <c r="C143" s="188" t="s">
        <v>614</v>
      </c>
      <c r="D143" s="52" t="s">
        <v>612</v>
      </c>
      <c r="E143" s="193">
        <v>386793</v>
      </c>
      <c r="F143" s="31" t="s">
        <v>615</v>
      </c>
      <c r="G143" s="3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31"/>
      <c r="AN143" s="31"/>
      <c r="AO143" s="31"/>
      <c r="AP143" s="31"/>
      <c r="AQ143" s="31"/>
      <c r="AR143" s="79"/>
      <c r="AS143" s="31"/>
      <c r="AT143" s="31">
        <f t="shared" si="5"/>
        <v>0</v>
      </c>
    </row>
    <row r="144" spans="1:46" ht="19.5" customHeight="1" x14ac:dyDescent="0.3">
      <c r="A144" s="54">
        <v>140</v>
      </c>
      <c r="B144" s="59">
        <v>126002008</v>
      </c>
      <c r="C144" s="188" t="s">
        <v>614</v>
      </c>
      <c r="D144" s="52" t="s">
        <v>612</v>
      </c>
      <c r="E144" s="193">
        <v>386794</v>
      </c>
      <c r="F144" s="31" t="s">
        <v>616</v>
      </c>
      <c r="G144" s="31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31"/>
      <c r="AN144" s="31"/>
      <c r="AO144" s="31"/>
      <c r="AP144" s="31"/>
      <c r="AQ144" s="31"/>
      <c r="AR144" s="79"/>
      <c r="AS144" s="31"/>
      <c r="AT144" s="31">
        <f t="shared" si="5"/>
        <v>0</v>
      </c>
    </row>
    <row r="145" spans="1:46" ht="19.5" customHeight="1" x14ac:dyDescent="0.3">
      <c r="A145" s="54">
        <v>141</v>
      </c>
      <c r="B145" s="59">
        <v>102001006</v>
      </c>
      <c r="C145" s="188" t="s">
        <v>588</v>
      </c>
      <c r="D145" s="52" t="s">
        <v>612</v>
      </c>
      <c r="E145" s="193">
        <v>386795</v>
      </c>
      <c r="F145" s="31" t="s">
        <v>617</v>
      </c>
      <c r="G145" s="31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31"/>
      <c r="AN145" s="31"/>
      <c r="AO145" s="31"/>
      <c r="AP145" s="31"/>
      <c r="AQ145" s="31"/>
      <c r="AR145" s="79"/>
      <c r="AS145" s="31"/>
      <c r="AT145" s="31">
        <f t="shared" si="5"/>
        <v>0</v>
      </c>
    </row>
    <row r="146" spans="1:46" ht="19.5" hidden="1" customHeight="1" x14ac:dyDescent="0.3">
      <c r="A146" s="54">
        <v>142</v>
      </c>
      <c r="B146" s="59">
        <v>117008006</v>
      </c>
      <c r="C146" s="188" t="s">
        <v>618</v>
      </c>
      <c r="D146" s="52" t="s">
        <v>619</v>
      </c>
      <c r="E146" s="193">
        <v>390880</v>
      </c>
      <c r="F146" s="31" t="s">
        <v>620</v>
      </c>
      <c r="G146" s="54">
        <v>1280</v>
      </c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31"/>
      <c r="AN146" s="31"/>
      <c r="AO146" s="31"/>
      <c r="AP146" s="31"/>
      <c r="AQ146" s="31"/>
      <c r="AR146" s="79"/>
      <c r="AS146" s="31"/>
      <c r="AT146" s="31">
        <f t="shared" si="5"/>
        <v>1280</v>
      </c>
    </row>
    <row r="147" spans="1:46" ht="19.5" hidden="1" customHeight="1" x14ac:dyDescent="0.3">
      <c r="A147" s="54">
        <v>143</v>
      </c>
      <c r="B147" s="59">
        <v>117008008</v>
      </c>
      <c r="C147" s="188" t="s">
        <v>621</v>
      </c>
      <c r="D147" s="52" t="s">
        <v>619</v>
      </c>
      <c r="E147" s="193">
        <v>391221</v>
      </c>
      <c r="F147" s="31" t="s">
        <v>622</v>
      </c>
      <c r="G147" s="54">
        <v>4160</v>
      </c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31"/>
      <c r="AN147" s="31"/>
      <c r="AO147" s="31"/>
      <c r="AP147" s="31"/>
      <c r="AQ147" s="31"/>
      <c r="AR147" s="79"/>
      <c r="AS147" s="31"/>
      <c r="AT147" s="31">
        <f t="shared" si="5"/>
        <v>4160</v>
      </c>
    </row>
    <row r="148" spans="1:46" ht="19.5" hidden="1" customHeight="1" x14ac:dyDescent="0.3">
      <c r="A148" s="54">
        <v>144</v>
      </c>
      <c r="B148" s="59">
        <v>117008008</v>
      </c>
      <c r="C148" s="188" t="s">
        <v>621</v>
      </c>
      <c r="D148" s="52" t="s">
        <v>619</v>
      </c>
      <c r="E148" s="193">
        <v>408558</v>
      </c>
      <c r="F148" s="240" t="s">
        <v>623</v>
      </c>
      <c r="G148" s="54">
        <v>212</v>
      </c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31"/>
      <c r="AN148" s="31"/>
      <c r="AO148" s="31"/>
      <c r="AP148" s="31"/>
      <c r="AQ148" s="31"/>
      <c r="AR148" s="79"/>
      <c r="AS148" s="31"/>
      <c r="AT148" s="31">
        <f t="shared" si="5"/>
        <v>212</v>
      </c>
    </row>
    <row r="149" spans="1:46" ht="19.5" hidden="1" customHeight="1" x14ac:dyDescent="0.3">
      <c r="A149" s="54">
        <v>145</v>
      </c>
      <c r="B149" s="59">
        <v>117008009</v>
      </c>
      <c r="C149" s="188" t="s">
        <v>624</v>
      </c>
      <c r="D149" s="52" t="s">
        <v>619</v>
      </c>
      <c r="E149" s="193">
        <v>391222</v>
      </c>
      <c r="F149" s="31" t="s">
        <v>625</v>
      </c>
      <c r="G149" s="54">
        <v>200</v>
      </c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31"/>
      <c r="AN149" s="31"/>
      <c r="AO149" s="31"/>
      <c r="AP149" s="31"/>
      <c r="AQ149" s="31"/>
      <c r="AR149" s="79"/>
      <c r="AS149" s="31"/>
      <c r="AT149" s="31">
        <f t="shared" si="5"/>
        <v>200</v>
      </c>
    </row>
    <row r="150" spans="1:46" ht="19.5" hidden="1" customHeight="1" x14ac:dyDescent="0.3">
      <c r="A150" s="54">
        <v>146</v>
      </c>
      <c r="B150" s="59">
        <v>117008009</v>
      </c>
      <c r="C150" s="188" t="s">
        <v>624</v>
      </c>
      <c r="D150" s="52" t="s">
        <v>619</v>
      </c>
      <c r="E150" s="193">
        <v>391223</v>
      </c>
      <c r="F150" s="31" t="s">
        <v>626</v>
      </c>
      <c r="G150" s="54">
        <v>270</v>
      </c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31"/>
      <c r="AN150" s="31"/>
      <c r="AO150" s="31"/>
      <c r="AP150" s="31"/>
      <c r="AQ150" s="31"/>
      <c r="AR150" s="79"/>
      <c r="AS150" s="31"/>
      <c r="AT150" s="31">
        <f t="shared" si="5"/>
        <v>270</v>
      </c>
    </row>
    <row r="151" spans="1:46" ht="19.5" hidden="1" customHeight="1" x14ac:dyDescent="0.3">
      <c r="A151" s="54">
        <v>147</v>
      </c>
      <c r="B151" s="59">
        <v>117001001</v>
      </c>
      <c r="C151" s="188" t="s">
        <v>530</v>
      </c>
      <c r="D151" s="52" t="s">
        <v>494</v>
      </c>
      <c r="E151" s="193">
        <v>382678</v>
      </c>
      <c r="F151" s="31" t="s">
        <v>627</v>
      </c>
      <c r="G151" s="31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31"/>
      <c r="AN151" s="31"/>
      <c r="AO151" s="31"/>
      <c r="AP151" s="31"/>
      <c r="AQ151" s="31"/>
      <c r="AR151" s="79"/>
      <c r="AS151" s="31"/>
      <c r="AT151" s="31">
        <f t="shared" si="5"/>
        <v>0</v>
      </c>
    </row>
    <row r="152" spans="1:46" ht="19.5" hidden="1" customHeight="1" x14ac:dyDescent="0.3">
      <c r="A152" s="54">
        <v>148</v>
      </c>
      <c r="B152" s="59">
        <v>111001004</v>
      </c>
      <c r="C152" s="188" t="s">
        <v>628</v>
      </c>
      <c r="D152" s="52" t="s">
        <v>494</v>
      </c>
      <c r="E152" s="193">
        <v>389371</v>
      </c>
      <c r="F152" s="31" t="s">
        <v>629</v>
      </c>
      <c r="G152" s="31"/>
      <c r="H152" s="52"/>
      <c r="I152" s="52"/>
      <c r="J152" s="52">
        <v>1760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31"/>
      <c r="AN152" s="31"/>
      <c r="AO152" s="31"/>
      <c r="AP152" s="31"/>
      <c r="AQ152" s="31"/>
      <c r="AR152" s="79"/>
      <c r="AS152" s="31"/>
      <c r="AT152" s="31">
        <f t="shared" si="5"/>
        <v>1760</v>
      </c>
    </row>
    <row r="153" spans="1:46" hidden="1" x14ac:dyDescent="0.3">
      <c r="A153" s="54">
        <v>149</v>
      </c>
      <c r="B153" s="59">
        <v>110001009</v>
      </c>
      <c r="C153" s="188" t="s">
        <v>512</v>
      </c>
      <c r="D153" s="52" t="s">
        <v>494</v>
      </c>
      <c r="E153" s="193">
        <v>390002</v>
      </c>
      <c r="F153" s="31" t="s">
        <v>630</v>
      </c>
      <c r="G153" s="31"/>
      <c r="H153" s="52"/>
      <c r="I153" s="52"/>
      <c r="J153" s="52"/>
      <c r="K153" s="52"/>
      <c r="L153" s="52"/>
      <c r="M153" s="52"/>
      <c r="N153" s="52"/>
      <c r="O153" s="52">
        <v>2004</v>
      </c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31"/>
      <c r="AN153" s="31"/>
      <c r="AO153" s="31"/>
      <c r="AP153" s="31"/>
      <c r="AQ153" s="31"/>
      <c r="AR153" s="79"/>
      <c r="AS153" s="31"/>
      <c r="AT153" s="31">
        <f t="shared" si="5"/>
        <v>2004</v>
      </c>
    </row>
    <row r="154" spans="1:46" hidden="1" x14ac:dyDescent="0.3">
      <c r="A154" s="54">
        <v>150</v>
      </c>
      <c r="B154" s="59">
        <v>111001005</v>
      </c>
      <c r="C154" s="188" t="s">
        <v>495</v>
      </c>
      <c r="D154" s="52" t="s">
        <v>494</v>
      </c>
      <c r="E154" s="193">
        <v>390003</v>
      </c>
      <c r="F154" s="31" t="s">
        <v>631</v>
      </c>
      <c r="G154" s="31"/>
      <c r="H154" s="52"/>
      <c r="I154" s="52"/>
      <c r="J154" s="52"/>
      <c r="K154" s="52">
        <v>2940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31"/>
      <c r="AN154" s="31"/>
      <c r="AO154" s="31"/>
      <c r="AP154" s="31"/>
      <c r="AQ154" s="31"/>
      <c r="AR154" s="79"/>
      <c r="AS154" s="31"/>
      <c r="AT154" s="31">
        <f t="shared" si="5"/>
        <v>2940</v>
      </c>
    </row>
    <row r="155" spans="1:46" hidden="1" x14ac:dyDescent="0.3">
      <c r="A155" s="54">
        <v>151</v>
      </c>
      <c r="B155" s="59">
        <v>111001023</v>
      </c>
      <c r="C155" s="188" t="s">
        <v>632</v>
      </c>
      <c r="D155" s="52" t="s">
        <v>494</v>
      </c>
      <c r="E155" s="193">
        <v>390004</v>
      </c>
      <c r="F155" s="31" t="s">
        <v>633</v>
      </c>
      <c r="G155" s="31"/>
      <c r="H155" s="52"/>
      <c r="I155" s="52"/>
      <c r="J155" s="52"/>
      <c r="K155" s="52">
        <v>1800</v>
      </c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31"/>
      <c r="AN155" s="31"/>
      <c r="AO155" s="31"/>
      <c r="AP155" s="31"/>
      <c r="AQ155" s="31"/>
      <c r="AR155" s="79"/>
      <c r="AS155" s="31"/>
      <c r="AT155" s="31">
        <f t="shared" si="5"/>
        <v>1800</v>
      </c>
    </row>
    <row r="156" spans="1:46" x14ac:dyDescent="0.3">
      <c r="A156" s="54">
        <v>152</v>
      </c>
      <c r="B156" s="59">
        <v>102001007</v>
      </c>
      <c r="C156" s="188" t="s">
        <v>634</v>
      </c>
      <c r="D156" s="52" t="s">
        <v>612</v>
      </c>
      <c r="E156" s="193">
        <v>393805</v>
      </c>
      <c r="F156" s="31" t="s">
        <v>635</v>
      </c>
      <c r="G156" s="31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31"/>
      <c r="AN156" s="31"/>
      <c r="AO156" s="31"/>
      <c r="AP156" s="31"/>
      <c r="AQ156" s="31"/>
      <c r="AR156" s="79"/>
      <c r="AS156" s="31"/>
      <c r="AT156" s="31">
        <f t="shared" si="5"/>
        <v>0</v>
      </c>
    </row>
    <row r="157" spans="1:46" ht="18.75" customHeight="1" x14ac:dyDescent="0.3">
      <c r="A157" s="54">
        <v>153</v>
      </c>
      <c r="B157" s="59">
        <v>102001014</v>
      </c>
      <c r="C157" s="188" t="s">
        <v>611</v>
      </c>
      <c r="D157" s="52" t="s">
        <v>612</v>
      </c>
      <c r="E157" s="193">
        <v>393806</v>
      </c>
      <c r="F157" s="31" t="s">
        <v>636</v>
      </c>
      <c r="G157" s="31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31"/>
      <c r="AN157" s="31"/>
      <c r="AO157" s="31"/>
      <c r="AP157" s="31"/>
      <c r="AQ157" s="31"/>
      <c r="AR157" s="79"/>
      <c r="AS157" s="31"/>
      <c r="AT157" s="31">
        <f t="shared" si="5"/>
        <v>0</v>
      </c>
    </row>
    <row r="158" spans="1:46" ht="18.75" hidden="1" customHeight="1" x14ac:dyDescent="0.3">
      <c r="A158" s="54">
        <v>154</v>
      </c>
      <c r="B158" s="59">
        <v>111001006</v>
      </c>
      <c r="C158" s="188" t="s">
        <v>637</v>
      </c>
      <c r="D158" s="52" t="s">
        <v>494</v>
      </c>
      <c r="E158" s="193">
        <v>394471</v>
      </c>
      <c r="F158" s="31" t="s">
        <v>638</v>
      </c>
      <c r="G158" s="31"/>
      <c r="H158" s="52"/>
      <c r="I158" s="52"/>
      <c r="J158" s="52"/>
      <c r="K158" s="52"/>
      <c r="L158" s="52"/>
      <c r="M158" s="52"/>
      <c r="N158" s="52"/>
      <c r="O158" s="205">
        <v>3000</v>
      </c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31"/>
      <c r="AN158" s="31"/>
      <c r="AO158" s="31"/>
      <c r="AP158" s="31"/>
      <c r="AQ158" s="31"/>
      <c r="AR158" s="79"/>
      <c r="AS158" s="31"/>
      <c r="AT158" s="31">
        <f t="shared" si="5"/>
        <v>3000</v>
      </c>
    </row>
    <row r="159" spans="1:46" ht="18.75" hidden="1" customHeight="1" x14ac:dyDescent="0.3">
      <c r="A159" s="54">
        <v>155</v>
      </c>
      <c r="B159" s="59">
        <v>111001001</v>
      </c>
      <c r="C159" s="188" t="s">
        <v>522</v>
      </c>
      <c r="D159" s="52" t="s">
        <v>494</v>
      </c>
      <c r="E159" s="193">
        <v>394884</v>
      </c>
      <c r="F159" s="31" t="s">
        <v>639</v>
      </c>
      <c r="G159" s="31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31"/>
      <c r="AN159" s="31"/>
      <c r="AO159" s="31"/>
      <c r="AP159" s="31"/>
      <c r="AQ159" s="31"/>
      <c r="AR159" s="79"/>
      <c r="AS159" s="31"/>
      <c r="AT159" s="31">
        <f t="shared" si="5"/>
        <v>0</v>
      </c>
    </row>
    <row r="160" spans="1:46" ht="18.75" hidden="1" customHeight="1" x14ac:dyDescent="0.3">
      <c r="A160" s="54">
        <v>156</v>
      </c>
      <c r="B160" s="59">
        <v>107001005</v>
      </c>
      <c r="C160" s="188" t="s">
        <v>640</v>
      </c>
      <c r="D160" s="191" t="s">
        <v>494</v>
      </c>
      <c r="E160" s="194">
        <v>400401</v>
      </c>
      <c r="F160" s="31" t="s">
        <v>641</v>
      </c>
      <c r="G160" s="31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31"/>
      <c r="AM160" s="31"/>
      <c r="AN160" s="31"/>
      <c r="AO160" s="31"/>
      <c r="AP160" s="31"/>
      <c r="AQ160" s="31"/>
      <c r="AR160" s="79"/>
      <c r="AS160" s="31"/>
      <c r="AT160" s="31">
        <f t="shared" si="5"/>
        <v>0</v>
      </c>
    </row>
    <row r="161" spans="1:46" ht="18.75" hidden="1" customHeight="1" x14ac:dyDescent="0.3">
      <c r="A161" s="54">
        <v>157</v>
      </c>
      <c r="B161" s="59">
        <v>107001005</v>
      </c>
      <c r="C161" s="188" t="s">
        <v>640</v>
      </c>
      <c r="D161" s="191" t="s">
        <v>494</v>
      </c>
      <c r="E161" s="194">
        <v>400402</v>
      </c>
      <c r="F161" s="31" t="s">
        <v>642</v>
      </c>
      <c r="G161" s="31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31"/>
      <c r="AM161" s="31"/>
      <c r="AN161" s="31"/>
      <c r="AO161" s="31"/>
      <c r="AP161" s="31"/>
      <c r="AQ161" s="31"/>
      <c r="AR161" s="79"/>
      <c r="AS161" s="31"/>
      <c r="AT161" s="31">
        <f t="shared" si="5"/>
        <v>0</v>
      </c>
    </row>
    <row r="162" spans="1:46" ht="18.75" hidden="1" customHeight="1" x14ac:dyDescent="0.3">
      <c r="A162" s="54">
        <v>158</v>
      </c>
      <c r="B162" s="59">
        <v>107001005</v>
      </c>
      <c r="C162" s="188" t="s">
        <v>640</v>
      </c>
      <c r="D162" s="191" t="s">
        <v>494</v>
      </c>
      <c r="E162" s="194">
        <v>400403</v>
      </c>
      <c r="F162" s="31" t="s">
        <v>643</v>
      </c>
      <c r="G162" s="31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31"/>
      <c r="AM162" s="31"/>
      <c r="AN162" s="31"/>
      <c r="AO162" s="31"/>
      <c r="AP162" s="31"/>
      <c r="AQ162" s="31"/>
      <c r="AR162" s="79"/>
      <c r="AS162" s="31"/>
      <c r="AT162" s="31">
        <f t="shared" si="5"/>
        <v>0</v>
      </c>
    </row>
    <row r="163" spans="1:46" ht="18.75" hidden="1" customHeight="1" x14ac:dyDescent="0.3">
      <c r="A163" s="54">
        <v>159</v>
      </c>
      <c r="B163" s="59">
        <v>107001005</v>
      </c>
      <c r="C163" s="188" t="s">
        <v>640</v>
      </c>
      <c r="D163" s="191" t="s">
        <v>494</v>
      </c>
      <c r="E163" s="194">
        <v>400404</v>
      </c>
      <c r="F163" s="31" t="s">
        <v>644</v>
      </c>
      <c r="G163" s="31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31"/>
      <c r="AM163" s="31"/>
      <c r="AN163" s="31"/>
      <c r="AO163" s="31"/>
      <c r="AP163" s="31"/>
      <c r="AQ163" s="31"/>
      <c r="AR163" s="79"/>
      <c r="AS163" s="31"/>
      <c r="AT163" s="31">
        <f t="shared" si="5"/>
        <v>0</v>
      </c>
    </row>
    <row r="164" spans="1:46" ht="18.75" hidden="1" customHeight="1" x14ac:dyDescent="0.3">
      <c r="A164" s="54">
        <v>160</v>
      </c>
      <c r="B164" s="59">
        <v>107001005</v>
      </c>
      <c r="C164" s="188" t="s">
        <v>640</v>
      </c>
      <c r="D164" s="191" t="s">
        <v>494</v>
      </c>
      <c r="E164" s="194">
        <v>400405</v>
      </c>
      <c r="F164" s="31" t="s">
        <v>645</v>
      </c>
      <c r="G164" s="31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31"/>
      <c r="AM164" s="31"/>
      <c r="AN164" s="31"/>
      <c r="AO164" s="31"/>
      <c r="AP164" s="31"/>
      <c r="AQ164" s="31"/>
      <c r="AR164" s="79"/>
      <c r="AS164" s="31"/>
      <c r="AT164" s="31">
        <f t="shared" si="5"/>
        <v>0</v>
      </c>
    </row>
    <row r="165" spans="1:46" ht="18.75" hidden="1" customHeight="1" x14ac:dyDescent="0.3">
      <c r="A165" s="54">
        <v>161</v>
      </c>
      <c r="B165" s="59">
        <v>107001005</v>
      </c>
      <c r="C165" s="188" t="s">
        <v>640</v>
      </c>
      <c r="D165" s="191" t="s">
        <v>494</v>
      </c>
      <c r="E165" s="194">
        <v>400406</v>
      </c>
      <c r="F165" s="31" t="s">
        <v>646</v>
      </c>
      <c r="G165" s="31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31"/>
      <c r="AM165" s="31"/>
      <c r="AN165" s="31"/>
      <c r="AO165" s="31"/>
      <c r="AP165" s="31"/>
      <c r="AQ165" s="31"/>
      <c r="AR165" s="79"/>
      <c r="AS165" s="31"/>
      <c r="AT165" s="31">
        <f t="shared" si="5"/>
        <v>0</v>
      </c>
    </row>
    <row r="166" spans="1:46" ht="18.75" hidden="1" customHeight="1" x14ac:dyDescent="0.3">
      <c r="A166" s="54">
        <v>162</v>
      </c>
      <c r="B166" s="59">
        <v>107001005</v>
      </c>
      <c r="C166" s="188" t="s">
        <v>640</v>
      </c>
      <c r="D166" s="191" t="s">
        <v>494</v>
      </c>
      <c r="E166" s="194">
        <v>400407</v>
      </c>
      <c r="F166" s="31" t="s">
        <v>647</v>
      </c>
      <c r="G166" s="31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31"/>
      <c r="AM166" s="31"/>
      <c r="AN166" s="31"/>
      <c r="AO166" s="31"/>
      <c r="AP166" s="31"/>
      <c r="AQ166" s="31"/>
      <c r="AR166" s="79"/>
      <c r="AS166" s="31"/>
      <c r="AT166" s="31">
        <f t="shared" si="5"/>
        <v>0</v>
      </c>
    </row>
    <row r="167" spans="1:46" ht="18.75" hidden="1" customHeight="1" x14ac:dyDescent="0.3">
      <c r="A167" s="54">
        <v>163</v>
      </c>
      <c r="B167" s="59">
        <v>107001005</v>
      </c>
      <c r="C167" s="188" t="s">
        <v>640</v>
      </c>
      <c r="D167" s="191" t="s">
        <v>494</v>
      </c>
      <c r="E167" s="194">
        <v>400408</v>
      </c>
      <c r="F167" s="31" t="s">
        <v>648</v>
      </c>
      <c r="G167" s="31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31"/>
      <c r="AM167" s="31"/>
      <c r="AN167" s="31"/>
      <c r="AO167" s="31"/>
      <c r="AP167" s="31"/>
      <c r="AQ167" s="31"/>
      <c r="AR167" s="79"/>
      <c r="AS167" s="31"/>
      <c r="AT167" s="31">
        <f t="shared" si="5"/>
        <v>0</v>
      </c>
    </row>
    <row r="168" spans="1:46" ht="18.75" hidden="1" customHeight="1" x14ac:dyDescent="0.3">
      <c r="A168" s="54">
        <v>164</v>
      </c>
      <c r="B168" s="59">
        <v>107001005</v>
      </c>
      <c r="C168" s="188" t="s">
        <v>640</v>
      </c>
      <c r="D168" s="191" t="s">
        <v>494</v>
      </c>
      <c r="E168" s="194">
        <v>400409</v>
      </c>
      <c r="F168" s="31" t="s">
        <v>649</v>
      </c>
      <c r="G168" s="31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31"/>
      <c r="AM168" s="31"/>
      <c r="AN168" s="31"/>
      <c r="AO168" s="31"/>
      <c r="AP168" s="31"/>
      <c r="AQ168" s="31"/>
      <c r="AR168" s="79"/>
      <c r="AS168" s="31"/>
      <c r="AT168" s="31">
        <f t="shared" si="5"/>
        <v>0</v>
      </c>
    </row>
    <row r="169" spans="1:46" ht="18.75" hidden="1" customHeight="1" x14ac:dyDescent="0.3">
      <c r="A169" s="54">
        <v>165</v>
      </c>
      <c r="B169" s="59">
        <v>107001005</v>
      </c>
      <c r="C169" s="188" t="s">
        <v>640</v>
      </c>
      <c r="D169" s="191" t="s">
        <v>494</v>
      </c>
      <c r="E169" s="194">
        <v>400410</v>
      </c>
      <c r="F169" s="31" t="s">
        <v>650</v>
      </c>
      <c r="G169" s="31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31"/>
      <c r="AM169" s="31"/>
      <c r="AN169" s="31"/>
      <c r="AO169" s="31"/>
      <c r="AP169" s="31"/>
      <c r="AQ169" s="31"/>
      <c r="AR169" s="79"/>
      <c r="AS169" s="31"/>
      <c r="AT169" s="31">
        <f t="shared" si="5"/>
        <v>0</v>
      </c>
    </row>
    <row r="170" spans="1:46" ht="18.75" hidden="1" customHeight="1" x14ac:dyDescent="0.3">
      <c r="A170" s="54">
        <v>166</v>
      </c>
      <c r="B170" s="59">
        <v>107001005</v>
      </c>
      <c r="C170" s="188" t="s">
        <v>640</v>
      </c>
      <c r="D170" s="191" t="s">
        <v>494</v>
      </c>
      <c r="E170" s="194">
        <v>400411</v>
      </c>
      <c r="F170" s="31" t="s">
        <v>651</v>
      </c>
      <c r="G170" s="31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31"/>
      <c r="AM170" s="31"/>
      <c r="AN170" s="31"/>
      <c r="AO170" s="31"/>
      <c r="AP170" s="31"/>
      <c r="AQ170" s="31"/>
      <c r="AR170" s="79"/>
      <c r="AS170" s="31"/>
      <c r="AT170" s="31">
        <f t="shared" si="5"/>
        <v>0</v>
      </c>
    </row>
    <row r="171" spans="1:46" ht="18.75" hidden="1" customHeight="1" x14ac:dyDescent="0.3">
      <c r="A171" s="54">
        <v>167</v>
      </c>
      <c r="B171" s="59">
        <v>107001005</v>
      </c>
      <c r="C171" s="188" t="s">
        <v>640</v>
      </c>
      <c r="D171" s="191" t="s">
        <v>494</v>
      </c>
      <c r="E171" s="194">
        <v>400412</v>
      </c>
      <c r="F171" s="31" t="s">
        <v>652</v>
      </c>
      <c r="G171" s="31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31"/>
      <c r="AM171" s="31"/>
      <c r="AN171" s="31"/>
      <c r="AO171" s="31"/>
      <c r="AP171" s="31"/>
      <c r="AQ171" s="31"/>
      <c r="AR171" s="79"/>
      <c r="AS171" s="31"/>
      <c r="AT171" s="31">
        <f t="shared" si="5"/>
        <v>0</v>
      </c>
    </row>
    <row r="172" spans="1:46" ht="18.75" hidden="1" customHeight="1" x14ac:dyDescent="0.3">
      <c r="A172" s="54">
        <v>168</v>
      </c>
      <c r="B172" s="59">
        <v>107001005</v>
      </c>
      <c r="C172" s="188" t="s">
        <v>640</v>
      </c>
      <c r="D172" s="191" t="s">
        <v>494</v>
      </c>
      <c r="E172" s="194">
        <v>400413</v>
      </c>
      <c r="F172" s="31" t="s">
        <v>653</v>
      </c>
      <c r="G172" s="31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31"/>
      <c r="AM172" s="31"/>
      <c r="AN172" s="31"/>
      <c r="AO172" s="31"/>
      <c r="AP172" s="31"/>
      <c r="AQ172" s="31"/>
      <c r="AR172" s="79"/>
      <c r="AS172" s="31"/>
      <c r="AT172" s="31">
        <f t="shared" si="5"/>
        <v>0</v>
      </c>
    </row>
    <row r="173" spans="1:46" ht="18.75" hidden="1" customHeight="1" x14ac:dyDescent="0.3">
      <c r="A173" s="54">
        <v>169</v>
      </c>
      <c r="B173" s="59">
        <v>107001005</v>
      </c>
      <c r="C173" s="188" t="s">
        <v>640</v>
      </c>
      <c r="D173" s="191" t="s">
        <v>494</v>
      </c>
      <c r="E173" s="194">
        <v>400414</v>
      </c>
      <c r="F173" s="31" t="s">
        <v>654</v>
      </c>
      <c r="G173" s="31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31"/>
      <c r="AM173" s="31"/>
      <c r="AN173" s="31"/>
      <c r="AO173" s="31"/>
      <c r="AP173" s="31"/>
      <c r="AQ173" s="31"/>
      <c r="AR173" s="79"/>
      <c r="AS173" s="31"/>
      <c r="AT173" s="31">
        <f t="shared" si="5"/>
        <v>0</v>
      </c>
    </row>
    <row r="174" spans="1:46" ht="18.75" hidden="1" customHeight="1" x14ac:dyDescent="0.3">
      <c r="A174" s="54">
        <v>170</v>
      </c>
      <c r="B174" s="59">
        <v>107001005</v>
      </c>
      <c r="C174" s="188" t="s">
        <v>640</v>
      </c>
      <c r="D174" s="191" t="s">
        <v>494</v>
      </c>
      <c r="E174" s="194">
        <v>400415</v>
      </c>
      <c r="F174" s="31" t="s">
        <v>655</v>
      </c>
      <c r="G174" s="31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31"/>
      <c r="AM174" s="31"/>
      <c r="AN174" s="31"/>
      <c r="AO174" s="31"/>
      <c r="AP174" s="31"/>
      <c r="AQ174" s="31"/>
      <c r="AR174" s="79"/>
      <c r="AS174" s="31"/>
      <c r="AT174" s="31">
        <f t="shared" si="5"/>
        <v>0</v>
      </c>
    </row>
    <row r="175" spans="1:46" ht="18.75" hidden="1" customHeight="1" x14ac:dyDescent="0.3">
      <c r="A175" s="54">
        <v>171</v>
      </c>
      <c r="B175" s="59">
        <v>107001005</v>
      </c>
      <c r="C175" s="188" t="s">
        <v>640</v>
      </c>
      <c r="D175" s="191" t="s">
        <v>494</v>
      </c>
      <c r="E175" s="194">
        <v>400416</v>
      </c>
      <c r="F175" s="31" t="s">
        <v>656</v>
      </c>
      <c r="G175" s="31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31"/>
      <c r="AM175" s="31"/>
      <c r="AN175" s="31"/>
      <c r="AO175" s="31"/>
      <c r="AP175" s="31"/>
      <c r="AQ175" s="31"/>
      <c r="AR175" s="79"/>
      <c r="AS175" s="31"/>
      <c r="AT175" s="31">
        <f t="shared" si="5"/>
        <v>0</v>
      </c>
    </row>
    <row r="176" spans="1:46" ht="18.75" hidden="1" customHeight="1" x14ac:dyDescent="0.3">
      <c r="A176" s="54">
        <v>172</v>
      </c>
      <c r="B176" s="59">
        <v>107001005</v>
      </c>
      <c r="C176" s="188" t="s">
        <v>640</v>
      </c>
      <c r="D176" s="191" t="s">
        <v>494</v>
      </c>
      <c r="E176" s="194">
        <v>400417</v>
      </c>
      <c r="F176" s="31" t="s">
        <v>657</v>
      </c>
      <c r="G176" s="31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31"/>
      <c r="AM176" s="31"/>
      <c r="AN176" s="31"/>
      <c r="AO176" s="31"/>
      <c r="AP176" s="31"/>
      <c r="AQ176" s="31"/>
      <c r="AR176" s="79"/>
      <c r="AS176" s="31"/>
      <c r="AT176" s="31">
        <f t="shared" si="5"/>
        <v>0</v>
      </c>
    </row>
    <row r="177" spans="1:46" ht="18.75" hidden="1" customHeight="1" x14ac:dyDescent="0.3">
      <c r="A177" s="54">
        <v>173</v>
      </c>
      <c r="B177" s="59">
        <v>107001005</v>
      </c>
      <c r="C177" s="188" t="s">
        <v>640</v>
      </c>
      <c r="D177" s="191" t="s">
        <v>494</v>
      </c>
      <c r="E177" s="194">
        <v>400418</v>
      </c>
      <c r="F177" s="31" t="s">
        <v>658</v>
      </c>
      <c r="G177" s="31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31"/>
      <c r="AM177" s="31"/>
      <c r="AN177" s="31"/>
      <c r="AO177" s="31"/>
      <c r="AP177" s="31"/>
      <c r="AQ177" s="31"/>
      <c r="AR177" s="79"/>
      <c r="AS177" s="31"/>
      <c r="AT177" s="31">
        <f t="shared" si="5"/>
        <v>0</v>
      </c>
    </row>
    <row r="178" spans="1:46" ht="18.75" hidden="1" customHeight="1" x14ac:dyDescent="0.3">
      <c r="A178" s="54">
        <v>174</v>
      </c>
      <c r="B178" s="59">
        <v>107001005</v>
      </c>
      <c r="C178" s="188" t="s">
        <v>640</v>
      </c>
      <c r="D178" s="191" t="s">
        <v>494</v>
      </c>
      <c r="E178" s="194">
        <v>400419</v>
      </c>
      <c r="F178" s="31" t="s">
        <v>659</v>
      </c>
      <c r="G178" s="31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31"/>
      <c r="AM178" s="31"/>
      <c r="AN178" s="31"/>
      <c r="AO178" s="31"/>
      <c r="AP178" s="31"/>
      <c r="AQ178" s="31"/>
      <c r="AR178" s="79"/>
      <c r="AS178" s="31"/>
      <c r="AT178" s="31">
        <f t="shared" si="5"/>
        <v>0</v>
      </c>
    </row>
    <row r="179" spans="1:46" ht="18.75" hidden="1" customHeight="1" x14ac:dyDescent="0.3">
      <c r="A179" s="54">
        <v>175</v>
      </c>
      <c r="B179" s="59">
        <v>107001005</v>
      </c>
      <c r="C179" s="188" t="s">
        <v>640</v>
      </c>
      <c r="D179" s="191" t="s">
        <v>494</v>
      </c>
      <c r="E179" s="194">
        <v>403002</v>
      </c>
      <c r="F179" s="31" t="s">
        <v>660</v>
      </c>
      <c r="G179" s="31"/>
      <c r="H179" s="52"/>
      <c r="I179" s="52"/>
      <c r="J179" s="52"/>
      <c r="K179" s="52">
        <v>200</v>
      </c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31"/>
      <c r="AM179" s="31"/>
      <c r="AN179" s="31"/>
      <c r="AO179" s="31"/>
      <c r="AP179" s="31"/>
      <c r="AQ179" s="31"/>
      <c r="AR179" s="79"/>
      <c r="AS179" s="31"/>
      <c r="AT179" s="31">
        <f t="shared" si="5"/>
        <v>200</v>
      </c>
    </row>
    <row r="180" spans="1:46" ht="18.75" customHeight="1" x14ac:dyDescent="0.3">
      <c r="A180" s="54">
        <v>176</v>
      </c>
      <c r="B180" s="59">
        <v>107001005</v>
      </c>
      <c r="C180" s="188" t="s">
        <v>640</v>
      </c>
      <c r="D180" s="52" t="s">
        <v>612</v>
      </c>
      <c r="E180" s="194">
        <v>403259</v>
      </c>
      <c r="F180" s="31" t="s">
        <v>661</v>
      </c>
      <c r="G180" s="31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31"/>
      <c r="AM180" s="31"/>
      <c r="AN180" s="31"/>
      <c r="AO180" s="31"/>
      <c r="AP180" s="31"/>
      <c r="AQ180" s="31"/>
      <c r="AR180" s="79"/>
      <c r="AS180" s="31"/>
      <c r="AT180" s="31">
        <f t="shared" si="5"/>
        <v>0</v>
      </c>
    </row>
    <row r="181" spans="1:46" ht="18.75" customHeight="1" x14ac:dyDescent="0.3">
      <c r="A181" s="54">
        <v>177</v>
      </c>
      <c r="B181" s="59">
        <v>102001014</v>
      </c>
      <c r="C181" s="188" t="s">
        <v>611</v>
      </c>
      <c r="D181" s="52" t="s">
        <v>612</v>
      </c>
      <c r="E181" s="194">
        <v>403260</v>
      </c>
      <c r="F181" s="31" t="s">
        <v>662</v>
      </c>
      <c r="G181" s="31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31"/>
      <c r="AM181" s="31"/>
      <c r="AN181" s="31"/>
      <c r="AO181" s="31"/>
      <c r="AP181" s="31"/>
      <c r="AQ181" s="31"/>
      <c r="AR181" s="79"/>
      <c r="AS181" s="31"/>
      <c r="AT181" s="31">
        <f t="shared" si="5"/>
        <v>0</v>
      </c>
    </row>
    <row r="182" spans="1:46" ht="18.75" customHeight="1" x14ac:dyDescent="0.3">
      <c r="A182" s="54">
        <v>178</v>
      </c>
      <c r="B182" s="59">
        <v>126002008</v>
      </c>
      <c r="C182" s="188" t="s">
        <v>614</v>
      </c>
      <c r="D182" s="52" t="s">
        <v>612</v>
      </c>
      <c r="E182" s="194">
        <v>403801</v>
      </c>
      <c r="F182" s="31" t="s">
        <v>663</v>
      </c>
      <c r="G182" s="31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31"/>
      <c r="AM182" s="31"/>
      <c r="AN182" s="31"/>
      <c r="AO182" s="31"/>
      <c r="AP182" s="31"/>
      <c r="AQ182" s="31"/>
      <c r="AR182" s="79"/>
      <c r="AS182" s="31"/>
      <c r="AT182" s="31">
        <f t="shared" si="5"/>
        <v>0</v>
      </c>
    </row>
    <row r="183" spans="1:46" ht="18.75" hidden="1" customHeight="1" x14ac:dyDescent="0.3">
      <c r="A183" s="54">
        <v>179</v>
      </c>
      <c r="B183" s="59">
        <v>107001002</v>
      </c>
      <c r="C183" s="188" t="s">
        <v>664</v>
      </c>
      <c r="D183" s="52" t="s">
        <v>494</v>
      </c>
      <c r="E183" s="298">
        <v>404323</v>
      </c>
      <c r="F183" s="31" t="s">
        <v>665</v>
      </c>
      <c r="G183" s="31"/>
      <c r="H183" s="52"/>
      <c r="I183" s="52"/>
      <c r="J183" s="52"/>
      <c r="K183" s="52"/>
      <c r="L183" s="52"/>
      <c r="M183" s="52"/>
      <c r="N183" s="52"/>
      <c r="O183" s="52"/>
      <c r="P183" s="52"/>
      <c r="Q183" s="52">
        <v>300</v>
      </c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31"/>
      <c r="AM183" s="31"/>
      <c r="AN183" s="31"/>
      <c r="AO183" s="31"/>
      <c r="AP183" s="31"/>
      <c r="AQ183" s="31"/>
      <c r="AR183" s="79"/>
      <c r="AS183" s="31"/>
      <c r="AT183" s="31">
        <f t="shared" si="5"/>
        <v>300</v>
      </c>
    </row>
    <row r="184" spans="1:46" ht="18.75" hidden="1" customHeight="1" x14ac:dyDescent="0.3">
      <c r="A184" s="54">
        <v>180</v>
      </c>
      <c r="B184" s="59">
        <v>107001002</v>
      </c>
      <c r="C184" s="188" t="s">
        <v>664</v>
      </c>
      <c r="D184" s="52" t="s">
        <v>494</v>
      </c>
      <c r="E184" s="298">
        <v>404324</v>
      </c>
      <c r="F184" s="31" t="s">
        <v>666</v>
      </c>
      <c r="G184" s="31"/>
      <c r="H184" s="52"/>
      <c r="I184" s="52"/>
      <c r="J184" s="52"/>
      <c r="K184" s="52"/>
      <c r="L184" s="52"/>
      <c r="M184" s="52"/>
      <c r="N184" s="52"/>
      <c r="O184" s="52"/>
      <c r="P184" s="52"/>
      <c r="Q184" s="52">
        <v>300</v>
      </c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31"/>
      <c r="AM184" s="31"/>
      <c r="AN184" s="31"/>
      <c r="AO184" s="31"/>
      <c r="AP184" s="31"/>
      <c r="AQ184" s="31"/>
      <c r="AR184" s="79"/>
      <c r="AS184" s="31"/>
      <c r="AT184" s="31">
        <f t="shared" si="5"/>
        <v>300</v>
      </c>
    </row>
    <row r="185" spans="1:46" ht="18.75" hidden="1" customHeight="1" x14ac:dyDescent="0.3">
      <c r="A185" s="54">
        <v>181</v>
      </c>
      <c r="B185" s="59">
        <v>107001002</v>
      </c>
      <c r="C185" s="188" t="s">
        <v>664</v>
      </c>
      <c r="D185" s="52" t="s">
        <v>494</v>
      </c>
      <c r="E185" s="298">
        <v>404325</v>
      </c>
      <c r="F185" s="31" t="s">
        <v>667</v>
      </c>
      <c r="G185" s="31"/>
      <c r="H185" s="52"/>
      <c r="I185" s="52"/>
      <c r="J185" s="52"/>
      <c r="K185" s="52"/>
      <c r="L185" s="52"/>
      <c r="M185" s="52"/>
      <c r="N185" s="52"/>
      <c r="O185" s="52"/>
      <c r="P185" s="52"/>
      <c r="Q185" s="52">
        <v>300</v>
      </c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31"/>
      <c r="AM185" s="31"/>
      <c r="AN185" s="31"/>
      <c r="AO185" s="31"/>
      <c r="AP185" s="31"/>
      <c r="AQ185" s="31"/>
      <c r="AR185" s="79"/>
      <c r="AS185" s="31"/>
      <c r="AT185" s="31">
        <f t="shared" si="5"/>
        <v>300</v>
      </c>
    </row>
    <row r="186" spans="1:46" ht="18.75" hidden="1" customHeight="1" x14ac:dyDescent="0.3">
      <c r="A186" s="54">
        <v>182</v>
      </c>
      <c r="B186" s="59">
        <v>107001002</v>
      </c>
      <c r="C186" s="188" t="s">
        <v>664</v>
      </c>
      <c r="D186" s="191" t="s">
        <v>494</v>
      </c>
      <c r="E186" s="298">
        <v>404326</v>
      </c>
      <c r="F186" s="31" t="s">
        <v>668</v>
      </c>
      <c r="G186" s="31"/>
      <c r="H186" s="52"/>
      <c r="I186" s="52"/>
      <c r="J186" s="52"/>
      <c r="K186" s="52"/>
      <c r="L186" s="52"/>
      <c r="M186" s="52"/>
      <c r="N186" s="52"/>
      <c r="O186" s="52"/>
      <c r="P186" s="52"/>
      <c r="Q186" s="52">
        <v>300</v>
      </c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31"/>
      <c r="AM186" s="31"/>
      <c r="AN186" s="31"/>
      <c r="AO186" s="31"/>
      <c r="AP186" s="31"/>
      <c r="AQ186" s="31"/>
      <c r="AR186" s="79"/>
      <c r="AS186" s="31"/>
      <c r="AT186" s="31">
        <f t="shared" si="5"/>
        <v>300</v>
      </c>
    </row>
    <row r="187" spans="1:46" ht="18.75" hidden="1" customHeight="1" x14ac:dyDescent="0.3">
      <c r="A187" s="54">
        <v>183</v>
      </c>
      <c r="B187" s="59">
        <v>107001002</v>
      </c>
      <c r="C187" s="188" t="s">
        <v>664</v>
      </c>
      <c r="D187" s="191" t="s">
        <v>494</v>
      </c>
      <c r="E187" s="298">
        <v>404327</v>
      </c>
      <c r="F187" s="31" t="s">
        <v>669</v>
      </c>
      <c r="G187" s="31"/>
      <c r="H187" s="52"/>
      <c r="I187" s="52"/>
      <c r="J187" s="52"/>
      <c r="K187" s="52"/>
      <c r="L187" s="52"/>
      <c r="M187" s="52"/>
      <c r="N187" s="52"/>
      <c r="O187" s="52"/>
      <c r="P187" s="52"/>
      <c r="Q187" s="52">
        <v>572</v>
      </c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31"/>
      <c r="AM187" s="31"/>
      <c r="AN187" s="31"/>
      <c r="AO187" s="31"/>
      <c r="AP187" s="31"/>
      <c r="AQ187" s="31"/>
      <c r="AR187" s="79"/>
      <c r="AS187" s="31"/>
      <c r="AT187" s="31">
        <f t="shared" si="5"/>
        <v>572</v>
      </c>
    </row>
    <row r="188" spans="1:46" ht="18.75" hidden="1" customHeight="1" x14ac:dyDescent="0.3">
      <c r="A188" s="54">
        <v>184</v>
      </c>
      <c r="B188" s="59">
        <v>107001002</v>
      </c>
      <c r="C188" s="188" t="s">
        <v>664</v>
      </c>
      <c r="D188" s="191" t="s">
        <v>494</v>
      </c>
      <c r="E188" s="298">
        <v>404328</v>
      </c>
      <c r="F188" s="31" t="s">
        <v>670</v>
      </c>
      <c r="G188" s="31"/>
      <c r="H188" s="52"/>
      <c r="I188" s="52"/>
      <c r="J188" s="52"/>
      <c r="K188" s="52"/>
      <c r="L188" s="52"/>
      <c r="M188" s="52"/>
      <c r="N188" s="52"/>
      <c r="O188" s="52"/>
      <c r="P188" s="52"/>
      <c r="Q188" s="52">
        <v>572</v>
      </c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31"/>
      <c r="AM188" s="31"/>
      <c r="AN188" s="31"/>
      <c r="AO188" s="31"/>
      <c r="AP188" s="31"/>
      <c r="AQ188" s="31"/>
      <c r="AR188" s="79"/>
      <c r="AS188" s="31"/>
      <c r="AT188" s="31">
        <f t="shared" si="5"/>
        <v>572</v>
      </c>
    </row>
    <row r="189" spans="1:46" ht="18.75" hidden="1" customHeight="1" x14ac:dyDescent="0.3">
      <c r="A189" s="54">
        <v>185</v>
      </c>
      <c r="B189" s="59">
        <v>107001002</v>
      </c>
      <c r="C189" s="188" t="s">
        <v>664</v>
      </c>
      <c r="D189" s="191" t="s">
        <v>494</v>
      </c>
      <c r="E189" s="298">
        <v>404329</v>
      </c>
      <c r="F189" s="31" t="s">
        <v>671</v>
      </c>
      <c r="G189" s="31"/>
      <c r="H189" s="52"/>
      <c r="I189" s="52"/>
      <c r="J189" s="52"/>
      <c r="K189" s="52"/>
      <c r="L189" s="52"/>
      <c r="M189" s="52"/>
      <c r="N189" s="52"/>
      <c r="O189" s="52"/>
      <c r="P189" s="52"/>
      <c r="Q189" s="52">
        <v>572</v>
      </c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31"/>
      <c r="AM189" s="31"/>
      <c r="AN189" s="31"/>
      <c r="AO189" s="31"/>
      <c r="AP189" s="31"/>
      <c r="AQ189" s="31"/>
      <c r="AR189" s="79"/>
      <c r="AS189" s="31"/>
      <c r="AT189" s="31">
        <f t="shared" si="5"/>
        <v>572</v>
      </c>
    </row>
    <row r="190" spans="1:46" ht="18.75" hidden="1" customHeight="1" x14ac:dyDescent="0.3">
      <c r="A190" s="54">
        <v>186</v>
      </c>
      <c r="B190" s="59">
        <v>107001002</v>
      </c>
      <c r="C190" s="188" t="s">
        <v>664</v>
      </c>
      <c r="D190" s="191" t="s">
        <v>494</v>
      </c>
      <c r="E190" s="298">
        <v>404330</v>
      </c>
      <c r="F190" s="31" t="s">
        <v>672</v>
      </c>
      <c r="G190" s="31"/>
      <c r="H190" s="52"/>
      <c r="I190" s="52"/>
      <c r="J190" s="52"/>
      <c r="K190" s="52"/>
      <c r="L190" s="52"/>
      <c r="M190" s="52"/>
      <c r="N190" s="52"/>
      <c r="O190" s="52"/>
      <c r="P190" s="52"/>
      <c r="Q190" s="52">
        <v>572</v>
      </c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31"/>
      <c r="AM190" s="31"/>
      <c r="AN190" s="31"/>
      <c r="AO190" s="31"/>
      <c r="AP190" s="31"/>
      <c r="AQ190" s="31"/>
      <c r="AR190" s="79"/>
      <c r="AS190" s="31"/>
      <c r="AT190" s="31">
        <f t="shared" si="5"/>
        <v>572</v>
      </c>
    </row>
    <row r="191" spans="1:46" ht="18.75" hidden="1" customHeight="1" x14ac:dyDescent="0.3">
      <c r="A191" s="54">
        <v>187</v>
      </c>
      <c r="B191" s="59">
        <v>107001002</v>
      </c>
      <c r="C191" s="188" t="s">
        <v>664</v>
      </c>
      <c r="D191" s="191" t="s">
        <v>494</v>
      </c>
      <c r="E191" s="298">
        <v>404331</v>
      </c>
      <c r="F191" s="31" t="s">
        <v>673</v>
      </c>
      <c r="G191" s="31"/>
      <c r="H191" s="52"/>
      <c r="I191" s="52"/>
      <c r="J191" s="52"/>
      <c r="K191" s="52"/>
      <c r="L191" s="52"/>
      <c r="M191" s="52"/>
      <c r="N191" s="52"/>
      <c r="O191" s="52"/>
      <c r="P191" s="52"/>
      <c r="Q191" s="52">
        <v>568</v>
      </c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31"/>
      <c r="AM191" s="31"/>
      <c r="AN191" s="31"/>
      <c r="AO191" s="31"/>
      <c r="AP191" s="31"/>
      <c r="AQ191" s="31"/>
      <c r="AR191" s="79"/>
      <c r="AS191" s="31"/>
      <c r="AT191" s="31">
        <f t="shared" si="5"/>
        <v>568</v>
      </c>
    </row>
    <row r="192" spans="1:46" ht="18.75" hidden="1" customHeight="1" x14ac:dyDescent="0.3">
      <c r="A192" s="54">
        <v>188</v>
      </c>
      <c r="B192" s="59">
        <v>107001002</v>
      </c>
      <c r="C192" s="188" t="s">
        <v>664</v>
      </c>
      <c r="D192" s="191" t="s">
        <v>494</v>
      </c>
      <c r="E192" s="298">
        <v>404332</v>
      </c>
      <c r="F192" s="31" t="s">
        <v>674</v>
      </c>
      <c r="G192" s="31"/>
      <c r="H192" s="52"/>
      <c r="I192" s="52"/>
      <c r="J192" s="52"/>
      <c r="K192" s="52"/>
      <c r="L192" s="52"/>
      <c r="M192" s="52"/>
      <c r="N192" s="52"/>
      <c r="O192" s="52"/>
      <c r="P192" s="52"/>
      <c r="Q192" s="52">
        <v>572</v>
      </c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31"/>
      <c r="AM192" s="31"/>
      <c r="AN192" s="31"/>
      <c r="AO192" s="31"/>
      <c r="AP192" s="31"/>
      <c r="AQ192" s="31"/>
      <c r="AR192" s="79"/>
      <c r="AS192" s="31"/>
      <c r="AT192" s="31">
        <f t="shared" si="5"/>
        <v>572</v>
      </c>
    </row>
    <row r="193" spans="1:46" ht="18.75" hidden="1" customHeight="1" x14ac:dyDescent="0.3">
      <c r="A193" s="54">
        <v>189</v>
      </c>
      <c r="B193" s="59">
        <v>107001002</v>
      </c>
      <c r="C193" s="188" t="s">
        <v>664</v>
      </c>
      <c r="D193" s="191" t="s">
        <v>494</v>
      </c>
      <c r="E193" s="298">
        <v>404333</v>
      </c>
      <c r="F193" s="31" t="s">
        <v>675</v>
      </c>
      <c r="G193" s="31"/>
      <c r="H193" s="52"/>
      <c r="I193" s="52"/>
      <c r="J193" s="52"/>
      <c r="K193" s="52"/>
      <c r="L193" s="52"/>
      <c r="M193" s="52"/>
      <c r="N193" s="52"/>
      <c r="O193" s="52"/>
      <c r="P193" s="52"/>
      <c r="Q193" s="52">
        <v>572</v>
      </c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31"/>
      <c r="AM193" s="31"/>
      <c r="AN193" s="31"/>
      <c r="AO193" s="31"/>
      <c r="AP193" s="31"/>
      <c r="AQ193" s="31"/>
      <c r="AR193" s="79"/>
      <c r="AS193" s="31"/>
      <c r="AT193" s="31">
        <f t="shared" si="5"/>
        <v>572</v>
      </c>
    </row>
    <row r="194" spans="1:46" ht="18.75" hidden="1" customHeight="1" x14ac:dyDescent="0.3">
      <c r="A194" s="54">
        <v>190</v>
      </c>
      <c r="B194" s="59">
        <v>107001002</v>
      </c>
      <c r="C194" s="188" t="s">
        <v>664</v>
      </c>
      <c r="D194" s="191" t="s">
        <v>494</v>
      </c>
      <c r="E194" s="298">
        <v>404334</v>
      </c>
      <c r="F194" s="31" t="s">
        <v>676</v>
      </c>
      <c r="G194" s="31"/>
      <c r="H194" s="52"/>
      <c r="I194" s="52"/>
      <c r="J194" s="52"/>
      <c r="K194" s="52"/>
      <c r="L194" s="52"/>
      <c r="M194" s="52"/>
      <c r="N194" s="52"/>
      <c r="O194" s="52"/>
      <c r="P194" s="52"/>
      <c r="Q194" s="52">
        <v>572</v>
      </c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31"/>
      <c r="AM194" s="31"/>
      <c r="AN194" s="31"/>
      <c r="AO194" s="31"/>
      <c r="AP194" s="31"/>
      <c r="AQ194" s="31"/>
      <c r="AR194" s="79"/>
      <c r="AS194" s="31"/>
      <c r="AT194" s="31">
        <f t="shared" si="5"/>
        <v>572</v>
      </c>
    </row>
    <row r="195" spans="1:46" ht="18.75" hidden="1" customHeight="1" x14ac:dyDescent="0.3">
      <c r="A195" s="54">
        <v>191</v>
      </c>
      <c r="B195" s="59">
        <v>107001002</v>
      </c>
      <c r="C195" s="188" t="s">
        <v>664</v>
      </c>
      <c r="D195" s="191" t="s">
        <v>494</v>
      </c>
      <c r="E195" s="298">
        <v>404335</v>
      </c>
      <c r="F195" s="31" t="s">
        <v>677</v>
      </c>
      <c r="G195" s="31"/>
      <c r="H195" s="52"/>
      <c r="I195" s="52"/>
      <c r="J195" s="52"/>
      <c r="K195" s="52"/>
      <c r="L195" s="52"/>
      <c r="M195" s="52"/>
      <c r="N195" s="52"/>
      <c r="O195" s="52"/>
      <c r="P195" s="52"/>
      <c r="Q195" s="52">
        <v>572</v>
      </c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31"/>
      <c r="AM195" s="31"/>
      <c r="AN195" s="31"/>
      <c r="AO195" s="31"/>
      <c r="AP195" s="31"/>
      <c r="AQ195" s="31"/>
      <c r="AR195" s="79"/>
      <c r="AS195" s="31"/>
      <c r="AT195" s="31">
        <f t="shared" si="5"/>
        <v>572</v>
      </c>
    </row>
    <row r="196" spans="1:46" ht="18.75" hidden="1" customHeight="1" x14ac:dyDescent="0.3">
      <c r="A196" s="54">
        <v>192</v>
      </c>
      <c r="B196" s="59">
        <v>107001002</v>
      </c>
      <c r="C196" s="188" t="s">
        <v>664</v>
      </c>
      <c r="D196" s="191" t="s">
        <v>494</v>
      </c>
      <c r="E196" s="194">
        <v>404336</v>
      </c>
      <c r="F196" s="31" t="s">
        <v>678</v>
      </c>
      <c r="G196" s="31"/>
      <c r="H196" s="52"/>
      <c r="I196" s="52"/>
      <c r="J196" s="52"/>
      <c r="K196" s="52"/>
      <c r="L196" s="52"/>
      <c r="M196" s="52"/>
      <c r="N196" s="52"/>
      <c r="O196" s="52"/>
      <c r="P196" s="52"/>
      <c r="Q196" s="52">
        <v>568</v>
      </c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31"/>
      <c r="AM196" s="31"/>
      <c r="AN196" s="31"/>
      <c r="AO196" s="31"/>
      <c r="AP196" s="31"/>
      <c r="AQ196" s="31"/>
      <c r="AR196" s="79"/>
      <c r="AS196" s="31"/>
      <c r="AT196" s="31">
        <f t="shared" si="5"/>
        <v>568</v>
      </c>
    </row>
    <row r="197" spans="1:46" ht="18.75" hidden="1" customHeight="1" x14ac:dyDescent="0.3">
      <c r="A197" s="54">
        <v>193</v>
      </c>
      <c r="B197" s="59">
        <v>107001002</v>
      </c>
      <c r="C197" s="188" t="s">
        <v>664</v>
      </c>
      <c r="D197" s="191" t="s">
        <v>494</v>
      </c>
      <c r="E197" s="298">
        <v>404337</v>
      </c>
      <c r="F197" s="31" t="s">
        <v>679</v>
      </c>
      <c r="G197" s="31"/>
      <c r="H197" s="52"/>
      <c r="I197" s="52"/>
      <c r="J197" s="52"/>
      <c r="K197" s="52"/>
      <c r="L197" s="52"/>
      <c r="M197" s="52"/>
      <c r="N197" s="52"/>
      <c r="O197" s="52"/>
      <c r="P197" s="52"/>
      <c r="Q197" s="52">
        <v>300</v>
      </c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31"/>
      <c r="AM197" s="31"/>
      <c r="AN197" s="31"/>
      <c r="AO197" s="31"/>
      <c r="AP197" s="31"/>
      <c r="AQ197" s="31"/>
      <c r="AR197" s="79"/>
      <c r="AS197" s="31"/>
      <c r="AT197" s="31">
        <f t="shared" si="5"/>
        <v>300</v>
      </c>
    </row>
    <row r="198" spans="1:46" ht="18.75" hidden="1" customHeight="1" x14ac:dyDescent="0.3">
      <c r="A198" s="54">
        <v>194</v>
      </c>
      <c r="B198" s="59">
        <v>107001002</v>
      </c>
      <c r="C198" s="188" t="s">
        <v>664</v>
      </c>
      <c r="D198" s="191" t="s">
        <v>494</v>
      </c>
      <c r="E198" s="298">
        <v>404338</v>
      </c>
      <c r="F198" s="31" t="s">
        <v>680</v>
      </c>
      <c r="G198" s="31"/>
      <c r="H198" s="52"/>
      <c r="I198" s="52"/>
      <c r="J198" s="52"/>
      <c r="K198" s="52"/>
      <c r="L198" s="52"/>
      <c r="M198" s="52"/>
      <c r="N198" s="52"/>
      <c r="O198" s="52"/>
      <c r="P198" s="52"/>
      <c r="Q198" s="52">
        <v>300</v>
      </c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31"/>
      <c r="AM198" s="31"/>
      <c r="AN198" s="31"/>
      <c r="AO198" s="31"/>
      <c r="AP198" s="31"/>
      <c r="AQ198" s="31"/>
      <c r="AR198" s="79"/>
      <c r="AS198" s="31"/>
      <c r="AT198" s="31">
        <f t="shared" ref="AT198:AT201" si="6">SUM(G198:AS198)</f>
        <v>300</v>
      </c>
    </row>
    <row r="199" spans="1:46" ht="18.75" hidden="1" customHeight="1" x14ac:dyDescent="0.3">
      <c r="A199" s="54">
        <v>195</v>
      </c>
      <c r="B199" s="59">
        <v>107001002</v>
      </c>
      <c r="C199" s="188" t="s">
        <v>664</v>
      </c>
      <c r="D199" s="191" t="s">
        <v>494</v>
      </c>
      <c r="E199" s="298">
        <v>404339</v>
      </c>
      <c r="F199" s="31" t="s">
        <v>681</v>
      </c>
      <c r="G199" s="31"/>
      <c r="H199" s="52"/>
      <c r="I199" s="52"/>
      <c r="J199" s="52"/>
      <c r="K199" s="52"/>
      <c r="L199" s="52"/>
      <c r="M199" s="52"/>
      <c r="N199" s="52"/>
      <c r="O199" s="52"/>
      <c r="P199" s="52"/>
      <c r="Q199" s="52">
        <v>300</v>
      </c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31"/>
      <c r="AM199" s="31"/>
      <c r="AN199" s="31"/>
      <c r="AO199" s="31"/>
      <c r="AP199" s="31"/>
      <c r="AQ199" s="31"/>
      <c r="AR199" s="79"/>
      <c r="AS199" s="31"/>
      <c r="AT199" s="31">
        <f t="shared" si="6"/>
        <v>300</v>
      </c>
    </row>
    <row r="200" spans="1:46" ht="18.75" hidden="1" customHeight="1" x14ac:dyDescent="0.3">
      <c r="A200" s="54">
        <v>196</v>
      </c>
      <c r="B200" s="59">
        <v>107001002</v>
      </c>
      <c r="C200" s="188" t="s">
        <v>664</v>
      </c>
      <c r="D200" s="191" t="s">
        <v>494</v>
      </c>
      <c r="E200" s="298">
        <v>404340</v>
      </c>
      <c r="F200" s="31" t="s">
        <v>682</v>
      </c>
      <c r="G200" s="31"/>
      <c r="H200" s="52"/>
      <c r="I200" s="52"/>
      <c r="J200" s="52"/>
      <c r="K200" s="52"/>
      <c r="L200" s="52"/>
      <c r="M200" s="52"/>
      <c r="N200" s="52"/>
      <c r="O200" s="52"/>
      <c r="P200" s="52"/>
      <c r="Q200" s="52">
        <v>300</v>
      </c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31"/>
      <c r="AM200" s="31"/>
      <c r="AN200" s="31"/>
      <c r="AO200" s="31"/>
      <c r="AP200" s="31"/>
      <c r="AQ200" s="31"/>
      <c r="AR200" s="79"/>
      <c r="AS200" s="31"/>
      <c r="AT200" s="31">
        <f t="shared" si="6"/>
        <v>300</v>
      </c>
    </row>
    <row r="201" spans="1:46" hidden="1" x14ac:dyDescent="0.3">
      <c r="A201" s="54">
        <v>197</v>
      </c>
      <c r="B201" s="59">
        <v>107001002</v>
      </c>
      <c r="C201" s="188" t="s">
        <v>664</v>
      </c>
      <c r="D201" s="191" t="s">
        <v>584</v>
      </c>
      <c r="E201" s="194">
        <v>404592</v>
      </c>
      <c r="F201" s="31" t="s">
        <v>683</v>
      </c>
      <c r="G201" s="31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31"/>
      <c r="AM201" s="31"/>
      <c r="AN201" s="31"/>
      <c r="AO201" s="31"/>
      <c r="AP201" s="31"/>
      <c r="AQ201" s="31"/>
      <c r="AR201" s="79"/>
      <c r="AS201" s="31"/>
      <c r="AT201" s="31">
        <f t="shared" si="6"/>
        <v>0</v>
      </c>
    </row>
    <row r="1048547" spans="24:24" x14ac:dyDescent="0.3">
      <c r="X1048547" s="208"/>
    </row>
    <row r="1048548" spans="24:24" x14ac:dyDescent="0.3">
      <c r="X1048548" s="208"/>
    </row>
    <row r="1048549" spans="24:24" x14ac:dyDescent="0.3">
      <c r="X1048549" s="208"/>
    </row>
    <row r="1048550" spans="24:24" x14ac:dyDescent="0.3">
      <c r="X1048550" s="208"/>
    </row>
    <row r="1048551" spans="24:24" x14ac:dyDescent="0.3">
      <c r="X1048551" s="208"/>
    </row>
    <row r="1048552" spans="24:24" x14ac:dyDescent="0.3">
      <c r="X1048552" s="208"/>
    </row>
    <row r="1048553" spans="24:24" x14ac:dyDescent="0.3">
      <c r="X1048553" s="208"/>
    </row>
  </sheetData>
  <autoFilter ref="A4:AT201" xr:uid="{7E25AEC9-B8F2-4055-9EB5-F62769CA8778}">
    <filterColumn colId="3">
      <filters>
        <filter val="Amet"/>
      </filters>
    </filterColumn>
  </autoFilter>
  <mergeCells count="2">
    <mergeCell ref="A1:C3"/>
    <mergeCell ref="D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D0F7-EB25-4E05-9277-F659031C7C94}">
  <sheetPr>
    <tabColor rgb="FF00B0F0"/>
  </sheetPr>
  <dimension ref="A1:AA99"/>
  <sheetViews>
    <sheetView tabSelected="1" topLeftCell="H1" zoomScale="70" zoomScaleNormal="70" workbookViewId="0">
      <pane ySplit="1" topLeftCell="A27" activePane="bottomLeft" state="frozen"/>
      <selection pane="bottomLeft" activeCell="H35" sqref="H35"/>
    </sheetView>
  </sheetViews>
  <sheetFormatPr defaultColWidth="9.109375" defaultRowHeight="15" customHeight="1" x14ac:dyDescent="0.3"/>
  <cols>
    <col min="1" max="1" width="8.33203125" style="61" customWidth="1"/>
    <col min="2" max="2" width="20.33203125" style="61" bestFit="1" customWidth="1"/>
    <col min="3" max="3" width="15.5546875" style="61" bestFit="1" customWidth="1"/>
    <col min="4" max="4" width="23.33203125" style="61" bestFit="1" customWidth="1"/>
    <col min="5" max="5" width="20.109375" style="61" bestFit="1" customWidth="1"/>
    <col min="6" max="6" width="31.5546875" style="61" customWidth="1"/>
    <col min="7" max="7" width="16.44140625" style="61" customWidth="1"/>
    <col min="8" max="8" width="60.88671875" style="61" customWidth="1"/>
    <col min="9" max="9" width="18.6640625" style="61" bestFit="1" customWidth="1"/>
    <col min="10" max="10" width="17.109375" style="61" bestFit="1" customWidth="1"/>
    <col min="11" max="11" width="15" style="61" customWidth="1"/>
    <col min="12" max="12" width="10.109375" style="61" bestFit="1" customWidth="1"/>
    <col min="13" max="14" width="7.44140625" style="61" customWidth="1"/>
    <col min="15" max="15" width="16.33203125" style="61" bestFit="1" customWidth="1"/>
    <col min="16" max="16" width="20" style="61" bestFit="1" customWidth="1"/>
    <col min="17" max="19" width="1.5546875" style="61" customWidth="1"/>
    <col min="20" max="20" width="7.33203125" style="61" customWidth="1"/>
    <col min="21" max="21" width="16.6640625" style="61" bestFit="1" customWidth="1"/>
    <col min="22" max="22" width="16" style="61" bestFit="1" customWidth="1"/>
    <col min="23" max="23" width="17.88671875" style="61" bestFit="1" customWidth="1"/>
    <col min="24" max="24" width="9.44140625" style="61" customWidth="1"/>
    <col min="25" max="25" width="18.6640625" style="61" bestFit="1" customWidth="1"/>
    <col min="26" max="26" width="22.5546875" style="61" bestFit="1" customWidth="1"/>
    <col min="27" max="27" width="22" style="61" bestFit="1" customWidth="1"/>
    <col min="28" max="16384" width="9.109375" style="61"/>
  </cols>
  <sheetData>
    <row r="1" spans="1:27" ht="46.5" customHeight="1" x14ac:dyDescent="0.3">
      <c r="A1" s="219" t="s">
        <v>1</v>
      </c>
      <c r="B1" s="218" t="s">
        <v>684</v>
      </c>
      <c r="C1" s="219" t="s">
        <v>685</v>
      </c>
      <c r="D1" s="219" t="s">
        <v>686</v>
      </c>
      <c r="E1" s="219" t="s">
        <v>245</v>
      </c>
      <c r="F1" s="219" t="s">
        <v>687</v>
      </c>
      <c r="G1" s="219" t="s">
        <v>688</v>
      </c>
      <c r="H1" s="219" t="s">
        <v>689</v>
      </c>
      <c r="I1" s="219" t="s">
        <v>690</v>
      </c>
      <c r="J1" s="219" t="s">
        <v>691</v>
      </c>
      <c r="K1" s="220" t="s">
        <v>692</v>
      </c>
      <c r="L1" s="220" t="s">
        <v>693</v>
      </c>
      <c r="M1" s="220" t="s">
        <v>694</v>
      </c>
      <c r="N1" s="220" t="s">
        <v>695</v>
      </c>
      <c r="O1" s="220" t="s">
        <v>696</v>
      </c>
      <c r="P1" s="220" t="s">
        <v>697</v>
      </c>
      <c r="Q1" s="220" t="s">
        <v>698</v>
      </c>
      <c r="R1" s="220" t="s">
        <v>699</v>
      </c>
      <c r="S1" s="220" t="s">
        <v>700</v>
      </c>
      <c r="T1" s="220" t="s">
        <v>701</v>
      </c>
      <c r="U1" s="218" t="s">
        <v>205</v>
      </c>
      <c r="V1" s="219" t="s">
        <v>702</v>
      </c>
      <c r="W1" s="237" t="s">
        <v>703</v>
      </c>
      <c r="X1" s="221" t="s">
        <v>704</v>
      </c>
      <c r="Y1" s="221" t="s">
        <v>705</v>
      </c>
      <c r="Z1" s="221" t="s">
        <v>706</v>
      </c>
      <c r="AA1" s="61" t="s">
        <v>707</v>
      </c>
    </row>
    <row r="2" spans="1:27" ht="42.6" customHeight="1" x14ac:dyDescent="0.3">
      <c r="A2" s="80">
        <v>1</v>
      </c>
      <c r="B2" s="222" t="s">
        <v>708</v>
      </c>
      <c r="C2" s="223">
        <v>4508010244</v>
      </c>
      <c r="D2" s="309" t="s">
        <v>709</v>
      </c>
      <c r="E2" s="223" t="s">
        <v>710</v>
      </c>
      <c r="F2" s="223" t="s">
        <v>711</v>
      </c>
      <c r="G2" s="223">
        <f>COUNTIF(Precificação!A:A,'Base de Dados'!D25)</f>
        <v>7</v>
      </c>
      <c r="H2" s="231" t="s">
        <v>712</v>
      </c>
      <c r="I2" s="224">
        <f>SUMIF(Precificação!A:A,D2,Precificação!F:F)</f>
        <v>7074</v>
      </c>
      <c r="J2" s="225">
        <v>58189.26</v>
      </c>
      <c r="K2" s="222">
        <v>2025000082</v>
      </c>
      <c r="L2" s="222" t="s">
        <v>713</v>
      </c>
      <c r="M2" s="226">
        <v>330817.58</v>
      </c>
      <c r="N2" s="226">
        <v>36953.800000000003</v>
      </c>
      <c r="O2" s="226">
        <v>181.93</v>
      </c>
      <c r="P2" s="226">
        <v>192.79</v>
      </c>
      <c r="Q2" s="226">
        <v>1537.1</v>
      </c>
      <c r="R2" s="226">
        <v>1300</v>
      </c>
      <c r="S2" s="226">
        <v>35507.49</v>
      </c>
      <c r="T2" s="226">
        <v>7727.02</v>
      </c>
      <c r="U2" s="226">
        <f t="shared" ref="U2:U33" si="0">SUM(M2:T2)</f>
        <v>414217.70999999996</v>
      </c>
      <c r="V2" s="229">
        <f t="shared" ref="V2:V31" si="1">N2/M2</f>
        <v>0.11170446262257284</v>
      </c>
      <c r="W2" s="229" t="s">
        <v>714</v>
      </c>
      <c r="X2" s="310" t="str">
        <f t="shared" ref="X2:X33" si="2">IF(K2&lt;&gt;"", "CONCLUÍDO", IF(E2&lt;&gt;"", "EM TRÂNSITO", "EM PRODUÇÃO"))</f>
        <v>CONCLUÍDO</v>
      </c>
      <c r="Y2" s="318"/>
      <c r="Z2" s="311">
        <v>46026</v>
      </c>
      <c r="AA2" s="312"/>
    </row>
    <row r="3" spans="1:27" ht="14.4" x14ac:dyDescent="0.3">
      <c r="A3" s="80">
        <f t="shared" ref="A3:A34" si="3">A2+1</f>
        <v>2</v>
      </c>
      <c r="B3" s="222" t="s">
        <v>708</v>
      </c>
      <c r="C3" s="223">
        <v>4508031503</v>
      </c>
      <c r="D3" s="309" t="s">
        <v>715</v>
      </c>
      <c r="E3" s="223" t="s">
        <v>716</v>
      </c>
      <c r="F3" s="223" t="s">
        <v>717</v>
      </c>
      <c r="G3" s="223">
        <f>COUNTIF(Precificação!A:A,'Base de Dados'!D26)</f>
        <v>1</v>
      </c>
      <c r="H3" s="235" t="s">
        <v>718</v>
      </c>
      <c r="I3" s="224">
        <f>SUMIF(Precificação!A:A,D3,Precificação!F:F)</f>
        <v>8630</v>
      </c>
      <c r="J3" s="225">
        <v>62940.5</v>
      </c>
      <c r="K3" s="222">
        <v>2025000097</v>
      </c>
      <c r="L3" s="222" t="s">
        <v>713</v>
      </c>
      <c r="M3" s="226">
        <v>361416.94</v>
      </c>
      <c r="N3" s="226">
        <v>37324.300000000003</v>
      </c>
      <c r="O3" s="226">
        <v>198.79</v>
      </c>
      <c r="P3" s="226">
        <v>254.49</v>
      </c>
      <c r="Q3" s="226">
        <v>1537.1</v>
      </c>
      <c r="R3" s="226">
        <v>1300</v>
      </c>
      <c r="S3" s="226">
        <v>38497.72</v>
      </c>
      <c r="T3" s="226">
        <v>8377.74</v>
      </c>
      <c r="U3" s="226">
        <f t="shared" si="0"/>
        <v>448907.07999999996</v>
      </c>
      <c r="V3" s="229">
        <f t="shared" si="1"/>
        <v>0.10327213771440819</v>
      </c>
      <c r="W3" s="229" t="s">
        <v>714</v>
      </c>
      <c r="X3" s="310" t="str">
        <f t="shared" si="2"/>
        <v>CONCLUÍDO</v>
      </c>
      <c r="Y3" s="318"/>
      <c r="Z3" s="311">
        <v>46026</v>
      </c>
      <c r="AA3" s="312"/>
    </row>
    <row r="4" spans="1:27" ht="14.4" x14ac:dyDescent="0.3">
      <c r="A4" s="80">
        <f t="shared" si="3"/>
        <v>3</v>
      </c>
      <c r="B4" s="222" t="s">
        <v>708</v>
      </c>
      <c r="C4" s="223">
        <v>4508173581</v>
      </c>
      <c r="D4" s="309" t="s">
        <v>719</v>
      </c>
      <c r="E4" s="223" t="s">
        <v>720</v>
      </c>
      <c r="F4" s="223" t="s">
        <v>721</v>
      </c>
      <c r="G4" s="223">
        <f>COUNTIF(Precificação!A:A,'Base de Dados'!D27)</f>
        <v>15</v>
      </c>
      <c r="H4" s="223" t="s">
        <v>722</v>
      </c>
      <c r="I4" s="224">
        <f>SUMIF(Precificação!A:A,D4,Precificação!F:F)</f>
        <v>37782</v>
      </c>
      <c r="J4" s="225">
        <v>68555.520000000004</v>
      </c>
      <c r="K4" s="222">
        <v>2025000164</v>
      </c>
      <c r="L4" s="222" t="s">
        <v>713</v>
      </c>
      <c r="M4" s="226">
        <v>378515.59</v>
      </c>
      <c r="N4" s="226">
        <v>29815.02</v>
      </c>
      <c r="O4" s="226">
        <v>208.15</v>
      </c>
      <c r="P4" s="226">
        <v>254.49</v>
      </c>
      <c r="Q4" s="226">
        <v>1537.1</v>
      </c>
      <c r="R4" s="226">
        <v>1300</v>
      </c>
      <c r="S4" s="226">
        <v>39423.99</v>
      </c>
      <c r="T4" s="226">
        <v>8579.32</v>
      </c>
      <c r="U4" s="226">
        <f t="shared" si="0"/>
        <v>459633.66000000003</v>
      </c>
      <c r="V4" s="229">
        <f t="shared" si="1"/>
        <v>7.8768274775683614E-2</v>
      </c>
      <c r="W4" s="229" t="s">
        <v>714</v>
      </c>
      <c r="X4" s="310" t="str">
        <f t="shared" si="2"/>
        <v>CONCLUÍDO</v>
      </c>
      <c r="Y4" s="318"/>
      <c r="Z4" s="311">
        <v>46026</v>
      </c>
      <c r="AA4" s="312"/>
    </row>
    <row r="5" spans="1:27" ht="14.4" x14ac:dyDescent="0.3">
      <c r="A5" s="80">
        <f t="shared" si="3"/>
        <v>4</v>
      </c>
      <c r="B5" s="222" t="s">
        <v>708</v>
      </c>
      <c r="C5" s="223">
        <v>4508529711</v>
      </c>
      <c r="D5" s="309" t="s">
        <v>301</v>
      </c>
      <c r="E5" s="223" t="s">
        <v>303</v>
      </c>
      <c r="F5" s="223" t="s">
        <v>304</v>
      </c>
      <c r="G5" s="223">
        <f>COUNTIF(Precificação!A:A,'Base de Dados'!D23)</f>
        <v>7</v>
      </c>
      <c r="H5" s="223" t="s">
        <v>723</v>
      </c>
      <c r="I5" s="224">
        <f>SUMIF(Precificação!A:A,D5,Precificação!F:F)</f>
        <v>18234</v>
      </c>
      <c r="J5" s="225">
        <v>86089.58</v>
      </c>
      <c r="K5" s="222">
        <v>2026000006</v>
      </c>
      <c r="L5" s="222" t="s">
        <v>713</v>
      </c>
      <c r="M5" s="226">
        <v>464528.27</v>
      </c>
      <c r="N5" s="226">
        <v>16164.31</v>
      </c>
      <c r="O5" s="226">
        <v>255.51</v>
      </c>
      <c r="P5" s="226">
        <v>254.49</v>
      </c>
      <c r="Q5" s="226">
        <v>1549</v>
      </c>
      <c r="R5" s="226">
        <v>1300</v>
      </c>
      <c r="S5" s="226">
        <v>46411.46</v>
      </c>
      <c r="T5" s="226">
        <v>10099.89</v>
      </c>
      <c r="U5" s="226">
        <f t="shared" si="0"/>
        <v>540562.93000000005</v>
      </c>
      <c r="V5" s="229">
        <f t="shared" si="1"/>
        <v>3.4797257871948241E-2</v>
      </c>
      <c r="W5" s="229" t="s">
        <v>714</v>
      </c>
      <c r="X5" s="310" t="str">
        <f t="shared" si="2"/>
        <v>CONCLUÍDO</v>
      </c>
      <c r="Y5" s="318"/>
      <c r="Z5" s="311">
        <v>45988</v>
      </c>
      <c r="AA5" s="312"/>
    </row>
    <row r="6" spans="1:27" ht="14.4" x14ac:dyDescent="0.3">
      <c r="A6" s="80">
        <f t="shared" si="3"/>
        <v>5</v>
      </c>
      <c r="B6" s="222" t="s">
        <v>708</v>
      </c>
      <c r="C6" s="223">
        <v>4508525585</v>
      </c>
      <c r="D6" s="309" t="s">
        <v>296</v>
      </c>
      <c r="E6" s="223" t="s">
        <v>298</v>
      </c>
      <c r="F6" s="223" t="s">
        <v>724</v>
      </c>
      <c r="G6" s="223">
        <f>COUNTIF(Precificação!A:A,'Base de Dados'!D22)</f>
        <v>1</v>
      </c>
      <c r="H6" s="223" t="s">
        <v>725</v>
      </c>
      <c r="I6" s="224">
        <f>SUMIF(Precificação!A:A,D6,Precificação!F:F)</f>
        <v>24720</v>
      </c>
      <c r="J6" s="225">
        <v>56730.42</v>
      </c>
      <c r="K6" s="222">
        <v>2026000001</v>
      </c>
      <c r="L6" s="222" t="s">
        <v>713</v>
      </c>
      <c r="M6" s="226">
        <v>314224.12</v>
      </c>
      <c r="N6" s="226">
        <v>32125.62</v>
      </c>
      <c r="O6" s="226">
        <v>172.81</v>
      </c>
      <c r="P6" s="226">
        <v>192.79</v>
      </c>
      <c r="Q6" s="226">
        <v>1549</v>
      </c>
      <c r="R6" s="226">
        <v>1300</v>
      </c>
      <c r="S6" s="228">
        <v>33439.42</v>
      </c>
      <c r="T6" s="228">
        <v>7276.97</v>
      </c>
      <c r="U6" s="226">
        <f t="shared" si="0"/>
        <v>390280.72999999992</v>
      </c>
      <c r="V6" s="229">
        <f t="shared" si="1"/>
        <v>0.10223791859135448</v>
      </c>
      <c r="W6" s="229" t="s">
        <v>714</v>
      </c>
      <c r="X6" s="310" t="str">
        <f t="shared" si="2"/>
        <v>CONCLUÍDO</v>
      </c>
      <c r="Y6" s="318"/>
      <c r="Z6" s="311">
        <v>45990</v>
      </c>
      <c r="AA6" s="312"/>
    </row>
    <row r="7" spans="1:27" ht="14.4" x14ac:dyDescent="0.3">
      <c r="A7" s="80">
        <f t="shared" si="3"/>
        <v>6</v>
      </c>
      <c r="B7" s="222" t="s">
        <v>708</v>
      </c>
      <c r="C7" s="223">
        <v>4508684160</v>
      </c>
      <c r="D7" s="309" t="s">
        <v>726</v>
      </c>
      <c r="E7" s="223" t="s">
        <v>727</v>
      </c>
      <c r="F7" s="223" t="s">
        <v>728</v>
      </c>
      <c r="G7" s="223">
        <f>COUNTIF(Precificação!A:A,'Base de Dados'!D13)</f>
        <v>10</v>
      </c>
      <c r="H7" s="223" t="s">
        <v>729</v>
      </c>
      <c r="I7" s="224">
        <f>SUMIF(Precificação!A:A,D7,Precificação!F:F)</f>
        <v>10800</v>
      </c>
      <c r="J7" s="225">
        <v>103783.24</v>
      </c>
      <c r="K7" s="222">
        <v>2026000103</v>
      </c>
      <c r="L7" s="230" t="s">
        <v>713</v>
      </c>
      <c r="M7" s="226">
        <v>542869.37</v>
      </c>
      <c r="N7" s="226">
        <v>15200.7</v>
      </c>
      <c r="O7" s="226">
        <v>298.57</v>
      </c>
      <c r="P7" s="226">
        <v>192.79</v>
      </c>
      <c r="Q7" s="227">
        <v>1537.1</v>
      </c>
      <c r="R7" s="226">
        <v>1300</v>
      </c>
      <c r="S7" s="228">
        <v>57232.81</v>
      </c>
      <c r="T7" s="228">
        <v>11725.75</v>
      </c>
      <c r="U7" s="226">
        <f t="shared" si="0"/>
        <v>630357.08999999985</v>
      </c>
      <c r="V7" s="229">
        <f t="shared" si="1"/>
        <v>2.8000658795687812E-2</v>
      </c>
      <c r="W7" s="229" t="s">
        <v>714</v>
      </c>
      <c r="X7" s="310" t="str">
        <f t="shared" si="2"/>
        <v>CONCLUÍDO</v>
      </c>
      <c r="Y7" s="318"/>
      <c r="Z7" s="311">
        <v>46020</v>
      </c>
      <c r="AA7" s="312"/>
    </row>
    <row r="8" spans="1:27" ht="14.4" x14ac:dyDescent="0.3">
      <c r="A8" s="80">
        <f t="shared" si="3"/>
        <v>7</v>
      </c>
      <c r="B8" s="222" t="s">
        <v>708</v>
      </c>
      <c r="C8" s="223">
        <v>4508624477</v>
      </c>
      <c r="D8" s="309" t="s">
        <v>730</v>
      </c>
      <c r="E8" s="223" t="s">
        <v>731</v>
      </c>
      <c r="F8" s="223" t="s">
        <v>732</v>
      </c>
      <c r="G8" s="223">
        <f>COUNTIF(Precificação!A:A,'Base de Dados'!D3)</f>
        <v>4</v>
      </c>
      <c r="H8" s="223" t="s">
        <v>733</v>
      </c>
      <c r="I8" s="224">
        <f>SUMIF(Precificação!A:A,D8,Precificação!F:F)</f>
        <v>2564</v>
      </c>
      <c r="J8" s="225">
        <v>42092.08</v>
      </c>
      <c r="K8" s="222">
        <v>2026000062</v>
      </c>
      <c r="L8" s="230" t="s">
        <v>734</v>
      </c>
      <c r="M8" s="226">
        <v>218904.07</v>
      </c>
      <c r="N8" s="226">
        <v>31063.200000000001</v>
      </c>
      <c r="O8" s="226">
        <v>117.64</v>
      </c>
      <c r="P8" s="226">
        <v>154.22999999999999</v>
      </c>
      <c r="Q8" s="227">
        <v>1537.1</v>
      </c>
      <c r="R8" s="226">
        <v>1300</v>
      </c>
      <c r="S8" s="228">
        <v>20109.87</v>
      </c>
      <c r="T8" s="228">
        <v>4120.05</v>
      </c>
      <c r="U8" s="226">
        <f t="shared" si="0"/>
        <v>277306.16000000003</v>
      </c>
      <c r="V8" s="229">
        <f t="shared" si="1"/>
        <v>0.14190325469964993</v>
      </c>
      <c r="W8" s="238" t="s">
        <v>714</v>
      </c>
      <c r="X8" s="310" t="str">
        <f t="shared" si="2"/>
        <v>CONCLUÍDO</v>
      </c>
      <c r="Y8" s="318"/>
      <c r="Z8" s="311">
        <v>46020</v>
      </c>
      <c r="AA8" s="312"/>
    </row>
    <row r="9" spans="1:27" ht="14.4" x14ac:dyDescent="0.3">
      <c r="A9" s="80">
        <f t="shared" si="3"/>
        <v>8</v>
      </c>
      <c r="B9" s="222" t="s">
        <v>708</v>
      </c>
      <c r="C9" s="223">
        <v>4508591119</v>
      </c>
      <c r="D9" s="309" t="s">
        <v>306</v>
      </c>
      <c r="E9" s="222" t="s">
        <v>735</v>
      </c>
      <c r="F9" s="223" t="s">
        <v>309</v>
      </c>
      <c r="G9" s="223">
        <f>COUNTIF(Precificação!A:A,'Base de Dados'!D2)</f>
        <v>3</v>
      </c>
      <c r="H9" s="223" t="s">
        <v>736</v>
      </c>
      <c r="I9" s="224">
        <f>SUMIF(Precificação!A:A,D9,Precificação!F:F)</f>
        <v>33816</v>
      </c>
      <c r="J9" s="225">
        <v>63051.040000000001</v>
      </c>
      <c r="K9" s="222">
        <v>2026000040</v>
      </c>
      <c r="L9" s="223" t="s">
        <v>713</v>
      </c>
      <c r="M9" s="226">
        <v>326843.98</v>
      </c>
      <c r="N9" s="226">
        <v>27007.599999999999</v>
      </c>
      <c r="O9" s="226">
        <v>117.64</v>
      </c>
      <c r="P9" s="226">
        <v>154.22999999999999</v>
      </c>
      <c r="Q9" s="227">
        <v>1537.1</v>
      </c>
      <c r="R9" s="226">
        <v>1300</v>
      </c>
      <c r="S9" s="228">
        <v>20109.87</v>
      </c>
      <c r="T9" s="228">
        <v>4120.05</v>
      </c>
      <c r="U9" s="226">
        <f t="shared" si="0"/>
        <v>381190.46999999991</v>
      </c>
      <c r="V9" s="229">
        <f t="shared" si="1"/>
        <v>8.2631474503523053E-2</v>
      </c>
      <c r="W9" s="239" t="s">
        <v>714</v>
      </c>
      <c r="X9" s="310" t="str">
        <f t="shared" si="2"/>
        <v>CONCLUÍDO</v>
      </c>
      <c r="Y9" s="318"/>
      <c r="Z9" s="311">
        <v>46020</v>
      </c>
      <c r="AA9" s="312"/>
    </row>
    <row r="10" spans="1:27" ht="14.4" x14ac:dyDescent="0.3">
      <c r="A10" s="80">
        <f t="shared" si="3"/>
        <v>9</v>
      </c>
      <c r="B10" s="222" t="s">
        <v>708</v>
      </c>
      <c r="C10" s="223">
        <v>4508436265</v>
      </c>
      <c r="D10" s="309" t="s">
        <v>314</v>
      </c>
      <c r="E10" s="223" t="s">
        <v>316</v>
      </c>
      <c r="F10" s="223" t="s">
        <v>317</v>
      </c>
      <c r="G10" s="223">
        <f>COUNTIF(Precificação!A:A,'Base de Dados'!D24)</f>
        <v>2</v>
      </c>
      <c r="H10" s="223" t="s">
        <v>737</v>
      </c>
      <c r="I10" s="224">
        <f>SUMIF(Precificação!A:A,D10,Precificação!F:F)</f>
        <v>6104</v>
      </c>
      <c r="J10" s="225">
        <v>57048.800000000003</v>
      </c>
      <c r="K10" s="222">
        <v>2026000015</v>
      </c>
      <c r="L10" s="222" t="s">
        <v>713</v>
      </c>
      <c r="M10" s="226">
        <v>359379.14</v>
      </c>
      <c r="N10" s="226">
        <v>14506.06</v>
      </c>
      <c r="O10" s="226">
        <v>168.71</v>
      </c>
      <c r="P10" s="226">
        <v>223.64</v>
      </c>
      <c r="Q10" s="226">
        <v>1549</v>
      </c>
      <c r="R10" s="226">
        <v>1300</v>
      </c>
      <c r="S10" s="226">
        <v>31014.33</v>
      </c>
      <c r="T10" s="226">
        <v>6749.23</v>
      </c>
      <c r="U10" s="226">
        <f t="shared" si="0"/>
        <v>414890.11000000004</v>
      </c>
      <c r="V10" s="229">
        <f t="shared" si="1"/>
        <v>4.036422369979515E-2</v>
      </c>
      <c r="W10" s="229" t="s">
        <v>714</v>
      </c>
      <c r="X10" s="310" t="str">
        <f t="shared" si="2"/>
        <v>CONCLUÍDO</v>
      </c>
      <c r="Y10" s="318"/>
      <c r="Z10" s="311">
        <v>46026</v>
      </c>
      <c r="AA10" s="312"/>
    </row>
    <row r="11" spans="1:27" ht="14.4" x14ac:dyDescent="0.3">
      <c r="A11" s="80">
        <f t="shared" si="3"/>
        <v>10</v>
      </c>
      <c r="B11" s="222" t="s">
        <v>708</v>
      </c>
      <c r="C11" s="223">
        <v>4508615909</v>
      </c>
      <c r="D11" s="309" t="s">
        <v>318</v>
      </c>
      <c r="E11" s="223" t="s">
        <v>738</v>
      </c>
      <c r="F11" s="223" t="s">
        <v>321</v>
      </c>
      <c r="G11" s="223">
        <f>COUNTIF(Precificação!A:A,'Base de Dados'!D8)</f>
        <v>4</v>
      </c>
      <c r="H11" s="223" t="s">
        <v>739</v>
      </c>
      <c r="I11" s="224">
        <f>SUMIF(Precificação!A:A,D11,Precificação!F:F)</f>
        <v>22384</v>
      </c>
      <c r="J11" s="225">
        <v>50232.4</v>
      </c>
      <c r="K11" s="222">
        <v>2026000053</v>
      </c>
      <c r="L11" s="230" t="s">
        <v>713</v>
      </c>
      <c r="M11" s="226">
        <v>262655.17</v>
      </c>
      <c r="N11" s="226">
        <v>12026.24</v>
      </c>
      <c r="O11" s="226">
        <v>144.47</v>
      </c>
      <c r="P11" s="226">
        <v>192.79</v>
      </c>
      <c r="Q11" s="227">
        <v>1537.1</v>
      </c>
      <c r="R11" s="226">
        <v>1300</v>
      </c>
      <c r="S11" s="228">
        <v>131724.89000000001</v>
      </c>
      <c r="T11" s="228">
        <v>28665.51</v>
      </c>
      <c r="U11" s="226">
        <f t="shared" si="0"/>
        <v>438246.16999999993</v>
      </c>
      <c r="V11" s="229">
        <f t="shared" si="1"/>
        <v>4.5787181725758533E-2</v>
      </c>
      <c r="W11" s="223" t="s">
        <v>714</v>
      </c>
      <c r="X11" s="310" t="str">
        <f t="shared" si="2"/>
        <v>CONCLUÍDO</v>
      </c>
      <c r="Y11" s="318"/>
      <c r="Z11" s="311">
        <v>46036</v>
      </c>
      <c r="AA11" s="312"/>
    </row>
    <row r="12" spans="1:27" ht="14.4" x14ac:dyDescent="0.3">
      <c r="A12" s="80">
        <f t="shared" si="3"/>
        <v>11</v>
      </c>
      <c r="B12" s="222" t="s">
        <v>708</v>
      </c>
      <c r="C12" s="223">
        <v>4508645458</v>
      </c>
      <c r="D12" s="309" t="s">
        <v>351</v>
      </c>
      <c r="E12" s="223" t="s">
        <v>353</v>
      </c>
      <c r="F12" s="223" t="s">
        <v>740</v>
      </c>
      <c r="G12" s="223">
        <f>COUNTIF(Precificação!A:A,'Base de Dados'!D11)</f>
        <v>7</v>
      </c>
      <c r="H12" s="223" t="s">
        <v>741</v>
      </c>
      <c r="I12" s="224">
        <f>SUMIF(Precificação!A:A,D12,Precificação!F:F)</f>
        <v>28042</v>
      </c>
      <c r="J12" s="225">
        <v>62843.66</v>
      </c>
      <c r="K12" s="222">
        <v>2026000080</v>
      </c>
      <c r="L12" s="230" t="s">
        <v>713</v>
      </c>
      <c r="M12" s="226">
        <v>332254.43</v>
      </c>
      <c r="N12" s="226">
        <v>24225.03</v>
      </c>
      <c r="O12" s="226">
        <v>212.06</v>
      </c>
      <c r="P12" s="226">
        <v>192.79</v>
      </c>
      <c r="Q12" s="227">
        <v>1537.1</v>
      </c>
      <c r="R12" s="226">
        <v>1300</v>
      </c>
      <c r="S12" s="228">
        <v>34420.730000000003</v>
      </c>
      <c r="T12" s="228">
        <v>7490.52</v>
      </c>
      <c r="U12" s="226">
        <f t="shared" si="0"/>
        <v>401632.65999999992</v>
      </c>
      <c r="V12" s="229">
        <f t="shared" si="1"/>
        <v>7.2911082028311855E-2</v>
      </c>
      <c r="W12" s="223" t="s">
        <v>714</v>
      </c>
      <c r="X12" s="310" t="str">
        <f t="shared" si="2"/>
        <v>CONCLUÍDO</v>
      </c>
      <c r="Y12" s="318"/>
      <c r="Z12" s="311">
        <v>46061</v>
      </c>
      <c r="AA12" s="312"/>
    </row>
    <row r="13" spans="1:27" ht="14.4" x14ac:dyDescent="0.3">
      <c r="A13" s="80">
        <f t="shared" si="3"/>
        <v>12</v>
      </c>
      <c r="B13" s="222" t="s">
        <v>708</v>
      </c>
      <c r="C13" s="223">
        <v>4508657825</v>
      </c>
      <c r="D13" s="309" t="s">
        <v>355</v>
      </c>
      <c r="E13" s="223" t="s">
        <v>742</v>
      </c>
      <c r="F13" s="223" t="s">
        <v>743</v>
      </c>
      <c r="G13" s="223">
        <f>COUNTIF(Precificação!A:A,'Base de Dados'!D12)</f>
        <v>15</v>
      </c>
      <c r="H13" s="223" t="s">
        <v>741</v>
      </c>
      <c r="I13" s="224">
        <f>SUMIF(Precificação!A:A,D13,Precificação!F:F)</f>
        <v>20752</v>
      </c>
      <c r="J13" s="225">
        <v>34978.32</v>
      </c>
      <c r="K13" s="222">
        <v>2026000086</v>
      </c>
      <c r="L13" s="230" t="s">
        <v>713</v>
      </c>
      <c r="M13" s="226">
        <v>168515.84</v>
      </c>
      <c r="N13" s="226">
        <v>12027.03</v>
      </c>
      <c r="O13" s="226">
        <v>107.32</v>
      </c>
      <c r="P13" s="226">
        <v>154.22999999999999</v>
      </c>
      <c r="Q13" s="227">
        <v>1537.1</v>
      </c>
      <c r="R13" s="226">
        <v>1300</v>
      </c>
      <c r="S13" s="228">
        <v>17432.740000000002</v>
      </c>
      <c r="T13" s="228">
        <v>3793.64</v>
      </c>
      <c r="U13" s="226">
        <f t="shared" si="0"/>
        <v>204867.90000000002</v>
      </c>
      <c r="V13" s="229">
        <f t="shared" si="1"/>
        <v>7.1370323406986555E-2</v>
      </c>
      <c r="W13" s="223" t="s">
        <v>714</v>
      </c>
      <c r="X13" s="310" t="str">
        <f t="shared" si="2"/>
        <v>CONCLUÍDO</v>
      </c>
      <c r="Y13" s="318"/>
      <c r="Z13" s="311">
        <v>46071</v>
      </c>
      <c r="AA13" s="312"/>
    </row>
    <row r="14" spans="1:27" ht="14.4" x14ac:dyDescent="0.3">
      <c r="A14" s="80">
        <f t="shared" si="3"/>
        <v>13</v>
      </c>
      <c r="B14" s="222" t="s">
        <v>708</v>
      </c>
      <c r="C14" s="223">
        <v>4508803268</v>
      </c>
      <c r="D14" s="309" t="s">
        <v>744</v>
      </c>
      <c r="E14" s="223" t="s">
        <v>745</v>
      </c>
      <c r="F14" s="223" t="s">
        <v>746</v>
      </c>
      <c r="G14" s="223">
        <f>COUNTIF(Precificação!A:A,'Base de Dados'!D17)</f>
        <v>1</v>
      </c>
      <c r="H14" s="223" t="s">
        <v>747</v>
      </c>
      <c r="I14" s="224">
        <f>SUMIF(Precificação!A:A,D14,Precificação!F:F)</f>
        <v>10436</v>
      </c>
      <c r="J14" s="225">
        <v>61996.38</v>
      </c>
      <c r="K14" s="222">
        <v>2026000140</v>
      </c>
      <c r="L14" s="230" t="s">
        <v>713</v>
      </c>
      <c r="M14" s="226">
        <v>303776.06</v>
      </c>
      <c r="N14" s="226">
        <v>14484.1</v>
      </c>
      <c r="O14" s="226">
        <v>167.09</v>
      </c>
      <c r="P14" s="226">
        <v>154.22999999999999</v>
      </c>
      <c r="Q14" s="227">
        <v>1537.1</v>
      </c>
      <c r="R14" s="226">
        <v>1300</v>
      </c>
      <c r="S14" s="228">
        <v>32638.79</v>
      </c>
      <c r="T14" s="228">
        <v>6686.97</v>
      </c>
      <c r="U14" s="226">
        <f t="shared" si="0"/>
        <v>360744.33999999991</v>
      </c>
      <c r="V14" s="229">
        <f t="shared" si="1"/>
        <v>4.7680189149862565E-2</v>
      </c>
      <c r="W14" s="229" t="s">
        <v>714</v>
      </c>
      <c r="X14" s="310" t="str">
        <f t="shared" si="2"/>
        <v>CONCLUÍDO</v>
      </c>
      <c r="Y14" s="318"/>
      <c r="Z14" s="311">
        <v>46112</v>
      </c>
      <c r="AA14" s="312"/>
    </row>
    <row r="15" spans="1:27" ht="14.4" x14ac:dyDescent="0.3">
      <c r="A15" s="80">
        <f t="shared" si="3"/>
        <v>14</v>
      </c>
      <c r="B15" s="222" t="s">
        <v>708</v>
      </c>
      <c r="C15" s="223">
        <v>4508532679</v>
      </c>
      <c r="D15" s="309" t="s">
        <v>322</v>
      </c>
      <c r="E15" s="223" t="s">
        <v>325</v>
      </c>
      <c r="F15" s="223" t="s">
        <v>748</v>
      </c>
      <c r="G15" s="223">
        <f>COUNTIF(Precificação!A:A,'Base de Dados'!D5)</f>
        <v>5</v>
      </c>
      <c r="H15" s="223" t="s">
        <v>462</v>
      </c>
      <c r="I15" s="224">
        <f>SUMIF(Precificação!A:A,D15,Precificação!F:F)</f>
        <v>5595</v>
      </c>
      <c r="J15" s="225">
        <v>243932.75</v>
      </c>
      <c r="K15" s="222">
        <v>2026000045</v>
      </c>
      <c r="L15" s="230" t="s">
        <v>713</v>
      </c>
      <c r="M15" s="226">
        <v>691179.5</v>
      </c>
      <c r="N15" s="226">
        <v>77292.600000000006</v>
      </c>
      <c r="O15" s="226">
        <v>705.41</v>
      </c>
      <c r="P15" s="226">
        <v>223.64</v>
      </c>
      <c r="Q15" s="227">
        <v>1537.1</v>
      </c>
      <c r="R15" s="226">
        <v>1300</v>
      </c>
      <c r="S15" s="228">
        <v>131724.92000000001</v>
      </c>
      <c r="T15" s="228">
        <v>28665.53</v>
      </c>
      <c r="U15" s="226">
        <f t="shared" si="0"/>
        <v>932628.70000000007</v>
      </c>
      <c r="V15" s="229">
        <f t="shared" si="1"/>
        <v>0.11182710135355578</v>
      </c>
      <c r="W15" s="223" t="s">
        <v>714</v>
      </c>
      <c r="X15" s="310" t="str">
        <f t="shared" si="2"/>
        <v>CONCLUÍDO</v>
      </c>
      <c r="Y15" s="318"/>
      <c r="Z15" s="311">
        <v>46045</v>
      </c>
      <c r="AA15" s="312"/>
    </row>
    <row r="16" spans="1:27" ht="14.4" x14ac:dyDescent="0.3">
      <c r="A16" s="80">
        <f t="shared" si="3"/>
        <v>15</v>
      </c>
      <c r="B16" s="222" t="s">
        <v>708</v>
      </c>
      <c r="C16" s="223">
        <v>4508642248</v>
      </c>
      <c r="D16" s="309" t="s">
        <v>340</v>
      </c>
      <c r="E16" s="223" t="s">
        <v>342</v>
      </c>
      <c r="F16" s="223" t="s">
        <v>343</v>
      </c>
      <c r="G16" s="223">
        <f>COUNTIF(Precificação!A:A,'Base de Dados'!D7)</f>
        <v>17</v>
      </c>
      <c r="H16" s="223" t="s">
        <v>749</v>
      </c>
      <c r="I16" s="224">
        <f>SUMIF(Precificação!A:A,D16,Precificação!F:F)</f>
        <v>1112</v>
      </c>
      <c r="J16" s="225">
        <v>42044.72</v>
      </c>
      <c r="K16" s="222">
        <v>2026000074</v>
      </c>
      <c r="L16" s="230" t="s">
        <v>713</v>
      </c>
      <c r="M16" s="226">
        <v>222290.43</v>
      </c>
      <c r="N16" s="226">
        <v>12551.5</v>
      </c>
      <c r="O16" s="226">
        <v>122.24</v>
      </c>
      <c r="P16" s="226">
        <v>154.22999999999999</v>
      </c>
      <c r="Q16" s="227">
        <v>1537.1</v>
      </c>
      <c r="R16" s="226">
        <v>1300</v>
      </c>
      <c r="S16" s="228">
        <v>22674.04</v>
      </c>
      <c r="T16" s="228">
        <v>4934.25</v>
      </c>
      <c r="U16" s="226">
        <f t="shared" si="0"/>
        <v>265563.79000000004</v>
      </c>
      <c r="V16" s="229">
        <f t="shared" si="1"/>
        <v>5.6464419093525529E-2</v>
      </c>
      <c r="W16" s="223" t="s">
        <v>714</v>
      </c>
      <c r="X16" s="310" t="str">
        <f t="shared" si="2"/>
        <v>CONCLUÍDO</v>
      </c>
      <c r="Y16" s="318"/>
      <c r="Z16" s="311">
        <v>46060</v>
      </c>
      <c r="AA16" s="312"/>
    </row>
    <row r="17" spans="1:27" ht="14.4" x14ac:dyDescent="0.3">
      <c r="A17" s="80">
        <f t="shared" si="3"/>
        <v>16</v>
      </c>
      <c r="B17" s="222" t="s">
        <v>708</v>
      </c>
      <c r="C17" s="223">
        <v>4508642952</v>
      </c>
      <c r="D17" s="309" t="s">
        <v>336</v>
      </c>
      <c r="E17" s="223" t="s">
        <v>337</v>
      </c>
      <c r="F17" s="223" t="s">
        <v>338</v>
      </c>
      <c r="G17" s="223">
        <f>COUNTIF(Precificação!A:A,'Base de Dados'!D9)</f>
        <v>15</v>
      </c>
      <c r="H17" s="223" t="s">
        <v>750</v>
      </c>
      <c r="I17" s="224">
        <f>SUMIF(Precificação!A:A,D17,Precificação!F:F)</f>
        <v>2112</v>
      </c>
      <c r="J17" s="225">
        <v>36072.959999999999</v>
      </c>
      <c r="K17" s="222">
        <v>2026000077</v>
      </c>
      <c r="L17" s="230" t="s">
        <v>713</v>
      </c>
      <c r="M17" s="226">
        <v>190717.74</v>
      </c>
      <c r="N17" s="226">
        <v>12270.97</v>
      </c>
      <c r="O17" s="226">
        <v>104.89</v>
      </c>
      <c r="P17" s="226">
        <v>154.22999999999999</v>
      </c>
      <c r="Q17" s="227">
        <v>1537.1</v>
      </c>
      <c r="R17" s="226">
        <v>1300</v>
      </c>
      <c r="S17" s="228">
        <v>19598.53</v>
      </c>
      <c r="T17" s="228">
        <v>4264.97</v>
      </c>
      <c r="U17" s="226">
        <f t="shared" si="0"/>
        <v>229948.43000000002</v>
      </c>
      <c r="V17" s="229">
        <f t="shared" si="1"/>
        <v>6.4340999426692025E-2</v>
      </c>
      <c r="W17" s="223" t="s">
        <v>714</v>
      </c>
      <c r="X17" s="310" t="str">
        <f t="shared" si="2"/>
        <v>CONCLUÍDO</v>
      </c>
      <c r="Y17" s="318"/>
      <c r="Z17" s="311">
        <v>46073</v>
      </c>
      <c r="AA17" s="312"/>
    </row>
    <row r="18" spans="1:27" ht="14.4" x14ac:dyDescent="0.3">
      <c r="A18" s="80">
        <f t="shared" si="3"/>
        <v>17</v>
      </c>
      <c r="B18" s="222" t="s">
        <v>708</v>
      </c>
      <c r="C18" s="223">
        <v>4508628310</v>
      </c>
      <c r="D18" s="309" t="s">
        <v>751</v>
      </c>
      <c r="E18" s="223" t="s">
        <v>348</v>
      </c>
      <c r="F18" s="223" t="s">
        <v>349</v>
      </c>
      <c r="G18" s="223">
        <f>COUNTIF(Precificação!A:A,'Base de Dados'!D6)</f>
        <v>14</v>
      </c>
      <c r="H18" s="223" t="s">
        <v>528</v>
      </c>
      <c r="I18" s="224">
        <f>SUMIF(Precificação!A:A,D18,Precificação!F:F)</f>
        <v>575</v>
      </c>
      <c r="J18" s="225">
        <v>28359</v>
      </c>
      <c r="K18" s="222">
        <v>2026000068</v>
      </c>
      <c r="L18" s="230" t="s">
        <v>713</v>
      </c>
      <c r="M18" s="226">
        <v>146564.98000000001</v>
      </c>
      <c r="N18" s="226">
        <v>12002.01</v>
      </c>
      <c r="O18" s="226">
        <v>80.62</v>
      </c>
      <c r="P18" s="226">
        <v>154.22999999999999</v>
      </c>
      <c r="Q18" s="227">
        <v>1537.1</v>
      </c>
      <c r="R18" s="226">
        <v>1300</v>
      </c>
      <c r="S18" s="228">
        <v>15309.49</v>
      </c>
      <c r="T18" s="228">
        <v>3331.6</v>
      </c>
      <c r="U18" s="226">
        <f t="shared" si="0"/>
        <v>180280.03000000003</v>
      </c>
      <c r="V18" s="229">
        <f t="shared" si="1"/>
        <v>8.1888661261373619E-2</v>
      </c>
      <c r="W18" s="223" t="s">
        <v>714</v>
      </c>
      <c r="X18" s="310" t="str">
        <f t="shared" si="2"/>
        <v>CONCLUÍDO</v>
      </c>
      <c r="Y18" s="318"/>
      <c r="Z18" s="311">
        <v>46020</v>
      </c>
      <c r="AA18" s="312"/>
    </row>
    <row r="19" spans="1:27" ht="14.4" x14ac:dyDescent="0.3">
      <c r="A19" s="80">
        <f t="shared" si="3"/>
        <v>18</v>
      </c>
      <c r="B19" s="222" t="s">
        <v>708</v>
      </c>
      <c r="C19" s="223">
        <v>4508645302</v>
      </c>
      <c r="D19" s="309" t="s">
        <v>344</v>
      </c>
      <c r="E19" s="223" t="s">
        <v>752</v>
      </c>
      <c r="F19" s="223" t="s">
        <v>347</v>
      </c>
      <c r="G19" s="223">
        <f>COUNTIF(Precificação!A:A,'Base de Dados'!D10)</f>
        <v>3</v>
      </c>
      <c r="H19" s="223" t="s">
        <v>753</v>
      </c>
      <c r="I19" s="224">
        <f>SUMIF(Precificação!A:A,D19,Precificação!F:F)</f>
        <v>2525</v>
      </c>
      <c r="J19" s="225">
        <v>32826</v>
      </c>
      <c r="K19" s="222">
        <v>2026000078</v>
      </c>
      <c r="L19" s="230" t="s">
        <v>713</v>
      </c>
      <c r="M19" s="226">
        <v>173551.06</v>
      </c>
      <c r="N19" s="226">
        <v>11102.7</v>
      </c>
      <c r="O19" s="226">
        <v>95.43</v>
      </c>
      <c r="P19" s="226">
        <v>192.79</v>
      </c>
      <c r="Q19" s="227">
        <v>1537.1</v>
      </c>
      <c r="R19" s="226">
        <v>1300</v>
      </c>
      <c r="S19" s="228">
        <v>17966.7</v>
      </c>
      <c r="T19" s="228">
        <v>3909.85</v>
      </c>
      <c r="U19" s="226">
        <f t="shared" si="0"/>
        <v>209655.63000000003</v>
      </c>
      <c r="V19" s="229">
        <f t="shared" si="1"/>
        <v>6.3973680137707031E-2</v>
      </c>
      <c r="W19" s="223" t="s">
        <v>714</v>
      </c>
      <c r="X19" s="310" t="str">
        <f t="shared" si="2"/>
        <v>CONCLUÍDO</v>
      </c>
      <c r="Y19" s="318"/>
      <c r="Z19" s="311">
        <v>46067</v>
      </c>
      <c r="AA19" s="312"/>
    </row>
    <row r="20" spans="1:27" ht="14.4" x14ac:dyDescent="0.3">
      <c r="A20" s="80">
        <f t="shared" si="3"/>
        <v>19</v>
      </c>
      <c r="B20" s="222" t="s">
        <v>708</v>
      </c>
      <c r="C20" s="223">
        <v>4508532742</v>
      </c>
      <c r="D20" s="309" t="s">
        <v>364</v>
      </c>
      <c r="E20" s="223" t="s">
        <v>366</v>
      </c>
      <c r="F20" s="223" t="s">
        <v>754</v>
      </c>
      <c r="G20" s="223">
        <f>COUNTIF(Precificação!A:A,'Base de Dados'!D16)</f>
        <v>1</v>
      </c>
      <c r="H20" s="223" t="s">
        <v>755</v>
      </c>
      <c r="I20" s="224">
        <f>SUMIF(Precificação!A:A,D20,Precificação!F:F)</f>
        <v>42972</v>
      </c>
      <c r="J20" s="225">
        <v>69733.56</v>
      </c>
      <c r="K20" s="222">
        <v>2026000132</v>
      </c>
      <c r="L20" s="230" t="s">
        <v>713</v>
      </c>
      <c r="M20" s="226">
        <v>345787.8</v>
      </c>
      <c r="N20" s="226">
        <v>23048.04</v>
      </c>
      <c r="O20" s="226">
        <v>190.17</v>
      </c>
      <c r="P20" s="226">
        <v>192.79</v>
      </c>
      <c r="Q20" s="227">
        <v>1537.1</v>
      </c>
      <c r="R20" s="226">
        <v>1300</v>
      </c>
      <c r="S20" s="228">
        <v>35611</v>
      </c>
      <c r="T20" s="228">
        <v>7749.54</v>
      </c>
      <c r="U20" s="226">
        <f t="shared" si="0"/>
        <v>415416.43999999989</v>
      </c>
      <c r="V20" s="229">
        <f t="shared" si="1"/>
        <v>6.6653710743988084E-2</v>
      </c>
      <c r="W20" s="229" t="s">
        <v>714</v>
      </c>
      <c r="X20" s="310" t="str">
        <f t="shared" si="2"/>
        <v>CONCLUÍDO</v>
      </c>
      <c r="Y20" s="318"/>
      <c r="Z20" s="311">
        <v>46112</v>
      </c>
      <c r="AA20" s="312"/>
    </row>
    <row r="21" spans="1:27" ht="14.4" x14ac:dyDescent="0.3">
      <c r="A21" s="80">
        <f t="shared" si="3"/>
        <v>20</v>
      </c>
      <c r="B21" s="222" t="s">
        <v>708</v>
      </c>
      <c r="C21" s="223">
        <v>4508626352</v>
      </c>
      <c r="D21" s="309" t="s">
        <v>756</v>
      </c>
      <c r="E21" s="223" t="s">
        <v>757</v>
      </c>
      <c r="F21" s="223" t="s">
        <v>757</v>
      </c>
      <c r="G21" s="223">
        <f>COUNTIF(Precificação!A:A,'Base de Dados'!D4)</f>
        <v>19</v>
      </c>
      <c r="H21" s="223" t="s">
        <v>758</v>
      </c>
      <c r="I21" s="224">
        <f>SUMIF(Precificação!A:A,D21,Precificação!F:F)</f>
        <v>2442</v>
      </c>
      <c r="J21" s="225">
        <v>13618.8</v>
      </c>
      <c r="K21" s="222">
        <v>2026000064</v>
      </c>
      <c r="L21" s="230" t="s">
        <v>734</v>
      </c>
      <c r="M21" s="226">
        <v>70825.929999999993</v>
      </c>
      <c r="N21" s="226">
        <v>125250.42</v>
      </c>
      <c r="O21" s="226">
        <v>117.64</v>
      </c>
      <c r="P21" s="226">
        <v>154.22999999999999</v>
      </c>
      <c r="Q21" s="227">
        <v>1537.1</v>
      </c>
      <c r="R21" s="226">
        <v>1300</v>
      </c>
      <c r="S21" s="228">
        <v>20109.87</v>
      </c>
      <c r="T21" s="228">
        <v>4120.05</v>
      </c>
      <c r="U21" s="226">
        <f t="shared" si="0"/>
        <v>223415.24</v>
      </c>
      <c r="V21" s="229">
        <f t="shared" si="1"/>
        <v>1.7684260552597051</v>
      </c>
      <c r="W21" s="238" t="s">
        <v>714</v>
      </c>
      <c r="X21" s="310" t="str">
        <f t="shared" si="2"/>
        <v>CONCLUÍDO</v>
      </c>
      <c r="Y21" s="318"/>
      <c r="Z21" s="311">
        <v>46020</v>
      </c>
      <c r="AA21" s="312"/>
    </row>
    <row r="22" spans="1:27" ht="14.4" x14ac:dyDescent="0.3">
      <c r="A22" s="80">
        <f t="shared" si="3"/>
        <v>21</v>
      </c>
      <c r="B22" s="222" t="s">
        <v>708</v>
      </c>
      <c r="C22" s="223">
        <v>4508770727</v>
      </c>
      <c r="D22" s="309" t="s">
        <v>369</v>
      </c>
      <c r="E22" s="223" t="s">
        <v>759</v>
      </c>
      <c r="F22" s="223" t="s">
        <v>760</v>
      </c>
      <c r="G22" s="223">
        <f>COUNTIF(Precificação!A:A,'Base de Dados'!D18)</f>
        <v>1</v>
      </c>
      <c r="H22" s="223" t="s">
        <v>761</v>
      </c>
      <c r="I22" s="224">
        <f>SUMIF(Precificação!A:A,D22,Precificação!F:F)</f>
        <v>2112</v>
      </c>
      <c r="J22" s="225">
        <v>36072.959999999999</v>
      </c>
      <c r="K22" s="222">
        <v>2026000148</v>
      </c>
      <c r="L22" s="230" t="s">
        <v>713</v>
      </c>
      <c r="M22" s="226">
        <v>179675.81</v>
      </c>
      <c r="N22" s="226">
        <v>14599.02</v>
      </c>
      <c r="O22" s="226">
        <v>115.66</v>
      </c>
      <c r="P22" s="226">
        <v>154.22999999999999</v>
      </c>
      <c r="Q22" s="227">
        <v>1537.1</v>
      </c>
      <c r="R22" s="226">
        <v>1300</v>
      </c>
      <c r="S22" s="228">
        <v>18758.68</v>
      </c>
      <c r="T22" s="228">
        <v>4082.2</v>
      </c>
      <c r="U22" s="226">
        <f t="shared" si="0"/>
        <v>220222.7</v>
      </c>
      <c r="V22" s="229">
        <f t="shared" si="1"/>
        <v>8.1252006043551442E-2</v>
      </c>
      <c r="W22" s="229" t="s">
        <v>714</v>
      </c>
      <c r="X22" s="310" t="str">
        <f t="shared" si="2"/>
        <v>CONCLUÍDO</v>
      </c>
      <c r="Y22" s="318"/>
      <c r="Z22" s="311">
        <v>46156</v>
      </c>
      <c r="AA22" s="312"/>
    </row>
    <row r="23" spans="1:27" ht="14.4" x14ac:dyDescent="0.3">
      <c r="A23" s="80">
        <f t="shared" si="3"/>
        <v>22</v>
      </c>
      <c r="B23" s="222" t="s">
        <v>708</v>
      </c>
      <c r="C23" s="223">
        <v>4508779388</v>
      </c>
      <c r="D23" s="309" t="s">
        <v>381</v>
      </c>
      <c r="E23" s="223" t="s">
        <v>383</v>
      </c>
      <c r="F23" s="223" t="s">
        <v>762</v>
      </c>
      <c r="G23" s="223">
        <f>COUNTIF(Precificação!A:A,'Base de Dados'!D19)</f>
        <v>2</v>
      </c>
      <c r="H23" s="223" t="s">
        <v>763</v>
      </c>
      <c r="I23" s="224">
        <f>SUMIF(Precificação!A:A,D23,Precificação!F:F)</f>
        <v>31572</v>
      </c>
      <c r="J23" s="225">
        <v>65027.519999999997</v>
      </c>
      <c r="K23" s="222">
        <v>2026000152</v>
      </c>
      <c r="L23" s="230" t="s">
        <v>713</v>
      </c>
      <c r="M23" s="226">
        <v>327595.64</v>
      </c>
      <c r="N23" s="226">
        <v>27204.12</v>
      </c>
      <c r="O23" s="226">
        <v>180</v>
      </c>
      <c r="P23" s="226">
        <v>154.22999999999999</v>
      </c>
      <c r="Q23" s="227">
        <v>1537.1</v>
      </c>
      <c r="R23" s="226">
        <v>1300</v>
      </c>
      <c r="S23" s="228">
        <v>34255.57</v>
      </c>
      <c r="T23" s="228">
        <v>7454.59</v>
      </c>
      <c r="U23" s="226">
        <f t="shared" si="0"/>
        <v>399681.25</v>
      </c>
      <c r="V23" s="229">
        <f t="shared" si="1"/>
        <v>8.304176453630456E-2</v>
      </c>
      <c r="W23" s="229" t="s">
        <v>714</v>
      </c>
      <c r="X23" s="310" t="str">
        <f t="shared" si="2"/>
        <v>CONCLUÍDO</v>
      </c>
      <c r="Y23" s="318"/>
      <c r="Z23" s="311">
        <v>46109</v>
      </c>
      <c r="AA23" s="312"/>
    </row>
    <row r="24" spans="1:27" ht="14.4" x14ac:dyDescent="0.3">
      <c r="A24" s="80">
        <f t="shared" si="3"/>
        <v>23</v>
      </c>
      <c r="B24" s="222" t="s">
        <v>708</v>
      </c>
      <c r="C24" s="223">
        <v>4508750228</v>
      </c>
      <c r="D24" s="309" t="s">
        <v>372</v>
      </c>
      <c r="E24" s="223" t="s">
        <v>373</v>
      </c>
      <c r="F24" s="223" t="s">
        <v>764</v>
      </c>
      <c r="G24" s="223">
        <f>COUNTIF(Precificação!A:A,'Base de Dados'!D15)</f>
        <v>9</v>
      </c>
      <c r="H24" s="223" t="s">
        <v>500</v>
      </c>
      <c r="I24" s="224">
        <f>SUMIF(Precificação!A:A,D24,Precificação!F:F)</f>
        <v>6632</v>
      </c>
      <c r="J24" s="225">
        <v>110222.68</v>
      </c>
      <c r="K24" s="222">
        <v>2026000133</v>
      </c>
      <c r="L24" s="230" t="s">
        <v>713</v>
      </c>
      <c r="M24" s="226">
        <v>546561.19999999995</v>
      </c>
      <c r="N24" s="226">
        <v>60618.32</v>
      </c>
      <c r="O24" s="226">
        <v>300.60000000000002</v>
      </c>
      <c r="P24" s="226">
        <v>192.79</v>
      </c>
      <c r="Q24" s="227">
        <v>1537.1</v>
      </c>
      <c r="R24" s="226">
        <v>1300</v>
      </c>
      <c r="S24" s="228">
        <v>58621.94</v>
      </c>
      <c r="T24" s="228">
        <v>12757.08</v>
      </c>
      <c r="U24" s="226">
        <f t="shared" si="0"/>
        <v>681889.02999999991</v>
      </c>
      <c r="V24" s="229">
        <f t="shared" si="1"/>
        <v>0.11090856797006447</v>
      </c>
      <c r="W24" s="229" t="s">
        <v>714</v>
      </c>
      <c r="X24" s="310" t="str">
        <f t="shared" si="2"/>
        <v>CONCLUÍDO</v>
      </c>
      <c r="Y24" s="318"/>
      <c r="Z24" s="311">
        <v>46020</v>
      </c>
      <c r="AA24" s="312"/>
    </row>
    <row r="25" spans="1:27" ht="14.4" x14ac:dyDescent="0.3">
      <c r="A25" s="80">
        <f t="shared" si="3"/>
        <v>24</v>
      </c>
      <c r="B25" s="222" t="s">
        <v>708</v>
      </c>
      <c r="C25" s="223">
        <v>4508751729</v>
      </c>
      <c r="D25" s="309" t="s">
        <v>388</v>
      </c>
      <c r="E25" s="223" t="s">
        <v>390</v>
      </c>
      <c r="F25" s="223" t="s">
        <v>765</v>
      </c>
      <c r="G25" s="223">
        <f>COUNTIF(Precificação!A:A,'Base de Dados'!D28)</f>
        <v>1</v>
      </c>
      <c r="H25" s="223" t="s">
        <v>766</v>
      </c>
      <c r="I25" s="224">
        <f>SUMIF(Precificação!A:A,D25,Precificação!F:F)</f>
        <v>20588</v>
      </c>
      <c r="J25" s="225">
        <v>134205.56</v>
      </c>
      <c r="K25" s="222">
        <v>2026000217</v>
      </c>
      <c r="L25" s="230" t="s">
        <v>713</v>
      </c>
      <c r="M25" s="226">
        <v>686810.37</v>
      </c>
      <c r="N25" s="226">
        <v>28719.97</v>
      </c>
      <c r="O25" s="226">
        <v>427.47</v>
      </c>
      <c r="P25" s="226">
        <v>331.62</v>
      </c>
      <c r="Q25" s="226">
        <v>1537.1</v>
      </c>
      <c r="R25" s="226">
        <v>1500</v>
      </c>
      <c r="S25" s="228">
        <v>69089.89</v>
      </c>
      <c r="T25" s="228">
        <v>15035.08</v>
      </c>
      <c r="U25" s="226">
        <f t="shared" si="0"/>
        <v>803451.49999999988</v>
      </c>
      <c r="V25" s="229">
        <f t="shared" si="1"/>
        <v>4.1816447820961118E-2</v>
      </c>
      <c r="W25" s="229" t="s">
        <v>714</v>
      </c>
      <c r="X25" s="310" t="str">
        <f t="shared" si="2"/>
        <v>CONCLUÍDO</v>
      </c>
      <c r="Y25" s="318"/>
      <c r="Z25" s="311">
        <v>46150</v>
      </c>
      <c r="AA25" s="312"/>
    </row>
    <row r="26" spans="1:27" ht="14.4" x14ac:dyDescent="0.3">
      <c r="A26" s="80">
        <f t="shared" si="3"/>
        <v>25</v>
      </c>
      <c r="B26" s="222" t="s">
        <v>708</v>
      </c>
      <c r="C26" s="223">
        <v>4508696481</v>
      </c>
      <c r="D26" s="309" t="s">
        <v>358</v>
      </c>
      <c r="E26" s="223" t="s">
        <v>359</v>
      </c>
      <c r="F26" s="223" t="s">
        <v>767</v>
      </c>
      <c r="G26" s="223">
        <f>COUNTIF(Precificação!A:A,'Base de Dados'!D14)</f>
        <v>18</v>
      </c>
      <c r="H26" s="223" t="s">
        <v>768</v>
      </c>
      <c r="I26" s="224">
        <f>SUMIF(Precificação!A:A,D26,Precificação!F:F)</f>
        <v>1282</v>
      </c>
      <c r="J26" s="225">
        <v>39524.06</v>
      </c>
      <c r="K26" s="222">
        <v>2026000106</v>
      </c>
      <c r="L26" s="230" t="s">
        <v>713</v>
      </c>
      <c r="M26" s="226">
        <v>204161.53</v>
      </c>
      <c r="N26" s="226">
        <v>20723.990000000002</v>
      </c>
      <c r="O26" s="226">
        <v>112.3</v>
      </c>
      <c r="P26" s="226">
        <v>154.22999999999999</v>
      </c>
      <c r="Q26" s="227">
        <v>1537.1</v>
      </c>
      <c r="R26" s="226">
        <v>1300</v>
      </c>
      <c r="S26" s="228">
        <v>21712.29</v>
      </c>
      <c r="T26" s="228">
        <v>4724.95</v>
      </c>
      <c r="U26" s="226">
        <f t="shared" si="0"/>
        <v>254426.39</v>
      </c>
      <c r="V26" s="229">
        <f t="shared" si="1"/>
        <v>0.1015078109965183</v>
      </c>
      <c r="W26" s="229" t="s">
        <v>714</v>
      </c>
      <c r="X26" s="310" t="str">
        <f t="shared" si="2"/>
        <v>CONCLUÍDO</v>
      </c>
      <c r="Y26" s="318"/>
      <c r="Z26" s="311">
        <v>46081</v>
      </c>
      <c r="AA26" s="312"/>
    </row>
    <row r="27" spans="1:27" ht="14.4" x14ac:dyDescent="0.3">
      <c r="A27" s="80">
        <f t="shared" si="3"/>
        <v>26</v>
      </c>
      <c r="B27" s="222" t="s">
        <v>708</v>
      </c>
      <c r="C27" s="223">
        <v>4508840421</v>
      </c>
      <c r="D27" s="309" t="s">
        <v>403</v>
      </c>
      <c r="E27" s="223" t="s">
        <v>405</v>
      </c>
      <c r="F27" s="223" t="s">
        <v>406</v>
      </c>
      <c r="G27" s="223">
        <f>COUNTIF(Precificação!A:A,'Base de Dados'!D31)</f>
        <v>6</v>
      </c>
      <c r="H27" s="223" t="s">
        <v>747</v>
      </c>
      <c r="I27" s="224">
        <f>SUMIF(Precificação!A:A,D27,Precificação!F:F)</f>
        <v>5316</v>
      </c>
      <c r="J27" s="225">
        <v>78626.8</v>
      </c>
      <c r="K27" s="222"/>
      <c r="L27" s="230" t="s">
        <v>713</v>
      </c>
      <c r="M27" s="226">
        <v>0</v>
      </c>
      <c r="N27" s="226">
        <v>0</v>
      </c>
      <c r="O27" s="226">
        <v>0</v>
      </c>
      <c r="P27" s="226">
        <v>0</v>
      </c>
      <c r="Q27" s="226">
        <v>1537.1</v>
      </c>
      <c r="R27" s="226">
        <v>1300</v>
      </c>
      <c r="S27" s="228">
        <v>0</v>
      </c>
      <c r="T27" s="228">
        <v>0</v>
      </c>
      <c r="U27" s="226">
        <f t="shared" si="0"/>
        <v>2837.1</v>
      </c>
      <c r="V27" s="229"/>
      <c r="W27" s="229" t="s">
        <v>714</v>
      </c>
      <c r="X27" s="310" t="str">
        <f t="shared" si="2"/>
        <v>EM TRÂNSITO</v>
      </c>
      <c r="Y27" s="327">
        <f ca="1">Tabela2[[#This Row],[ESTIMATIVA CHEGADA]]-TODAY()</f>
        <v>1</v>
      </c>
      <c r="Z27" s="311">
        <v>46242</v>
      </c>
      <c r="AA27" s="312"/>
    </row>
    <row r="28" spans="1:27" ht="14.4" x14ac:dyDescent="0.3">
      <c r="A28" s="80">
        <f t="shared" si="3"/>
        <v>27</v>
      </c>
      <c r="B28" s="222" t="s">
        <v>708</v>
      </c>
      <c r="C28" s="223">
        <v>4508577003</v>
      </c>
      <c r="D28" s="309" t="s">
        <v>408</v>
      </c>
      <c r="E28" s="223"/>
      <c r="F28" s="223"/>
      <c r="G28" s="223">
        <f>COUNTIF(Precificação!A:A,'Base de Dados'!D38)</f>
        <v>9</v>
      </c>
      <c r="H28" s="223" t="s">
        <v>769</v>
      </c>
      <c r="I28" s="224">
        <f>SUMIF(Precificação!A:A,D28,Precificação!F:F)</f>
        <v>1760</v>
      </c>
      <c r="J28" s="225">
        <v>56320</v>
      </c>
      <c r="K28" s="222"/>
      <c r="L28" s="230" t="s">
        <v>713</v>
      </c>
      <c r="M28" s="226">
        <v>0</v>
      </c>
      <c r="N28" s="226">
        <v>0</v>
      </c>
      <c r="O28" s="226">
        <v>0</v>
      </c>
      <c r="P28" s="226">
        <v>0</v>
      </c>
      <c r="Q28" s="226">
        <v>1537.1</v>
      </c>
      <c r="R28" s="226">
        <v>1300</v>
      </c>
      <c r="S28" s="228">
        <v>0</v>
      </c>
      <c r="T28" s="228">
        <v>0</v>
      </c>
      <c r="U28" s="226">
        <f t="shared" si="0"/>
        <v>2837.1</v>
      </c>
      <c r="V28" s="229"/>
      <c r="W28" s="229" t="s">
        <v>714</v>
      </c>
      <c r="X28" s="310" t="str">
        <f t="shared" si="2"/>
        <v>EM PRODUÇÃO</v>
      </c>
      <c r="Y28" s="327">
        <f ca="1">Tabela2[[#This Row],[ESTIMATIVA CHEGADA]]-TODAY()</f>
        <v>84</v>
      </c>
      <c r="Z28" s="311">
        <f>Tabela2[[#This Row],[PRONTIDÃO]]+60</f>
        <v>46325</v>
      </c>
      <c r="AA28" s="313">
        <v>46265</v>
      </c>
    </row>
    <row r="29" spans="1:27" ht="14.4" x14ac:dyDescent="0.3">
      <c r="A29" s="80">
        <f t="shared" si="3"/>
        <v>28</v>
      </c>
      <c r="B29" s="222" t="s">
        <v>708</v>
      </c>
      <c r="C29" s="223">
        <v>4508559921</v>
      </c>
      <c r="D29" s="309" t="s">
        <v>400</v>
      </c>
      <c r="E29" s="223" t="s">
        <v>402</v>
      </c>
      <c r="F29" s="223" t="s">
        <v>770</v>
      </c>
      <c r="G29" s="223">
        <f>COUNTIF(Precificação!A:A,'Base de Dados'!D21)</f>
        <v>6</v>
      </c>
      <c r="H29" s="223" t="s">
        <v>771</v>
      </c>
      <c r="I29" s="224">
        <f>SUMIF(Precificação!A:A,D29,Precificação!F:F)</f>
        <v>1575</v>
      </c>
      <c r="J29" s="225">
        <v>64118.25</v>
      </c>
      <c r="K29" s="222">
        <v>2026000211</v>
      </c>
      <c r="L29" s="230" t="s">
        <v>713</v>
      </c>
      <c r="M29" s="226">
        <v>327567.32</v>
      </c>
      <c r="N29" s="226">
        <v>44344.38</v>
      </c>
      <c r="O29" s="226">
        <v>219.73</v>
      </c>
      <c r="P29" s="226">
        <v>154.22999999999999</v>
      </c>
      <c r="Q29" s="227">
        <v>1537.1</v>
      </c>
      <c r="R29" s="226">
        <v>1300</v>
      </c>
      <c r="S29" s="228">
        <v>35910.68</v>
      </c>
      <c r="T29" s="228">
        <v>7814.76</v>
      </c>
      <c r="U29" s="226">
        <f t="shared" si="0"/>
        <v>418848.19999999995</v>
      </c>
      <c r="V29" s="229">
        <f t="shared" si="1"/>
        <v>0.13537485973875538</v>
      </c>
      <c r="W29" s="229" t="s">
        <v>714</v>
      </c>
      <c r="X29" s="310" t="str">
        <f t="shared" si="2"/>
        <v>CONCLUÍDO</v>
      </c>
      <c r="Y29" s="327"/>
      <c r="Z29" s="311">
        <v>46159</v>
      </c>
      <c r="AA29" s="312"/>
    </row>
    <row r="30" spans="1:27" ht="14.4" x14ac:dyDescent="0.3">
      <c r="A30" s="80">
        <f t="shared" si="3"/>
        <v>29</v>
      </c>
      <c r="B30" s="222" t="s">
        <v>708</v>
      </c>
      <c r="C30" s="223" t="s">
        <v>772</v>
      </c>
      <c r="D30" s="317" t="s">
        <v>417</v>
      </c>
      <c r="E30" s="223"/>
      <c r="F30" s="223"/>
      <c r="G30" s="223">
        <f>COUNTIF(Precificação!A:A,'Base de Dados'!D32)</f>
        <v>1</v>
      </c>
      <c r="H30" s="223" t="s">
        <v>419</v>
      </c>
      <c r="I30" s="224">
        <f>SUMIF(Precificação!A:A,D30,Precificação!F:F)</f>
        <v>0</v>
      </c>
      <c r="J30" s="225">
        <v>48031.6</v>
      </c>
      <c r="K30" s="222"/>
      <c r="L30" s="230" t="s">
        <v>713</v>
      </c>
      <c r="M30" s="226">
        <v>0</v>
      </c>
      <c r="N30" s="226">
        <v>0</v>
      </c>
      <c r="O30" s="226">
        <v>0</v>
      </c>
      <c r="P30" s="226">
        <v>0</v>
      </c>
      <c r="Q30" s="226">
        <v>1537.1</v>
      </c>
      <c r="R30" s="226">
        <v>1300</v>
      </c>
      <c r="S30" s="228">
        <v>0</v>
      </c>
      <c r="T30" s="228">
        <v>0</v>
      </c>
      <c r="U30" s="226">
        <f t="shared" si="0"/>
        <v>2837.1</v>
      </c>
      <c r="V30" s="229"/>
      <c r="W30" s="229" t="s">
        <v>714</v>
      </c>
      <c r="X30" s="310" t="str">
        <f t="shared" si="2"/>
        <v>EM PRODUÇÃO</v>
      </c>
      <c r="Y30" s="327">
        <f ca="1">Tabela2[[#This Row],[ESTIMATIVA CHEGADA]]-TODAY()</f>
        <v>66</v>
      </c>
      <c r="Z30" s="311">
        <f>Tabela2[[#This Row],[PRONTIDÃO]]+60</f>
        <v>46307</v>
      </c>
      <c r="AA30" s="313">
        <v>46247</v>
      </c>
    </row>
    <row r="31" spans="1:27" ht="14.4" x14ac:dyDescent="0.3">
      <c r="A31" s="80">
        <f t="shared" si="3"/>
        <v>30</v>
      </c>
      <c r="B31" s="222" t="s">
        <v>708</v>
      </c>
      <c r="C31" s="223">
        <v>4508751681</v>
      </c>
      <c r="D31" s="309" t="s">
        <v>394</v>
      </c>
      <c r="E31" s="223" t="s">
        <v>396</v>
      </c>
      <c r="F31" s="223" t="s">
        <v>773</v>
      </c>
      <c r="G31" s="223">
        <f>COUNTIF(Precificação!A:A,'Base de Dados'!D20)</f>
        <v>9</v>
      </c>
      <c r="H31" s="223" t="s">
        <v>774</v>
      </c>
      <c r="I31" s="224">
        <f>SUMIF(Precificação!A:A,D31,Precificação!F:F)</f>
        <v>34966</v>
      </c>
      <c r="J31" s="225">
        <v>87103.88</v>
      </c>
      <c r="K31" s="222">
        <v>2026000202</v>
      </c>
      <c r="L31" s="230" t="s">
        <v>713</v>
      </c>
      <c r="M31" s="226">
        <v>450475.1</v>
      </c>
      <c r="N31" s="226">
        <v>47171.08</v>
      </c>
      <c r="O31" s="226">
        <v>293.60000000000002</v>
      </c>
      <c r="P31" s="226">
        <v>154.22999999999999</v>
      </c>
      <c r="Q31" s="227">
        <v>1537.1</v>
      </c>
      <c r="R31" s="226">
        <v>1300</v>
      </c>
      <c r="S31" s="228">
        <v>48051.19</v>
      </c>
      <c r="T31" s="228">
        <v>10456.74</v>
      </c>
      <c r="U31" s="226">
        <f t="shared" si="0"/>
        <v>559439.03999999992</v>
      </c>
      <c r="V31" s="229">
        <f t="shared" si="1"/>
        <v>0.10471406743680173</v>
      </c>
      <c r="W31" s="229" t="s">
        <v>714</v>
      </c>
      <c r="X31" s="310" t="str">
        <f t="shared" si="2"/>
        <v>CONCLUÍDO</v>
      </c>
      <c r="Y31" s="327"/>
      <c r="Z31" s="311">
        <v>46156</v>
      </c>
      <c r="AA31" s="312"/>
    </row>
    <row r="32" spans="1:27" ht="14.4" x14ac:dyDescent="0.3">
      <c r="A32" s="80">
        <f t="shared" si="3"/>
        <v>31</v>
      </c>
      <c r="B32" s="222" t="s">
        <v>708</v>
      </c>
      <c r="C32" s="223">
        <v>4508840505</v>
      </c>
      <c r="D32" s="309" t="s">
        <v>415</v>
      </c>
      <c r="E32" s="223"/>
      <c r="F32" s="223"/>
      <c r="G32" s="223">
        <f>COUNTIF(Precificação!A:A,'Base de Dados'!D34)</f>
        <v>18</v>
      </c>
      <c r="H32" s="223" t="s">
        <v>775</v>
      </c>
      <c r="I32" s="224">
        <f>SUMIF(Precificação!A:A,D32,Precificação!F:F)</f>
        <v>2004</v>
      </c>
      <c r="J32" s="225">
        <v>46552.92</v>
      </c>
      <c r="K32" s="222"/>
      <c r="L32" s="230" t="s">
        <v>713</v>
      </c>
      <c r="M32" s="226">
        <v>0</v>
      </c>
      <c r="N32" s="226">
        <v>0</v>
      </c>
      <c r="O32" s="226">
        <v>0</v>
      </c>
      <c r="P32" s="226">
        <v>0</v>
      </c>
      <c r="Q32" s="226">
        <v>1537.1</v>
      </c>
      <c r="R32" s="226">
        <v>1300</v>
      </c>
      <c r="S32" s="228">
        <v>0</v>
      </c>
      <c r="T32" s="228">
        <v>0</v>
      </c>
      <c r="U32" s="226">
        <f t="shared" si="0"/>
        <v>2837.1</v>
      </c>
      <c r="V32" s="229"/>
      <c r="W32" s="229" t="s">
        <v>714</v>
      </c>
      <c r="X32" s="310" t="str">
        <f t="shared" si="2"/>
        <v>EM PRODUÇÃO</v>
      </c>
      <c r="Y32" s="327">
        <f ca="1">Tabela2[[#This Row],[ESTIMATIVA CHEGADA]]-TODAY()</f>
        <v>68</v>
      </c>
      <c r="Z32" s="311">
        <f>Tabela2[[#This Row],[PRONTIDÃO]]+60</f>
        <v>46309</v>
      </c>
      <c r="AA32" s="311">
        <v>46249</v>
      </c>
    </row>
    <row r="33" spans="1:27" ht="14.4" x14ac:dyDescent="0.3">
      <c r="A33" s="80">
        <f t="shared" si="3"/>
        <v>32</v>
      </c>
      <c r="B33" s="222" t="s">
        <v>708</v>
      </c>
      <c r="C33" s="223">
        <v>4508894878</v>
      </c>
      <c r="D33" s="309" t="s">
        <v>420</v>
      </c>
      <c r="E33" s="223">
        <v>1074377332</v>
      </c>
      <c r="F33" s="223" t="s">
        <v>422</v>
      </c>
      <c r="G33" s="223">
        <f>COUNTIF(Precificação!A:A,'Base de Dados'!D43)</f>
        <v>1</v>
      </c>
      <c r="H33" s="223" t="s">
        <v>776</v>
      </c>
      <c r="I33" s="224">
        <f>SUMIF(Precificação!A:A,D33,Precificação!F:F)</f>
        <v>5324</v>
      </c>
      <c r="J33" s="225">
        <v>89848.960000000006</v>
      </c>
      <c r="K33" s="222">
        <v>2026000235</v>
      </c>
      <c r="L33" s="222" t="s">
        <v>713</v>
      </c>
      <c r="M33" s="226">
        <v>0</v>
      </c>
      <c r="N33" s="226">
        <v>0</v>
      </c>
      <c r="O33" s="226">
        <v>0</v>
      </c>
      <c r="P33" s="226">
        <v>0</v>
      </c>
      <c r="Q33" s="226">
        <v>1537.1</v>
      </c>
      <c r="R33" s="226">
        <v>1300</v>
      </c>
      <c r="S33" s="228">
        <v>0</v>
      </c>
      <c r="T33" s="228">
        <v>0</v>
      </c>
      <c r="U33" s="226">
        <f t="shared" si="0"/>
        <v>2837.1</v>
      </c>
      <c r="V33" s="229"/>
      <c r="W33" s="229" t="s">
        <v>714</v>
      </c>
      <c r="X33" s="310" t="str">
        <f t="shared" si="2"/>
        <v>CONCLUÍDO</v>
      </c>
      <c r="Y33" s="327"/>
      <c r="Z33" s="311">
        <v>46233</v>
      </c>
      <c r="AA33" s="312"/>
    </row>
    <row r="34" spans="1:27" ht="14.4" x14ac:dyDescent="0.3">
      <c r="A34" s="80">
        <f t="shared" si="3"/>
        <v>33</v>
      </c>
      <c r="B34" s="222" t="s">
        <v>708</v>
      </c>
      <c r="C34" s="223">
        <v>4508897867</v>
      </c>
      <c r="D34" s="309" t="s">
        <v>423</v>
      </c>
      <c r="E34" s="223" t="s">
        <v>777</v>
      </c>
      <c r="F34" s="223"/>
      <c r="G34" s="223">
        <f>COUNTIF(Precificação!A:A,'Base de Dados'!D44)</f>
        <v>7</v>
      </c>
      <c r="H34" s="223" t="s">
        <v>778</v>
      </c>
      <c r="I34" s="224">
        <f>SUMIF(Precificação!A:A,D34,Precificação!F:F)</f>
        <v>8112</v>
      </c>
      <c r="J34" s="225">
        <v>163113.60000000003</v>
      </c>
      <c r="K34" s="222"/>
      <c r="L34" s="222" t="s">
        <v>713</v>
      </c>
      <c r="M34" s="226">
        <v>0</v>
      </c>
      <c r="N34" s="226">
        <v>0</v>
      </c>
      <c r="O34" s="226">
        <v>0</v>
      </c>
      <c r="P34" s="226">
        <v>0</v>
      </c>
      <c r="Q34" s="226">
        <v>1537.1</v>
      </c>
      <c r="R34" s="226">
        <v>1300</v>
      </c>
      <c r="S34" s="228">
        <v>0</v>
      </c>
      <c r="T34" s="228">
        <v>0</v>
      </c>
      <c r="U34" s="226">
        <f t="shared" ref="U34:U66" si="4">SUM(M34:T34)</f>
        <v>2837.1</v>
      </c>
      <c r="V34" s="229"/>
      <c r="W34" s="229"/>
      <c r="X34" s="310" t="str">
        <f t="shared" ref="X34:X71" si="5">IF(K34&lt;&gt;"", "CONCLUÍDO", IF(E34&lt;&gt;"", "EM TRÂNSITO", "EM PRODUÇÃO"))</f>
        <v>EM TRÂNSITO</v>
      </c>
      <c r="Y34" s="327">
        <f ca="1">Tabela2[[#This Row],[ESTIMATIVA CHEGADA]]-TODAY()</f>
        <v>53</v>
      </c>
      <c r="Z34" s="311">
        <v>46294</v>
      </c>
      <c r="AA34" s="312"/>
    </row>
    <row r="35" spans="1:27" ht="14.4" x14ac:dyDescent="0.3">
      <c r="A35" s="80">
        <f t="shared" ref="A35:A72" si="6">A34+1</f>
        <v>34</v>
      </c>
      <c r="B35" s="222" t="s">
        <v>708</v>
      </c>
      <c r="C35" s="223">
        <v>4508840296</v>
      </c>
      <c r="D35" s="309" t="s">
        <v>427</v>
      </c>
      <c r="E35" s="223" t="s">
        <v>429</v>
      </c>
      <c r="F35" s="223" t="s">
        <v>430</v>
      </c>
      <c r="G35" s="223">
        <f>COUNTIF(Precificação!A:A,'Base de Dados'!D33)</f>
        <v>4</v>
      </c>
      <c r="H35" s="223" t="s">
        <v>779</v>
      </c>
      <c r="I35" s="224">
        <f>SUMIF(Precificação!A:A,D35,Precificação!F:F)</f>
        <v>500</v>
      </c>
      <c r="J35" s="225">
        <v>20355</v>
      </c>
      <c r="K35" s="222">
        <v>2026000234</v>
      </c>
      <c r="L35" s="230" t="s">
        <v>713</v>
      </c>
      <c r="M35" s="226">
        <v>0</v>
      </c>
      <c r="N35" s="226">
        <v>0</v>
      </c>
      <c r="O35" s="226">
        <v>0</v>
      </c>
      <c r="P35" s="226">
        <v>0</v>
      </c>
      <c r="Q35" s="226">
        <v>1537.1</v>
      </c>
      <c r="R35" s="226">
        <v>1300</v>
      </c>
      <c r="S35" s="228">
        <v>0</v>
      </c>
      <c r="T35" s="228">
        <v>0</v>
      </c>
      <c r="U35" s="226">
        <f t="shared" si="4"/>
        <v>2837.1</v>
      </c>
      <c r="V35" s="229"/>
      <c r="W35" s="229" t="s">
        <v>714</v>
      </c>
      <c r="X35" s="310" t="str">
        <f t="shared" si="5"/>
        <v>CONCLUÍDO</v>
      </c>
      <c r="Y35" s="327"/>
      <c r="Z35" s="311">
        <v>46233</v>
      </c>
      <c r="AA35" s="312"/>
    </row>
    <row r="36" spans="1:27" ht="14.4" x14ac:dyDescent="0.3">
      <c r="A36" s="80">
        <f t="shared" si="6"/>
        <v>35</v>
      </c>
      <c r="B36" s="222" t="s">
        <v>708</v>
      </c>
      <c r="C36" s="223">
        <v>4508840510</v>
      </c>
      <c r="D36" s="309" t="s">
        <v>431</v>
      </c>
      <c r="E36" s="223" t="s">
        <v>432</v>
      </c>
      <c r="F36" s="223" t="s">
        <v>433</v>
      </c>
      <c r="G36" s="223">
        <f>COUNTIF(Precificação!A:A,'Base de Dados'!D35)</f>
        <v>1</v>
      </c>
      <c r="H36" s="223" t="s">
        <v>749</v>
      </c>
      <c r="I36" s="224">
        <f>SUMIF(Precificação!A:A,D36,Precificação!F:F)</f>
        <v>1112</v>
      </c>
      <c r="J36" s="225">
        <v>42044.72</v>
      </c>
      <c r="K36" s="222">
        <v>2026000228</v>
      </c>
      <c r="L36" s="230" t="s">
        <v>713</v>
      </c>
      <c r="M36" s="226">
        <v>0</v>
      </c>
      <c r="N36" s="226">
        <v>0</v>
      </c>
      <c r="O36" s="226">
        <v>0</v>
      </c>
      <c r="P36" s="226">
        <v>0</v>
      </c>
      <c r="Q36" s="226">
        <v>1537.1</v>
      </c>
      <c r="R36" s="226">
        <v>1300</v>
      </c>
      <c r="S36" s="228">
        <v>0</v>
      </c>
      <c r="T36" s="228">
        <v>0</v>
      </c>
      <c r="U36" s="226">
        <f t="shared" si="4"/>
        <v>2837.1</v>
      </c>
      <c r="V36" s="229"/>
      <c r="W36" s="229" t="s">
        <v>714</v>
      </c>
      <c r="X36" s="310" t="str">
        <f t="shared" si="5"/>
        <v>CONCLUÍDO</v>
      </c>
      <c r="Y36" s="327"/>
      <c r="Z36" s="311">
        <v>46231</v>
      </c>
      <c r="AA36" s="312"/>
    </row>
    <row r="37" spans="1:27" ht="14.4" x14ac:dyDescent="0.3">
      <c r="A37" s="80">
        <f t="shared" si="6"/>
        <v>36</v>
      </c>
      <c r="B37" s="222" t="s">
        <v>708</v>
      </c>
      <c r="C37" s="223">
        <v>4508840536</v>
      </c>
      <c r="D37" s="309" t="s">
        <v>434</v>
      </c>
      <c r="E37" s="223" t="s">
        <v>436</v>
      </c>
      <c r="F37" s="223" t="s">
        <v>437</v>
      </c>
      <c r="G37" s="223">
        <f>COUNTIF(Precificação!A:A,'Base de Dados'!D36)</f>
        <v>1</v>
      </c>
      <c r="H37" s="223" t="s">
        <v>780</v>
      </c>
      <c r="I37" s="224">
        <f>SUMIF(Precificação!A:A,D37,Precificação!F:F)</f>
        <v>10044</v>
      </c>
      <c r="J37" s="225">
        <v>14886</v>
      </c>
      <c r="K37" s="222">
        <v>2026000238</v>
      </c>
      <c r="L37" s="230" t="s">
        <v>713</v>
      </c>
      <c r="M37" s="226">
        <v>0</v>
      </c>
      <c r="N37" s="226">
        <v>0</v>
      </c>
      <c r="O37" s="226">
        <v>0</v>
      </c>
      <c r="P37" s="226">
        <v>0</v>
      </c>
      <c r="Q37" s="226">
        <v>1537.1</v>
      </c>
      <c r="R37" s="226">
        <v>1300</v>
      </c>
      <c r="S37" s="228">
        <v>0</v>
      </c>
      <c r="T37" s="228">
        <v>0</v>
      </c>
      <c r="U37" s="226">
        <f t="shared" si="4"/>
        <v>2837.1</v>
      </c>
      <c r="V37" s="229"/>
      <c r="W37" s="229" t="s">
        <v>714</v>
      </c>
      <c r="X37" s="310" t="str">
        <f t="shared" si="5"/>
        <v>CONCLUÍDO</v>
      </c>
      <c r="Y37" s="327"/>
      <c r="Z37" s="311">
        <v>46238</v>
      </c>
      <c r="AA37" s="312"/>
    </row>
    <row r="38" spans="1:27" ht="14.4" x14ac:dyDescent="0.3">
      <c r="A38" s="80">
        <f t="shared" si="6"/>
        <v>37</v>
      </c>
      <c r="B38" s="222" t="s">
        <v>708</v>
      </c>
      <c r="C38" s="223">
        <v>4508840545</v>
      </c>
      <c r="D38" s="309" t="s">
        <v>440</v>
      </c>
      <c r="E38" s="223" t="s">
        <v>442</v>
      </c>
      <c r="F38" s="223" t="s">
        <v>781</v>
      </c>
      <c r="G38" s="223">
        <f>COUNTIF(Precificação!A:A,'Base de Dados'!D37)</f>
        <v>5</v>
      </c>
      <c r="H38" s="223" t="s">
        <v>782</v>
      </c>
      <c r="I38" s="224">
        <f>SUMIF(Precificação!A:A,D38,Precificação!F:F)</f>
        <v>15694</v>
      </c>
      <c r="J38" s="225">
        <v>125124.1</v>
      </c>
      <c r="K38" s="222"/>
      <c r="L38" s="230" t="s">
        <v>713</v>
      </c>
      <c r="M38" s="226">
        <v>0</v>
      </c>
      <c r="N38" s="226">
        <v>0</v>
      </c>
      <c r="O38" s="226">
        <v>0</v>
      </c>
      <c r="P38" s="226">
        <v>0</v>
      </c>
      <c r="Q38" s="226">
        <v>1537.1</v>
      </c>
      <c r="R38" s="226">
        <v>1300</v>
      </c>
      <c r="S38" s="228">
        <v>0</v>
      </c>
      <c r="T38" s="228">
        <v>0</v>
      </c>
      <c r="U38" s="226">
        <f t="shared" si="4"/>
        <v>2837.1</v>
      </c>
      <c r="V38" s="229"/>
      <c r="W38" s="229" t="s">
        <v>714</v>
      </c>
      <c r="X38" s="310" t="str">
        <f t="shared" si="5"/>
        <v>EM TRÂNSITO</v>
      </c>
      <c r="Y38" s="327">
        <f ca="1">Tabela2[[#This Row],[ESTIMATIVA CHEGADA]]-TODAY()</f>
        <v>26</v>
      </c>
      <c r="Z38" s="311">
        <v>46267</v>
      </c>
      <c r="AA38" s="312"/>
    </row>
    <row r="39" spans="1:27" ht="14.4" x14ac:dyDescent="0.3">
      <c r="A39" s="80">
        <f t="shared" si="6"/>
        <v>38</v>
      </c>
      <c r="B39" s="222" t="s">
        <v>708</v>
      </c>
      <c r="C39" s="223">
        <v>4508699466</v>
      </c>
      <c r="D39" s="309" t="s">
        <v>438</v>
      </c>
      <c r="E39" s="223" t="s">
        <v>783</v>
      </c>
      <c r="F39" s="223" t="s">
        <v>784</v>
      </c>
      <c r="G39" s="223">
        <f>COUNTIF(Precificação!A:A,'Base de Dados'!D39)</f>
        <v>4</v>
      </c>
      <c r="H39" s="223" t="s">
        <v>785</v>
      </c>
      <c r="I39" s="224">
        <f>SUMIF(Precificação!A:A,D39,Precificação!F:F)</f>
        <v>11244</v>
      </c>
      <c r="J39" s="225">
        <v>30226.2</v>
      </c>
      <c r="K39" s="222"/>
      <c r="L39" s="230" t="s">
        <v>713</v>
      </c>
      <c r="M39" s="226">
        <v>0</v>
      </c>
      <c r="N39" s="226">
        <v>0</v>
      </c>
      <c r="O39" s="226">
        <v>0</v>
      </c>
      <c r="P39" s="226">
        <v>0</v>
      </c>
      <c r="Q39" s="226">
        <v>1537.1</v>
      </c>
      <c r="R39" s="226">
        <v>1300</v>
      </c>
      <c r="S39" s="228">
        <v>0</v>
      </c>
      <c r="T39" s="228">
        <v>0</v>
      </c>
      <c r="U39" s="226">
        <f t="shared" si="4"/>
        <v>2837.1</v>
      </c>
      <c r="V39" s="229"/>
      <c r="W39" s="229" t="s">
        <v>714</v>
      </c>
      <c r="X39" s="310" t="str">
        <f t="shared" si="5"/>
        <v>EM TRÂNSITO</v>
      </c>
      <c r="Y39" s="327">
        <f ca="1">Tabela2[[#This Row],[ESTIMATIVA CHEGADA]]-TODAY()</f>
        <v>32</v>
      </c>
      <c r="Z39" s="311">
        <v>46273</v>
      </c>
      <c r="AA39" s="312"/>
    </row>
    <row r="40" spans="1:27" ht="14.4" x14ac:dyDescent="0.3">
      <c r="A40" s="80">
        <f t="shared" si="6"/>
        <v>39</v>
      </c>
      <c r="B40" s="222" t="s">
        <v>708</v>
      </c>
      <c r="C40" s="223">
        <v>4508894889</v>
      </c>
      <c r="D40" s="309" t="s">
        <v>445</v>
      </c>
      <c r="E40" s="223"/>
      <c r="F40" s="223" t="s">
        <v>732</v>
      </c>
      <c r="G40" s="223">
        <f>COUNTIF(Precificação!A:A,'Base de Dados'!D45)</f>
        <v>2</v>
      </c>
      <c r="H40" s="223" t="s">
        <v>786</v>
      </c>
      <c r="I40" s="224">
        <f>SUMIF(Precificação!A:A,D40,Precificação!F:F)</f>
        <v>992</v>
      </c>
      <c r="J40" s="225">
        <v>1517.76</v>
      </c>
      <c r="K40" s="222"/>
      <c r="L40" s="222" t="s">
        <v>734</v>
      </c>
      <c r="M40" s="226">
        <v>0</v>
      </c>
      <c r="N40" s="226">
        <v>0</v>
      </c>
      <c r="O40" s="226">
        <v>0</v>
      </c>
      <c r="P40" s="226">
        <v>0</v>
      </c>
      <c r="Q40" s="226">
        <v>1537.1</v>
      </c>
      <c r="R40" s="226">
        <v>1300</v>
      </c>
      <c r="S40" s="228">
        <v>0</v>
      </c>
      <c r="T40" s="228">
        <v>0</v>
      </c>
      <c r="U40" s="226">
        <f t="shared" si="4"/>
        <v>2837.1</v>
      </c>
      <c r="V40" s="229"/>
      <c r="W40" s="229"/>
      <c r="X40" s="310" t="str">
        <f t="shared" si="5"/>
        <v>EM PRODUÇÃO</v>
      </c>
      <c r="Y40" s="327"/>
      <c r="Z40" s="311">
        <v>46238</v>
      </c>
      <c r="AA40" s="312"/>
    </row>
    <row r="41" spans="1:27" ht="14.4" x14ac:dyDescent="0.3">
      <c r="A41" s="80">
        <f t="shared" si="6"/>
        <v>40</v>
      </c>
      <c r="B41" s="222" t="s">
        <v>708</v>
      </c>
      <c r="C41" s="223">
        <v>4508727560</v>
      </c>
      <c r="D41" s="309" t="s">
        <v>447</v>
      </c>
      <c r="E41" s="223" t="s">
        <v>787</v>
      </c>
      <c r="F41" s="236" t="s">
        <v>788</v>
      </c>
      <c r="G41" s="223">
        <f>COUNTIF(Precificação!A:A,'Base de Dados'!D40)</f>
        <v>1</v>
      </c>
      <c r="H41" s="223" t="s">
        <v>789</v>
      </c>
      <c r="I41" s="224">
        <f>SUMIF(Precificação!A:A,D41,Precificação!F:F)</f>
        <v>40554</v>
      </c>
      <c r="J41" s="225">
        <v>81436.5</v>
      </c>
      <c r="K41" s="222"/>
      <c r="L41" s="230" t="s">
        <v>713</v>
      </c>
      <c r="M41" s="226">
        <v>0</v>
      </c>
      <c r="N41" s="226">
        <v>0</v>
      </c>
      <c r="O41" s="226">
        <v>0</v>
      </c>
      <c r="P41" s="226">
        <v>0</v>
      </c>
      <c r="Q41" s="226">
        <v>1537.1</v>
      </c>
      <c r="R41" s="226">
        <v>1300</v>
      </c>
      <c r="S41" s="228">
        <v>0</v>
      </c>
      <c r="T41" s="228">
        <v>0</v>
      </c>
      <c r="U41" s="226">
        <f t="shared" si="4"/>
        <v>2837.1</v>
      </c>
      <c r="V41" s="229"/>
      <c r="W41" s="229" t="s">
        <v>714</v>
      </c>
      <c r="X41" s="310" t="str">
        <f t="shared" si="5"/>
        <v>EM TRÂNSITO</v>
      </c>
      <c r="Y41" s="327">
        <f ca="1">Tabela2[[#This Row],[ESTIMATIVA CHEGADA]]-TODAY()</f>
        <v>38</v>
      </c>
      <c r="Z41" s="311">
        <v>46279</v>
      </c>
      <c r="AA41" s="312"/>
    </row>
    <row r="42" spans="1:27" ht="14.4" x14ac:dyDescent="0.3">
      <c r="A42" s="80">
        <f t="shared" si="6"/>
        <v>41</v>
      </c>
      <c r="B42" s="222" t="s">
        <v>708</v>
      </c>
      <c r="C42" s="223">
        <v>4508894894</v>
      </c>
      <c r="D42" s="309" t="s">
        <v>448</v>
      </c>
      <c r="E42" s="223" t="s">
        <v>790</v>
      </c>
      <c r="F42" s="223" t="s">
        <v>791</v>
      </c>
      <c r="G42" s="223">
        <f>COUNTIF(Precificação!A:A,'Base de Dados'!D46)</f>
        <v>4</v>
      </c>
      <c r="H42" s="223" t="s">
        <v>792</v>
      </c>
      <c r="I42" s="224">
        <f>SUMIF(Precificação!A:A,D42,Precificação!F:F)</f>
        <v>1112</v>
      </c>
      <c r="J42" s="225">
        <v>42044.72</v>
      </c>
      <c r="K42" s="222"/>
      <c r="L42" s="222" t="s">
        <v>713</v>
      </c>
      <c r="M42" s="226">
        <v>0</v>
      </c>
      <c r="N42" s="226">
        <v>0</v>
      </c>
      <c r="O42" s="226">
        <v>0</v>
      </c>
      <c r="P42" s="226">
        <v>0</v>
      </c>
      <c r="Q42" s="226">
        <v>1537.1</v>
      </c>
      <c r="R42" s="226">
        <v>1300</v>
      </c>
      <c r="S42" s="228">
        <v>0</v>
      </c>
      <c r="T42" s="228">
        <v>0</v>
      </c>
      <c r="U42" s="226">
        <f t="shared" si="4"/>
        <v>2837.1</v>
      </c>
      <c r="V42" s="229"/>
      <c r="W42" s="229" t="s">
        <v>714</v>
      </c>
      <c r="X42" s="310" t="str">
        <f t="shared" si="5"/>
        <v>EM TRÂNSITO</v>
      </c>
      <c r="Y42" s="327">
        <f ca="1">Tabela2[[#This Row],[ESTIMATIVA CHEGADA]]-TODAY()</f>
        <v>5</v>
      </c>
      <c r="Z42" s="311">
        <v>46246</v>
      </c>
      <c r="AA42" s="312"/>
    </row>
    <row r="43" spans="1:27" ht="28.95" customHeight="1" x14ac:dyDescent="0.3">
      <c r="A43" s="80">
        <f t="shared" si="6"/>
        <v>42</v>
      </c>
      <c r="B43" s="222" t="s">
        <v>708</v>
      </c>
      <c r="C43" s="223">
        <v>4508727727</v>
      </c>
      <c r="D43" s="309" t="s">
        <v>449</v>
      </c>
      <c r="E43" s="223" t="s">
        <v>451</v>
      </c>
      <c r="F43" s="223" t="s">
        <v>793</v>
      </c>
      <c r="G43" s="223">
        <f>COUNTIF(Precificação!A:A,'Base de Dados'!D47)</f>
        <v>1</v>
      </c>
      <c r="H43" s="223" t="s">
        <v>794</v>
      </c>
      <c r="I43" s="224">
        <f>SUMIF(Precificação!A:A,D43,Precificação!F:F)</f>
        <v>1160</v>
      </c>
      <c r="J43" s="225">
        <v>16704</v>
      </c>
      <c r="K43" s="222"/>
      <c r="L43" s="230" t="s">
        <v>713</v>
      </c>
      <c r="M43" s="226">
        <v>0</v>
      </c>
      <c r="N43" s="226">
        <v>0</v>
      </c>
      <c r="O43" s="226">
        <v>0</v>
      </c>
      <c r="P43" s="226">
        <v>0</v>
      </c>
      <c r="Q43" s="226">
        <v>1537.1</v>
      </c>
      <c r="R43" s="226">
        <v>1300</v>
      </c>
      <c r="S43" s="228">
        <v>0</v>
      </c>
      <c r="T43" s="228">
        <v>0</v>
      </c>
      <c r="U43" s="226">
        <f t="shared" si="4"/>
        <v>2837.1</v>
      </c>
      <c r="V43" s="229"/>
      <c r="W43" s="229" t="s">
        <v>714</v>
      </c>
      <c r="X43" s="310" t="str">
        <f t="shared" si="5"/>
        <v>EM TRÂNSITO</v>
      </c>
      <c r="Y43" s="327">
        <f ca="1">Tabela2[[#This Row],[ESTIMATIVA CHEGADA]]-TODAY()</f>
        <v>11</v>
      </c>
      <c r="Z43" s="311">
        <v>46252</v>
      </c>
      <c r="AA43" s="313"/>
    </row>
    <row r="44" spans="1:27" ht="14.4" x14ac:dyDescent="0.3">
      <c r="A44" s="80">
        <f t="shared" si="6"/>
        <v>43</v>
      </c>
      <c r="B44" s="222" t="s">
        <v>708</v>
      </c>
      <c r="C44" s="223">
        <v>4508894905</v>
      </c>
      <c r="D44" s="309" t="s">
        <v>453</v>
      </c>
      <c r="E44" s="223" t="s">
        <v>455</v>
      </c>
      <c r="F44" s="223" t="s">
        <v>456</v>
      </c>
      <c r="G44" s="223">
        <f>COUNTIF(Precificação!A:A,'Base de Dados'!D47)</f>
        <v>1</v>
      </c>
      <c r="H44" s="223" t="s">
        <v>795</v>
      </c>
      <c r="I44" s="224">
        <f>SUMIF(Precificação!A:A,D44,Precificação!F:F)</f>
        <v>15480</v>
      </c>
      <c r="J44" s="225">
        <v>96451.8</v>
      </c>
      <c r="K44" s="222"/>
      <c r="L44" s="222" t="s">
        <v>713</v>
      </c>
      <c r="M44" s="226">
        <v>0</v>
      </c>
      <c r="N44" s="226">
        <v>0</v>
      </c>
      <c r="O44" s="226">
        <v>0</v>
      </c>
      <c r="P44" s="226">
        <v>0</v>
      </c>
      <c r="Q44" s="226">
        <v>1537.1</v>
      </c>
      <c r="R44" s="226">
        <v>1300</v>
      </c>
      <c r="S44" s="228">
        <v>0</v>
      </c>
      <c r="T44" s="228">
        <v>0</v>
      </c>
      <c r="U44" s="226">
        <f t="shared" si="4"/>
        <v>2837.1</v>
      </c>
      <c r="V44" s="229"/>
      <c r="W44" s="229" t="s">
        <v>714</v>
      </c>
      <c r="X44" s="310" t="str">
        <f t="shared" si="5"/>
        <v>EM TRÂNSITO</v>
      </c>
      <c r="Y44" s="327">
        <f ca="1">Tabela2[[#This Row],[ESTIMATIVA CHEGADA]]-TODAY()</f>
        <v>34</v>
      </c>
      <c r="Z44" s="311">
        <v>46275</v>
      </c>
      <c r="AA44" s="312"/>
    </row>
    <row r="45" spans="1:27" ht="14.4" x14ac:dyDescent="0.3">
      <c r="A45" s="80">
        <f t="shared" si="6"/>
        <v>44</v>
      </c>
      <c r="B45" s="222" t="s">
        <v>708</v>
      </c>
      <c r="C45" s="223">
        <v>4508894854</v>
      </c>
      <c r="D45" s="309" t="s">
        <v>457</v>
      </c>
      <c r="E45" s="223" t="s">
        <v>459</v>
      </c>
      <c r="F45" s="223" t="s">
        <v>460</v>
      </c>
      <c r="G45" s="223">
        <f>COUNTIF(Precificação!A:A,'Base de Dados'!D29)</f>
        <v>1</v>
      </c>
      <c r="H45" s="223" t="s">
        <v>796</v>
      </c>
      <c r="I45" s="224">
        <f>SUMIF(Precificação!A:A,D45,Precificação!F:F)</f>
        <v>3404</v>
      </c>
      <c r="J45" s="225">
        <v>45855.8</v>
      </c>
      <c r="K45" s="222"/>
      <c r="L45" s="230" t="s">
        <v>713</v>
      </c>
      <c r="M45" s="226">
        <v>0</v>
      </c>
      <c r="N45" s="226">
        <v>0</v>
      </c>
      <c r="O45" s="226">
        <v>0</v>
      </c>
      <c r="P45" s="226">
        <v>0</v>
      </c>
      <c r="Q45" s="226">
        <v>1537.1</v>
      </c>
      <c r="R45" s="226">
        <v>1300</v>
      </c>
      <c r="S45" s="228">
        <v>0</v>
      </c>
      <c r="T45" s="228">
        <v>0</v>
      </c>
      <c r="U45" s="226">
        <f t="shared" si="4"/>
        <v>2837.1</v>
      </c>
      <c r="V45" s="229"/>
      <c r="W45" s="229" t="s">
        <v>714</v>
      </c>
      <c r="X45" s="310" t="str">
        <f t="shared" si="5"/>
        <v>EM TRÂNSITO</v>
      </c>
      <c r="Y45" s="327">
        <f ca="1">Tabela2[[#This Row],[ESTIMATIVA CHEGADA]]-TODAY()</f>
        <v>34</v>
      </c>
      <c r="Z45" s="313">
        <v>46275</v>
      </c>
      <c r="AA45" s="313"/>
    </row>
    <row r="46" spans="1:27" ht="14.4" x14ac:dyDescent="0.3">
      <c r="A46" s="80">
        <f t="shared" si="6"/>
        <v>45</v>
      </c>
      <c r="B46" s="222" t="s">
        <v>708</v>
      </c>
      <c r="C46" s="223">
        <v>4508894918</v>
      </c>
      <c r="D46" s="309" t="s">
        <v>461</v>
      </c>
      <c r="E46" s="223" t="s">
        <v>797</v>
      </c>
      <c r="F46" s="223" t="s">
        <v>798</v>
      </c>
      <c r="G46" s="223">
        <f>COUNTIF(Precificação!A:A,'Base de Dados'!D48)</f>
        <v>1</v>
      </c>
      <c r="H46" s="223" t="s">
        <v>799</v>
      </c>
      <c r="I46" s="224">
        <f>SUMIF(Precificação!A:A,D46,Precificação!F:F)</f>
        <v>7410</v>
      </c>
      <c r="J46" s="225">
        <v>335154.3</v>
      </c>
      <c r="K46" s="222"/>
      <c r="L46" s="222" t="s">
        <v>713</v>
      </c>
      <c r="M46" s="226">
        <v>0</v>
      </c>
      <c r="N46" s="226">
        <v>0</v>
      </c>
      <c r="O46" s="226">
        <v>0</v>
      </c>
      <c r="P46" s="226">
        <v>0</v>
      </c>
      <c r="Q46" s="226">
        <v>1537.1</v>
      </c>
      <c r="R46" s="226">
        <v>1300</v>
      </c>
      <c r="S46" s="228">
        <v>0</v>
      </c>
      <c r="T46" s="228">
        <v>0</v>
      </c>
      <c r="U46" s="226">
        <f t="shared" si="4"/>
        <v>2837.1</v>
      </c>
      <c r="V46" s="229"/>
      <c r="W46" s="229" t="s">
        <v>714</v>
      </c>
      <c r="X46" s="310" t="str">
        <f t="shared" si="5"/>
        <v>EM TRÂNSITO</v>
      </c>
      <c r="Y46" s="327">
        <f ca="1">Tabela2[[#This Row],[ESTIMATIVA CHEGADA]]-TODAY()</f>
        <v>32</v>
      </c>
      <c r="Z46" s="311">
        <v>46273</v>
      </c>
      <c r="AA46" s="312"/>
    </row>
    <row r="47" spans="1:27" ht="14.4" x14ac:dyDescent="0.3">
      <c r="A47" s="80">
        <f t="shared" si="6"/>
        <v>46</v>
      </c>
      <c r="B47" s="222" t="s">
        <v>708</v>
      </c>
      <c r="C47" s="223">
        <v>4508894928</v>
      </c>
      <c r="D47" s="309" t="s">
        <v>463</v>
      </c>
      <c r="E47" s="223" t="s">
        <v>464</v>
      </c>
      <c r="F47" s="223" t="s">
        <v>800</v>
      </c>
      <c r="G47" s="223">
        <f>COUNTIF(Precificação!A:A,'Base de Dados'!D49)</f>
        <v>3</v>
      </c>
      <c r="H47" s="223" t="s">
        <v>801</v>
      </c>
      <c r="I47" s="224">
        <f>SUMIF(Precificação!A:A,D47,Precificação!F:F)</f>
        <v>2224</v>
      </c>
      <c r="J47" s="225">
        <v>84089.44</v>
      </c>
      <c r="K47" s="222"/>
      <c r="L47" s="222" t="s">
        <v>713</v>
      </c>
      <c r="M47" s="226">
        <v>0</v>
      </c>
      <c r="N47" s="226">
        <v>0</v>
      </c>
      <c r="O47" s="226">
        <v>0</v>
      </c>
      <c r="P47" s="226">
        <v>0</v>
      </c>
      <c r="Q47" s="226">
        <v>1537.1</v>
      </c>
      <c r="R47" s="226">
        <v>1300</v>
      </c>
      <c r="S47" s="228">
        <v>0</v>
      </c>
      <c r="T47" s="228">
        <v>0</v>
      </c>
      <c r="U47" s="226">
        <f t="shared" si="4"/>
        <v>2837.1</v>
      </c>
      <c r="V47" s="229"/>
      <c r="W47" s="229" t="s">
        <v>714</v>
      </c>
      <c r="X47" s="310" t="str">
        <f t="shared" si="5"/>
        <v>EM TRÂNSITO</v>
      </c>
      <c r="Y47" s="327">
        <f ca="1">Tabela2[[#This Row],[ESTIMATIVA CHEGADA]]-TODAY()</f>
        <v>5</v>
      </c>
      <c r="Z47" s="311">
        <v>46246</v>
      </c>
      <c r="AA47" s="312"/>
    </row>
    <row r="48" spans="1:27" ht="14.4" x14ac:dyDescent="0.3">
      <c r="A48" s="80">
        <f t="shared" si="6"/>
        <v>47</v>
      </c>
      <c r="B48" s="222" t="s">
        <v>708</v>
      </c>
      <c r="C48" s="223">
        <v>4508896119</v>
      </c>
      <c r="D48" s="309" t="s">
        <v>465</v>
      </c>
      <c r="E48" s="223" t="s">
        <v>802</v>
      </c>
      <c r="F48" s="223" t="s">
        <v>803</v>
      </c>
      <c r="G48" s="223">
        <f>COUNTIF(Precificação!A:A,'Base de Dados'!D50)</f>
        <v>11</v>
      </c>
      <c r="H48" s="223" t="s">
        <v>804</v>
      </c>
      <c r="I48" s="224">
        <f>SUMIF(Precificação!A:A,D48,Precificação!F:F)</f>
        <v>630</v>
      </c>
      <c r="J48" s="225">
        <v>30057.3</v>
      </c>
      <c r="K48" s="222"/>
      <c r="L48" s="222" t="s">
        <v>713</v>
      </c>
      <c r="M48" s="226">
        <v>0</v>
      </c>
      <c r="N48" s="226">
        <v>0</v>
      </c>
      <c r="O48" s="226">
        <v>0</v>
      </c>
      <c r="P48" s="226">
        <v>0</v>
      </c>
      <c r="Q48" s="226">
        <v>1537.1</v>
      </c>
      <c r="R48" s="226">
        <v>1300</v>
      </c>
      <c r="S48" s="228">
        <v>0</v>
      </c>
      <c r="T48" s="228">
        <v>0</v>
      </c>
      <c r="U48" s="226">
        <f t="shared" si="4"/>
        <v>2837.1</v>
      </c>
      <c r="V48" s="229"/>
      <c r="W48" s="229" t="s">
        <v>714</v>
      </c>
      <c r="X48" s="310" t="str">
        <f t="shared" si="5"/>
        <v>EM TRÂNSITO</v>
      </c>
      <c r="Y48" s="327">
        <f ca="1">Tabela2[[#This Row],[ESTIMATIVA CHEGADA]]-TODAY()</f>
        <v>27</v>
      </c>
      <c r="Z48" s="311">
        <v>46268</v>
      </c>
      <c r="AA48" s="312"/>
    </row>
    <row r="49" spans="1:27" ht="14.4" x14ac:dyDescent="0.3">
      <c r="A49" s="80">
        <f t="shared" si="6"/>
        <v>48</v>
      </c>
      <c r="B49" s="222" t="s">
        <v>708</v>
      </c>
      <c r="C49" s="223">
        <v>4508894942</v>
      </c>
      <c r="D49" s="309" t="s">
        <v>467</v>
      </c>
      <c r="E49" s="223" t="s">
        <v>805</v>
      </c>
      <c r="F49" s="223" t="s">
        <v>806</v>
      </c>
      <c r="G49" s="223">
        <f>COUNTIF(Precificação!A:A,'Base de Dados'!D51)</f>
        <v>19</v>
      </c>
      <c r="H49" s="223" t="s">
        <v>807</v>
      </c>
      <c r="I49" s="224">
        <f>SUMIF(Precificação!A:A,D49,Precificação!F:F)</f>
        <v>3196</v>
      </c>
      <c r="J49" s="225">
        <v>65328.76</v>
      </c>
      <c r="K49" s="222"/>
      <c r="L49" s="222" t="s">
        <v>713</v>
      </c>
      <c r="M49" s="226">
        <v>0</v>
      </c>
      <c r="N49" s="226">
        <v>0</v>
      </c>
      <c r="O49" s="226">
        <v>0</v>
      </c>
      <c r="P49" s="226">
        <v>0</v>
      </c>
      <c r="Q49" s="226">
        <v>1537.1</v>
      </c>
      <c r="R49" s="226">
        <v>1300</v>
      </c>
      <c r="S49" s="228">
        <v>0</v>
      </c>
      <c r="T49" s="228">
        <v>0</v>
      </c>
      <c r="U49" s="226">
        <f t="shared" si="4"/>
        <v>2837.1</v>
      </c>
      <c r="V49" s="229"/>
      <c r="W49" s="229" t="s">
        <v>714</v>
      </c>
      <c r="X49" s="310" t="str">
        <f t="shared" si="5"/>
        <v>EM TRÂNSITO</v>
      </c>
      <c r="Y49" s="327">
        <f ca="1">Tabela2[[#This Row],[ESTIMATIVA CHEGADA]]-TODAY()</f>
        <v>31</v>
      </c>
      <c r="Z49" s="311">
        <v>46272</v>
      </c>
      <c r="AA49" s="313">
        <v>46212</v>
      </c>
    </row>
    <row r="50" spans="1:27" ht="14.4" x14ac:dyDescent="0.3">
      <c r="A50" s="80">
        <f t="shared" si="6"/>
        <v>49</v>
      </c>
      <c r="B50" s="222" t="s">
        <v>708</v>
      </c>
      <c r="C50" s="223">
        <v>4508897826</v>
      </c>
      <c r="D50" s="309" t="s">
        <v>469</v>
      </c>
      <c r="E50" s="223" t="s">
        <v>808</v>
      </c>
      <c r="F50" s="223" t="s">
        <v>809</v>
      </c>
      <c r="G50" s="223">
        <f>COUNTIF(Precificação!A:A,'Base de Dados'!D53)</f>
        <v>0</v>
      </c>
      <c r="H50" s="223" t="s">
        <v>810</v>
      </c>
      <c r="I50" s="224">
        <f>SUMIF(Precificação!A:A,D50,Precificação!F:F)</f>
        <v>18900</v>
      </c>
      <c r="J50" s="225">
        <v>36991.32</v>
      </c>
      <c r="K50" s="222"/>
      <c r="L50" s="222" t="s">
        <v>713</v>
      </c>
      <c r="M50" s="226">
        <v>0</v>
      </c>
      <c r="N50" s="226">
        <v>0</v>
      </c>
      <c r="O50" s="226">
        <v>0</v>
      </c>
      <c r="P50" s="226">
        <v>0</v>
      </c>
      <c r="Q50" s="226">
        <v>1537.1</v>
      </c>
      <c r="R50" s="226">
        <v>1300</v>
      </c>
      <c r="S50" s="228">
        <v>0</v>
      </c>
      <c r="T50" s="228">
        <v>0</v>
      </c>
      <c r="U50" s="226">
        <f t="shared" si="4"/>
        <v>2837.1</v>
      </c>
      <c r="V50" s="229"/>
      <c r="W50" s="229" t="s">
        <v>714</v>
      </c>
      <c r="X50" s="310" t="str">
        <f t="shared" si="5"/>
        <v>EM TRÂNSITO</v>
      </c>
      <c r="Y50" s="327">
        <f ca="1">Tabela2[[#This Row],[ESTIMATIVA CHEGADA]]-TODAY()</f>
        <v>46</v>
      </c>
      <c r="Z50" s="311">
        <v>46287</v>
      </c>
      <c r="AA50" s="312"/>
    </row>
    <row r="51" spans="1:27" ht="14.4" x14ac:dyDescent="0.3">
      <c r="A51" s="80">
        <f t="shared" si="6"/>
        <v>50</v>
      </c>
      <c r="B51" s="222" t="s">
        <v>708</v>
      </c>
      <c r="C51" s="223">
        <v>4508896055</v>
      </c>
      <c r="D51" s="309" t="s">
        <v>470</v>
      </c>
      <c r="E51" s="223"/>
      <c r="F51" s="223"/>
      <c r="G51" s="223">
        <f>COUNTIF(Precificação!A:A,'Base de Dados'!D54)</f>
        <v>1</v>
      </c>
      <c r="H51" s="223" t="s">
        <v>811</v>
      </c>
      <c r="I51" s="224">
        <f>SUMIF(Precificação!A:A,D51,Precificação!F:F)</f>
        <v>8172</v>
      </c>
      <c r="J51" s="225">
        <v>61192.08</v>
      </c>
      <c r="K51" s="227"/>
      <c r="L51" s="222" t="s">
        <v>713</v>
      </c>
      <c r="M51" s="226">
        <v>0</v>
      </c>
      <c r="N51" s="226">
        <v>0</v>
      </c>
      <c r="O51" s="226">
        <v>0</v>
      </c>
      <c r="P51" s="226">
        <v>0</v>
      </c>
      <c r="Q51" s="226">
        <v>1537.1</v>
      </c>
      <c r="R51" s="226">
        <v>1300</v>
      </c>
      <c r="S51" s="228">
        <v>0</v>
      </c>
      <c r="T51" s="228">
        <v>0</v>
      </c>
      <c r="U51" s="226">
        <f t="shared" si="4"/>
        <v>2837.1</v>
      </c>
      <c r="V51" s="229"/>
      <c r="W51" s="229" t="s">
        <v>714</v>
      </c>
      <c r="X51" s="310" t="str">
        <f t="shared" si="5"/>
        <v>EM PRODUÇÃO</v>
      </c>
      <c r="Y51" s="327">
        <f ca="1">Tabela2[[#This Row],[ESTIMATIVA CHEGADA]]-TODAY()</f>
        <v>59</v>
      </c>
      <c r="Z51" s="311">
        <f>Tabela2[[#This Row],[PRONTIDÃO]]+60</f>
        <v>46300</v>
      </c>
      <c r="AA51" s="313">
        <v>46240</v>
      </c>
    </row>
    <row r="52" spans="1:27" ht="14.4" x14ac:dyDescent="0.3">
      <c r="A52" s="80">
        <f>A51+1</f>
        <v>51</v>
      </c>
      <c r="B52" s="222" t="s">
        <v>708</v>
      </c>
      <c r="C52" s="223">
        <v>4508918015</v>
      </c>
      <c r="D52" s="309" t="s">
        <v>474</v>
      </c>
      <c r="E52" s="223"/>
      <c r="F52" s="223"/>
      <c r="G52" s="233">
        <f>COUNTIF(Precificação!A:A,'Base de Dados'!D52)</f>
        <v>4</v>
      </c>
      <c r="H52" s="223" t="s">
        <v>747</v>
      </c>
      <c r="I52" s="224">
        <f>SUMIF(Precificação!A:A,D52,Precificação!F:F)</f>
        <v>7914</v>
      </c>
      <c r="J52" s="225">
        <v>32007.599999999999</v>
      </c>
      <c r="K52" s="227"/>
      <c r="L52" s="222" t="s">
        <v>713</v>
      </c>
      <c r="M52" s="226">
        <v>0</v>
      </c>
      <c r="N52" s="226">
        <v>0</v>
      </c>
      <c r="O52" s="226">
        <v>0</v>
      </c>
      <c r="P52" s="226">
        <v>0</v>
      </c>
      <c r="Q52" s="226">
        <v>1537.1</v>
      </c>
      <c r="R52" s="226">
        <v>1300</v>
      </c>
      <c r="S52" s="228">
        <v>0</v>
      </c>
      <c r="T52" s="228">
        <v>0</v>
      </c>
      <c r="U52" s="226">
        <f t="shared" si="4"/>
        <v>2837.1</v>
      </c>
      <c r="V52" s="229"/>
      <c r="W52" s="229" t="e">
        <f>_xlfn.XLOOKUP(Tabela2[[#This Row],[INVOICE]],#REF!,#REF!)</f>
        <v>#REF!</v>
      </c>
      <c r="X52" s="315" t="str">
        <f>IF(K52&lt;&gt;"", "CONCLUÍDO", IF(E52&lt;&gt;"", "EM TRÂNSITO", "EM PRODUÇÃO"))</f>
        <v>EM PRODUÇÃO</v>
      </c>
      <c r="Y52" s="327">
        <f ca="1">Tabela2[[#This Row],[ESTIMATIVA CHEGADA]]-TODAY()</f>
        <v>112</v>
      </c>
      <c r="Z52" s="311">
        <f>Tabela2[[#This Row],[PRONTIDÃO]]+66</f>
        <v>46353</v>
      </c>
      <c r="AA52" s="313">
        <v>46287</v>
      </c>
    </row>
    <row r="53" spans="1:27" ht="14.4" x14ac:dyDescent="0.3">
      <c r="A53" s="80">
        <f>A51+1</f>
        <v>51</v>
      </c>
      <c r="B53" s="222" t="s">
        <v>708</v>
      </c>
      <c r="C53" s="223">
        <v>4508896073</v>
      </c>
      <c r="D53" s="309" t="s">
        <v>472</v>
      </c>
      <c r="E53" s="223"/>
      <c r="F53" s="223"/>
      <c r="G53" s="223">
        <f>COUNTIF(Precificação!A:A,'Base de Dados'!D55)</f>
        <v>1</v>
      </c>
      <c r="H53" s="223" t="s">
        <v>747</v>
      </c>
      <c r="I53" s="224">
        <f>SUMIF(Precificação!A:A,D53,Precificação!F:F)</f>
        <v>0</v>
      </c>
      <c r="J53" s="225">
        <v>95077.960000000021</v>
      </c>
      <c r="K53" s="222"/>
      <c r="L53" s="222" t="s">
        <v>713</v>
      </c>
      <c r="M53" s="226">
        <v>0</v>
      </c>
      <c r="N53" s="226">
        <v>0</v>
      </c>
      <c r="O53" s="226">
        <v>0</v>
      </c>
      <c r="P53" s="226">
        <v>0</v>
      </c>
      <c r="Q53" s="226">
        <v>1537.1</v>
      </c>
      <c r="R53" s="226">
        <v>1300</v>
      </c>
      <c r="S53" s="228">
        <v>0</v>
      </c>
      <c r="T53" s="228">
        <v>0</v>
      </c>
      <c r="U53" s="226">
        <f t="shared" si="4"/>
        <v>2837.1</v>
      </c>
      <c r="V53" s="229"/>
      <c r="W53" s="229" t="s">
        <v>714</v>
      </c>
      <c r="X53" s="310" t="str">
        <f t="shared" si="5"/>
        <v>EM PRODUÇÃO</v>
      </c>
      <c r="Y53" s="327">
        <f ca="1">Tabela2[[#This Row],[ESTIMATIVA CHEGADA]]-TODAY()</f>
        <v>49</v>
      </c>
      <c r="Z53" s="311">
        <v>46290</v>
      </c>
      <c r="AA53" s="312"/>
    </row>
    <row r="54" spans="1:27" ht="14.4" x14ac:dyDescent="0.3">
      <c r="A54" s="80">
        <f t="shared" si="6"/>
        <v>52</v>
      </c>
      <c r="B54" s="222" t="s">
        <v>708</v>
      </c>
      <c r="C54" s="223">
        <v>4508896020</v>
      </c>
      <c r="D54" s="309" t="s">
        <v>476</v>
      </c>
      <c r="E54" s="223" t="s">
        <v>813</v>
      </c>
      <c r="F54" s="223" t="s">
        <v>1644</v>
      </c>
      <c r="G54" s="223">
        <f>COUNTIF(Precificação!A:A,'Base de Dados'!D56)</f>
        <v>1</v>
      </c>
      <c r="H54" s="223" t="s">
        <v>814</v>
      </c>
      <c r="I54" s="224">
        <f>SUMIF(Precificação!A:A,D54,Precificação!F:F)</f>
        <v>2112</v>
      </c>
      <c r="J54" s="225">
        <v>37593.599999999999</v>
      </c>
      <c r="K54" s="222"/>
      <c r="L54" s="222" t="s">
        <v>713</v>
      </c>
      <c r="M54" s="226">
        <v>0</v>
      </c>
      <c r="N54" s="226">
        <v>0</v>
      </c>
      <c r="O54" s="226">
        <v>0</v>
      </c>
      <c r="P54" s="226">
        <v>0</v>
      </c>
      <c r="Q54" s="226">
        <v>1537.1</v>
      </c>
      <c r="R54" s="226">
        <v>1300</v>
      </c>
      <c r="S54" s="228">
        <v>0</v>
      </c>
      <c r="T54" s="228">
        <v>0</v>
      </c>
      <c r="U54" s="226">
        <f t="shared" si="4"/>
        <v>2837.1</v>
      </c>
      <c r="V54" s="229"/>
      <c r="W54" s="229" t="s">
        <v>714</v>
      </c>
      <c r="X54" s="310" t="str">
        <f t="shared" si="5"/>
        <v>EM TRÂNSITO</v>
      </c>
      <c r="Y54" s="327">
        <f ca="1">Tabela2[[#This Row],[ESTIMATIVA CHEGADA]]-TODAY()</f>
        <v>51</v>
      </c>
      <c r="Z54" s="311">
        <f>Tabela2[[#This Row],[PRONTIDÃO]]+69</f>
        <v>46292</v>
      </c>
      <c r="AA54" s="313">
        <v>46223</v>
      </c>
    </row>
    <row r="55" spans="1:27" ht="14.4" x14ac:dyDescent="0.3">
      <c r="A55" s="80">
        <f t="shared" si="6"/>
        <v>53</v>
      </c>
      <c r="B55" s="222" t="s">
        <v>708</v>
      </c>
      <c r="C55" s="223">
        <v>4508896009</v>
      </c>
      <c r="D55" s="309" t="s">
        <v>477</v>
      </c>
      <c r="E55" s="223"/>
      <c r="F55" s="223"/>
      <c r="G55" s="223">
        <f>COUNTIF(Precificação!A:A,'Base de Dados'!D57)</f>
        <v>3</v>
      </c>
      <c r="H55" s="223" t="s">
        <v>815</v>
      </c>
      <c r="I55" s="224">
        <f>SUMIF(Precificação!A:A,D55,Precificação!F:F)</f>
        <v>2224</v>
      </c>
      <c r="J55" s="225">
        <v>84089.44</v>
      </c>
      <c r="K55" s="222"/>
      <c r="L55" s="222" t="s">
        <v>713</v>
      </c>
      <c r="M55" s="226">
        <v>0</v>
      </c>
      <c r="N55" s="226">
        <v>0</v>
      </c>
      <c r="O55" s="226">
        <v>0</v>
      </c>
      <c r="P55" s="226">
        <v>0</v>
      </c>
      <c r="Q55" s="226">
        <v>1537.1</v>
      </c>
      <c r="R55" s="226">
        <v>1300</v>
      </c>
      <c r="S55" s="228">
        <v>0</v>
      </c>
      <c r="T55" s="228">
        <v>0</v>
      </c>
      <c r="U55" s="226">
        <f t="shared" si="4"/>
        <v>2837.1</v>
      </c>
      <c r="V55" s="229"/>
      <c r="W55" s="229" t="s">
        <v>714</v>
      </c>
      <c r="X55" s="310" t="str">
        <f t="shared" si="5"/>
        <v>EM PRODUÇÃO</v>
      </c>
      <c r="Y55" s="327">
        <f ca="1">Tabela2[[#This Row],[ESTIMATIVA CHEGADA]]-TODAY()</f>
        <v>73</v>
      </c>
      <c r="Z55" s="313">
        <f>Tabela2[[#This Row],[PRONTIDÃO]]+60</f>
        <v>46314</v>
      </c>
      <c r="AA55" s="313">
        <v>46254</v>
      </c>
    </row>
    <row r="56" spans="1:27" ht="14.4" x14ac:dyDescent="0.3">
      <c r="A56" s="80">
        <f t="shared" si="6"/>
        <v>54</v>
      </c>
      <c r="B56" s="222" t="s">
        <v>708</v>
      </c>
      <c r="C56" s="223">
        <v>4508896000</v>
      </c>
      <c r="D56" s="309" t="s">
        <v>478</v>
      </c>
      <c r="E56" s="223" t="s">
        <v>816</v>
      </c>
      <c r="F56" s="223"/>
      <c r="G56" s="223">
        <f>COUNTIF(Precificação!A:A,'Base de Dados'!D58)</f>
        <v>4</v>
      </c>
      <c r="H56" s="223" t="s">
        <v>817</v>
      </c>
      <c r="I56" s="224">
        <f>SUMIF(Precificação!A:A,D56,Precificação!F:F)</f>
        <v>1160</v>
      </c>
      <c r="J56" s="225">
        <v>59693.599999999999</v>
      </c>
      <c r="K56" s="222"/>
      <c r="L56" s="222" t="s">
        <v>713</v>
      </c>
      <c r="M56" s="226">
        <v>0</v>
      </c>
      <c r="N56" s="226">
        <v>0</v>
      </c>
      <c r="O56" s="226">
        <v>0</v>
      </c>
      <c r="P56" s="226">
        <v>0</v>
      </c>
      <c r="Q56" s="226">
        <v>1537.1</v>
      </c>
      <c r="R56" s="226">
        <v>1300</v>
      </c>
      <c r="S56" s="228">
        <v>0</v>
      </c>
      <c r="T56" s="228">
        <v>0</v>
      </c>
      <c r="U56" s="226">
        <f t="shared" si="4"/>
        <v>2837.1</v>
      </c>
      <c r="V56" s="229"/>
      <c r="W56" s="229" t="s">
        <v>714</v>
      </c>
      <c r="X56" s="310" t="str">
        <f t="shared" si="5"/>
        <v>EM TRÂNSITO</v>
      </c>
      <c r="Y56" s="327">
        <f ca="1">Tabela2[[#This Row],[ESTIMATIVA CHEGADA]]-TODAY()</f>
        <v>56</v>
      </c>
      <c r="Z56" s="311">
        <f>Tabela2[[#This Row],[PRONTIDÃO]]+60</f>
        <v>46297</v>
      </c>
      <c r="AA56" s="313">
        <v>46237</v>
      </c>
    </row>
    <row r="57" spans="1:27" ht="14.4" x14ac:dyDescent="0.3">
      <c r="A57" s="80">
        <f t="shared" si="6"/>
        <v>55</v>
      </c>
      <c r="B57" s="222" t="s">
        <v>708</v>
      </c>
      <c r="C57" s="223">
        <v>4508895990</v>
      </c>
      <c r="D57" s="309" t="s">
        <v>480</v>
      </c>
      <c r="E57" s="223"/>
      <c r="F57" s="223"/>
      <c r="G57" s="223">
        <f>COUNTIF(Precificação!A:A,'Base de Dados'!D59)</f>
        <v>5</v>
      </c>
      <c r="H57" s="223" t="s">
        <v>818</v>
      </c>
      <c r="I57" s="224">
        <f>SUMIF(Precificação!A:A,D57,Precificação!F:F)</f>
        <v>8036</v>
      </c>
      <c r="J57" s="225">
        <v>98682.559999999998</v>
      </c>
      <c r="K57" s="222"/>
      <c r="L57" s="222" t="s">
        <v>713</v>
      </c>
      <c r="M57" s="226">
        <v>0</v>
      </c>
      <c r="N57" s="226">
        <v>0</v>
      </c>
      <c r="O57" s="226">
        <v>0</v>
      </c>
      <c r="P57" s="226">
        <v>0</v>
      </c>
      <c r="Q57" s="226">
        <v>1537.1</v>
      </c>
      <c r="R57" s="226">
        <v>1300</v>
      </c>
      <c r="S57" s="228">
        <v>0</v>
      </c>
      <c r="T57" s="228">
        <v>0</v>
      </c>
      <c r="U57" s="226">
        <f t="shared" si="4"/>
        <v>2837.1</v>
      </c>
      <c r="V57" s="229"/>
      <c r="W57" s="229" t="s">
        <v>714</v>
      </c>
      <c r="X57" s="310" t="str">
        <f t="shared" si="5"/>
        <v>EM PRODUÇÃO</v>
      </c>
      <c r="Y57" s="327">
        <f ca="1">Tabela2[[#This Row],[ESTIMATIVA CHEGADA]]-TODAY()</f>
        <v>59</v>
      </c>
      <c r="Z57" s="311">
        <f>Tabela2[[#This Row],[PRONTIDÃO]]+60</f>
        <v>46300</v>
      </c>
      <c r="AA57" s="313">
        <v>46240</v>
      </c>
    </row>
    <row r="58" spans="1:27" ht="14.4" x14ac:dyDescent="0.3">
      <c r="A58" s="80">
        <f t="shared" si="6"/>
        <v>56</v>
      </c>
      <c r="B58" s="222" t="s">
        <v>708</v>
      </c>
      <c r="C58" s="223">
        <v>4508856527</v>
      </c>
      <c r="D58" s="309" t="s">
        <v>482</v>
      </c>
      <c r="E58" s="223"/>
      <c r="F58" s="223"/>
      <c r="G58" s="223">
        <f>COUNTIF(Precificação!A:A,'Base de Dados'!D42)</f>
        <v>1</v>
      </c>
      <c r="H58" s="223" t="s">
        <v>819</v>
      </c>
      <c r="I58" s="224">
        <f>SUMIF(Precificação!A:A,D58,Precificação!F:F)</f>
        <v>9600</v>
      </c>
      <c r="J58" s="225">
        <v>74880</v>
      </c>
      <c r="K58" s="222"/>
      <c r="L58" s="222" t="s">
        <v>713</v>
      </c>
      <c r="M58" s="226">
        <v>0</v>
      </c>
      <c r="N58" s="226">
        <v>0</v>
      </c>
      <c r="O58" s="226">
        <v>0</v>
      </c>
      <c r="P58" s="226">
        <v>0</v>
      </c>
      <c r="Q58" s="226">
        <v>1537.1</v>
      </c>
      <c r="R58" s="226">
        <v>1300</v>
      </c>
      <c r="S58" s="228">
        <v>0</v>
      </c>
      <c r="T58" s="228">
        <v>0</v>
      </c>
      <c r="U58" s="226">
        <f t="shared" si="4"/>
        <v>2837.1</v>
      </c>
      <c r="V58" s="229"/>
      <c r="W58" s="229" t="s">
        <v>714</v>
      </c>
      <c r="X58" s="310" t="str">
        <f t="shared" si="5"/>
        <v>EM PRODUÇÃO</v>
      </c>
      <c r="Y58" s="327">
        <f ca="1">Tabela2[[#This Row],[ESTIMATIVA CHEGADA]]-TODAY()</f>
        <v>80</v>
      </c>
      <c r="Z58" s="311">
        <f>Tabela2[[#This Row],[PRONTIDÃO]]+60</f>
        <v>46321</v>
      </c>
      <c r="AA58" s="313">
        <v>46261</v>
      </c>
    </row>
    <row r="59" spans="1:27" ht="14.4" x14ac:dyDescent="0.3">
      <c r="A59" s="80">
        <f t="shared" si="6"/>
        <v>57</v>
      </c>
      <c r="B59" s="222" t="s">
        <v>708</v>
      </c>
      <c r="C59" s="223">
        <v>4508856516</v>
      </c>
      <c r="D59" s="309" t="s">
        <v>484</v>
      </c>
      <c r="E59" s="223"/>
      <c r="F59" s="223"/>
      <c r="G59" s="223">
        <f>COUNTIF(Precificação!A:A,'Base de Dados'!D41)</f>
        <v>7</v>
      </c>
      <c r="H59" s="223" t="s">
        <v>820</v>
      </c>
      <c r="I59" s="224">
        <f>SUMIF(Precificação!A:A,D59,Precificação!F:F)</f>
        <v>12520</v>
      </c>
      <c r="J59" s="225">
        <v>85678</v>
      </c>
      <c r="K59" s="222"/>
      <c r="L59" s="222" t="s">
        <v>713</v>
      </c>
      <c r="M59" s="226">
        <v>0</v>
      </c>
      <c r="N59" s="226">
        <v>0</v>
      </c>
      <c r="O59" s="226">
        <v>0</v>
      </c>
      <c r="P59" s="226">
        <v>0</v>
      </c>
      <c r="Q59" s="226">
        <v>1537.1</v>
      </c>
      <c r="R59" s="226">
        <v>1300</v>
      </c>
      <c r="S59" s="228">
        <v>0</v>
      </c>
      <c r="T59" s="228">
        <v>0</v>
      </c>
      <c r="U59" s="226">
        <f t="shared" si="4"/>
        <v>2837.1</v>
      </c>
      <c r="V59" s="229"/>
      <c r="W59" s="229" t="s">
        <v>714</v>
      </c>
      <c r="X59" s="310" t="str">
        <f t="shared" si="5"/>
        <v>EM PRODUÇÃO</v>
      </c>
      <c r="Y59" s="327">
        <f ca="1">Tabela2[[#This Row],[ESTIMATIVA CHEGADA]]-TODAY()</f>
        <v>80</v>
      </c>
      <c r="Z59" s="311">
        <f>Tabela2[[#This Row],[PRONTIDÃO]]+60</f>
        <v>46321</v>
      </c>
      <c r="AA59" s="313">
        <v>46261</v>
      </c>
    </row>
    <row r="60" spans="1:27" ht="14.4" x14ac:dyDescent="0.3">
      <c r="A60" s="80">
        <f t="shared" si="6"/>
        <v>58</v>
      </c>
      <c r="B60" s="232" t="s">
        <v>708</v>
      </c>
      <c r="C60" s="233">
        <v>4508890168</v>
      </c>
      <c r="D60" s="316" t="s">
        <v>486</v>
      </c>
      <c r="E60" s="233"/>
      <c r="F60" s="233"/>
      <c r="G60" s="233">
        <f>COUNTIF(Precificação!A:A,'Base de Dados'!D60)</f>
        <v>5</v>
      </c>
      <c r="H60" s="233" t="s">
        <v>821</v>
      </c>
      <c r="I60" s="224">
        <f>SUMIF(Precificação!A:A,D60,Precificação!F:F)</f>
        <v>21904</v>
      </c>
      <c r="J60" s="234">
        <v>74301.16</v>
      </c>
      <c r="K60" s="222"/>
      <c r="L60" s="232" t="s">
        <v>713</v>
      </c>
      <c r="M60" s="226">
        <v>0</v>
      </c>
      <c r="N60" s="226">
        <v>0</v>
      </c>
      <c r="O60" s="226">
        <v>0</v>
      </c>
      <c r="P60" s="226">
        <v>0</v>
      </c>
      <c r="Q60" s="226">
        <v>1537.1</v>
      </c>
      <c r="R60" s="226">
        <v>1300</v>
      </c>
      <c r="S60" s="228">
        <v>0</v>
      </c>
      <c r="T60" s="228">
        <v>0</v>
      </c>
      <c r="U60" s="226">
        <f t="shared" si="4"/>
        <v>2837.1</v>
      </c>
      <c r="V60" s="229"/>
      <c r="W60" s="229" t="s">
        <v>714</v>
      </c>
      <c r="X60" s="310" t="str">
        <f t="shared" si="5"/>
        <v>EM PRODUÇÃO</v>
      </c>
      <c r="Y60" s="327">
        <f ca="1">Tabela2[[#This Row],[ESTIMATIVA CHEGADA]]-TODAY()</f>
        <v>103</v>
      </c>
      <c r="Z60" s="311">
        <f>Tabela2[[#This Row],[PRONTIDÃO]]+60</f>
        <v>46344</v>
      </c>
      <c r="AA60" s="313">
        <v>46284</v>
      </c>
    </row>
    <row r="61" spans="1:27" ht="14.4" x14ac:dyDescent="0.3">
      <c r="A61" s="294">
        <f t="shared" si="6"/>
        <v>59</v>
      </c>
      <c r="B61" s="232" t="s">
        <v>822</v>
      </c>
      <c r="C61" s="223" t="s">
        <v>772</v>
      </c>
      <c r="D61" s="316" t="s">
        <v>823</v>
      </c>
      <c r="E61" s="233" t="s">
        <v>824</v>
      </c>
      <c r="F61" s="233" t="s">
        <v>825</v>
      </c>
      <c r="G61" s="233">
        <f>COUNTIF(Precificação!A:A,'Base de Dados'!D61)</f>
        <v>1</v>
      </c>
      <c r="H61" s="233" t="s">
        <v>826</v>
      </c>
      <c r="I61" s="224">
        <f>SUMIF(Precificação!A:A,D61,Precificação!F:F)</f>
        <v>1400</v>
      </c>
      <c r="J61" s="234">
        <v>42700</v>
      </c>
      <c r="K61" s="232"/>
      <c r="L61" s="232" t="s">
        <v>713</v>
      </c>
      <c r="M61" s="226">
        <v>0</v>
      </c>
      <c r="N61" s="226">
        <v>0</v>
      </c>
      <c r="O61" s="226">
        <v>0</v>
      </c>
      <c r="P61" s="226">
        <v>0</v>
      </c>
      <c r="Q61" s="226">
        <v>1537.1</v>
      </c>
      <c r="R61" s="226">
        <v>1300</v>
      </c>
      <c r="S61" s="228">
        <v>0</v>
      </c>
      <c r="T61" s="228">
        <v>0</v>
      </c>
      <c r="U61" s="226">
        <f t="shared" si="4"/>
        <v>2837.1</v>
      </c>
      <c r="V61" s="229"/>
      <c r="W61" s="229" t="s">
        <v>714</v>
      </c>
      <c r="X61" s="315" t="str">
        <f t="shared" si="5"/>
        <v>EM TRÂNSITO</v>
      </c>
      <c r="Y61" s="327">
        <f ca="1">Tabela2[[#This Row],[ESTIMATIVA CHEGADA]]-TODAY()</f>
        <v>22.125</v>
      </c>
      <c r="Z61" s="311">
        <f>_xlfn.XLOOKUP(Tabela2[[#This Row],[INVOICE]],[1]Processes!$AH:$AH,[1]Processes!$BA:$BA)</f>
        <v>46263.125</v>
      </c>
      <c r="AA61" s="312"/>
    </row>
    <row r="62" spans="1:27" ht="14.4" x14ac:dyDescent="0.3">
      <c r="A62" s="80">
        <f t="shared" si="6"/>
        <v>60</v>
      </c>
      <c r="B62" s="232" t="s">
        <v>822</v>
      </c>
      <c r="C62" s="223" t="s">
        <v>772</v>
      </c>
      <c r="D62" s="309" t="s">
        <v>827</v>
      </c>
      <c r="E62" s="233" t="s">
        <v>824</v>
      </c>
      <c r="F62" s="233" t="s">
        <v>828</v>
      </c>
      <c r="G62" s="223">
        <f>COUNTIF(Precificação!A:A,'Base de Dados'!D62)</f>
        <v>1</v>
      </c>
      <c r="H62" s="223" t="s">
        <v>826</v>
      </c>
      <c r="I62" s="224">
        <f>SUMIF(Precificação!A:A,D62,Precificação!F:F)</f>
        <v>1427</v>
      </c>
      <c r="J62" s="225">
        <v>43523.5</v>
      </c>
      <c r="K62" s="222"/>
      <c r="L62" s="232" t="s">
        <v>713</v>
      </c>
      <c r="M62" s="226">
        <v>0</v>
      </c>
      <c r="N62" s="226">
        <v>0</v>
      </c>
      <c r="O62" s="226">
        <v>0</v>
      </c>
      <c r="P62" s="226">
        <v>0</v>
      </c>
      <c r="Q62" s="226">
        <v>1537.1</v>
      </c>
      <c r="R62" s="226">
        <v>1300</v>
      </c>
      <c r="S62" s="228">
        <v>0</v>
      </c>
      <c r="T62" s="228">
        <v>0</v>
      </c>
      <c r="U62" s="226">
        <f t="shared" si="4"/>
        <v>2837.1</v>
      </c>
      <c r="V62" s="229"/>
      <c r="W62" s="229" t="s">
        <v>714</v>
      </c>
      <c r="X62" s="310" t="str">
        <f t="shared" si="5"/>
        <v>EM TRÂNSITO</v>
      </c>
      <c r="Y62" s="327">
        <f ca="1">Tabela2[[#This Row],[ESTIMATIVA CHEGADA]]-TODAY()</f>
        <v>22.125</v>
      </c>
      <c r="Z62" s="311">
        <f>_xlfn.XLOOKUP(Tabela2[[#This Row],[INVOICE]],[1]Processes!$AH:$AH,[1]Processes!$BA:$BA)</f>
        <v>46263.125</v>
      </c>
      <c r="AA62" s="312"/>
    </row>
    <row r="63" spans="1:27" ht="14.4" x14ac:dyDescent="0.3">
      <c r="A63" s="80">
        <f t="shared" si="6"/>
        <v>61</v>
      </c>
      <c r="B63" s="232" t="s">
        <v>822</v>
      </c>
      <c r="C63" s="223" t="s">
        <v>772</v>
      </c>
      <c r="D63" s="309" t="s">
        <v>829</v>
      </c>
      <c r="E63" s="233" t="s">
        <v>830</v>
      </c>
      <c r="F63" s="308" t="s">
        <v>831</v>
      </c>
      <c r="G63" s="223">
        <f>COUNTIF(Precificação!A:A,'Base de Dados'!D63)</f>
        <v>3</v>
      </c>
      <c r="H63" s="223" t="s">
        <v>832</v>
      </c>
      <c r="I63" s="224">
        <f>SUMIF(Precificação!A:A,D63,Precificação!F:F)</f>
        <v>607</v>
      </c>
      <c r="J63" s="225">
        <v>47455</v>
      </c>
      <c r="K63" s="222"/>
      <c r="L63" s="232" t="s">
        <v>713</v>
      </c>
      <c r="M63" s="226">
        <v>0</v>
      </c>
      <c r="N63" s="226">
        <v>0</v>
      </c>
      <c r="O63" s="226">
        <v>0</v>
      </c>
      <c r="P63" s="226">
        <v>0</v>
      </c>
      <c r="Q63" s="226">
        <v>1537.1</v>
      </c>
      <c r="R63" s="226">
        <v>1300</v>
      </c>
      <c r="S63" s="228">
        <v>0</v>
      </c>
      <c r="T63" s="228">
        <v>0</v>
      </c>
      <c r="U63" s="226">
        <f t="shared" si="4"/>
        <v>2837.1</v>
      </c>
      <c r="V63" s="229"/>
      <c r="W63" s="229" t="s">
        <v>714</v>
      </c>
      <c r="X63" s="310" t="str">
        <f t="shared" si="5"/>
        <v>EM TRÂNSITO</v>
      </c>
      <c r="Y63" s="327">
        <f ca="1">Tabela2[[#This Row],[ESTIMATIVA CHEGADA]]-TODAY()</f>
        <v>-1.875</v>
      </c>
      <c r="Z63" s="311">
        <f>_xlfn.XLOOKUP(Tabela2[[#This Row],[INVOICE]],[1]Processes!$AH:$AH,[1]Processes!$BA:$BA)</f>
        <v>46239.125</v>
      </c>
      <c r="AA63" s="312"/>
    </row>
    <row r="64" spans="1:27" ht="14.4" x14ac:dyDescent="0.3">
      <c r="A64" s="80">
        <f t="shared" si="6"/>
        <v>62</v>
      </c>
      <c r="B64" s="232" t="s">
        <v>822</v>
      </c>
      <c r="C64" s="223" t="s">
        <v>772</v>
      </c>
      <c r="D64" s="309" t="s">
        <v>833</v>
      </c>
      <c r="E64" s="233" t="s">
        <v>834</v>
      </c>
      <c r="F64" s="308" t="s">
        <v>835</v>
      </c>
      <c r="G64" s="223">
        <f>COUNTIF(Precificação!A:A,'Base de Dados'!D64)</f>
        <v>3</v>
      </c>
      <c r="H64" s="223" t="s">
        <v>836</v>
      </c>
      <c r="I64" s="224">
        <f>SUMIF(Precificação!A:A,D64,Precificação!F:F)</f>
        <v>1266</v>
      </c>
      <c r="J64" s="225">
        <v>94581</v>
      </c>
      <c r="K64" s="222"/>
      <c r="L64" s="232" t="s">
        <v>713</v>
      </c>
      <c r="M64" s="226">
        <v>0</v>
      </c>
      <c r="N64" s="226">
        <v>0</v>
      </c>
      <c r="O64" s="226">
        <v>0</v>
      </c>
      <c r="P64" s="226">
        <v>0</v>
      </c>
      <c r="Q64" s="226">
        <v>1537.1</v>
      </c>
      <c r="R64" s="226">
        <v>1300</v>
      </c>
      <c r="S64" s="228">
        <v>0</v>
      </c>
      <c r="T64" s="228">
        <v>0</v>
      </c>
      <c r="U64" s="226">
        <f t="shared" si="4"/>
        <v>2837.1</v>
      </c>
      <c r="V64" s="229"/>
      <c r="W64" s="229" t="s">
        <v>714</v>
      </c>
      <c r="X64" s="310" t="str">
        <f t="shared" si="5"/>
        <v>EM TRÂNSITO</v>
      </c>
      <c r="Y64" s="327">
        <f ca="1">Tabela2[[#This Row],[ESTIMATIVA CHEGADA]]-TODAY()</f>
        <v>5.125</v>
      </c>
      <c r="Z64" s="311">
        <f>_xlfn.XLOOKUP(Tabela2[[#This Row],[INVOICE]],[1]Processes!$AH:$AH,[1]Processes!$BA:$BA)</f>
        <v>46246.125</v>
      </c>
      <c r="AA64" s="312"/>
    </row>
    <row r="65" spans="1:27" ht="14.4" x14ac:dyDescent="0.3">
      <c r="A65" s="80">
        <f t="shared" si="6"/>
        <v>63</v>
      </c>
      <c r="B65" s="232" t="s">
        <v>822</v>
      </c>
      <c r="C65" s="223" t="s">
        <v>772</v>
      </c>
      <c r="D65" s="309" t="s">
        <v>837</v>
      </c>
      <c r="E65" s="233" t="s">
        <v>838</v>
      </c>
      <c r="F65" s="233"/>
      <c r="G65" s="223">
        <f>COUNTIF(Precificação!A:A,'Base de Dados'!D65)</f>
        <v>1</v>
      </c>
      <c r="H65" s="223" t="s">
        <v>839</v>
      </c>
      <c r="I65" s="224">
        <f>SUMIF(Precificação!A:A,D65,Precificação!F:F)</f>
        <v>500</v>
      </c>
      <c r="J65" s="225">
        <v>37950</v>
      </c>
      <c r="K65" s="222"/>
      <c r="L65" s="232" t="s">
        <v>713</v>
      </c>
      <c r="M65" s="226">
        <v>0</v>
      </c>
      <c r="N65" s="226">
        <v>0</v>
      </c>
      <c r="O65" s="226">
        <v>0</v>
      </c>
      <c r="P65" s="226">
        <v>0</v>
      </c>
      <c r="Q65" s="226">
        <v>1537.1</v>
      </c>
      <c r="R65" s="226">
        <v>1300</v>
      </c>
      <c r="S65" s="228">
        <v>0</v>
      </c>
      <c r="T65" s="228">
        <v>0</v>
      </c>
      <c r="U65" s="226">
        <f t="shared" si="4"/>
        <v>2837.1</v>
      </c>
      <c r="V65" s="229"/>
      <c r="W65" s="229" t="s">
        <v>714</v>
      </c>
      <c r="X65" s="310" t="str">
        <f t="shared" si="5"/>
        <v>EM PRODUÇÃO</v>
      </c>
      <c r="Y65" s="327"/>
      <c r="Z65" s="311" t="str">
        <f>_xlfn.XLOOKUP(Tabela2[[#This Row],[INVOICE]],[1]Processes!$AH:$AH,[1]Processes!$BA:$BA)</f>
        <v/>
      </c>
      <c r="AA65" s="312"/>
    </row>
    <row r="66" spans="1:27" ht="14.4" x14ac:dyDescent="0.3">
      <c r="A66" s="80">
        <f t="shared" si="6"/>
        <v>64</v>
      </c>
      <c r="B66" s="232" t="s">
        <v>822</v>
      </c>
      <c r="C66" s="223" t="s">
        <v>772</v>
      </c>
      <c r="D66" s="309" t="s">
        <v>840</v>
      </c>
      <c r="E66" s="233" t="s">
        <v>841</v>
      </c>
      <c r="F66" s="233" t="s">
        <v>842</v>
      </c>
      <c r="G66" s="223">
        <f>COUNTIF(Precificação!A:A,'Base de Dados'!D66)</f>
        <v>3</v>
      </c>
      <c r="H66" s="223" t="s">
        <v>843</v>
      </c>
      <c r="I66" s="224">
        <f>SUMIF(Precificação!A:A,D66,Precificação!F:F)</f>
        <v>1400</v>
      </c>
      <c r="J66" s="225">
        <v>17067.599999999999</v>
      </c>
      <c r="K66" s="222"/>
      <c r="L66" s="232" t="s">
        <v>713</v>
      </c>
      <c r="M66" s="226">
        <v>0</v>
      </c>
      <c r="N66" s="226">
        <v>0</v>
      </c>
      <c r="O66" s="226">
        <v>0</v>
      </c>
      <c r="P66" s="226">
        <v>0</v>
      </c>
      <c r="Q66" s="226">
        <v>1537.1</v>
      </c>
      <c r="R66" s="226">
        <v>1300</v>
      </c>
      <c r="S66" s="228">
        <v>0</v>
      </c>
      <c r="T66" s="228">
        <v>0</v>
      </c>
      <c r="U66" s="226">
        <f t="shared" si="4"/>
        <v>2837.1</v>
      </c>
      <c r="V66" s="229"/>
      <c r="W66" s="229" t="s">
        <v>714</v>
      </c>
      <c r="X66" s="310" t="str">
        <f t="shared" si="5"/>
        <v>EM TRÂNSITO</v>
      </c>
      <c r="Y66" s="327">
        <f ca="1">Tabela2[[#This Row],[ESTIMATIVA CHEGADA]]-TODAY()</f>
        <v>35.125</v>
      </c>
      <c r="Z66" s="311">
        <f>_xlfn.XLOOKUP(Tabela2[[#This Row],[INVOICE]],[1]Processes!$AH:$AH,[1]Processes!$BA:$BA)</f>
        <v>46276.125</v>
      </c>
      <c r="AA66" s="312"/>
    </row>
    <row r="67" spans="1:27" ht="14.4" x14ac:dyDescent="0.3">
      <c r="A67" s="80">
        <f t="shared" si="6"/>
        <v>65</v>
      </c>
      <c r="B67" s="232" t="s">
        <v>822</v>
      </c>
      <c r="C67" s="223" t="s">
        <v>772</v>
      </c>
      <c r="D67" s="309" t="s">
        <v>844</v>
      </c>
      <c r="E67" s="233" t="s">
        <v>845</v>
      </c>
      <c r="F67" s="233" t="s">
        <v>846</v>
      </c>
      <c r="G67" s="223">
        <f>COUNTIF(Precificação!A:A,'Base de Dados'!D67)</f>
        <v>3</v>
      </c>
      <c r="H67" s="223" t="s">
        <v>847</v>
      </c>
      <c r="I67" s="224">
        <f>SUMIF(Precificação!A:A,D67,Precificação!F:F)</f>
        <v>1481</v>
      </c>
      <c r="J67" s="225">
        <v>88731.13</v>
      </c>
      <c r="K67" s="222"/>
      <c r="L67" s="232" t="s">
        <v>713</v>
      </c>
      <c r="M67" s="226">
        <v>0</v>
      </c>
      <c r="N67" s="226">
        <v>0</v>
      </c>
      <c r="O67" s="226">
        <v>0</v>
      </c>
      <c r="P67" s="226">
        <v>0</v>
      </c>
      <c r="Q67" s="226">
        <v>1537.1</v>
      </c>
      <c r="R67" s="226">
        <v>1300</v>
      </c>
      <c r="S67" s="228">
        <v>0</v>
      </c>
      <c r="T67" s="228">
        <v>0</v>
      </c>
      <c r="U67" s="226">
        <f t="shared" ref="U67:U73" si="7">SUM(M67:T67)</f>
        <v>2837.1</v>
      </c>
      <c r="V67" s="229"/>
      <c r="W67" s="229" t="s">
        <v>714</v>
      </c>
      <c r="X67" s="310" t="str">
        <f t="shared" si="5"/>
        <v>EM TRÂNSITO</v>
      </c>
      <c r="Y67" s="327">
        <f ca="1">Tabela2[[#This Row],[ESTIMATIVA CHEGADA]]-TODAY()</f>
        <v>15.125</v>
      </c>
      <c r="Z67" s="311">
        <f>_xlfn.XLOOKUP(Tabela2[[#This Row],[INVOICE]],[1]Processes!$AH:$AH,[1]Processes!$BA:$BA)</f>
        <v>46256.125</v>
      </c>
      <c r="AA67" s="312"/>
    </row>
    <row r="68" spans="1:27" ht="14.4" x14ac:dyDescent="0.3">
      <c r="A68" s="80">
        <f t="shared" si="6"/>
        <v>66</v>
      </c>
      <c r="B68" s="232" t="s">
        <v>822</v>
      </c>
      <c r="C68" s="223" t="s">
        <v>772</v>
      </c>
      <c r="D68" s="309" t="s">
        <v>848</v>
      </c>
      <c r="E68" s="233" t="s">
        <v>838</v>
      </c>
      <c r="F68" s="233" t="s">
        <v>838</v>
      </c>
      <c r="G68" s="223">
        <f>COUNTIF(Precificação!A:A,'Base de Dados'!D68)</f>
        <v>2</v>
      </c>
      <c r="H68" s="223" t="s">
        <v>849</v>
      </c>
      <c r="I68" s="224">
        <f>SUMIF(Precificação!A:A,D68,Precificação!F:F)</f>
        <v>119</v>
      </c>
      <c r="J68" s="225">
        <v>9736.869999999999</v>
      </c>
      <c r="K68" s="222"/>
      <c r="L68" s="232" t="s">
        <v>713</v>
      </c>
      <c r="M68" s="226">
        <v>0</v>
      </c>
      <c r="N68" s="226">
        <v>0</v>
      </c>
      <c r="O68" s="226">
        <v>0</v>
      </c>
      <c r="P68" s="226">
        <v>0</v>
      </c>
      <c r="Q68" s="226">
        <v>1537.1</v>
      </c>
      <c r="R68" s="226">
        <v>1300</v>
      </c>
      <c r="S68" s="228">
        <v>0</v>
      </c>
      <c r="T68" s="228">
        <v>0</v>
      </c>
      <c r="U68" s="226">
        <f t="shared" si="7"/>
        <v>2837.1</v>
      </c>
      <c r="V68" s="229"/>
      <c r="W68" s="229" t="s">
        <v>714</v>
      </c>
      <c r="X68" s="310" t="str">
        <f t="shared" si="5"/>
        <v>EM PRODUÇÃO</v>
      </c>
      <c r="Y68" s="327"/>
      <c r="Z68" s="311" t="str">
        <f>_xlfn.XLOOKUP(Tabela2[[#This Row],[INVOICE]],[1]Processes!$AH:$AH,[1]Processes!$BA:$BA)</f>
        <v/>
      </c>
      <c r="AA68" s="312"/>
    </row>
    <row r="69" spans="1:27" ht="14.4" x14ac:dyDescent="0.3">
      <c r="A69" s="294">
        <f t="shared" si="6"/>
        <v>67</v>
      </c>
      <c r="B69" s="232" t="s">
        <v>619</v>
      </c>
      <c r="C69" s="233">
        <v>4508845852</v>
      </c>
      <c r="D69" s="316" t="s">
        <v>850</v>
      </c>
      <c r="E69" s="233" t="s">
        <v>851</v>
      </c>
      <c r="F69" s="308" t="s">
        <v>852</v>
      </c>
      <c r="G69" s="233">
        <f>COUNTIF(Precificação!A:A,'Base de Dados'!D69)</f>
        <v>4</v>
      </c>
      <c r="H69" s="233" t="s">
        <v>853</v>
      </c>
      <c r="I69" s="224">
        <f>SUMIF(Precificação!A:A,D69,Precificação!F:F)</f>
        <v>4495</v>
      </c>
      <c r="J69" s="234">
        <v>790311.5</v>
      </c>
      <c r="K69" s="232">
        <v>2026000199</v>
      </c>
      <c r="L69" s="232" t="s">
        <v>713</v>
      </c>
      <c r="M69" s="314">
        <v>4101084.44</v>
      </c>
      <c r="N69" s="314">
        <v>247524.84</v>
      </c>
      <c r="O69" s="314">
        <v>2580.8000000000002</v>
      </c>
      <c r="P69" s="314">
        <v>254.49</v>
      </c>
      <c r="Q69" s="226">
        <v>1537.1</v>
      </c>
      <c r="R69" s="226">
        <v>1300</v>
      </c>
      <c r="S69" s="314">
        <v>419889.84</v>
      </c>
      <c r="T69" s="314">
        <v>91375</v>
      </c>
      <c r="U69" s="226">
        <f t="shared" si="7"/>
        <v>4865546.51</v>
      </c>
      <c r="V69" s="229">
        <f t="shared" ref="V69:V70" si="8">N69/M69</f>
        <v>6.035594819403426E-2</v>
      </c>
      <c r="W69" s="229" t="s">
        <v>714</v>
      </c>
      <c r="X69" s="315" t="str">
        <f t="shared" si="5"/>
        <v>CONCLUÍDO</v>
      </c>
      <c r="Y69" s="327"/>
      <c r="Z69" s="311"/>
      <c r="AA69" s="312"/>
    </row>
    <row r="70" spans="1:27" ht="14.4" x14ac:dyDescent="0.3">
      <c r="A70" s="294">
        <f t="shared" si="6"/>
        <v>68</v>
      </c>
      <c r="B70" s="232" t="s">
        <v>619</v>
      </c>
      <c r="C70" s="233">
        <v>4508894343</v>
      </c>
      <c r="D70" s="316" t="s">
        <v>854</v>
      </c>
      <c r="E70" s="233" t="s">
        <v>855</v>
      </c>
      <c r="F70" s="308" t="s">
        <v>856</v>
      </c>
      <c r="G70" s="233">
        <f>COUNTIF(Precificação!A:A,'Base de Dados'!D70)</f>
        <v>3</v>
      </c>
      <c r="H70" s="233" t="s">
        <v>853</v>
      </c>
      <c r="I70" s="224">
        <f>SUMIF(Precificação!A:A,D70,Precificação!F:F)</f>
        <v>3080</v>
      </c>
      <c r="J70" s="234">
        <v>521928.4</v>
      </c>
      <c r="K70" s="232">
        <v>2026000218</v>
      </c>
      <c r="L70" s="232" t="s">
        <v>713</v>
      </c>
      <c r="M70" s="314">
        <v>2656302.4</v>
      </c>
      <c r="N70" s="314">
        <v>49960</v>
      </c>
      <c r="O70" s="314">
        <v>341.63</v>
      </c>
      <c r="P70" s="314">
        <v>223.64</v>
      </c>
      <c r="Q70" s="226">
        <v>1537.1</v>
      </c>
      <c r="R70" s="226">
        <v>1300</v>
      </c>
      <c r="S70" s="314">
        <v>281037.68</v>
      </c>
      <c r="T70" s="314">
        <v>61158.46</v>
      </c>
      <c r="U70" s="226">
        <f t="shared" si="7"/>
        <v>3051860.91</v>
      </c>
      <c r="V70" s="229">
        <f t="shared" si="8"/>
        <v>1.8808099559748919E-2</v>
      </c>
      <c r="W70" s="229" t="s">
        <v>714</v>
      </c>
      <c r="X70" s="315" t="str">
        <f t="shared" si="5"/>
        <v>CONCLUÍDO</v>
      </c>
      <c r="Y70" s="327">
        <f ca="1">Tabela2[[#This Row],[ESTIMATIVA CHEGADA]]-TODAY()</f>
        <v>1</v>
      </c>
      <c r="Z70" s="311">
        <v>46242</v>
      </c>
      <c r="AA70" s="312"/>
    </row>
    <row r="71" spans="1:27" ht="14.4" x14ac:dyDescent="0.3">
      <c r="A71" s="294">
        <f t="shared" si="6"/>
        <v>69</v>
      </c>
      <c r="B71" s="232" t="s">
        <v>619</v>
      </c>
      <c r="C71" s="233">
        <v>4508897788</v>
      </c>
      <c r="D71" s="316" t="s">
        <v>488</v>
      </c>
      <c r="E71" s="233"/>
      <c r="F71" s="233"/>
      <c r="G71" s="233">
        <f>COUNTIF(Precificação!A:A,'Base de Dados'!D71)</f>
        <v>5</v>
      </c>
      <c r="H71" s="233" t="s">
        <v>853</v>
      </c>
      <c r="I71" s="224">
        <f>SUMIF(Precificação!A:A,D71,Precificação!F:F)</f>
        <v>6122</v>
      </c>
      <c r="J71" s="234">
        <v>2000</v>
      </c>
      <c r="K71" s="232"/>
      <c r="L71" s="232" t="s">
        <v>713</v>
      </c>
      <c r="M71" s="226">
        <v>0</v>
      </c>
      <c r="N71" s="226">
        <v>0</v>
      </c>
      <c r="O71" s="226">
        <v>0</v>
      </c>
      <c r="P71" s="226">
        <v>0</v>
      </c>
      <c r="Q71" s="226">
        <v>1537.1</v>
      </c>
      <c r="R71" s="226">
        <v>1300</v>
      </c>
      <c r="S71" s="314"/>
      <c r="T71" s="228">
        <v>0</v>
      </c>
      <c r="U71" s="226">
        <f t="shared" si="7"/>
        <v>2837.1</v>
      </c>
      <c r="V71" s="229"/>
      <c r="W71" s="229" t="s">
        <v>714</v>
      </c>
      <c r="X71" s="315" t="str">
        <f t="shared" si="5"/>
        <v>EM PRODUÇÃO</v>
      </c>
      <c r="Y71" s="327">
        <f ca="1">Tabela2[[#This Row],[ESTIMATIVA CHEGADA]]-TODAY()</f>
        <v>77</v>
      </c>
      <c r="Z71" s="311">
        <v>46318</v>
      </c>
      <c r="AA71" s="312"/>
    </row>
    <row r="72" spans="1:27" ht="15" customHeight="1" x14ac:dyDescent="0.3">
      <c r="A72" s="294">
        <f t="shared" si="6"/>
        <v>70</v>
      </c>
      <c r="B72" s="232" t="s">
        <v>708</v>
      </c>
      <c r="C72" s="233" t="s">
        <v>772</v>
      </c>
      <c r="D72" s="316" t="s">
        <v>857</v>
      </c>
      <c r="E72" s="233"/>
      <c r="F72" s="233"/>
      <c r="G72" s="233">
        <v>0</v>
      </c>
      <c r="H72" s="233" t="s">
        <v>858</v>
      </c>
      <c r="I72" s="224">
        <f>SUMIF(Precificação!A:A,D72,Precificação!F:F)</f>
        <v>16284</v>
      </c>
      <c r="J72" s="234">
        <v>224305.68</v>
      </c>
      <c r="K72" s="232"/>
      <c r="L72" s="232" t="s">
        <v>713</v>
      </c>
      <c r="M72" s="314">
        <v>0</v>
      </c>
      <c r="N72" s="314">
        <v>0</v>
      </c>
      <c r="O72" s="314">
        <v>0</v>
      </c>
      <c r="P72" s="314">
        <v>0</v>
      </c>
      <c r="Q72" s="314"/>
      <c r="R72" s="314"/>
      <c r="S72" s="314"/>
      <c r="T72" s="228">
        <v>0</v>
      </c>
      <c r="U72" s="226">
        <f t="shared" si="7"/>
        <v>0</v>
      </c>
      <c r="V72" s="229"/>
      <c r="W72" s="295" t="s">
        <v>714</v>
      </c>
      <c r="X72" s="315" t="s">
        <v>859</v>
      </c>
      <c r="Y72" s="327">
        <f ca="1">Tabela2[[#This Row],[ESTIMATIVA CHEGADA]]-TODAY()</f>
        <v>103</v>
      </c>
      <c r="Z72" s="311">
        <f>Tabela2[[#This Row],[PRONTIDÃO]]+60</f>
        <v>46344</v>
      </c>
      <c r="AA72" s="312" t="s">
        <v>860</v>
      </c>
    </row>
    <row r="73" spans="1:27" ht="15" customHeight="1" x14ac:dyDescent="0.3">
      <c r="A73" s="294">
        <f>A72+1</f>
        <v>71</v>
      </c>
      <c r="B73" s="232" t="s">
        <v>619</v>
      </c>
      <c r="C73" s="233" t="s">
        <v>772</v>
      </c>
      <c r="D73" s="316" t="s">
        <v>861</v>
      </c>
      <c r="E73" s="233"/>
      <c r="F73" s="233"/>
      <c r="G73" s="233">
        <f>COUNTIF(Precificação!A:A,'Base de Dados'!D73)</f>
        <v>5</v>
      </c>
      <c r="H73" s="233" t="s">
        <v>862</v>
      </c>
      <c r="I73" s="224">
        <f>SUMIF(Precificação!A:A,D73,Precificação!F:F)</f>
        <v>3481</v>
      </c>
      <c r="J73" s="234">
        <v>629851.93999999994</v>
      </c>
      <c r="K73" s="232"/>
      <c r="L73" s="232" t="s">
        <v>713</v>
      </c>
      <c r="M73" s="314">
        <v>0</v>
      </c>
      <c r="N73" s="314">
        <v>0</v>
      </c>
      <c r="O73" s="314">
        <v>0</v>
      </c>
      <c r="P73" s="314">
        <v>0</v>
      </c>
      <c r="Q73" s="314"/>
      <c r="R73" s="314"/>
      <c r="S73" s="314"/>
      <c r="T73" s="228">
        <v>0</v>
      </c>
      <c r="U73" s="226">
        <f t="shared" si="7"/>
        <v>0</v>
      </c>
      <c r="V73" s="229"/>
      <c r="W73" s="295" t="s">
        <v>714</v>
      </c>
      <c r="X73" s="315" t="str">
        <f>IF(K73&lt;&gt;"", "CONCLUÍDO", IF(E73&lt;&gt;"", "EM TRÂNSITO", "EM PRODUÇÃO"))</f>
        <v>EM PRODUÇÃO</v>
      </c>
      <c r="Y73" s="327">
        <f ca="1">Tabela2[[#This Row],[ESTIMATIVA CHEGADA]]-TODAY()</f>
        <v>102</v>
      </c>
      <c r="Z73" s="311">
        <f>Tabela2[[#This Row],[PRONTIDÃO]]+60</f>
        <v>46343</v>
      </c>
      <c r="AA73" s="313">
        <v>46283</v>
      </c>
    </row>
    <row r="74" spans="1:27" ht="15" customHeight="1" x14ac:dyDescent="0.3">
      <c r="A74" s="294">
        <f>A73+1</f>
        <v>72</v>
      </c>
      <c r="B74" s="232" t="s">
        <v>822</v>
      </c>
      <c r="C74" s="233" t="s">
        <v>772</v>
      </c>
      <c r="D74" s="316" t="s">
        <v>863</v>
      </c>
      <c r="E74" s="233"/>
      <c r="F74" s="233"/>
      <c r="G74" s="233">
        <f>COUNTIF(Precificação!A:A,'Base de Dados'!D74)</f>
        <v>1</v>
      </c>
      <c r="H74" s="233" t="s">
        <v>864</v>
      </c>
      <c r="I74" s="329">
        <f>SUMIF(Precificação!A:A,D74,Precificação!F:F)</f>
        <v>800</v>
      </c>
      <c r="J74" s="234">
        <v>7120</v>
      </c>
      <c r="K74" s="232"/>
      <c r="L74" s="232" t="s">
        <v>713</v>
      </c>
      <c r="M74" s="314">
        <v>0</v>
      </c>
      <c r="N74" s="314">
        <v>0</v>
      </c>
      <c r="O74" s="314">
        <v>0</v>
      </c>
      <c r="P74" s="314">
        <v>0</v>
      </c>
      <c r="Q74" s="314"/>
      <c r="R74" s="314"/>
      <c r="S74" s="314"/>
      <c r="T74" s="228">
        <v>0</v>
      </c>
      <c r="U74" s="226">
        <f t="shared" ref="U74:U75" si="9">SUM(M74:T74)</f>
        <v>0</v>
      </c>
      <c r="V74" s="229"/>
      <c r="W74" s="295" t="s">
        <v>714</v>
      </c>
      <c r="X74" s="315" t="str">
        <f>IF(K74&lt;&gt;"", "CONCLUÍDO", IF(E74&lt;&gt;"", "EM TRÂNSITO", "EM PRODUÇÃO"))</f>
        <v>EM PRODUÇÃO</v>
      </c>
      <c r="Y74" s="330"/>
      <c r="Z74" s="311"/>
      <c r="AA74" s="312"/>
    </row>
    <row r="75" spans="1:27" ht="15" customHeight="1" x14ac:dyDescent="0.3">
      <c r="A75" s="294">
        <f>A74+1</f>
        <v>73</v>
      </c>
      <c r="B75" s="232" t="s">
        <v>822</v>
      </c>
      <c r="C75" s="233" t="s">
        <v>772</v>
      </c>
      <c r="D75" s="316" t="s">
        <v>865</v>
      </c>
      <c r="E75" s="233" t="s">
        <v>866</v>
      </c>
      <c r="F75" s="233"/>
      <c r="G75" s="233">
        <f>COUNTIF(Precificação!A:A,'Base de Dados'!D75)</f>
        <v>2</v>
      </c>
      <c r="H75" s="233" t="s">
        <v>867</v>
      </c>
      <c r="I75" s="329">
        <f>SUMIF(Precificação!A:A,D75,Precificação!F:F)</f>
        <v>119</v>
      </c>
      <c r="J75" s="234">
        <v>10223.709999999999</v>
      </c>
      <c r="K75" s="232"/>
      <c r="L75" s="232" t="s">
        <v>713</v>
      </c>
      <c r="M75" s="314">
        <v>0</v>
      </c>
      <c r="N75" s="314">
        <v>0</v>
      </c>
      <c r="O75" s="314">
        <v>0</v>
      </c>
      <c r="P75" s="314">
        <v>0</v>
      </c>
      <c r="Q75" s="314"/>
      <c r="R75" s="314"/>
      <c r="S75" s="314"/>
      <c r="T75" s="228">
        <v>0</v>
      </c>
      <c r="U75" s="226">
        <f t="shared" si="9"/>
        <v>0</v>
      </c>
      <c r="V75" s="229"/>
      <c r="W75" s="295" t="s">
        <v>714</v>
      </c>
      <c r="X75" s="315" t="str">
        <f>IF(K75&lt;&gt;"", "CONCLUÍDO", IF(E75&lt;&gt;"", "EM TRÂNSITO", "EM PRODUÇÃO"))</f>
        <v>EM TRÂNSITO</v>
      </c>
      <c r="Y75" s="318">
        <f ca="1">Tabela2[[#This Row],[ESTIMATIVA CHEGADA]]-TODAY()</f>
        <v>53</v>
      </c>
      <c r="Z75" s="311">
        <v>46294</v>
      </c>
      <c r="AA75" s="312" t="s">
        <v>868</v>
      </c>
    </row>
    <row r="76" spans="1:27" ht="15" customHeight="1" x14ac:dyDescent="0.3">
      <c r="A76" s="294">
        <f>A75+1</f>
        <v>74</v>
      </c>
      <c r="B76" s="232" t="s">
        <v>822</v>
      </c>
      <c r="C76" s="233" t="s">
        <v>772</v>
      </c>
      <c r="D76" s="316" t="s">
        <v>869</v>
      </c>
      <c r="E76" s="233"/>
      <c r="F76" s="233"/>
      <c r="G76" s="233">
        <f>COUNTIF(Precificação!A:A,'Base de Dados'!D76)</f>
        <v>2</v>
      </c>
      <c r="H76" s="233"/>
      <c r="I76" s="329">
        <f>SUMIF(Precificação!A:A,D76,Precificação!F:F)</f>
        <v>1000</v>
      </c>
      <c r="J76" s="234">
        <v>13125</v>
      </c>
      <c r="K76" s="232"/>
      <c r="L76" s="232" t="s">
        <v>713</v>
      </c>
      <c r="M76" s="314">
        <v>0</v>
      </c>
      <c r="N76" s="314">
        <v>0</v>
      </c>
      <c r="O76" s="314">
        <v>0</v>
      </c>
      <c r="P76" s="314">
        <v>0</v>
      </c>
      <c r="Q76" s="314"/>
      <c r="R76" s="314"/>
      <c r="S76" s="314"/>
      <c r="T76" s="228">
        <v>0</v>
      </c>
      <c r="U76" s="226">
        <f t="shared" ref="U76" si="10">SUM(M76:T76)</f>
        <v>0</v>
      </c>
      <c r="V76" s="229"/>
      <c r="W76" s="295" t="s">
        <v>714</v>
      </c>
      <c r="X76" s="315" t="str">
        <f>IF(K76&lt;&gt;"", "CONCLUÍDO", IF(E76&lt;&gt;"", "EM TRÂNSITO", "EM PRODUÇÃO"))</f>
        <v>EM PRODUÇÃO</v>
      </c>
      <c r="Y76" s="328"/>
      <c r="Z76" s="311"/>
      <c r="AA76" s="312"/>
    </row>
    <row r="77" spans="1:27" ht="14.4" x14ac:dyDescent="0.3">
      <c r="A77" s="80">
        <f t="shared" ref="A77:A78" si="11">A76+1</f>
        <v>75</v>
      </c>
      <c r="B77" s="232" t="s">
        <v>822</v>
      </c>
      <c r="C77" s="233" t="s">
        <v>772</v>
      </c>
      <c r="D77" s="309" t="s">
        <v>870</v>
      </c>
      <c r="E77" s="223"/>
      <c r="F77" s="223"/>
      <c r="G77" s="233">
        <f>COUNTIF(Precificação!A:A,'Base de Dados'!D77)</f>
        <v>1</v>
      </c>
      <c r="H77" s="223" t="s">
        <v>826</v>
      </c>
      <c r="I77" s="224">
        <f>SUMIF(Precificação!A:A,D77,Precificação!F:F)</f>
        <v>2936</v>
      </c>
      <c r="J77" s="225">
        <v>16800</v>
      </c>
      <c r="K77" s="222"/>
      <c r="L77" s="232" t="s">
        <v>713</v>
      </c>
      <c r="M77" s="314">
        <v>0</v>
      </c>
      <c r="N77" s="314">
        <v>0</v>
      </c>
      <c r="O77" s="314">
        <v>0</v>
      </c>
      <c r="P77" s="314">
        <v>0</v>
      </c>
      <c r="Q77" s="314"/>
      <c r="R77" s="314"/>
      <c r="S77" s="314"/>
      <c r="T77" s="228">
        <v>0</v>
      </c>
      <c r="U77" s="226">
        <f t="shared" ref="U77:U81" si="12">SUM(M77:T77)</f>
        <v>0</v>
      </c>
      <c r="V77" s="229"/>
      <c r="W77" s="295" t="s">
        <v>714</v>
      </c>
      <c r="X77" s="315" t="str">
        <f t="shared" ref="X77:X78" si="13">IF(K77&lt;&gt;"", "CONCLUÍDO", IF(E77&lt;&gt;"", "EM TRÂNSITO", "EM PRODUÇÃO"))</f>
        <v>EM PRODUÇÃO</v>
      </c>
      <c r="Y77" s="328"/>
      <c r="Z77" s="311"/>
      <c r="AA77" s="312"/>
    </row>
    <row r="78" spans="1:27" ht="14.4" x14ac:dyDescent="0.3">
      <c r="A78" s="294">
        <f t="shared" si="11"/>
        <v>76</v>
      </c>
      <c r="B78" s="232" t="s">
        <v>822</v>
      </c>
      <c r="C78" s="233" t="s">
        <v>772</v>
      </c>
      <c r="D78" s="316" t="s">
        <v>871</v>
      </c>
      <c r="E78" s="233"/>
      <c r="F78" s="233"/>
      <c r="G78" s="331">
        <f>COUNTIF(Precificação!A:A,'Base de Dados'!D78)</f>
        <v>1</v>
      </c>
      <c r="H78" s="233" t="s">
        <v>872</v>
      </c>
      <c r="I78" s="329">
        <f>SUMIF(Precificação!A:A,D78,Precificação!F:F)</f>
        <v>1000</v>
      </c>
      <c r="J78" s="234">
        <v>94025.400000000009</v>
      </c>
      <c r="K78" s="232"/>
      <c r="L78" s="232" t="s">
        <v>713</v>
      </c>
      <c r="M78" s="314">
        <v>0</v>
      </c>
      <c r="N78" s="314">
        <v>0</v>
      </c>
      <c r="O78" s="314">
        <v>0</v>
      </c>
      <c r="P78" s="314">
        <v>0</v>
      </c>
      <c r="Q78" s="314"/>
      <c r="R78" s="314"/>
      <c r="S78" s="314"/>
      <c r="T78" s="228">
        <v>0</v>
      </c>
      <c r="U78" s="226">
        <f t="shared" si="12"/>
        <v>0</v>
      </c>
      <c r="V78" s="295"/>
      <c r="W78" s="295" t="s">
        <v>714</v>
      </c>
      <c r="X78" s="332" t="str">
        <f t="shared" si="13"/>
        <v>EM PRODUÇÃO</v>
      </c>
      <c r="Y78" s="328"/>
      <c r="Z78" s="311"/>
      <c r="AA78" s="312"/>
    </row>
    <row r="79" spans="1:27" ht="14.4" x14ac:dyDescent="0.3">
      <c r="A79" s="294">
        <f>A78+1</f>
        <v>77</v>
      </c>
      <c r="B79" s="232" t="s">
        <v>822</v>
      </c>
      <c r="C79" s="233" t="s">
        <v>772</v>
      </c>
      <c r="D79" s="316" t="s">
        <v>1645</v>
      </c>
      <c r="E79" s="233"/>
      <c r="F79" s="233"/>
      <c r="G79" s="233">
        <f>COUNTIF(Precificação!A:A,'Base de Dados'!D79)</f>
        <v>2</v>
      </c>
      <c r="H79" s="233" t="s">
        <v>1650</v>
      </c>
      <c r="I79" s="329">
        <f>SUMIF(Precificação!A:A,D79,Precificação!F:F)</f>
        <v>4200</v>
      </c>
      <c r="J79" s="234">
        <v>532942.6</v>
      </c>
      <c r="K79" s="232"/>
      <c r="L79" s="232" t="s">
        <v>713</v>
      </c>
      <c r="M79" s="314">
        <v>0</v>
      </c>
      <c r="N79" s="314">
        <v>0</v>
      </c>
      <c r="O79" s="314">
        <v>0</v>
      </c>
      <c r="P79" s="314">
        <v>0</v>
      </c>
      <c r="Q79" s="314"/>
      <c r="R79" s="314"/>
      <c r="S79" s="314"/>
      <c r="T79" s="228">
        <v>0</v>
      </c>
      <c r="U79" s="226">
        <f t="shared" si="12"/>
        <v>0</v>
      </c>
      <c r="V79" s="295"/>
      <c r="W79" s="295" t="s">
        <v>714</v>
      </c>
      <c r="X79" s="315" t="str">
        <f>IF(K79&lt;&gt;"", "CONCLUÍDO", IF(E79&lt;&gt;"", "EM TRÂNSITO", "EM PRODUÇÃO"))</f>
        <v>EM PRODUÇÃO</v>
      </c>
      <c r="Y79" s="318">
        <f ca="1">Tabela2[[#This Row],[ESTIMATIVA CHEGADA]]-TODAY()</f>
        <v>63</v>
      </c>
      <c r="Z79" s="311">
        <f>Tabela2[[#This Row],[PRONTIDÃO]]+60</f>
        <v>46304</v>
      </c>
      <c r="AA79" s="313">
        <v>46244</v>
      </c>
    </row>
    <row r="80" spans="1:27" ht="14.4" x14ac:dyDescent="0.3">
      <c r="A80" s="294">
        <f>A79+1</f>
        <v>78</v>
      </c>
      <c r="B80" s="232" t="s">
        <v>822</v>
      </c>
      <c r="C80" s="233" t="s">
        <v>772</v>
      </c>
      <c r="D80" s="316" t="s">
        <v>1646</v>
      </c>
      <c r="E80" s="233"/>
      <c r="F80" s="233"/>
      <c r="G80" s="233">
        <f>COUNTIF(Precificação!A:A,'Base de Dados'!D80)</f>
        <v>2</v>
      </c>
      <c r="H80" s="233" t="s">
        <v>1650</v>
      </c>
      <c r="I80" s="329">
        <f>SUMIF(Precificação!A:A,D80,Precificação!F:F)</f>
        <v>3529</v>
      </c>
      <c r="J80" s="234">
        <v>446551.35</v>
      </c>
      <c r="K80" s="232"/>
      <c r="L80" s="232" t="s">
        <v>713</v>
      </c>
      <c r="M80" s="314">
        <v>0</v>
      </c>
      <c r="N80" s="314">
        <v>0</v>
      </c>
      <c r="O80" s="314">
        <v>0</v>
      </c>
      <c r="P80" s="314">
        <v>0</v>
      </c>
      <c r="Q80" s="314"/>
      <c r="R80" s="314"/>
      <c r="S80" s="314"/>
      <c r="T80" s="228">
        <v>0</v>
      </c>
      <c r="U80" s="226">
        <f t="shared" si="12"/>
        <v>0</v>
      </c>
      <c r="V80" s="295"/>
      <c r="W80" s="295" t="s">
        <v>714</v>
      </c>
      <c r="X80" s="315" t="str">
        <f>IF(K80&lt;&gt;"", "CONCLUÍDO", IF(E80&lt;&gt;"", "EM TRÂNSITO", "EM PRODUÇÃO"))</f>
        <v>EM PRODUÇÃO</v>
      </c>
      <c r="Y80" s="318">
        <f ca="1">Tabela2[[#This Row],[ESTIMATIVA CHEGADA]]-TODAY()</f>
        <v>94</v>
      </c>
      <c r="Z80" s="311">
        <f>Tabela2[[#This Row],[PRONTIDÃO]]+60</f>
        <v>46335</v>
      </c>
      <c r="AA80" s="313">
        <v>46275</v>
      </c>
    </row>
    <row r="81" spans="1:27" ht="14.4" x14ac:dyDescent="0.3">
      <c r="A81" s="294">
        <f>A80+1</f>
        <v>79</v>
      </c>
      <c r="B81" s="232" t="s">
        <v>822</v>
      </c>
      <c r="C81" s="233" t="s">
        <v>772</v>
      </c>
      <c r="D81" s="316" t="s">
        <v>1647</v>
      </c>
      <c r="E81" s="233"/>
      <c r="F81" s="233"/>
      <c r="G81" s="233">
        <f>COUNTIF(Precificação!A:A,'Base de Dados'!D81)</f>
        <v>2</v>
      </c>
      <c r="H81" s="233" t="s">
        <v>1650</v>
      </c>
      <c r="I81" s="329">
        <f>SUMIF(Precificação!A:A,D81,Precificação!F:F)</f>
        <v>1429</v>
      </c>
      <c r="J81" s="234">
        <v>180080.05</v>
      </c>
      <c r="K81" s="232"/>
      <c r="L81" s="232" t="s">
        <v>713</v>
      </c>
      <c r="M81" s="314">
        <v>0</v>
      </c>
      <c r="N81" s="314">
        <v>0</v>
      </c>
      <c r="O81" s="314">
        <v>0</v>
      </c>
      <c r="P81" s="314">
        <v>0</v>
      </c>
      <c r="Q81" s="314"/>
      <c r="R81" s="314"/>
      <c r="S81" s="314"/>
      <c r="T81" s="228">
        <v>0</v>
      </c>
      <c r="U81" s="226">
        <f t="shared" si="12"/>
        <v>0</v>
      </c>
      <c r="V81" s="295"/>
      <c r="W81" s="295" t="s">
        <v>714</v>
      </c>
      <c r="X81" s="315" t="str">
        <f>IF(K81&lt;&gt;"", "CONCLUÍDO", IF(E81&lt;&gt;"", "EM TRÂNSITO", "EM PRODUÇÃO"))</f>
        <v>EM PRODUÇÃO</v>
      </c>
      <c r="Y81" s="318">
        <f ca="1">Tabela2[[#This Row],[ESTIMATIVA CHEGADA]]-TODAY()</f>
        <v>124</v>
      </c>
      <c r="Z81" s="311">
        <f>Tabela2[[#This Row],[PRONTIDÃO]]+60</f>
        <v>46365</v>
      </c>
      <c r="AA81" s="313">
        <f>AA80+30</f>
        <v>46305</v>
      </c>
    </row>
    <row r="82" spans="1:27" ht="14.4" x14ac:dyDescent="0.3">
      <c r="L82" s="232"/>
    </row>
    <row r="83" spans="1:27" ht="14.4" x14ac:dyDescent="0.3"/>
    <row r="84" spans="1:27" ht="14.4" x14ac:dyDescent="0.3"/>
    <row r="85" spans="1:27" ht="14.4" x14ac:dyDescent="0.3"/>
    <row r="86" spans="1:27" ht="14.4" x14ac:dyDescent="0.3"/>
    <row r="87" spans="1:27" ht="14.4" x14ac:dyDescent="0.3"/>
    <row r="88" spans="1:27" ht="14.4" x14ac:dyDescent="0.3"/>
    <row r="89" spans="1:27" ht="14.4" x14ac:dyDescent="0.3"/>
    <row r="90" spans="1:27" ht="14.4" x14ac:dyDescent="0.3"/>
    <row r="91" spans="1:27" ht="14.4" x14ac:dyDescent="0.3"/>
    <row r="92" spans="1:27" ht="14.4" x14ac:dyDescent="0.3"/>
    <row r="93" spans="1:27" ht="14.4" x14ac:dyDescent="0.3"/>
    <row r="94" spans="1:27" ht="14.4" x14ac:dyDescent="0.3"/>
    <row r="95" spans="1:27" ht="14.4" x14ac:dyDescent="0.3"/>
    <row r="96" spans="1:27" ht="14.4" x14ac:dyDescent="0.3"/>
    <row r="97" ht="14.4" x14ac:dyDescent="0.3"/>
    <row r="98" ht="14.4" x14ac:dyDescent="0.3"/>
    <row r="99" ht="14.4" x14ac:dyDescent="0.3"/>
  </sheetData>
  <phoneticPr fontId="65" type="noConversion"/>
  <conditionalFormatting sqref="D84:I104 D1:D1048576">
    <cfRule type="duplicateValues" dxfId="0" priority="1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B6F8-E43D-47DC-9988-BEF47C17B524}">
  <sheetPr>
    <tabColor rgb="FFFFC000"/>
  </sheetPr>
  <dimension ref="A1:AT459"/>
  <sheetViews>
    <sheetView zoomScale="70" zoomScaleNormal="70" workbookViewId="0">
      <pane ySplit="1" topLeftCell="A417" activePane="bottomLeft" state="frozen"/>
      <selection pane="bottomLeft" activeCell="D434" sqref="D434"/>
    </sheetView>
  </sheetViews>
  <sheetFormatPr defaultRowHeight="15" customHeight="1" x14ac:dyDescent="0.3"/>
  <cols>
    <col min="1" max="1" width="24.44140625" style="49" bestFit="1" customWidth="1"/>
    <col min="2" max="2" width="19" customWidth="1"/>
    <col min="3" max="3" width="21.5546875" customWidth="1"/>
    <col min="4" max="4" width="8.6640625" customWidth="1"/>
    <col min="5" max="5" width="47" bestFit="1" customWidth="1"/>
    <col min="6" max="6" width="9.88671875" bestFit="1" customWidth="1"/>
    <col min="7" max="7" width="20.33203125" customWidth="1"/>
    <col min="8" max="8" width="13.44140625" customWidth="1"/>
    <col min="9" max="9" width="19.6640625" customWidth="1"/>
    <col min="10" max="10" width="22.6640625" customWidth="1"/>
    <col min="11" max="11" width="15.44140625" customWidth="1"/>
    <col min="12" max="12" width="20.109375" bestFit="1" customWidth="1"/>
    <col min="13" max="13" width="22.5546875" bestFit="1" customWidth="1"/>
    <col min="14" max="14" width="28" customWidth="1"/>
    <col min="15" max="15" width="10.33203125" customWidth="1"/>
    <col min="16" max="16" width="16.6640625" style="217" customWidth="1"/>
    <col min="17" max="17" width="9.5546875" customWidth="1"/>
    <col min="18" max="18" width="20.33203125" customWidth="1"/>
    <col min="19" max="19" width="17.6640625" customWidth="1"/>
    <col min="20" max="20" width="20.6640625" customWidth="1"/>
    <col min="21" max="21" width="13.109375" customWidth="1"/>
    <col min="22" max="22" width="14.88671875" bestFit="1" customWidth="1"/>
    <col min="23" max="23" width="51.5546875" bestFit="1" customWidth="1"/>
    <col min="26" max="27" width="11.109375" bestFit="1" customWidth="1"/>
    <col min="30" max="30" width="11.109375" bestFit="1" customWidth="1"/>
  </cols>
  <sheetData>
    <row r="1" spans="1:23" ht="14.4" x14ac:dyDescent="0.3">
      <c r="A1" s="241" t="s">
        <v>686</v>
      </c>
      <c r="B1" s="241" t="s">
        <v>873</v>
      </c>
      <c r="C1" s="241" t="s">
        <v>704</v>
      </c>
      <c r="D1" s="241" t="s">
        <v>874</v>
      </c>
      <c r="E1" s="241" t="s">
        <v>95</v>
      </c>
      <c r="F1" s="241" t="s">
        <v>1</v>
      </c>
      <c r="G1" s="242" t="s">
        <v>875</v>
      </c>
      <c r="H1" s="242" t="s">
        <v>876</v>
      </c>
      <c r="I1" s="242" t="s">
        <v>877</v>
      </c>
      <c r="J1" s="241" t="s">
        <v>878</v>
      </c>
      <c r="K1" s="242" t="s">
        <v>879</v>
      </c>
      <c r="L1" s="241" t="s">
        <v>880</v>
      </c>
      <c r="M1" s="242" t="s">
        <v>881</v>
      </c>
      <c r="N1" s="242" t="s">
        <v>882</v>
      </c>
      <c r="O1" s="242" t="s">
        <v>883</v>
      </c>
      <c r="P1" s="243" t="s">
        <v>884</v>
      </c>
      <c r="Q1" s="241" t="s">
        <v>885</v>
      </c>
      <c r="R1" s="242" t="s">
        <v>886</v>
      </c>
      <c r="S1" s="242" t="s">
        <v>887</v>
      </c>
      <c r="T1" s="242" t="s">
        <v>888</v>
      </c>
      <c r="U1" s="242" t="s">
        <v>889</v>
      </c>
      <c r="V1" s="241" t="s">
        <v>890</v>
      </c>
      <c r="W1" s="241" t="s">
        <v>891</v>
      </c>
    </row>
    <row r="2" spans="1:23" ht="14.4" x14ac:dyDescent="0.3">
      <c r="A2" s="54" t="s">
        <v>381</v>
      </c>
      <c r="B2" s="244" t="str">
        <f>_xlfn.XLOOKUP(A2,'Base de Dados'!D:D,'Base de Dados'!B:B)</f>
        <v>TIMBRO SWISS SA</v>
      </c>
      <c r="C2" s="244" t="str">
        <f>_xlfn.XLOOKUP(PRECIFICAÇÃO[[#This Row],[INVOICE]],'Base de Dados'!D:D,'Base de Dados'!X:X)</f>
        <v>CONCLUÍDO</v>
      </c>
      <c r="D2" s="54">
        <v>267869</v>
      </c>
      <c r="E2" s="244" t="s">
        <v>892</v>
      </c>
      <c r="F2" s="245">
        <v>2052</v>
      </c>
      <c r="G2" s="319">
        <v>0.74</v>
      </c>
      <c r="H2" s="246">
        <v>5.0377999999999998</v>
      </c>
      <c r="I2" s="247">
        <f t="shared" ref="I2:I65" si="0">H2*G2</f>
        <v>3.7279719999999998</v>
      </c>
      <c r="J2" s="248">
        <f t="shared" ref="J2:J65" si="1">I2*F2</f>
        <v>7649.7985439999993</v>
      </c>
      <c r="K2" s="249">
        <f>J2/_xlfn.XLOOKUP(A2,'Base de Dados'!D:D,'Base de Dados'!M:M)</f>
        <v>2.3351344187608845E-2</v>
      </c>
      <c r="L2" s="248">
        <f>K2*_xlfn.XLOOKUP(A2,'Base de Dados'!D:D,'Base de Dados'!N:N)</f>
        <v>635.25276944101347</v>
      </c>
      <c r="M2" s="250">
        <f t="shared" ref="M2:M65" si="2">J2+L2</f>
        <v>8285.0513134410121</v>
      </c>
      <c r="N2" s="251">
        <f t="shared" ref="N2:N65" si="3">M2/F2</f>
        <v>4.0375493730219354</v>
      </c>
      <c r="O2" s="252">
        <f t="shared" ref="O2:O65" si="4">R2-0.1</f>
        <v>0.40920539999999994</v>
      </c>
      <c r="P2" s="253">
        <f t="shared" ref="P2:P33" si="5">ROUND(N2/O2,0)</f>
        <v>10</v>
      </c>
      <c r="Q2" s="252">
        <f t="shared" ref="Q2:Q65" si="6">(P2-N2)/P2</f>
        <v>0.59624506269780642</v>
      </c>
      <c r="R2" s="252">
        <v>0.50920539999999992</v>
      </c>
      <c r="S2" s="252">
        <f t="shared" ref="S2:S65" si="7">Q2-R2</f>
        <v>8.7039662697806497E-2</v>
      </c>
      <c r="T2" s="253">
        <f t="shared" ref="T2:T33" si="8">P2+10</f>
        <v>20</v>
      </c>
      <c r="U2" s="252">
        <f t="shared" ref="U2:U65" si="9">(T2-P2)/T2</f>
        <v>0.5</v>
      </c>
      <c r="V2" s="290">
        <v>127001014</v>
      </c>
      <c r="W2" s="252" t="s">
        <v>500</v>
      </c>
    </row>
    <row r="3" spans="1:23" ht="14.4" x14ac:dyDescent="0.3">
      <c r="A3" s="54" t="s">
        <v>381</v>
      </c>
      <c r="B3" s="244" t="str">
        <f>_xlfn.XLOOKUP(A3,'Base de Dados'!D:D,'Base de Dados'!B:B)</f>
        <v>TIMBRO SWISS SA</v>
      </c>
      <c r="C3" s="244" t="str">
        <f>_xlfn.XLOOKUP(PRECIFICAÇÃO[[#This Row],[INVOICE]],'Base de Dados'!D:D,'Base de Dados'!X:X)</f>
        <v>CONCLUÍDO</v>
      </c>
      <c r="D3" s="54">
        <v>267937</v>
      </c>
      <c r="E3" s="244" t="s">
        <v>893</v>
      </c>
      <c r="F3" s="245">
        <v>744</v>
      </c>
      <c r="G3" s="319">
        <v>1.79</v>
      </c>
      <c r="H3" s="246">
        <v>5.0377999999999998</v>
      </c>
      <c r="I3" s="247">
        <f t="shared" si="0"/>
        <v>9.0176619999999996</v>
      </c>
      <c r="J3" s="248">
        <f t="shared" si="1"/>
        <v>6709.1405279999999</v>
      </c>
      <c r="K3" s="249">
        <f>J3/_xlfn.XLOOKUP(A3,'Base de Dados'!D:D,'Base de Dados'!M:M)</f>
        <v>2.0479944507197957E-2</v>
      </c>
      <c r="L3" s="248">
        <f>K3*_xlfn.XLOOKUP(A3,'Base de Dados'!D:D,'Base de Dados'!N:N)</f>
        <v>557.13886796715406</v>
      </c>
      <c r="M3" s="250">
        <f t="shared" si="2"/>
        <v>7266.2793959671544</v>
      </c>
      <c r="N3" s="251">
        <f t="shared" si="3"/>
        <v>9.7665045644719815</v>
      </c>
      <c r="O3" s="252">
        <f t="shared" si="4"/>
        <v>0.40920539999999994</v>
      </c>
      <c r="P3" s="253">
        <f t="shared" si="5"/>
        <v>24</v>
      </c>
      <c r="Q3" s="252">
        <f t="shared" si="6"/>
        <v>0.59306230981366748</v>
      </c>
      <c r="R3" s="252">
        <v>0.50920539999999992</v>
      </c>
      <c r="S3" s="252">
        <f t="shared" si="7"/>
        <v>8.3856909813667557E-2</v>
      </c>
      <c r="T3" s="253">
        <f t="shared" si="8"/>
        <v>34</v>
      </c>
      <c r="U3" s="252">
        <f t="shared" si="9"/>
        <v>0.29411764705882354</v>
      </c>
      <c r="V3" s="290">
        <v>127001014</v>
      </c>
      <c r="W3" s="252" t="s">
        <v>500</v>
      </c>
    </row>
    <row r="4" spans="1:23" ht="14.4" x14ac:dyDescent="0.3">
      <c r="A4" s="54" t="s">
        <v>381</v>
      </c>
      <c r="B4" s="244" t="str">
        <f>_xlfn.XLOOKUP(A4,'Base de Dados'!D:D,'Base de Dados'!B:B)</f>
        <v>TIMBRO SWISS SA</v>
      </c>
      <c r="C4" s="244" t="str">
        <f>_xlfn.XLOOKUP(PRECIFICAÇÃO[[#This Row],[INVOICE]],'Base de Dados'!D:D,'Base de Dados'!X:X)</f>
        <v>CONCLUÍDO</v>
      </c>
      <c r="D4" s="54">
        <v>267941</v>
      </c>
      <c r="E4" s="244" t="s">
        <v>894</v>
      </c>
      <c r="F4" s="245">
        <v>2496</v>
      </c>
      <c r="G4" s="319">
        <v>1.53</v>
      </c>
      <c r="H4" s="246">
        <v>5.0377999999999998</v>
      </c>
      <c r="I4" s="247">
        <f t="shared" si="0"/>
        <v>7.7078340000000001</v>
      </c>
      <c r="J4" s="248">
        <f t="shared" si="1"/>
        <v>19238.753664</v>
      </c>
      <c r="K4" s="249">
        <f>J4/_xlfn.XLOOKUP(A4,'Base de Dados'!D:D,'Base de Dados'!M:M)</f>
        <v>5.8727135880074589E-2</v>
      </c>
      <c r="L4" s="248">
        <f>K4*_xlfn.XLOOKUP(A4,'Base de Dados'!D:D,'Base de Dados'!N:N)</f>
        <v>1597.6200517378547</v>
      </c>
      <c r="M4" s="250">
        <f t="shared" si="2"/>
        <v>20836.373715737856</v>
      </c>
      <c r="N4" s="251">
        <f t="shared" si="3"/>
        <v>8.3479061361129236</v>
      </c>
      <c r="O4" s="252">
        <f t="shared" si="4"/>
        <v>0.42527551200000002</v>
      </c>
      <c r="P4" s="253">
        <f t="shared" si="5"/>
        <v>20</v>
      </c>
      <c r="Q4" s="252">
        <f t="shared" si="6"/>
        <v>0.58260469319435382</v>
      </c>
      <c r="R4" s="252">
        <v>0.525275512</v>
      </c>
      <c r="S4" s="252">
        <f t="shared" si="7"/>
        <v>5.7329181194353818E-2</v>
      </c>
      <c r="T4" s="253">
        <f t="shared" si="8"/>
        <v>30</v>
      </c>
      <c r="U4" s="252">
        <f t="shared" si="9"/>
        <v>0.33333333333333331</v>
      </c>
      <c r="V4" s="290">
        <v>127001002</v>
      </c>
      <c r="W4" s="252" t="s">
        <v>501</v>
      </c>
    </row>
    <row r="5" spans="1:23" ht="14.4" x14ac:dyDescent="0.3">
      <c r="A5" s="54" t="s">
        <v>381</v>
      </c>
      <c r="B5" s="244" t="str">
        <f>_xlfn.XLOOKUP(A5,'Base de Dados'!D:D,'Base de Dados'!B:B)</f>
        <v>TIMBRO SWISS SA</v>
      </c>
      <c r="C5" s="244" t="str">
        <f>_xlfn.XLOOKUP(PRECIFICAÇÃO[[#This Row],[INVOICE]],'Base de Dados'!D:D,'Base de Dados'!X:X)</f>
        <v>CONCLUÍDO</v>
      </c>
      <c r="D5" s="54">
        <v>267942</v>
      </c>
      <c r="E5" s="244" t="s">
        <v>895</v>
      </c>
      <c r="F5" s="245">
        <v>2496</v>
      </c>
      <c r="G5" s="319">
        <v>1.46</v>
      </c>
      <c r="H5" s="246">
        <v>5.0377999999999998</v>
      </c>
      <c r="I5" s="247">
        <f t="shared" si="0"/>
        <v>7.3551879999999992</v>
      </c>
      <c r="J5" s="248">
        <f t="shared" si="1"/>
        <v>18358.549247999999</v>
      </c>
      <c r="K5" s="249">
        <f>J5/_xlfn.XLOOKUP(A5,'Base de Dados'!D:D,'Base de Dados'!M:M)</f>
        <v>5.6040273454188827E-2</v>
      </c>
      <c r="L5" s="248">
        <f>K5*_xlfn.XLOOKUP(A5,'Base de Dados'!D:D,'Base de Dados'!N:N)</f>
        <v>1524.5263238805674</v>
      </c>
      <c r="M5" s="250">
        <f t="shared" si="2"/>
        <v>19883.075571880567</v>
      </c>
      <c r="N5" s="251">
        <f t="shared" si="3"/>
        <v>7.9659757900162527</v>
      </c>
      <c r="O5" s="252">
        <f t="shared" si="4"/>
        <v>0.44079731899999997</v>
      </c>
      <c r="P5" s="253">
        <f t="shared" si="5"/>
        <v>18</v>
      </c>
      <c r="Q5" s="252">
        <f t="shared" si="6"/>
        <v>0.55744578944354162</v>
      </c>
      <c r="R5" s="252">
        <v>0.54079731899999994</v>
      </c>
      <c r="S5" s="252">
        <f t="shared" si="7"/>
        <v>1.6648470443541674E-2</v>
      </c>
      <c r="T5" s="253">
        <f t="shared" si="8"/>
        <v>28</v>
      </c>
      <c r="U5" s="252">
        <f t="shared" si="9"/>
        <v>0.35714285714285715</v>
      </c>
      <c r="V5" s="290">
        <v>127001006</v>
      </c>
      <c r="W5" s="252" t="s">
        <v>502</v>
      </c>
    </row>
    <row r="6" spans="1:23" ht="14.4" x14ac:dyDescent="0.3">
      <c r="A6" s="54" t="s">
        <v>381</v>
      </c>
      <c r="B6" s="244" t="str">
        <f>_xlfn.XLOOKUP(A6,'Base de Dados'!D:D,'Base de Dados'!B:B)</f>
        <v>TIMBRO SWISS SA</v>
      </c>
      <c r="C6" s="244" t="str">
        <f>_xlfn.XLOOKUP(PRECIFICAÇÃO[[#This Row],[INVOICE]],'Base de Dados'!D:D,'Base de Dados'!X:X)</f>
        <v>CONCLUÍDO</v>
      </c>
      <c r="D6" s="54">
        <v>267945</v>
      </c>
      <c r="E6" s="244" t="s">
        <v>896</v>
      </c>
      <c r="F6" s="245">
        <v>7800</v>
      </c>
      <c r="G6" s="319">
        <v>3.01</v>
      </c>
      <c r="H6" s="246">
        <v>5.0377999999999998</v>
      </c>
      <c r="I6" s="247">
        <f t="shared" si="0"/>
        <v>15.163777999999999</v>
      </c>
      <c r="J6" s="248">
        <f t="shared" si="1"/>
        <v>118277.4684</v>
      </c>
      <c r="K6" s="249">
        <f>J6/_xlfn.XLOOKUP(A6,'Base de Dados'!D:D,'Base de Dados'!M:M)</f>
        <v>0.36104713847839975</v>
      </c>
      <c r="L6" s="248">
        <f>K6*_xlfn.XLOOKUP(A6,'Base de Dados'!D:D,'Base de Dados'!N:N)</f>
        <v>9821.9696808230037</v>
      </c>
      <c r="M6" s="250">
        <f t="shared" si="2"/>
        <v>128099.43808082301</v>
      </c>
      <c r="N6" s="251">
        <f t="shared" si="3"/>
        <v>16.423004882156796</v>
      </c>
      <c r="O6" s="252">
        <f t="shared" si="4"/>
        <v>0.42527551200000002</v>
      </c>
      <c r="P6" s="253">
        <f t="shared" si="5"/>
        <v>39</v>
      </c>
      <c r="Q6" s="252">
        <f t="shared" si="6"/>
        <v>0.57889731071392825</v>
      </c>
      <c r="R6" s="252">
        <v>0.525275512</v>
      </c>
      <c r="S6" s="252">
        <f t="shared" si="7"/>
        <v>5.3621798713928248E-2</v>
      </c>
      <c r="T6" s="253">
        <f t="shared" si="8"/>
        <v>49</v>
      </c>
      <c r="U6" s="252">
        <f t="shared" si="9"/>
        <v>0.20408163265306123</v>
      </c>
      <c r="V6" s="290">
        <v>127001002</v>
      </c>
      <c r="W6" s="252" t="s">
        <v>501</v>
      </c>
    </row>
    <row r="7" spans="1:23" ht="14.4" x14ac:dyDescent="0.3">
      <c r="A7" s="54" t="s">
        <v>381</v>
      </c>
      <c r="B7" s="244" t="str">
        <f>_xlfn.XLOOKUP(A7,'Base de Dados'!D:D,'Base de Dados'!B:B)</f>
        <v>TIMBRO SWISS SA</v>
      </c>
      <c r="C7" s="244" t="str">
        <f>_xlfn.XLOOKUP(PRECIFICAÇÃO[[#This Row],[INVOICE]],'Base de Dados'!D:D,'Base de Dados'!X:X)</f>
        <v>CONCLUÍDO</v>
      </c>
      <c r="D7" s="54">
        <v>268132</v>
      </c>
      <c r="E7" s="244" t="s">
        <v>897</v>
      </c>
      <c r="F7" s="245">
        <v>12984</v>
      </c>
      <c r="G7" s="319">
        <v>2.11</v>
      </c>
      <c r="H7" s="246">
        <v>5.0377999999999998</v>
      </c>
      <c r="I7" s="247">
        <f t="shared" si="0"/>
        <v>10.629757999999999</v>
      </c>
      <c r="J7" s="248">
        <f t="shared" si="1"/>
        <v>138016.77787199998</v>
      </c>
      <c r="K7" s="249">
        <f>J7/_xlfn.XLOOKUP(A7,'Base de Dados'!D:D,'Base de Dados'!M:M)</f>
        <v>0.42130224282594231</v>
      </c>
      <c r="L7" s="248">
        <f>K7*_xlfn.XLOOKUP(A7,'Base de Dados'!D:D,'Base de Dados'!N:N)</f>
        <v>11461.156770106074</v>
      </c>
      <c r="M7" s="250">
        <f t="shared" si="2"/>
        <v>149477.93464210606</v>
      </c>
      <c r="N7" s="251">
        <f t="shared" si="3"/>
        <v>11.512471860913898</v>
      </c>
      <c r="O7" s="252">
        <f t="shared" si="4"/>
        <v>0.40920539999999994</v>
      </c>
      <c r="P7" s="253">
        <f t="shared" si="5"/>
        <v>28</v>
      </c>
      <c r="Q7" s="252">
        <f t="shared" si="6"/>
        <v>0.58884029068164645</v>
      </c>
      <c r="R7" s="252">
        <v>0.50920539999999992</v>
      </c>
      <c r="S7" s="252">
        <f t="shared" si="7"/>
        <v>7.9634890681646531E-2</v>
      </c>
      <c r="T7" s="253">
        <f t="shared" si="8"/>
        <v>38</v>
      </c>
      <c r="U7" s="252">
        <f t="shared" si="9"/>
        <v>0.26315789473684209</v>
      </c>
      <c r="V7" s="290">
        <v>127001014</v>
      </c>
      <c r="W7" s="252" t="s">
        <v>500</v>
      </c>
    </row>
    <row r="8" spans="1:23" ht="14.4" x14ac:dyDescent="0.3">
      <c r="A8" s="54" t="s">
        <v>381</v>
      </c>
      <c r="B8" s="244" t="str">
        <f>_xlfn.XLOOKUP(A8,'Base de Dados'!D:D,'Base de Dados'!B:B)</f>
        <v>TIMBRO SWISS SA</v>
      </c>
      <c r="C8" s="244" t="str">
        <f>_xlfn.XLOOKUP(PRECIFICAÇÃO[[#This Row],[INVOICE]],'Base de Dados'!D:D,'Base de Dados'!X:X)</f>
        <v>CONCLUÍDO</v>
      </c>
      <c r="D8" s="54">
        <v>268133</v>
      </c>
      <c r="E8" s="244" t="s">
        <v>898</v>
      </c>
      <c r="F8" s="245">
        <v>3000</v>
      </c>
      <c r="G8" s="319">
        <v>1.28</v>
      </c>
      <c r="H8" s="246">
        <v>5.0377999999999998</v>
      </c>
      <c r="I8" s="247">
        <f t="shared" si="0"/>
        <v>6.4483839999999999</v>
      </c>
      <c r="J8" s="248">
        <f t="shared" si="1"/>
        <v>19345.151999999998</v>
      </c>
      <c r="K8" s="249">
        <f>J8/_xlfn.XLOOKUP(A8,'Base de Dados'!D:D,'Base de Dados'!M:M)</f>
        <v>5.9051921448038801E-2</v>
      </c>
      <c r="L8" s="248">
        <f>K8*_xlfn.XLOOKUP(A8,'Base de Dados'!D:D,'Base de Dados'!N:N)</f>
        <v>1606.4555573030214</v>
      </c>
      <c r="M8" s="250">
        <f t="shared" si="2"/>
        <v>20951.607557303021</v>
      </c>
      <c r="N8" s="251">
        <f t="shared" si="3"/>
        <v>6.9838691857676736</v>
      </c>
      <c r="O8" s="252">
        <f t="shared" si="4"/>
        <v>0.40920539999999994</v>
      </c>
      <c r="P8" s="253">
        <f t="shared" si="5"/>
        <v>17</v>
      </c>
      <c r="Q8" s="252">
        <f t="shared" si="6"/>
        <v>0.58918416554307806</v>
      </c>
      <c r="R8" s="252">
        <v>0.50920539999999992</v>
      </c>
      <c r="S8" s="252">
        <f t="shared" si="7"/>
        <v>7.9978765543078145E-2</v>
      </c>
      <c r="T8" s="253">
        <f t="shared" si="8"/>
        <v>27</v>
      </c>
      <c r="U8" s="252">
        <f t="shared" si="9"/>
        <v>0.37037037037037035</v>
      </c>
      <c r="V8" s="290">
        <v>127001014</v>
      </c>
      <c r="W8" s="252" t="s">
        <v>500</v>
      </c>
    </row>
    <row r="9" spans="1:23" ht="14.4" x14ac:dyDescent="0.3">
      <c r="A9" s="54" t="s">
        <v>336</v>
      </c>
      <c r="B9" s="244" t="str">
        <f>_xlfn.XLOOKUP(A9,'Base de Dados'!D:D,'Base de Dados'!B:B)</f>
        <v>TIMBRO SWISS SA</v>
      </c>
      <c r="C9" s="244" t="str">
        <f>_xlfn.XLOOKUP(PRECIFICAÇÃO[[#This Row],[INVOICE]],'Base de Dados'!D:D,'Base de Dados'!X:X)</f>
        <v>CONCLUÍDO</v>
      </c>
      <c r="D9" s="54">
        <v>238697</v>
      </c>
      <c r="E9" s="244" t="s">
        <v>899</v>
      </c>
      <c r="F9" s="245">
        <v>2112</v>
      </c>
      <c r="G9" s="319">
        <v>17.079999999999998</v>
      </c>
      <c r="H9" s="246">
        <v>5.2869999999999999</v>
      </c>
      <c r="I9" s="247">
        <f t="shared" si="0"/>
        <v>90.301959999999994</v>
      </c>
      <c r="J9" s="248">
        <f t="shared" si="1"/>
        <v>190717.73951999997</v>
      </c>
      <c r="K9" s="249">
        <f>J9/_xlfn.XLOOKUP(A9,'Base de Dados'!D:D,'Base de Dados'!M:M)</f>
        <v>0.99999999748319157</v>
      </c>
      <c r="L9" s="248">
        <f>K9*_xlfn.XLOOKUP(A9,'Base de Dados'!D:D,'Base de Dados'!N:N)</f>
        <v>12270.969969116319</v>
      </c>
      <c r="M9" s="250">
        <f t="shared" si="2"/>
        <v>202988.7094891163</v>
      </c>
      <c r="N9" s="251">
        <f t="shared" si="3"/>
        <v>96.112078356589151</v>
      </c>
      <c r="O9" s="252">
        <f t="shared" si="4"/>
        <v>0.39270865200000005</v>
      </c>
      <c r="P9" s="253">
        <f t="shared" si="5"/>
        <v>245</v>
      </c>
      <c r="Q9" s="252">
        <f t="shared" si="6"/>
        <v>0.60770580262616669</v>
      </c>
      <c r="R9" s="252">
        <v>0.49270865200000002</v>
      </c>
      <c r="S9" s="252">
        <f t="shared" si="7"/>
        <v>0.11499715062616667</v>
      </c>
      <c r="T9" s="253">
        <f t="shared" si="8"/>
        <v>255</v>
      </c>
      <c r="U9" s="252">
        <f t="shared" si="9"/>
        <v>3.9215686274509803E-2</v>
      </c>
      <c r="V9" s="290">
        <v>111001012</v>
      </c>
      <c r="W9" s="252" t="s">
        <v>493</v>
      </c>
    </row>
    <row r="10" spans="1:23" ht="14.4" x14ac:dyDescent="0.3">
      <c r="A10" s="54" t="s">
        <v>344</v>
      </c>
      <c r="B10" s="244" t="str">
        <f>_xlfn.XLOOKUP(A10,'Base de Dados'!D:D,'Base de Dados'!B:B)</f>
        <v>TIMBRO SWISS SA</v>
      </c>
      <c r="C10" s="244" t="str">
        <f>_xlfn.XLOOKUP(PRECIFICAÇÃO[[#This Row],[INVOICE]],'Base de Dados'!D:D,'Base de Dados'!X:X)</f>
        <v>CONCLUÍDO</v>
      </c>
      <c r="D10" s="54">
        <v>358229</v>
      </c>
      <c r="E10" s="244" t="s">
        <v>900</v>
      </c>
      <c r="F10" s="245">
        <v>425</v>
      </c>
      <c r="G10" s="319">
        <v>49.32</v>
      </c>
      <c r="H10" s="246">
        <v>5.2869999999999999</v>
      </c>
      <c r="I10" s="247">
        <f t="shared" si="0"/>
        <v>260.75484</v>
      </c>
      <c r="J10" s="248">
        <f t="shared" si="1"/>
        <v>110820.807</v>
      </c>
      <c r="K10" s="249">
        <f>J10/_xlfn.XLOOKUP(A10,'Base de Dados'!D:D,'Base de Dados'!M:M)</f>
        <v>0.63854871874594143</v>
      </c>
      <c r="L10" s="248">
        <f>K10*_xlfn.XLOOKUP(A10,'Base de Dados'!D:D,'Base de Dados'!N:N)</f>
        <v>7089.6148596205649</v>
      </c>
      <c r="M10" s="250">
        <f t="shared" si="2"/>
        <v>117910.42185962056</v>
      </c>
      <c r="N10" s="251">
        <f t="shared" si="3"/>
        <v>277.43628672851895</v>
      </c>
      <c r="O10" s="252">
        <f t="shared" si="4"/>
        <v>0.35806810700000002</v>
      </c>
      <c r="P10" s="253">
        <f t="shared" si="5"/>
        <v>775</v>
      </c>
      <c r="Q10" s="252">
        <f t="shared" si="6"/>
        <v>0.6420176945438465</v>
      </c>
      <c r="R10" s="252">
        <v>0.458068107</v>
      </c>
      <c r="S10" s="252">
        <f t="shared" si="7"/>
        <v>0.18394958754384649</v>
      </c>
      <c r="T10" s="253">
        <f t="shared" si="8"/>
        <v>785</v>
      </c>
      <c r="U10" s="252">
        <f t="shared" si="9"/>
        <v>1.2738853503184714E-2</v>
      </c>
      <c r="V10" s="290">
        <v>117006005</v>
      </c>
      <c r="W10" s="252" t="s">
        <v>528</v>
      </c>
    </row>
    <row r="11" spans="1:23" ht="14.4" x14ac:dyDescent="0.3">
      <c r="A11" s="49" t="s">
        <v>344</v>
      </c>
      <c r="B11" s="277" t="str">
        <f>_xlfn.XLOOKUP(A11,'Base de Dados'!D:D,'Base de Dados'!B:B)</f>
        <v>TIMBRO SWISS SA</v>
      </c>
      <c r="C11" s="277" t="str">
        <f>_xlfn.XLOOKUP(PRECIFICAÇÃO[[#This Row],[INVOICE]],'Base de Dados'!D:D,'Base de Dados'!X:X)</f>
        <v>CONCLUÍDO</v>
      </c>
      <c r="D11" s="49">
        <v>238723</v>
      </c>
      <c r="E11" s="277" t="s">
        <v>16</v>
      </c>
      <c r="F11" s="278">
        <v>2100</v>
      </c>
      <c r="G11" s="320">
        <v>5.65</v>
      </c>
      <c r="H11" s="279">
        <v>5.2869999999999999</v>
      </c>
      <c r="I11" s="280">
        <f t="shared" si="0"/>
        <v>29.871550000000003</v>
      </c>
      <c r="J11" s="281">
        <f t="shared" si="1"/>
        <v>62730.255000000005</v>
      </c>
      <c r="K11" s="282">
        <f>J11/_xlfn.XLOOKUP(A11,'Base de Dados'!D:D,'Base de Dados'!M:M)</f>
        <v>0.36145129277804472</v>
      </c>
      <c r="L11" s="281">
        <f>K11*_xlfn.XLOOKUP(A11,'Base de Dados'!D:D,'Base de Dados'!N:N)</f>
        <v>4013.0852683267972</v>
      </c>
      <c r="M11" s="283">
        <f t="shared" si="2"/>
        <v>66743.340268326807</v>
      </c>
      <c r="N11" s="284">
        <f t="shared" si="3"/>
        <v>31.782542984917526</v>
      </c>
      <c r="O11" s="285">
        <f t="shared" si="4"/>
        <v>0.41017661900000002</v>
      </c>
      <c r="P11" s="286">
        <f t="shared" si="5"/>
        <v>77</v>
      </c>
      <c r="Q11" s="285">
        <f t="shared" si="6"/>
        <v>0.5872397014945776</v>
      </c>
      <c r="R11" s="285">
        <v>0.510176619</v>
      </c>
      <c r="S11" s="285">
        <f t="shared" si="7"/>
        <v>7.7063082494577606E-2</v>
      </c>
      <c r="T11" s="286">
        <f t="shared" si="8"/>
        <v>87</v>
      </c>
      <c r="U11" s="285">
        <f t="shared" si="9"/>
        <v>0.11494252873563218</v>
      </c>
      <c r="V11" s="291">
        <v>111003001</v>
      </c>
      <c r="W11" s="252" t="s">
        <v>499</v>
      </c>
    </row>
    <row r="12" spans="1:23" ht="14.4" x14ac:dyDescent="0.3">
      <c r="A12" s="54" t="s">
        <v>726</v>
      </c>
      <c r="B12" s="244" t="str">
        <f>_xlfn.XLOOKUP(A12,'Base de Dados'!D:D,'Base de Dados'!B:B)</f>
        <v>TIMBRO SWISS SA</v>
      </c>
      <c r="C12" s="244" t="str">
        <f>_xlfn.XLOOKUP(PRECIFICAÇÃO[[#This Row],[INVOICE]],'Base de Dados'!D:D,'Base de Dados'!X:X)</f>
        <v>CONCLUÍDO</v>
      </c>
      <c r="D12" s="54">
        <v>373482</v>
      </c>
      <c r="E12" s="244" t="s">
        <v>901</v>
      </c>
      <c r="F12" s="245">
        <v>528</v>
      </c>
      <c r="G12" s="319">
        <v>8.5</v>
      </c>
      <c r="H12" s="246">
        <v>5.2308000000000003</v>
      </c>
      <c r="I12" s="247">
        <f t="shared" si="0"/>
        <v>44.461800000000004</v>
      </c>
      <c r="J12" s="248">
        <f t="shared" si="1"/>
        <v>23475.830400000003</v>
      </c>
      <c r="K12" s="249">
        <f>J12/_xlfn.XLOOKUP(A12,'Base de Dados'!D:D,'Base de Dados'!M:M)</f>
        <v>4.3243976723166391E-2</v>
      </c>
      <c r="L12" s="248">
        <f>K12*_xlfn.XLOOKUP(A12,'Base de Dados'!D:D,'Base de Dados'!N:N)</f>
        <v>657.33871697583538</v>
      </c>
      <c r="M12" s="250">
        <f t="shared" si="2"/>
        <v>24133.169116975838</v>
      </c>
      <c r="N12" s="251">
        <f t="shared" si="3"/>
        <v>45.706759691242119</v>
      </c>
      <c r="O12" s="252">
        <f t="shared" si="4"/>
        <v>0.42743574600000001</v>
      </c>
      <c r="P12" s="253">
        <f t="shared" si="5"/>
        <v>107</v>
      </c>
      <c r="Q12" s="252">
        <f t="shared" si="6"/>
        <v>0.57283402157717644</v>
      </c>
      <c r="R12" s="252">
        <v>0.52743574599999998</v>
      </c>
      <c r="S12" s="252">
        <f t="shared" si="7"/>
        <v>4.5398275577176461E-2</v>
      </c>
      <c r="T12" s="253">
        <f t="shared" si="8"/>
        <v>117</v>
      </c>
      <c r="U12" s="252">
        <f t="shared" si="9"/>
        <v>8.5470085470085472E-2</v>
      </c>
      <c r="V12" s="290">
        <v>107001003</v>
      </c>
      <c r="W12" s="252" t="s">
        <v>534</v>
      </c>
    </row>
    <row r="13" spans="1:23" ht="14.4" x14ac:dyDescent="0.3">
      <c r="A13" s="54" t="s">
        <v>726</v>
      </c>
      <c r="B13" s="244" t="str">
        <f>_xlfn.XLOOKUP(A13,'Base de Dados'!D:D,'Base de Dados'!B:B)</f>
        <v>TIMBRO SWISS SA</v>
      </c>
      <c r="C13" s="244" t="str">
        <f>_xlfn.XLOOKUP(PRECIFICAÇÃO[[#This Row],[INVOICE]],'Base de Dados'!D:D,'Base de Dados'!X:X)</f>
        <v>CONCLUÍDO</v>
      </c>
      <c r="D13" s="54">
        <v>373483</v>
      </c>
      <c r="E13" s="244" t="s">
        <v>902</v>
      </c>
      <c r="F13" s="245">
        <v>540</v>
      </c>
      <c r="G13" s="319">
        <v>8.5</v>
      </c>
      <c r="H13" s="246">
        <v>5.2308000000000003</v>
      </c>
      <c r="I13" s="247">
        <f t="shared" si="0"/>
        <v>44.461800000000004</v>
      </c>
      <c r="J13" s="248">
        <f t="shared" si="1"/>
        <v>24009.372000000003</v>
      </c>
      <c r="K13" s="249">
        <f>J13/_xlfn.XLOOKUP(A13,'Base de Dados'!D:D,'Base de Dados'!M:M)</f>
        <v>4.4226794375965627E-2</v>
      </c>
      <c r="L13" s="248">
        <f>K13*_xlfn.XLOOKUP(A13,'Base de Dados'!D:D,'Base de Dados'!N:N)</f>
        <v>672.27823327074077</v>
      </c>
      <c r="M13" s="250">
        <f t="shared" si="2"/>
        <v>24681.650233270742</v>
      </c>
      <c r="N13" s="251">
        <f t="shared" si="3"/>
        <v>45.706759691242112</v>
      </c>
      <c r="O13" s="252">
        <f t="shared" si="4"/>
        <v>0.42743574600000001</v>
      </c>
      <c r="P13" s="253">
        <f t="shared" si="5"/>
        <v>107</v>
      </c>
      <c r="Q13" s="252">
        <f t="shared" si="6"/>
        <v>0.57283402157717656</v>
      </c>
      <c r="R13" s="252">
        <v>0.52743574599999998</v>
      </c>
      <c r="S13" s="252">
        <f t="shared" si="7"/>
        <v>4.5398275577176572E-2</v>
      </c>
      <c r="T13" s="253">
        <f t="shared" si="8"/>
        <v>117</v>
      </c>
      <c r="U13" s="252">
        <f t="shared" si="9"/>
        <v>8.5470085470085472E-2</v>
      </c>
      <c r="V13" s="290">
        <v>107001003</v>
      </c>
      <c r="W13" s="252" t="s">
        <v>534</v>
      </c>
    </row>
    <row r="14" spans="1:23" ht="14.4" x14ac:dyDescent="0.3">
      <c r="A14" s="54" t="s">
        <v>726</v>
      </c>
      <c r="B14" s="244" t="str">
        <f>_xlfn.XLOOKUP(A14,'Base de Dados'!D:D,'Base de Dados'!B:B)</f>
        <v>TIMBRO SWISS SA</v>
      </c>
      <c r="C14" s="244" t="str">
        <f>_xlfn.XLOOKUP(PRECIFICAÇÃO[[#This Row],[INVOICE]],'Base de Dados'!D:D,'Base de Dados'!X:X)</f>
        <v>CONCLUÍDO</v>
      </c>
      <c r="D14" s="54">
        <v>373484</v>
      </c>
      <c r="E14" s="244" t="s">
        <v>903</v>
      </c>
      <c r="F14" s="245">
        <v>840</v>
      </c>
      <c r="G14" s="319">
        <v>15.25</v>
      </c>
      <c r="H14" s="246">
        <v>5.2308000000000003</v>
      </c>
      <c r="I14" s="247">
        <f t="shared" si="0"/>
        <v>79.7697</v>
      </c>
      <c r="J14" s="248">
        <f t="shared" si="1"/>
        <v>67006.547999999995</v>
      </c>
      <c r="K14" s="249">
        <f>J14/_xlfn.XLOOKUP(A14,'Base de Dados'!D:D,'Base de Dados'!M:M)</f>
        <v>0.12343033463096287</v>
      </c>
      <c r="L14" s="248">
        <f>K14*_xlfn.XLOOKUP(A14,'Base de Dados'!D:D,'Base de Dados'!N:N)</f>
        <v>1876.2274876248773</v>
      </c>
      <c r="M14" s="250">
        <f t="shared" si="2"/>
        <v>68882.775487624865</v>
      </c>
      <c r="N14" s="251">
        <f t="shared" si="3"/>
        <v>82.003304151934358</v>
      </c>
      <c r="O14" s="252">
        <f t="shared" si="4"/>
        <v>0.42743574600000001</v>
      </c>
      <c r="P14" s="253">
        <f t="shared" si="5"/>
        <v>192</v>
      </c>
      <c r="Q14" s="252">
        <f t="shared" si="6"/>
        <v>0.57289945754200855</v>
      </c>
      <c r="R14" s="252">
        <v>0.52743574599999998</v>
      </c>
      <c r="S14" s="252">
        <f t="shared" si="7"/>
        <v>4.5463711542008567E-2</v>
      </c>
      <c r="T14" s="253">
        <f t="shared" si="8"/>
        <v>202</v>
      </c>
      <c r="U14" s="252">
        <f t="shared" si="9"/>
        <v>4.9504950495049507E-2</v>
      </c>
      <c r="V14" s="290">
        <v>107001003</v>
      </c>
      <c r="W14" s="252" t="s">
        <v>534</v>
      </c>
    </row>
    <row r="15" spans="1:23" ht="14.4" x14ac:dyDescent="0.3">
      <c r="A15" s="54" t="s">
        <v>726</v>
      </c>
      <c r="B15" s="244" t="str">
        <f>_xlfn.XLOOKUP(A15,'Base de Dados'!D:D,'Base de Dados'!B:B)</f>
        <v>TIMBRO SWISS SA</v>
      </c>
      <c r="C15" s="244" t="str">
        <f>_xlfn.XLOOKUP(PRECIFICAÇÃO[[#This Row],[INVOICE]],'Base de Dados'!D:D,'Base de Dados'!X:X)</f>
        <v>CONCLUÍDO</v>
      </c>
      <c r="D15" s="54">
        <v>373485</v>
      </c>
      <c r="E15" s="244" t="s">
        <v>904</v>
      </c>
      <c r="F15" s="245">
        <v>852</v>
      </c>
      <c r="G15" s="319">
        <v>15.25</v>
      </c>
      <c r="H15" s="246">
        <v>5.2308000000000003</v>
      </c>
      <c r="I15" s="247">
        <f t="shared" si="0"/>
        <v>79.7697</v>
      </c>
      <c r="J15" s="248">
        <f t="shared" si="1"/>
        <v>67963.784400000004</v>
      </c>
      <c r="K15" s="249">
        <f>J15/_xlfn.XLOOKUP(A15,'Base de Dados'!D:D,'Base de Dados'!M:M)</f>
        <v>0.12519362512569093</v>
      </c>
      <c r="L15" s="248">
        <f>K15*_xlfn.XLOOKUP(A15,'Base de Dados'!D:D,'Base de Dados'!N:N)</f>
        <v>1903.0307374480903</v>
      </c>
      <c r="M15" s="250">
        <f t="shared" si="2"/>
        <v>69866.815137448095</v>
      </c>
      <c r="N15" s="251">
        <f t="shared" si="3"/>
        <v>82.003304151934387</v>
      </c>
      <c r="O15" s="252">
        <f t="shared" si="4"/>
        <v>0.42743574600000001</v>
      </c>
      <c r="P15" s="253">
        <f t="shared" si="5"/>
        <v>192</v>
      </c>
      <c r="Q15" s="252">
        <f t="shared" si="6"/>
        <v>0.57289945754200844</v>
      </c>
      <c r="R15" s="252">
        <v>0.52743574599999998</v>
      </c>
      <c r="S15" s="252">
        <f t="shared" si="7"/>
        <v>4.5463711542008456E-2</v>
      </c>
      <c r="T15" s="253">
        <f t="shared" si="8"/>
        <v>202</v>
      </c>
      <c r="U15" s="252">
        <f t="shared" si="9"/>
        <v>4.9504950495049507E-2</v>
      </c>
      <c r="V15" s="290">
        <v>107001003</v>
      </c>
      <c r="W15" s="252" t="s">
        <v>534</v>
      </c>
    </row>
    <row r="16" spans="1:23" ht="14.4" x14ac:dyDescent="0.3">
      <c r="A16" s="54" t="s">
        <v>726</v>
      </c>
      <c r="B16" s="244" t="str">
        <f>_xlfn.XLOOKUP(A16,'Base de Dados'!D:D,'Base de Dados'!B:B)</f>
        <v>TIMBRO SWISS SA</v>
      </c>
      <c r="C16" s="244" t="str">
        <f>_xlfn.XLOOKUP(PRECIFICAÇÃO[[#This Row],[INVOICE]],'Base de Dados'!D:D,'Base de Dados'!X:X)</f>
        <v>CONCLUÍDO</v>
      </c>
      <c r="D16" s="54">
        <v>373486</v>
      </c>
      <c r="E16" s="244" t="s">
        <v>905</v>
      </c>
      <c r="F16" s="245">
        <v>840</v>
      </c>
      <c r="G16" s="319">
        <v>15.25</v>
      </c>
      <c r="H16" s="246">
        <v>5.2308000000000003</v>
      </c>
      <c r="I16" s="247">
        <f t="shared" si="0"/>
        <v>79.7697</v>
      </c>
      <c r="J16" s="248">
        <f t="shared" si="1"/>
        <v>67006.547999999995</v>
      </c>
      <c r="K16" s="249">
        <f>J16/_xlfn.XLOOKUP(A16,'Base de Dados'!D:D,'Base de Dados'!M:M)</f>
        <v>0.12343033463096287</v>
      </c>
      <c r="L16" s="248">
        <f>K16*_xlfn.XLOOKUP(A16,'Base de Dados'!D:D,'Base de Dados'!N:N)</f>
        <v>1876.2274876248773</v>
      </c>
      <c r="M16" s="250">
        <f t="shared" si="2"/>
        <v>68882.775487624865</v>
      </c>
      <c r="N16" s="251">
        <f t="shared" si="3"/>
        <v>82.003304151934358</v>
      </c>
      <c r="O16" s="252">
        <f t="shared" si="4"/>
        <v>0.42743574600000001</v>
      </c>
      <c r="P16" s="253">
        <f t="shared" si="5"/>
        <v>192</v>
      </c>
      <c r="Q16" s="252">
        <f t="shared" si="6"/>
        <v>0.57289945754200855</v>
      </c>
      <c r="R16" s="252">
        <v>0.52743574599999998</v>
      </c>
      <c r="S16" s="252">
        <f t="shared" si="7"/>
        <v>4.5463711542008567E-2</v>
      </c>
      <c r="T16" s="253">
        <f t="shared" si="8"/>
        <v>202</v>
      </c>
      <c r="U16" s="252">
        <f t="shared" si="9"/>
        <v>4.9504950495049507E-2</v>
      </c>
      <c r="V16" s="290">
        <v>107001003</v>
      </c>
      <c r="W16" s="252" t="s">
        <v>534</v>
      </c>
    </row>
    <row r="17" spans="1:23" ht="14.4" x14ac:dyDescent="0.3">
      <c r="A17" s="54" t="s">
        <v>726</v>
      </c>
      <c r="B17" s="244" t="str">
        <f>_xlfn.XLOOKUP(A17,'Base de Dados'!D:D,'Base de Dados'!B:B)</f>
        <v>TIMBRO SWISS SA</v>
      </c>
      <c r="C17" s="244" t="str">
        <f>_xlfn.XLOOKUP(PRECIFICAÇÃO[[#This Row],[INVOICE]],'Base de Dados'!D:D,'Base de Dados'!X:X)</f>
        <v>CONCLUÍDO</v>
      </c>
      <c r="D17" s="54">
        <v>373487</v>
      </c>
      <c r="E17" s="244" t="s">
        <v>906</v>
      </c>
      <c r="F17" s="245">
        <v>820</v>
      </c>
      <c r="G17" s="319">
        <v>15.5</v>
      </c>
      <c r="H17" s="246">
        <v>5.2308000000000003</v>
      </c>
      <c r="I17" s="247">
        <f t="shared" si="0"/>
        <v>81.077400000000011</v>
      </c>
      <c r="J17" s="248">
        <f t="shared" si="1"/>
        <v>66483.468000000008</v>
      </c>
      <c r="K17" s="249">
        <f>J17/_xlfn.XLOOKUP(A17,'Base de Dados'!D:D,'Base de Dados'!M:M)</f>
        <v>0.12246678791253227</v>
      </c>
      <c r="L17" s="248">
        <f>K17*_xlfn.XLOOKUP(A17,'Base de Dados'!D:D,'Base de Dados'!N:N)</f>
        <v>1861.5809030220294</v>
      </c>
      <c r="M17" s="250">
        <f t="shared" si="2"/>
        <v>68345.048903022034</v>
      </c>
      <c r="N17" s="251">
        <f t="shared" si="3"/>
        <v>83.347620613441507</v>
      </c>
      <c r="O17" s="252">
        <f t="shared" si="4"/>
        <v>0.42743574600000001</v>
      </c>
      <c r="P17" s="253">
        <f t="shared" si="5"/>
        <v>195</v>
      </c>
      <c r="Q17" s="252">
        <f t="shared" si="6"/>
        <v>0.57257630454645381</v>
      </c>
      <c r="R17" s="252">
        <v>0.52743574599999998</v>
      </c>
      <c r="S17" s="252">
        <f t="shared" si="7"/>
        <v>4.5140558546453824E-2</v>
      </c>
      <c r="T17" s="253">
        <f t="shared" si="8"/>
        <v>205</v>
      </c>
      <c r="U17" s="252">
        <f t="shared" si="9"/>
        <v>4.878048780487805E-2</v>
      </c>
      <c r="V17" s="290">
        <v>107001003</v>
      </c>
      <c r="W17" s="252" t="s">
        <v>534</v>
      </c>
    </row>
    <row r="18" spans="1:23" ht="14.4" x14ac:dyDescent="0.3">
      <c r="A18" s="54" t="s">
        <v>726</v>
      </c>
      <c r="B18" s="244" t="str">
        <f>_xlfn.XLOOKUP(A18,'Base de Dados'!D:D,'Base de Dados'!B:B)</f>
        <v>TIMBRO SWISS SA</v>
      </c>
      <c r="C18" s="244" t="str">
        <f>_xlfn.XLOOKUP(PRECIFICAÇÃO[[#This Row],[INVOICE]],'Base de Dados'!D:D,'Base de Dados'!X:X)</f>
        <v>CONCLUÍDO</v>
      </c>
      <c r="D18" s="54">
        <v>373490</v>
      </c>
      <c r="E18" s="244" t="s">
        <v>907</v>
      </c>
      <c r="F18" s="245">
        <v>416</v>
      </c>
      <c r="G18" s="319">
        <v>18.22</v>
      </c>
      <c r="H18" s="246">
        <v>5.2308000000000003</v>
      </c>
      <c r="I18" s="247">
        <f t="shared" si="0"/>
        <v>95.305176000000003</v>
      </c>
      <c r="J18" s="248">
        <f t="shared" si="1"/>
        <v>39646.953216000002</v>
      </c>
      <c r="K18" s="249">
        <f>J18/_xlfn.XLOOKUP(A18,'Base de Dados'!D:D,'Base de Dados'!M:M)</f>
        <v>7.3032216232792796E-2</v>
      </c>
      <c r="L18" s="248">
        <f>K18*_xlfn.XLOOKUP(A18,'Base de Dados'!D:D,'Base de Dados'!N:N)</f>
        <v>1110.1408092898134</v>
      </c>
      <c r="M18" s="250">
        <f t="shared" si="2"/>
        <v>40757.094025289814</v>
      </c>
      <c r="N18" s="251">
        <f t="shared" si="3"/>
        <v>97.973783714638984</v>
      </c>
      <c r="O18" s="252">
        <f t="shared" si="4"/>
        <v>0.42743574600000001</v>
      </c>
      <c r="P18" s="253">
        <f t="shared" si="5"/>
        <v>229</v>
      </c>
      <c r="Q18" s="252">
        <f t="shared" si="6"/>
        <v>0.57216688334218779</v>
      </c>
      <c r="R18" s="252">
        <v>0.52743574599999998</v>
      </c>
      <c r="S18" s="252">
        <f t="shared" si="7"/>
        <v>4.473113734218781E-2</v>
      </c>
      <c r="T18" s="253">
        <f t="shared" si="8"/>
        <v>239</v>
      </c>
      <c r="U18" s="252">
        <f t="shared" si="9"/>
        <v>4.1841004184100417E-2</v>
      </c>
      <c r="V18" s="290">
        <v>107001003</v>
      </c>
      <c r="W18" s="252" t="s">
        <v>534</v>
      </c>
    </row>
    <row r="19" spans="1:23" ht="14.4" x14ac:dyDescent="0.3">
      <c r="A19" s="54" t="s">
        <v>726</v>
      </c>
      <c r="B19" s="244" t="str">
        <f>_xlfn.XLOOKUP(A19,'Base de Dados'!D:D,'Base de Dados'!B:B)</f>
        <v>TIMBRO SWISS SA</v>
      </c>
      <c r="C19" s="244" t="str">
        <f>_xlfn.XLOOKUP(PRECIFICAÇÃO[[#This Row],[INVOICE]],'Base de Dados'!D:D,'Base de Dados'!X:X)</f>
        <v>CONCLUÍDO</v>
      </c>
      <c r="D19" s="54">
        <v>373481</v>
      </c>
      <c r="E19" s="244" t="s">
        <v>908</v>
      </c>
      <c r="F19" s="245">
        <v>540</v>
      </c>
      <c r="G19" s="319">
        <v>8.5</v>
      </c>
      <c r="H19" s="246">
        <v>5.2308000000000003</v>
      </c>
      <c r="I19" s="247">
        <f t="shared" si="0"/>
        <v>44.461800000000004</v>
      </c>
      <c r="J19" s="248">
        <f t="shared" si="1"/>
        <v>24009.372000000003</v>
      </c>
      <c r="K19" s="249">
        <f>J19/_xlfn.XLOOKUP(A19,'Base de Dados'!D:D,'Base de Dados'!M:M)</f>
        <v>4.4226794375965627E-2</v>
      </c>
      <c r="L19" s="248">
        <f>K19*_xlfn.XLOOKUP(A19,'Base de Dados'!D:D,'Base de Dados'!N:N)</f>
        <v>672.27823327074077</v>
      </c>
      <c r="M19" s="250">
        <f t="shared" si="2"/>
        <v>24681.650233270742</v>
      </c>
      <c r="N19" s="251">
        <f t="shared" si="3"/>
        <v>45.706759691242112</v>
      </c>
      <c r="O19" s="252">
        <f t="shared" si="4"/>
        <v>0.42743574600000001</v>
      </c>
      <c r="P19" s="253">
        <f t="shared" si="5"/>
        <v>107</v>
      </c>
      <c r="Q19" s="252">
        <f t="shared" si="6"/>
        <v>0.57283402157717656</v>
      </c>
      <c r="R19" s="252">
        <v>0.52743574599999998</v>
      </c>
      <c r="S19" s="252">
        <f t="shared" si="7"/>
        <v>4.5398275577176572E-2</v>
      </c>
      <c r="T19" s="253">
        <f t="shared" si="8"/>
        <v>117</v>
      </c>
      <c r="U19" s="252">
        <f t="shared" si="9"/>
        <v>8.5470085470085472E-2</v>
      </c>
      <c r="V19" s="290">
        <v>107001003</v>
      </c>
      <c r="W19" s="252" t="s">
        <v>534</v>
      </c>
    </row>
    <row r="20" spans="1:23" ht="14.4" x14ac:dyDescent="0.3">
      <c r="A20" s="54" t="s">
        <v>726</v>
      </c>
      <c r="B20" s="244" t="str">
        <f>_xlfn.XLOOKUP(A20,'Base de Dados'!D:D,'Base de Dados'!B:B)</f>
        <v>TIMBRO SWISS SA</v>
      </c>
      <c r="C20" s="244" t="str">
        <f>_xlfn.XLOOKUP(PRECIFICAÇÃO[[#This Row],[INVOICE]],'Base de Dados'!D:D,'Base de Dados'!X:X)</f>
        <v>CONCLUÍDO</v>
      </c>
      <c r="D20" s="54">
        <v>373493</v>
      </c>
      <c r="E20" s="244" t="s">
        <v>909</v>
      </c>
      <c r="F20" s="245">
        <v>630</v>
      </c>
      <c r="G20" s="319">
        <v>3.4</v>
      </c>
      <c r="H20" s="246">
        <v>5.2308000000000003</v>
      </c>
      <c r="I20" s="247">
        <f t="shared" si="0"/>
        <v>17.78472</v>
      </c>
      <c r="J20" s="248">
        <f t="shared" si="1"/>
        <v>11204.373600000001</v>
      </c>
      <c r="K20" s="249">
        <f>J20/_xlfn.XLOOKUP(A20,'Base de Dados'!D:D,'Base de Dados'!M:M)</f>
        <v>2.0639170708783957E-2</v>
      </c>
      <c r="L20" s="248">
        <f>K20*_xlfn.XLOOKUP(A20,'Base de Dados'!D:D,'Base de Dados'!N:N)</f>
        <v>313.7298421930123</v>
      </c>
      <c r="M20" s="250">
        <f t="shared" si="2"/>
        <v>11518.103442193013</v>
      </c>
      <c r="N20" s="251">
        <f t="shared" si="3"/>
        <v>18.282703876496846</v>
      </c>
      <c r="O20" s="252">
        <f t="shared" si="4"/>
        <v>0.43768192699999997</v>
      </c>
      <c r="P20" s="253">
        <f t="shared" si="5"/>
        <v>42</v>
      </c>
      <c r="Q20" s="252">
        <f t="shared" si="6"/>
        <v>0.56469752675007512</v>
      </c>
      <c r="R20" s="252">
        <v>0.53768192699999995</v>
      </c>
      <c r="S20" s="252">
        <f t="shared" si="7"/>
        <v>2.701559975007517E-2</v>
      </c>
      <c r="T20" s="253">
        <f t="shared" si="8"/>
        <v>52</v>
      </c>
      <c r="U20" s="252">
        <f t="shared" si="9"/>
        <v>0.19230769230769232</v>
      </c>
      <c r="V20" s="290">
        <v>107001004</v>
      </c>
      <c r="W20" s="252" t="s">
        <v>563</v>
      </c>
    </row>
    <row r="21" spans="1:23" ht="14.4" x14ac:dyDescent="0.3">
      <c r="A21" s="54" t="s">
        <v>726</v>
      </c>
      <c r="B21" s="244" t="str">
        <f>_xlfn.XLOOKUP(A21,'Base de Dados'!D:D,'Base de Dados'!B:B)</f>
        <v>TIMBRO SWISS SA</v>
      </c>
      <c r="C21" s="244" t="str">
        <f>_xlfn.XLOOKUP(PRECIFICAÇÃO[[#This Row],[INVOICE]],'Base de Dados'!D:D,'Base de Dados'!X:X)</f>
        <v>CONCLUÍDO</v>
      </c>
      <c r="D21" s="54">
        <v>373494</v>
      </c>
      <c r="E21" s="244" t="s">
        <v>910</v>
      </c>
      <c r="F21" s="245">
        <v>648</v>
      </c>
      <c r="G21" s="319">
        <v>3.4</v>
      </c>
      <c r="H21" s="246">
        <v>5.2308000000000003</v>
      </c>
      <c r="I21" s="247">
        <f t="shared" si="0"/>
        <v>17.78472</v>
      </c>
      <c r="J21" s="248">
        <f t="shared" si="1"/>
        <v>11524.49856</v>
      </c>
      <c r="K21" s="249">
        <f>J21/_xlfn.XLOOKUP(A21,'Base de Dados'!D:D,'Base de Dados'!M:M)</f>
        <v>2.1228861300463499E-2</v>
      </c>
      <c r="L21" s="248">
        <f>K21*_xlfn.XLOOKUP(A21,'Base de Dados'!D:D,'Base de Dados'!N:N)</f>
        <v>322.69355196995554</v>
      </c>
      <c r="M21" s="250">
        <f t="shared" si="2"/>
        <v>11847.192111969956</v>
      </c>
      <c r="N21" s="251">
        <f t="shared" si="3"/>
        <v>18.282703876496846</v>
      </c>
      <c r="O21" s="252">
        <f t="shared" si="4"/>
        <v>0.43768192699999997</v>
      </c>
      <c r="P21" s="253">
        <f t="shared" si="5"/>
        <v>42</v>
      </c>
      <c r="Q21" s="252">
        <f t="shared" si="6"/>
        <v>0.56469752675007512</v>
      </c>
      <c r="R21" s="252">
        <v>0.53768192699999995</v>
      </c>
      <c r="S21" s="252">
        <f t="shared" si="7"/>
        <v>2.701559975007517E-2</v>
      </c>
      <c r="T21" s="253">
        <f t="shared" si="8"/>
        <v>52</v>
      </c>
      <c r="U21" s="252">
        <f t="shared" si="9"/>
        <v>0.19230769230769232</v>
      </c>
      <c r="V21" s="290">
        <v>107001004</v>
      </c>
      <c r="W21" s="252" t="s">
        <v>563</v>
      </c>
    </row>
    <row r="22" spans="1:23" ht="14.4" x14ac:dyDescent="0.3">
      <c r="A22" s="54" t="s">
        <v>726</v>
      </c>
      <c r="B22" s="244" t="str">
        <f>_xlfn.XLOOKUP(A22,'Base de Dados'!D:D,'Base de Dados'!B:B)</f>
        <v>TIMBRO SWISS SA</v>
      </c>
      <c r="C22" s="244" t="str">
        <f>_xlfn.XLOOKUP(PRECIFICAÇÃO[[#This Row],[INVOICE]],'Base de Dados'!D:D,'Base de Dados'!X:X)</f>
        <v>CONCLUÍDO</v>
      </c>
      <c r="D22" s="54">
        <v>373495</v>
      </c>
      <c r="E22" s="244" t="s">
        <v>911</v>
      </c>
      <c r="F22" s="245">
        <v>522</v>
      </c>
      <c r="G22" s="319">
        <v>3.4</v>
      </c>
      <c r="H22" s="246">
        <v>5.2308000000000003</v>
      </c>
      <c r="I22" s="247">
        <f t="shared" si="0"/>
        <v>17.78472</v>
      </c>
      <c r="J22" s="248">
        <f t="shared" si="1"/>
        <v>9283.6238400000002</v>
      </c>
      <c r="K22" s="249">
        <f>J22/_xlfn.XLOOKUP(A22,'Base de Dados'!D:D,'Base de Dados'!M:M)</f>
        <v>1.7101027158706709E-2</v>
      </c>
      <c r="L22" s="248">
        <f>K22*_xlfn.XLOOKUP(A22,'Base de Dados'!D:D,'Base de Dados'!N:N)</f>
        <v>259.94758353135308</v>
      </c>
      <c r="M22" s="250">
        <f t="shared" si="2"/>
        <v>9543.5714235313535</v>
      </c>
      <c r="N22" s="251">
        <f t="shared" si="3"/>
        <v>18.282703876496846</v>
      </c>
      <c r="O22" s="252">
        <f t="shared" si="4"/>
        <v>0.43768192699999997</v>
      </c>
      <c r="P22" s="253">
        <f t="shared" si="5"/>
        <v>42</v>
      </c>
      <c r="Q22" s="252">
        <f t="shared" si="6"/>
        <v>0.56469752675007512</v>
      </c>
      <c r="R22" s="252">
        <v>0.53768192699999995</v>
      </c>
      <c r="S22" s="252">
        <f t="shared" si="7"/>
        <v>2.701559975007517E-2</v>
      </c>
      <c r="T22" s="253">
        <f t="shared" si="8"/>
        <v>52</v>
      </c>
      <c r="U22" s="252">
        <f t="shared" si="9"/>
        <v>0.19230769230769232</v>
      </c>
      <c r="V22" s="290">
        <v>107001004</v>
      </c>
      <c r="W22" s="252" t="s">
        <v>563</v>
      </c>
    </row>
    <row r="23" spans="1:23" ht="14.4" x14ac:dyDescent="0.3">
      <c r="A23" s="54" t="s">
        <v>726</v>
      </c>
      <c r="B23" s="244" t="str">
        <f>_xlfn.XLOOKUP(A23,'Base de Dados'!D:D,'Base de Dados'!B:B)</f>
        <v>TIMBRO SWISS SA</v>
      </c>
      <c r="C23" s="244" t="str">
        <f>_xlfn.XLOOKUP(PRECIFICAÇÃO[[#This Row],[INVOICE]],'Base de Dados'!D:D,'Base de Dados'!X:X)</f>
        <v>CONCLUÍDO</v>
      </c>
      <c r="D23" s="54">
        <v>373496</v>
      </c>
      <c r="E23" s="244" t="s">
        <v>912</v>
      </c>
      <c r="F23" s="245">
        <v>600</v>
      </c>
      <c r="G23" s="319">
        <v>6.03</v>
      </c>
      <c r="H23" s="246">
        <v>5.2308000000000003</v>
      </c>
      <c r="I23" s="247">
        <f t="shared" si="0"/>
        <v>31.541724000000002</v>
      </c>
      <c r="J23" s="248">
        <f t="shared" si="1"/>
        <v>18925.0344</v>
      </c>
      <c r="K23" s="249">
        <f>J23/_xlfn.XLOOKUP(A23,'Base de Dados'!D:D,'Base de Dados'!M:M)</f>
        <v>3.4861120272819963E-2</v>
      </c>
      <c r="L23" s="248">
        <f>K23*_xlfn.XLOOKUP(A23,'Base de Dados'!D:D,'Base de Dados'!N:N)</f>
        <v>529.91343093105445</v>
      </c>
      <c r="M23" s="250">
        <f t="shared" si="2"/>
        <v>19454.947830931054</v>
      </c>
      <c r="N23" s="251">
        <f t="shared" si="3"/>
        <v>32.424913051551755</v>
      </c>
      <c r="O23" s="252">
        <f t="shared" si="4"/>
        <v>0.43768192699999997</v>
      </c>
      <c r="P23" s="253">
        <f t="shared" si="5"/>
        <v>74</v>
      </c>
      <c r="Q23" s="252">
        <f t="shared" si="6"/>
        <v>0.56182549930335468</v>
      </c>
      <c r="R23" s="252">
        <v>0.53768192699999995</v>
      </c>
      <c r="S23" s="252">
        <f t="shared" si="7"/>
        <v>2.4143572303354732E-2</v>
      </c>
      <c r="T23" s="253">
        <f t="shared" si="8"/>
        <v>84</v>
      </c>
      <c r="U23" s="252">
        <f t="shared" si="9"/>
        <v>0.11904761904761904</v>
      </c>
      <c r="V23" s="290">
        <v>107001004</v>
      </c>
      <c r="W23" s="252" t="s">
        <v>563</v>
      </c>
    </row>
    <row r="24" spans="1:23" ht="14.4" x14ac:dyDescent="0.3">
      <c r="A24" s="54" t="s">
        <v>726</v>
      </c>
      <c r="B24" s="244" t="str">
        <f>_xlfn.XLOOKUP(A24,'Base de Dados'!D:D,'Base de Dados'!B:B)</f>
        <v>TIMBRO SWISS SA</v>
      </c>
      <c r="C24" s="244" t="str">
        <f>_xlfn.XLOOKUP(PRECIFICAÇÃO[[#This Row],[INVOICE]],'Base de Dados'!D:D,'Base de Dados'!X:X)</f>
        <v>CONCLUÍDO</v>
      </c>
      <c r="D24" s="54">
        <v>373497</v>
      </c>
      <c r="E24" s="244" t="s">
        <v>913</v>
      </c>
      <c r="F24" s="245">
        <v>660</v>
      </c>
      <c r="G24" s="319">
        <v>6.03</v>
      </c>
      <c r="H24" s="246">
        <v>5.2308000000000003</v>
      </c>
      <c r="I24" s="247">
        <f t="shared" si="0"/>
        <v>31.541724000000002</v>
      </c>
      <c r="J24" s="248">
        <f t="shared" si="1"/>
        <v>20817.537840000001</v>
      </c>
      <c r="K24" s="249">
        <f>J24/_xlfn.XLOOKUP(A24,'Base de Dados'!D:D,'Base de Dados'!M:M)</f>
        <v>3.8347232300101959E-2</v>
      </c>
      <c r="L24" s="248">
        <f>K24*_xlfn.XLOOKUP(A24,'Base de Dados'!D:D,'Base de Dados'!N:N)</f>
        <v>582.90477402415991</v>
      </c>
      <c r="M24" s="250">
        <f t="shared" si="2"/>
        <v>21400.442614024159</v>
      </c>
      <c r="N24" s="251">
        <f t="shared" si="3"/>
        <v>32.424913051551755</v>
      </c>
      <c r="O24" s="252">
        <f t="shared" si="4"/>
        <v>0.43768192699999997</v>
      </c>
      <c r="P24" s="253">
        <f t="shared" si="5"/>
        <v>74</v>
      </c>
      <c r="Q24" s="252">
        <f t="shared" si="6"/>
        <v>0.56182549930335468</v>
      </c>
      <c r="R24" s="252">
        <v>0.53768192699999995</v>
      </c>
      <c r="S24" s="252">
        <f t="shared" si="7"/>
        <v>2.4143572303354732E-2</v>
      </c>
      <c r="T24" s="253">
        <f t="shared" si="8"/>
        <v>84</v>
      </c>
      <c r="U24" s="252">
        <f t="shared" si="9"/>
        <v>0.11904761904761904</v>
      </c>
      <c r="V24" s="290">
        <v>107001004</v>
      </c>
      <c r="W24" s="252" t="s">
        <v>563</v>
      </c>
    </row>
    <row r="25" spans="1:23" ht="14.4" x14ac:dyDescent="0.3">
      <c r="A25" s="54" t="s">
        <v>726</v>
      </c>
      <c r="B25" s="244" t="str">
        <f>_xlfn.XLOOKUP(A25,'Base de Dados'!D:D,'Base de Dados'!B:B)</f>
        <v>TIMBRO SWISS SA</v>
      </c>
      <c r="C25" s="244" t="str">
        <f>_xlfn.XLOOKUP(PRECIFICAÇÃO[[#This Row],[INVOICE]],'Base de Dados'!D:D,'Base de Dados'!X:X)</f>
        <v>CONCLUÍDO</v>
      </c>
      <c r="D25" s="54">
        <v>373498</v>
      </c>
      <c r="E25" s="244" t="s">
        <v>914</v>
      </c>
      <c r="F25" s="245">
        <v>564</v>
      </c>
      <c r="G25" s="319">
        <v>6.03</v>
      </c>
      <c r="H25" s="246">
        <v>5.2308000000000003</v>
      </c>
      <c r="I25" s="247">
        <f t="shared" si="0"/>
        <v>31.541724000000002</v>
      </c>
      <c r="J25" s="248">
        <f t="shared" si="1"/>
        <v>17789.532336</v>
      </c>
      <c r="K25" s="249">
        <f>J25/_xlfn.XLOOKUP(A25,'Base de Dados'!D:D,'Base de Dados'!M:M)</f>
        <v>3.2769453056450765E-2</v>
      </c>
      <c r="L25" s="248">
        <f>K25*_xlfn.XLOOKUP(A25,'Base de Dados'!D:D,'Base de Dados'!N:N)</f>
        <v>498.11862507519118</v>
      </c>
      <c r="M25" s="250">
        <f t="shared" si="2"/>
        <v>18287.650961075193</v>
      </c>
      <c r="N25" s="251">
        <f t="shared" si="3"/>
        <v>32.424913051551762</v>
      </c>
      <c r="O25" s="252">
        <f t="shared" si="4"/>
        <v>0.43768192699999997</v>
      </c>
      <c r="P25" s="253">
        <f t="shared" si="5"/>
        <v>74</v>
      </c>
      <c r="Q25" s="252">
        <f t="shared" si="6"/>
        <v>0.56182549930335457</v>
      </c>
      <c r="R25" s="252">
        <v>0.53768192699999995</v>
      </c>
      <c r="S25" s="252">
        <f t="shared" si="7"/>
        <v>2.4143572303354621E-2</v>
      </c>
      <c r="T25" s="253">
        <f t="shared" si="8"/>
        <v>84</v>
      </c>
      <c r="U25" s="252">
        <f t="shared" si="9"/>
        <v>0.11904761904761904</v>
      </c>
      <c r="V25" s="290">
        <v>107001004</v>
      </c>
      <c r="W25" s="252" t="s">
        <v>563</v>
      </c>
    </row>
    <row r="26" spans="1:23" ht="14.4" x14ac:dyDescent="0.3">
      <c r="A26" s="54" t="s">
        <v>726</v>
      </c>
      <c r="B26" s="244" t="str">
        <f>_xlfn.XLOOKUP(A26,'Base de Dados'!D:D,'Base de Dados'!B:B)</f>
        <v>TIMBRO SWISS SA</v>
      </c>
      <c r="C26" s="244" t="str">
        <f>_xlfn.XLOOKUP(PRECIFICAÇÃO[[#This Row],[INVOICE]],'Base de Dados'!D:D,'Base de Dados'!X:X)</f>
        <v>CONCLUÍDO</v>
      </c>
      <c r="D26" s="54">
        <v>373499</v>
      </c>
      <c r="E26" s="244" t="s">
        <v>915</v>
      </c>
      <c r="F26" s="245">
        <v>590</v>
      </c>
      <c r="G26" s="319">
        <v>7.83</v>
      </c>
      <c r="H26" s="246">
        <v>5.2308000000000003</v>
      </c>
      <c r="I26" s="247">
        <f t="shared" si="0"/>
        <v>40.957164000000006</v>
      </c>
      <c r="J26" s="248">
        <f t="shared" si="1"/>
        <v>24164.726760000005</v>
      </c>
      <c r="K26" s="249">
        <f>J26/_xlfn.XLOOKUP(A26,'Base de Dados'!D:D,'Base de Dados'!M:M)</f>
        <v>4.4512967751339526E-2</v>
      </c>
      <c r="L26" s="248">
        <f>K26*_xlfn.XLOOKUP(A26,'Base de Dados'!D:D,'Base de Dados'!N:N)</f>
        <v>676.62826889778671</v>
      </c>
      <c r="M26" s="250">
        <f t="shared" si="2"/>
        <v>24841.355028897793</v>
      </c>
      <c r="N26" s="251">
        <f t="shared" si="3"/>
        <v>42.10399157440304</v>
      </c>
      <c r="O26" s="252">
        <f t="shared" si="4"/>
        <v>0.43768192699999997</v>
      </c>
      <c r="P26" s="253">
        <f t="shared" si="5"/>
        <v>96</v>
      </c>
      <c r="Q26" s="252">
        <f t="shared" si="6"/>
        <v>0.56141675443330163</v>
      </c>
      <c r="R26" s="252">
        <v>0.53768192699999995</v>
      </c>
      <c r="S26" s="252">
        <f t="shared" si="7"/>
        <v>2.3734827433301686E-2</v>
      </c>
      <c r="T26" s="253">
        <f t="shared" si="8"/>
        <v>106</v>
      </c>
      <c r="U26" s="252">
        <f t="shared" si="9"/>
        <v>9.4339622641509441E-2</v>
      </c>
      <c r="V26" s="290">
        <v>107001004</v>
      </c>
      <c r="W26" s="252" t="s">
        <v>563</v>
      </c>
    </row>
    <row r="27" spans="1:23" ht="14.4" x14ac:dyDescent="0.3">
      <c r="A27" s="54" t="s">
        <v>726</v>
      </c>
      <c r="B27" s="244" t="str">
        <f>_xlfn.XLOOKUP(A27,'Base de Dados'!D:D,'Base de Dados'!B:B)</f>
        <v>TIMBRO SWISS SA</v>
      </c>
      <c r="C27" s="244" t="str">
        <f>_xlfn.XLOOKUP(PRECIFICAÇÃO[[#This Row],[INVOICE]],'Base de Dados'!D:D,'Base de Dados'!X:X)</f>
        <v>CONCLUÍDO</v>
      </c>
      <c r="D27" s="54">
        <v>373500</v>
      </c>
      <c r="E27" s="244" t="s">
        <v>916</v>
      </c>
      <c r="F27" s="245">
        <v>620</v>
      </c>
      <c r="G27" s="319">
        <v>7.83</v>
      </c>
      <c r="H27" s="246">
        <v>5.2308000000000003</v>
      </c>
      <c r="I27" s="247">
        <f t="shared" si="0"/>
        <v>40.957164000000006</v>
      </c>
      <c r="J27" s="248">
        <f t="shared" si="1"/>
        <v>25393.441680000004</v>
      </c>
      <c r="K27" s="249">
        <f>J27/_xlfn.XLOOKUP(A27,'Base de Dados'!D:D,'Base de Dados'!M:M)</f>
        <v>4.6776338992933056E-2</v>
      </c>
      <c r="L27" s="248">
        <f>K27*_xlfn.XLOOKUP(A27,'Base de Dados'!D:D,'Base de Dados'!N:N)</f>
        <v>711.03309612987755</v>
      </c>
      <c r="M27" s="250">
        <f t="shared" si="2"/>
        <v>26104.474776129882</v>
      </c>
      <c r="N27" s="251">
        <f t="shared" si="3"/>
        <v>42.103991574403032</v>
      </c>
      <c r="O27" s="252">
        <f t="shared" si="4"/>
        <v>0.43768192699999997</v>
      </c>
      <c r="P27" s="253">
        <f t="shared" si="5"/>
        <v>96</v>
      </c>
      <c r="Q27" s="252">
        <f t="shared" si="6"/>
        <v>0.56141675443330175</v>
      </c>
      <c r="R27" s="252">
        <v>0.53768192699999995</v>
      </c>
      <c r="S27" s="252">
        <f t="shared" si="7"/>
        <v>2.3734827433301797E-2</v>
      </c>
      <c r="T27" s="253">
        <f t="shared" si="8"/>
        <v>106</v>
      </c>
      <c r="U27" s="252">
        <f t="shared" si="9"/>
        <v>9.4339622641509441E-2</v>
      </c>
      <c r="V27" s="290">
        <v>107001004</v>
      </c>
      <c r="W27" s="252" t="s">
        <v>563</v>
      </c>
    </row>
    <row r="28" spans="1:23" ht="14.4" x14ac:dyDescent="0.3">
      <c r="A28" s="54" t="s">
        <v>726</v>
      </c>
      <c r="B28" s="244" t="str">
        <f>_xlfn.XLOOKUP(A28,'Base de Dados'!D:D,'Base de Dados'!B:B)</f>
        <v>TIMBRO SWISS SA</v>
      </c>
      <c r="C28" s="244" t="str">
        <f>_xlfn.XLOOKUP(PRECIFICAÇÃO[[#This Row],[INVOICE]],'Base de Dados'!D:D,'Base de Dados'!X:X)</f>
        <v>CONCLUÍDO</v>
      </c>
      <c r="D28" s="54">
        <v>373501</v>
      </c>
      <c r="E28" s="244" t="s">
        <v>917</v>
      </c>
      <c r="F28" s="245">
        <v>590</v>
      </c>
      <c r="G28" s="319">
        <v>7.83</v>
      </c>
      <c r="H28" s="246">
        <v>5.2308000000000003</v>
      </c>
      <c r="I28" s="247">
        <f t="shared" si="0"/>
        <v>40.957164000000006</v>
      </c>
      <c r="J28" s="248">
        <f t="shared" si="1"/>
        <v>24164.726760000005</v>
      </c>
      <c r="K28" s="249">
        <f>J28/_xlfn.XLOOKUP(A28,'Base de Dados'!D:D,'Base de Dados'!M:M)</f>
        <v>4.4512967751339526E-2</v>
      </c>
      <c r="L28" s="248">
        <f>K28*_xlfn.XLOOKUP(A28,'Base de Dados'!D:D,'Base de Dados'!N:N)</f>
        <v>676.62826889778671</v>
      </c>
      <c r="M28" s="250">
        <f t="shared" si="2"/>
        <v>24841.355028897793</v>
      </c>
      <c r="N28" s="251">
        <f t="shared" si="3"/>
        <v>42.10399157440304</v>
      </c>
      <c r="O28" s="252">
        <f t="shared" si="4"/>
        <v>0.43768192699999997</v>
      </c>
      <c r="P28" s="253">
        <f t="shared" si="5"/>
        <v>96</v>
      </c>
      <c r="Q28" s="252">
        <f t="shared" si="6"/>
        <v>0.56141675443330163</v>
      </c>
      <c r="R28" s="252">
        <v>0.53768192699999995</v>
      </c>
      <c r="S28" s="252">
        <f t="shared" si="7"/>
        <v>2.3734827433301686E-2</v>
      </c>
      <c r="T28" s="253">
        <f t="shared" si="8"/>
        <v>106</v>
      </c>
      <c r="U28" s="252">
        <f t="shared" si="9"/>
        <v>9.4339622641509441E-2</v>
      </c>
      <c r="V28" s="290">
        <v>107001004</v>
      </c>
      <c r="W28" s="252" t="s">
        <v>563</v>
      </c>
    </row>
    <row r="29" spans="1:23" ht="14.4" x14ac:dyDescent="0.3">
      <c r="A29" s="54" t="s">
        <v>744</v>
      </c>
      <c r="B29" s="244" t="str">
        <f>_xlfn.XLOOKUP(A29,'Base de Dados'!D:D,'Base de Dados'!B:B)</f>
        <v>TIMBRO SWISS SA</v>
      </c>
      <c r="C29" s="244" t="str">
        <f>_xlfn.XLOOKUP(PRECIFICAÇÃO[[#This Row],[INVOICE]],'Base de Dados'!D:D,'Base de Dados'!X:X)</f>
        <v>CONCLUÍDO</v>
      </c>
      <c r="D29" s="54">
        <v>373493</v>
      </c>
      <c r="E29" s="244" t="s">
        <v>909</v>
      </c>
      <c r="F29" s="245">
        <v>612</v>
      </c>
      <c r="G29" s="319">
        <v>3.4</v>
      </c>
      <c r="H29" s="246">
        <v>4.8998999999999997</v>
      </c>
      <c r="I29" s="247">
        <f t="shared" si="0"/>
        <v>16.659659999999999</v>
      </c>
      <c r="J29" s="248">
        <f t="shared" si="1"/>
        <v>10195.71192</v>
      </c>
      <c r="K29" s="249">
        <f>J29/_xlfn.XLOOKUP(A29,'Base de Dados'!D:D,'Base de Dados'!M:M)</f>
        <v>3.3563250244275339E-2</v>
      </c>
      <c r="L29" s="248">
        <f>K29*_xlfn.XLOOKUP(A29,'Base de Dados'!D:D,'Base de Dados'!N:N)</f>
        <v>486.13347286310847</v>
      </c>
      <c r="M29" s="250">
        <f t="shared" si="2"/>
        <v>10681.845392863108</v>
      </c>
      <c r="N29" s="251">
        <f t="shared" si="3"/>
        <v>17.453995739972399</v>
      </c>
      <c r="O29" s="252">
        <f t="shared" si="4"/>
        <v>0.43768192699999997</v>
      </c>
      <c r="P29" s="253">
        <f t="shared" si="5"/>
        <v>40</v>
      </c>
      <c r="Q29" s="252">
        <f t="shared" si="6"/>
        <v>0.56365010650069003</v>
      </c>
      <c r="R29" s="252">
        <v>0.53768192699999995</v>
      </c>
      <c r="S29" s="252">
        <f t="shared" si="7"/>
        <v>2.5968179500690081E-2</v>
      </c>
      <c r="T29" s="253">
        <f t="shared" si="8"/>
        <v>50</v>
      </c>
      <c r="U29" s="252">
        <f t="shared" si="9"/>
        <v>0.2</v>
      </c>
      <c r="V29" s="290">
        <v>107001004</v>
      </c>
      <c r="W29" s="252" t="s">
        <v>563</v>
      </c>
    </row>
    <row r="30" spans="1:23" ht="14.4" x14ac:dyDescent="0.3">
      <c r="A30" s="54" t="s">
        <v>744</v>
      </c>
      <c r="B30" s="277" t="str">
        <f>_xlfn.XLOOKUP(A30,'Base de Dados'!D:D,'Base de Dados'!B:B)</f>
        <v>TIMBRO SWISS SA</v>
      </c>
      <c r="C30" s="277" t="str">
        <f>_xlfn.XLOOKUP(PRECIFICAÇÃO[[#This Row],[INVOICE]],'Base de Dados'!D:D,'Base de Dados'!X:X)</f>
        <v>CONCLUÍDO</v>
      </c>
      <c r="D30" s="49">
        <v>373501</v>
      </c>
      <c r="E30" s="277" t="s">
        <v>917</v>
      </c>
      <c r="F30" s="278">
        <v>600</v>
      </c>
      <c r="G30" s="320">
        <v>7.83</v>
      </c>
      <c r="H30" s="279">
        <v>4.8998999999999997</v>
      </c>
      <c r="I30" s="280">
        <f t="shared" si="0"/>
        <v>38.366216999999999</v>
      </c>
      <c r="J30" s="281">
        <f t="shared" si="1"/>
        <v>23019.730199999998</v>
      </c>
      <c r="K30" s="282">
        <f>J30/_xlfn.XLOOKUP(A30,'Base de Dados'!D:D,'Base de Dados'!M:M)</f>
        <v>7.5778618631106076E-2</v>
      </c>
      <c r="L30" s="281">
        <f>K30*_xlfn.XLOOKUP(A30,'Base de Dados'!D:D,'Base de Dados'!N:N)</f>
        <v>1097.5850901148035</v>
      </c>
      <c r="M30" s="283">
        <f t="shared" si="2"/>
        <v>24117.315290114802</v>
      </c>
      <c r="N30" s="284">
        <f t="shared" si="3"/>
        <v>40.195525483524669</v>
      </c>
      <c r="O30" s="285">
        <f t="shared" si="4"/>
        <v>0.43768192699999997</v>
      </c>
      <c r="P30" s="286">
        <f t="shared" si="5"/>
        <v>92</v>
      </c>
      <c r="Q30" s="285">
        <f t="shared" si="6"/>
        <v>0.56309211430951445</v>
      </c>
      <c r="R30" s="285">
        <v>0.53768192699999995</v>
      </c>
      <c r="S30" s="285">
        <f t="shared" si="7"/>
        <v>2.5410187309514498E-2</v>
      </c>
      <c r="T30" s="286">
        <f t="shared" si="8"/>
        <v>102</v>
      </c>
      <c r="U30" s="285">
        <f t="shared" si="9"/>
        <v>9.8039215686274508E-2</v>
      </c>
      <c r="V30" s="291">
        <v>107001004</v>
      </c>
      <c r="W30" s="252" t="s">
        <v>563</v>
      </c>
    </row>
    <row r="31" spans="1:23" ht="14.4" x14ac:dyDescent="0.3">
      <c r="A31" s="54" t="s">
        <v>744</v>
      </c>
      <c r="B31" s="244" t="str">
        <f>_xlfn.XLOOKUP(A31,'Base de Dados'!D:D,'Base de Dados'!B:B)</f>
        <v>TIMBRO SWISS SA</v>
      </c>
      <c r="C31" s="244" t="str">
        <f>_xlfn.XLOOKUP(PRECIFICAÇÃO[[#This Row],[INVOICE]],'Base de Dados'!D:D,'Base de Dados'!X:X)</f>
        <v>CONCLUÍDO</v>
      </c>
      <c r="D31" s="54">
        <v>373500</v>
      </c>
      <c r="E31" s="244" t="s">
        <v>916</v>
      </c>
      <c r="F31" s="245">
        <v>590</v>
      </c>
      <c r="G31" s="319">
        <v>7.83</v>
      </c>
      <c r="H31" s="246">
        <v>4.8998999999999997</v>
      </c>
      <c r="I31" s="247">
        <f t="shared" si="0"/>
        <v>38.366216999999999</v>
      </c>
      <c r="J31" s="248">
        <f t="shared" si="1"/>
        <v>22636.068029999999</v>
      </c>
      <c r="K31" s="249">
        <f>J31/_xlfn.XLOOKUP(A31,'Base de Dados'!D:D,'Base de Dados'!M:M)</f>
        <v>7.451564165392098E-2</v>
      </c>
      <c r="L31" s="248">
        <f>K31*_xlfn.XLOOKUP(A31,'Base de Dados'!D:D,'Base de Dados'!N:N)</f>
        <v>1079.2920052795569</v>
      </c>
      <c r="M31" s="250">
        <f t="shared" si="2"/>
        <v>23715.360035279555</v>
      </c>
      <c r="N31" s="251">
        <f t="shared" si="3"/>
        <v>40.195525483524669</v>
      </c>
      <c r="O31" s="252">
        <f t="shared" si="4"/>
        <v>0.43768192699999997</v>
      </c>
      <c r="P31" s="253">
        <f t="shared" si="5"/>
        <v>92</v>
      </c>
      <c r="Q31" s="252">
        <f t="shared" si="6"/>
        <v>0.56309211430951445</v>
      </c>
      <c r="R31" s="252">
        <v>0.53768192699999995</v>
      </c>
      <c r="S31" s="252">
        <f t="shared" si="7"/>
        <v>2.5410187309514498E-2</v>
      </c>
      <c r="T31" s="253">
        <f t="shared" si="8"/>
        <v>102</v>
      </c>
      <c r="U31" s="252">
        <f t="shared" si="9"/>
        <v>9.8039215686274508E-2</v>
      </c>
      <c r="V31" s="290">
        <v>107001004</v>
      </c>
      <c r="W31" s="252" t="s">
        <v>563</v>
      </c>
    </row>
    <row r="32" spans="1:23" ht="14.4" x14ac:dyDescent="0.3">
      <c r="A32" s="54" t="s">
        <v>744</v>
      </c>
      <c r="B32" s="277" t="str">
        <f>_xlfn.XLOOKUP(A32,'Base de Dados'!D:D,'Base de Dados'!B:B)</f>
        <v>TIMBRO SWISS SA</v>
      </c>
      <c r="C32" s="277" t="str">
        <f>_xlfn.XLOOKUP(PRECIFICAÇÃO[[#This Row],[INVOICE]],'Base de Dados'!D:D,'Base de Dados'!X:X)</f>
        <v>CONCLUÍDO</v>
      </c>
      <c r="D32" s="49">
        <v>373499</v>
      </c>
      <c r="E32" s="277" t="s">
        <v>915</v>
      </c>
      <c r="F32" s="278">
        <v>600</v>
      </c>
      <c r="G32" s="320">
        <v>7.83</v>
      </c>
      <c r="H32" s="279">
        <v>4.8998999999999997</v>
      </c>
      <c r="I32" s="280">
        <f t="shared" si="0"/>
        <v>38.366216999999999</v>
      </c>
      <c r="J32" s="281">
        <f t="shared" si="1"/>
        <v>23019.730199999998</v>
      </c>
      <c r="K32" s="282">
        <f>J32/_xlfn.XLOOKUP(A32,'Base de Dados'!D:D,'Base de Dados'!M:M)</f>
        <v>7.5778618631106076E-2</v>
      </c>
      <c r="L32" s="281">
        <f>K32*_xlfn.XLOOKUP(A32,'Base de Dados'!D:D,'Base de Dados'!N:N)</f>
        <v>1097.5850901148035</v>
      </c>
      <c r="M32" s="283">
        <f t="shared" si="2"/>
        <v>24117.315290114802</v>
      </c>
      <c r="N32" s="284">
        <f t="shared" si="3"/>
        <v>40.195525483524669</v>
      </c>
      <c r="O32" s="285">
        <f t="shared" si="4"/>
        <v>0.43768192699999997</v>
      </c>
      <c r="P32" s="286">
        <f t="shared" si="5"/>
        <v>92</v>
      </c>
      <c r="Q32" s="285">
        <f t="shared" si="6"/>
        <v>0.56309211430951445</v>
      </c>
      <c r="R32" s="285">
        <v>0.53768192699999995</v>
      </c>
      <c r="S32" s="285">
        <f t="shared" si="7"/>
        <v>2.5410187309514498E-2</v>
      </c>
      <c r="T32" s="286">
        <f t="shared" si="8"/>
        <v>102</v>
      </c>
      <c r="U32" s="285">
        <f t="shared" si="9"/>
        <v>9.8039215686274508E-2</v>
      </c>
      <c r="V32" s="291">
        <v>107001004</v>
      </c>
      <c r="W32" s="252" t="s">
        <v>563</v>
      </c>
    </row>
    <row r="33" spans="1:23" ht="14.4" x14ac:dyDescent="0.3">
      <c r="A33" s="54" t="s">
        <v>744</v>
      </c>
      <c r="B33" s="244" t="str">
        <f>_xlfn.XLOOKUP(A33,'Base de Dados'!D:D,'Base de Dados'!B:B)</f>
        <v>TIMBRO SWISS SA</v>
      </c>
      <c r="C33" s="244" t="str">
        <f>_xlfn.XLOOKUP(PRECIFICAÇÃO[[#This Row],[INVOICE]],'Base de Dados'!D:D,'Base de Dados'!X:X)</f>
        <v>CONCLUÍDO</v>
      </c>
      <c r="D33" s="54">
        <v>382298</v>
      </c>
      <c r="E33" s="244" t="s">
        <v>918</v>
      </c>
      <c r="F33" s="245">
        <v>594</v>
      </c>
      <c r="G33" s="319">
        <v>4.12</v>
      </c>
      <c r="H33" s="246">
        <v>4.8998999999999997</v>
      </c>
      <c r="I33" s="247">
        <f t="shared" si="0"/>
        <v>20.187587999999998</v>
      </c>
      <c r="J33" s="248">
        <f t="shared" si="1"/>
        <v>11991.427271999999</v>
      </c>
      <c r="K33" s="249">
        <f>J33/_xlfn.XLOOKUP(A33,'Base de Dados'!D:D,'Base de Dados'!M:M)</f>
        <v>3.9474563176571581E-2</v>
      </c>
      <c r="L33" s="248">
        <f>K33*_xlfn.XLOOKUP(A33,'Base de Dados'!D:D,'Base de Dados'!N:N)</f>
        <v>571.75352050578044</v>
      </c>
      <c r="M33" s="250">
        <f t="shared" si="2"/>
        <v>12563.18079250578</v>
      </c>
      <c r="N33" s="251">
        <f t="shared" si="3"/>
        <v>21.150136014319497</v>
      </c>
      <c r="O33" s="252">
        <f t="shared" si="4"/>
        <v>0.43768192699999997</v>
      </c>
      <c r="P33" s="253">
        <f t="shared" si="5"/>
        <v>48</v>
      </c>
      <c r="Q33" s="252">
        <f t="shared" si="6"/>
        <v>0.55937216636834386</v>
      </c>
      <c r="R33" s="252">
        <v>0.53768192699999995</v>
      </c>
      <c r="S33" s="252">
        <f t="shared" si="7"/>
        <v>2.1690239368343911E-2</v>
      </c>
      <c r="T33" s="253">
        <f t="shared" si="8"/>
        <v>58</v>
      </c>
      <c r="U33" s="252">
        <f t="shared" si="9"/>
        <v>0.17241379310344829</v>
      </c>
      <c r="V33" s="290">
        <v>107001004</v>
      </c>
      <c r="W33" s="252" t="s">
        <v>563</v>
      </c>
    </row>
    <row r="34" spans="1:23" ht="14.4" x14ac:dyDescent="0.3">
      <c r="A34" s="54" t="s">
        <v>744</v>
      </c>
      <c r="B34" s="244" t="str">
        <f>_xlfn.XLOOKUP(A34,'Base de Dados'!D:D,'Base de Dados'!B:B)</f>
        <v>TIMBRO SWISS SA</v>
      </c>
      <c r="C34" s="244" t="str">
        <f>_xlfn.XLOOKUP(PRECIFICAÇÃO[[#This Row],[INVOICE]],'Base de Dados'!D:D,'Base de Dados'!X:X)</f>
        <v>CONCLUÍDO</v>
      </c>
      <c r="D34" s="54">
        <v>382297</v>
      </c>
      <c r="E34" s="244" t="s">
        <v>919</v>
      </c>
      <c r="F34" s="245">
        <v>594</v>
      </c>
      <c r="G34" s="319">
        <v>4.12</v>
      </c>
      <c r="H34" s="246">
        <v>4.8998999999999997</v>
      </c>
      <c r="I34" s="247">
        <f t="shared" si="0"/>
        <v>20.187587999999998</v>
      </c>
      <c r="J34" s="248">
        <f t="shared" si="1"/>
        <v>11991.427271999999</v>
      </c>
      <c r="K34" s="249">
        <f>J34/_xlfn.XLOOKUP(A34,'Base de Dados'!D:D,'Base de Dados'!M:M)</f>
        <v>3.9474563176571581E-2</v>
      </c>
      <c r="L34" s="248">
        <f>K34*_xlfn.XLOOKUP(A34,'Base de Dados'!D:D,'Base de Dados'!N:N)</f>
        <v>571.75352050578044</v>
      </c>
      <c r="M34" s="250">
        <f t="shared" si="2"/>
        <v>12563.18079250578</v>
      </c>
      <c r="N34" s="251">
        <f t="shared" si="3"/>
        <v>21.150136014319497</v>
      </c>
      <c r="O34" s="252">
        <f t="shared" si="4"/>
        <v>0.43768192699999997</v>
      </c>
      <c r="P34" s="253">
        <f t="shared" ref="P34:P65" si="10">ROUND(N34/O34,0)</f>
        <v>48</v>
      </c>
      <c r="Q34" s="252">
        <f t="shared" si="6"/>
        <v>0.55937216636834386</v>
      </c>
      <c r="R34" s="252">
        <v>0.53768192699999995</v>
      </c>
      <c r="S34" s="252">
        <f t="shared" si="7"/>
        <v>2.1690239368343911E-2</v>
      </c>
      <c r="T34" s="253">
        <f t="shared" ref="T34:T65" si="11">P34+10</f>
        <v>58</v>
      </c>
      <c r="U34" s="252">
        <f t="shared" si="9"/>
        <v>0.17241379310344829</v>
      </c>
      <c r="V34" s="290">
        <v>107001004</v>
      </c>
      <c r="W34" s="252" t="s">
        <v>563</v>
      </c>
    </row>
    <row r="35" spans="1:23" ht="14.4" x14ac:dyDescent="0.3">
      <c r="A35" s="54" t="s">
        <v>744</v>
      </c>
      <c r="B35" s="244" t="str">
        <f>_xlfn.XLOOKUP(A35,'Base de Dados'!D:D,'Base de Dados'!B:B)</f>
        <v>TIMBRO SWISS SA</v>
      </c>
      <c r="C35" s="244" t="str">
        <f>_xlfn.XLOOKUP(PRECIFICAÇÃO[[#This Row],[INVOICE]],'Base de Dados'!D:D,'Base de Dados'!X:X)</f>
        <v>CONCLUÍDO</v>
      </c>
      <c r="D35" s="54">
        <v>382296</v>
      </c>
      <c r="E35" s="244" t="s">
        <v>920</v>
      </c>
      <c r="F35" s="245">
        <v>594</v>
      </c>
      <c r="G35" s="319">
        <v>4.12</v>
      </c>
      <c r="H35" s="246">
        <v>4.8998999999999997</v>
      </c>
      <c r="I35" s="247">
        <f t="shared" si="0"/>
        <v>20.187587999999998</v>
      </c>
      <c r="J35" s="248">
        <f t="shared" si="1"/>
        <v>11991.427271999999</v>
      </c>
      <c r="K35" s="249">
        <f>J35/_xlfn.XLOOKUP(A35,'Base de Dados'!D:D,'Base de Dados'!M:M)</f>
        <v>3.9474563176571581E-2</v>
      </c>
      <c r="L35" s="248">
        <f>K35*_xlfn.XLOOKUP(A35,'Base de Dados'!D:D,'Base de Dados'!N:N)</f>
        <v>571.75352050578044</v>
      </c>
      <c r="M35" s="250">
        <f t="shared" si="2"/>
        <v>12563.18079250578</v>
      </c>
      <c r="N35" s="251">
        <f t="shared" si="3"/>
        <v>21.150136014319497</v>
      </c>
      <c r="O35" s="252">
        <f t="shared" si="4"/>
        <v>0.43768192699999997</v>
      </c>
      <c r="P35" s="253">
        <f t="shared" si="10"/>
        <v>48</v>
      </c>
      <c r="Q35" s="252">
        <f t="shared" si="6"/>
        <v>0.55937216636834386</v>
      </c>
      <c r="R35" s="252">
        <v>0.53768192699999995</v>
      </c>
      <c r="S35" s="252">
        <f t="shared" si="7"/>
        <v>2.1690239368343911E-2</v>
      </c>
      <c r="T35" s="253">
        <f t="shared" si="11"/>
        <v>58</v>
      </c>
      <c r="U35" s="252">
        <f t="shared" si="9"/>
        <v>0.17241379310344829</v>
      </c>
      <c r="V35" s="290">
        <v>107001004</v>
      </c>
      <c r="W35" s="252" t="s">
        <v>563</v>
      </c>
    </row>
    <row r="36" spans="1:23" ht="14.4" x14ac:dyDescent="0.3">
      <c r="A36" s="54" t="s">
        <v>744</v>
      </c>
      <c r="B36" s="244" t="str">
        <f>_xlfn.XLOOKUP(A36,'Base de Dados'!D:D,'Base de Dados'!B:B)</f>
        <v>TIMBRO SWISS SA</v>
      </c>
      <c r="C36" s="244" t="str">
        <f>_xlfn.XLOOKUP(PRECIFICAÇÃO[[#This Row],[INVOICE]],'Base de Dados'!D:D,'Base de Dados'!X:X)</f>
        <v>CONCLUÍDO</v>
      </c>
      <c r="D36" s="54">
        <v>373495</v>
      </c>
      <c r="E36" s="244" t="s">
        <v>911</v>
      </c>
      <c r="F36" s="245">
        <v>594</v>
      </c>
      <c r="G36" s="319">
        <v>3.4</v>
      </c>
      <c r="H36" s="246">
        <v>4.8998999999999997</v>
      </c>
      <c r="I36" s="247">
        <f t="shared" si="0"/>
        <v>16.659659999999999</v>
      </c>
      <c r="J36" s="248">
        <f t="shared" si="1"/>
        <v>9895.8380399999987</v>
      </c>
      <c r="K36" s="249">
        <f>J36/_xlfn.XLOOKUP(A36,'Base de Dados'!D:D,'Base de Dados'!M:M)</f>
        <v>3.2576095825326057E-2</v>
      </c>
      <c r="L36" s="248">
        <f>K36*_xlfn.XLOOKUP(A36,'Base de Dados'!D:D,'Base de Dados'!N:N)</f>
        <v>471.83542954360513</v>
      </c>
      <c r="M36" s="250">
        <f t="shared" si="2"/>
        <v>10367.673469543604</v>
      </c>
      <c r="N36" s="251">
        <f t="shared" si="3"/>
        <v>17.453995739972399</v>
      </c>
      <c r="O36" s="252">
        <f t="shared" si="4"/>
        <v>0.43768192699999997</v>
      </c>
      <c r="P36" s="253">
        <f t="shared" si="10"/>
        <v>40</v>
      </c>
      <c r="Q36" s="252">
        <f t="shared" si="6"/>
        <v>0.56365010650069003</v>
      </c>
      <c r="R36" s="252">
        <v>0.53768192699999995</v>
      </c>
      <c r="S36" s="252">
        <f t="shared" si="7"/>
        <v>2.5968179500690081E-2</v>
      </c>
      <c r="T36" s="253">
        <f t="shared" si="11"/>
        <v>50</v>
      </c>
      <c r="U36" s="252">
        <f t="shared" si="9"/>
        <v>0.2</v>
      </c>
      <c r="V36" s="290">
        <v>107001004</v>
      </c>
      <c r="W36" s="252" t="s">
        <v>563</v>
      </c>
    </row>
    <row r="37" spans="1:23" ht="14.4" x14ac:dyDescent="0.3">
      <c r="A37" s="54" t="s">
        <v>744</v>
      </c>
      <c r="B37" s="244" t="str">
        <f>_xlfn.XLOOKUP(A37,'Base de Dados'!D:D,'Base de Dados'!B:B)</f>
        <v>TIMBRO SWISS SA</v>
      </c>
      <c r="C37" s="244" t="str">
        <f>_xlfn.XLOOKUP(PRECIFICAÇÃO[[#This Row],[INVOICE]],'Base de Dados'!D:D,'Base de Dados'!X:X)</f>
        <v>CONCLUÍDO</v>
      </c>
      <c r="D37" s="54">
        <v>373494</v>
      </c>
      <c r="E37" s="244" t="s">
        <v>910</v>
      </c>
      <c r="F37" s="245">
        <v>540</v>
      </c>
      <c r="G37" s="319">
        <v>3.4</v>
      </c>
      <c r="H37" s="246">
        <v>4.8998999999999997</v>
      </c>
      <c r="I37" s="247">
        <f t="shared" si="0"/>
        <v>16.659659999999999</v>
      </c>
      <c r="J37" s="248">
        <f t="shared" si="1"/>
        <v>8996.2163999999993</v>
      </c>
      <c r="K37" s="249">
        <f>J37/_xlfn.XLOOKUP(A37,'Base de Dados'!D:D,'Base de Dados'!M:M)</f>
        <v>2.9614632568478239E-2</v>
      </c>
      <c r="L37" s="248">
        <f>K37*_xlfn.XLOOKUP(A37,'Base de Dados'!D:D,'Base de Dados'!N:N)</f>
        <v>428.94129958509569</v>
      </c>
      <c r="M37" s="250">
        <f t="shared" si="2"/>
        <v>9425.1576995850955</v>
      </c>
      <c r="N37" s="251">
        <f t="shared" si="3"/>
        <v>17.453995739972399</v>
      </c>
      <c r="O37" s="252">
        <f t="shared" si="4"/>
        <v>0.43768192699999997</v>
      </c>
      <c r="P37" s="253">
        <f t="shared" si="10"/>
        <v>40</v>
      </c>
      <c r="Q37" s="252">
        <f t="shared" si="6"/>
        <v>0.56365010650069003</v>
      </c>
      <c r="R37" s="252">
        <v>0.53768192699999995</v>
      </c>
      <c r="S37" s="252">
        <f t="shared" si="7"/>
        <v>2.5968179500690081E-2</v>
      </c>
      <c r="T37" s="253">
        <f t="shared" si="11"/>
        <v>50</v>
      </c>
      <c r="U37" s="252">
        <f t="shared" si="9"/>
        <v>0.2</v>
      </c>
      <c r="V37" s="290">
        <v>107001004</v>
      </c>
      <c r="W37" s="252" t="s">
        <v>563</v>
      </c>
    </row>
    <row r="38" spans="1:23" ht="14.4" x14ac:dyDescent="0.3">
      <c r="A38" s="54" t="s">
        <v>744</v>
      </c>
      <c r="B38" s="244" t="str">
        <f>_xlfn.XLOOKUP(A38,'Base de Dados'!D:D,'Base de Dados'!B:B)</f>
        <v>TIMBRO SWISS SA</v>
      </c>
      <c r="C38" s="244" t="str">
        <f>_xlfn.XLOOKUP(PRECIFICAÇÃO[[#This Row],[INVOICE]],'Base de Dados'!D:D,'Base de Dados'!X:X)</f>
        <v>CONCLUÍDO</v>
      </c>
      <c r="D38" s="54">
        <v>382299</v>
      </c>
      <c r="E38" s="244" t="s">
        <v>921</v>
      </c>
      <c r="F38" s="245">
        <v>600</v>
      </c>
      <c r="G38" s="319">
        <v>8.1999999999999993</v>
      </c>
      <c r="H38" s="246">
        <v>4.8998999999999997</v>
      </c>
      <c r="I38" s="247">
        <f t="shared" si="0"/>
        <v>40.179179999999995</v>
      </c>
      <c r="J38" s="248">
        <f t="shared" si="1"/>
        <v>24107.507999999998</v>
      </c>
      <c r="K38" s="249">
        <f>J38/_xlfn.XLOOKUP(A38,'Base de Dados'!D:D,'Base de Dados'!M:M)</f>
        <v>7.9359472895922073E-2</v>
      </c>
      <c r="L38" s="248">
        <f>K38*_xlfn.XLOOKUP(A38,'Base de Dados'!D:D,'Base de Dados'!N:N)</f>
        <v>1149.450541371825</v>
      </c>
      <c r="M38" s="250">
        <f t="shared" si="2"/>
        <v>25256.958541371823</v>
      </c>
      <c r="N38" s="251">
        <f t="shared" si="3"/>
        <v>42.094930902286372</v>
      </c>
      <c r="O38" s="252">
        <f t="shared" si="4"/>
        <v>0.43768192699999997</v>
      </c>
      <c r="P38" s="253">
        <f t="shared" si="10"/>
        <v>96</v>
      </c>
      <c r="Q38" s="252">
        <f t="shared" si="6"/>
        <v>0.561511136434517</v>
      </c>
      <c r="R38" s="252">
        <v>0.53768192699999995</v>
      </c>
      <c r="S38" s="252">
        <f t="shared" si="7"/>
        <v>2.3829209434517051E-2</v>
      </c>
      <c r="T38" s="253">
        <f t="shared" si="11"/>
        <v>106</v>
      </c>
      <c r="U38" s="252">
        <f t="shared" si="9"/>
        <v>9.4339622641509441E-2</v>
      </c>
      <c r="V38" s="290">
        <v>107001004</v>
      </c>
      <c r="W38" s="252" t="s">
        <v>563</v>
      </c>
    </row>
    <row r="39" spans="1:23" ht="14.4" x14ac:dyDescent="0.3">
      <c r="A39" s="54" t="s">
        <v>744</v>
      </c>
      <c r="B39" s="244" t="str">
        <f>_xlfn.XLOOKUP(A39,'Base de Dados'!D:D,'Base de Dados'!B:B)</f>
        <v>TIMBRO SWISS SA</v>
      </c>
      <c r="C39" s="244" t="str">
        <f>_xlfn.XLOOKUP(PRECIFICAÇÃO[[#This Row],[INVOICE]],'Base de Dados'!D:D,'Base de Dados'!X:X)</f>
        <v>CONCLUÍDO</v>
      </c>
      <c r="D39" s="54">
        <v>382304</v>
      </c>
      <c r="E39" s="244" t="s">
        <v>922</v>
      </c>
      <c r="F39" s="245">
        <v>552</v>
      </c>
      <c r="G39" s="319">
        <v>6.03</v>
      </c>
      <c r="H39" s="246">
        <v>4.8998999999999997</v>
      </c>
      <c r="I39" s="247">
        <f t="shared" si="0"/>
        <v>29.546396999999999</v>
      </c>
      <c r="J39" s="248">
        <f t="shared" si="1"/>
        <v>16309.611143999999</v>
      </c>
      <c r="K39" s="249">
        <f>J39/_xlfn.XLOOKUP(A39,'Base de Dados'!D:D,'Base de Dados'!M:M)</f>
        <v>5.3689586809441137E-2</v>
      </c>
      <c r="L39" s="248">
        <f>K39*_xlfn.XLOOKUP(A39,'Base de Dados'!D:D,'Base de Dados'!N:N)</f>
        <v>777.64534430662638</v>
      </c>
      <c r="M39" s="250">
        <f t="shared" si="2"/>
        <v>17087.256488306626</v>
      </c>
      <c r="N39" s="251">
        <f t="shared" si="3"/>
        <v>30.95517479765693</v>
      </c>
      <c r="O39" s="252">
        <f t="shared" si="4"/>
        <v>0.43768192699999997</v>
      </c>
      <c r="P39" s="253">
        <f t="shared" si="10"/>
        <v>71</v>
      </c>
      <c r="Q39" s="252">
        <f t="shared" si="6"/>
        <v>0.56401162256821225</v>
      </c>
      <c r="R39" s="252">
        <v>0.53768192699999995</v>
      </c>
      <c r="S39" s="252">
        <f t="shared" si="7"/>
        <v>2.6329695568212297E-2</v>
      </c>
      <c r="T39" s="253">
        <f t="shared" si="11"/>
        <v>81</v>
      </c>
      <c r="U39" s="252">
        <f t="shared" si="9"/>
        <v>0.12345679012345678</v>
      </c>
      <c r="V39" s="290">
        <v>107001004</v>
      </c>
      <c r="W39" s="252" t="s">
        <v>563</v>
      </c>
    </row>
    <row r="40" spans="1:23" ht="14.4" x14ac:dyDescent="0.3">
      <c r="A40" s="54" t="s">
        <v>744</v>
      </c>
      <c r="B40" s="277" t="str">
        <f>_xlfn.XLOOKUP(A40,'Base de Dados'!D:D,'Base de Dados'!B:B)</f>
        <v>TIMBRO SWISS SA</v>
      </c>
      <c r="C40" s="277" t="str">
        <f>_xlfn.XLOOKUP(PRECIFICAÇÃO[[#This Row],[INVOICE]],'Base de Dados'!D:D,'Base de Dados'!X:X)</f>
        <v>CONCLUÍDO</v>
      </c>
      <c r="D40" s="49">
        <v>382303</v>
      </c>
      <c r="E40" s="277" t="s">
        <v>923</v>
      </c>
      <c r="F40" s="278">
        <v>588</v>
      </c>
      <c r="G40" s="320">
        <v>6.03</v>
      </c>
      <c r="H40" s="279">
        <v>4.8998999999999997</v>
      </c>
      <c r="I40" s="280">
        <f t="shared" si="0"/>
        <v>29.546396999999999</v>
      </c>
      <c r="J40" s="281">
        <f t="shared" si="1"/>
        <v>17373.281436000001</v>
      </c>
      <c r="K40" s="282">
        <f>J40/_xlfn.XLOOKUP(A40,'Base de Dados'!D:D,'Base de Dados'!M:M)</f>
        <v>5.7191081601361216E-2</v>
      </c>
      <c r="L40" s="281">
        <f>K40*_xlfn.XLOOKUP(A40,'Base de Dados'!D:D,'Base de Dados'!N:N)</f>
        <v>828.36134502227605</v>
      </c>
      <c r="M40" s="283">
        <f t="shared" si="2"/>
        <v>18201.642781022278</v>
      </c>
      <c r="N40" s="284">
        <f t="shared" si="3"/>
        <v>30.955174797656934</v>
      </c>
      <c r="O40" s="285">
        <f t="shared" si="4"/>
        <v>0.43768192699999997</v>
      </c>
      <c r="P40" s="286">
        <f t="shared" si="10"/>
        <v>71</v>
      </c>
      <c r="Q40" s="285">
        <f t="shared" si="6"/>
        <v>0.56401162256821213</v>
      </c>
      <c r="R40" s="285">
        <v>0.53768192699999995</v>
      </c>
      <c r="S40" s="285">
        <f t="shared" si="7"/>
        <v>2.6329695568212186E-2</v>
      </c>
      <c r="T40" s="286">
        <f t="shared" si="11"/>
        <v>81</v>
      </c>
      <c r="U40" s="285">
        <f t="shared" si="9"/>
        <v>0.12345679012345678</v>
      </c>
      <c r="V40" s="291">
        <v>107001004</v>
      </c>
      <c r="W40" s="252" t="s">
        <v>563</v>
      </c>
    </row>
    <row r="41" spans="1:23" ht="14.4" x14ac:dyDescent="0.3">
      <c r="A41" s="54" t="s">
        <v>744</v>
      </c>
      <c r="B41" s="244" t="str">
        <f>_xlfn.XLOOKUP(A41,'Base de Dados'!D:D,'Base de Dados'!B:B)</f>
        <v>TIMBRO SWISS SA</v>
      </c>
      <c r="C41" s="244" t="str">
        <f>_xlfn.XLOOKUP(PRECIFICAÇÃO[[#This Row],[INVOICE]],'Base de Dados'!D:D,'Base de Dados'!X:X)</f>
        <v>CONCLUÍDO</v>
      </c>
      <c r="D41" s="54">
        <v>382302</v>
      </c>
      <c r="E41" s="244" t="s">
        <v>924</v>
      </c>
      <c r="F41" s="245">
        <v>552</v>
      </c>
      <c r="G41" s="319">
        <v>6.03</v>
      </c>
      <c r="H41" s="246">
        <v>4.8998999999999997</v>
      </c>
      <c r="I41" s="247">
        <f t="shared" si="0"/>
        <v>29.546396999999999</v>
      </c>
      <c r="J41" s="248">
        <f t="shared" si="1"/>
        <v>16309.611143999999</v>
      </c>
      <c r="K41" s="249">
        <f>J41/_xlfn.XLOOKUP(A41,'Base de Dados'!D:D,'Base de Dados'!M:M)</f>
        <v>5.3689586809441137E-2</v>
      </c>
      <c r="L41" s="248">
        <f>K41*_xlfn.XLOOKUP(A41,'Base de Dados'!D:D,'Base de Dados'!N:N)</f>
        <v>777.64534430662638</v>
      </c>
      <c r="M41" s="250">
        <f t="shared" si="2"/>
        <v>17087.256488306626</v>
      </c>
      <c r="N41" s="251">
        <f t="shared" si="3"/>
        <v>30.95517479765693</v>
      </c>
      <c r="O41" s="252">
        <f t="shared" si="4"/>
        <v>0.43768192699999997</v>
      </c>
      <c r="P41" s="253">
        <f t="shared" si="10"/>
        <v>71</v>
      </c>
      <c r="Q41" s="252">
        <f t="shared" si="6"/>
        <v>0.56401162256821225</v>
      </c>
      <c r="R41" s="252">
        <v>0.53768192699999995</v>
      </c>
      <c r="S41" s="252">
        <f t="shared" si="7"/>
        <v>2.6329695568212297E-2</v>
      </c>
      <c r="T41" s="253">
        <f t="shared" si="11"/>
        <v>81</v>
      </c>
      <c r="U41" s="252">
        <f t="shared" si="9"/>
        <v>0.12345679012345678</v>
      </c>
      <c r="V41" s="290">
        <v>107001004</v>
      </c>
      <c r="W41" s="252" t="s">
        <v>563</v>
      </c>
    </row>
    <row r="42" spans="1:23" ht="14.4" x14ac:dyDescent="0.3">
      <c r="A42" s="54" t="s">
        <v>744</v>
      </c>
      <c r="B42" s="244" t="str">
        <f>_xlfn.XLOOKUP(A42,'Base de Dados'!D:D,'Base de Dados'!B:B)</f>
        <v>TIMBRO SWISS SA</v>
      </c>
      <c r="C42" s="244" t="str">
        <f>_xlfn.XLOOKUP(PRECIFICAÇÃO[[#This Row],[INVOICE]],'Base de Dados'!D:D,'Base de Dados'!X:X)</f>
        <v>CONCLUÍDO</v>
      </c>
      <c r="D42" s="54">
        <v>373498</v>
      </c>
      <c r="E42" s="244" t="s">
        <v>914</v>
      </c>
      <c r="F42" s="245">
        <v>564</v>
      </c>
      <c r="G42" s="319">
        <v>6.03</v>
      </c>
      <c r="H42" s="246">
        <v>4.8998999999999997</v>
      </c>
      <c r="I42" s="247">
        <f t="shared" si="0"/>
        <v>29.546396999999999</v>
      </c>
      <c r="J42" s="248">
        <f t="shared" si="1"/>
        <v>16664.167907999999</v>
      </c>
      <c r="K42" s="249">
        <f>J42/_xlfn.XLOOKUP(A42,'Base de Dados'!D:D,'Base de Dados'!M:M)</f>
        <v>5.4856751740081165E-2</v>
      </c>
      <c r="L42" s="248">
        <f>K42*_xlfn.XLOOKUP(A42,'Base de Dados'!D:D,'Base de Dados'!N:N)</f>
        <v>794.55067787850965</v>
      </c>
      <c r="M42" s="250">
        <f t="shared" si="2"/>
        <v>17458.718585878509</v>
      </c>
      <c r="N42" s="251">
        <f t="shared" si="3"/>
        <v>30.95517479765693</v>
      </c>
      <c r="O42" s="252">
        <f t="shared" si="4"/>
        <v>0.43768192699999997</v>
      </c>
      <c r="P42" s="253">
        <f t="shared" si="10"/>
        <v>71</v>
      </c>
      <c r="Q42" s="252">
        <f t="shared" si="6"/>
        <v>0.56401162256821225</v>
      </c>
      <c r="R42" s="252">
        <v>0.53768192699999995</v>
      </c>
      <c r="S42" s="252">
        <f t="shared" si="7"/>
        <v>2.6329695568212297E-2</v>
      </c>
      <c r="T42" s="253">
        <f t="shared" si="11"/>
        <v>81</v>
      </c>
      <c r="U42" s="252">
        <f t="shared" si="9"/>
        <v>0.12345679012345678</v>
      </c>
      <c r="V42" s="290">
        <v>107001004</v>
      </c>
      <c r="W42" s="252" t="s">
        <v>563</v>
      </c>
    </row>
    <row r="43" spans="1:23" ht="14.4" x14ac:dyDescent="0.3">
      <c r="A43" s="54" t="s">
        <v>744</v>
      </c>
      <c r="B43" s="244" t="str">
        <f>_xlfn.XLOOKUP(A43,'Base de Dados'!D:D,'Base de Dados'!B:B)</f>
        <v>TIMBRO SWISS SA</v>
      </c>
      <c r="C43" s="244" t="str">
        <f>_xlfn.XLOOKUP(PRECIFICAÇÃO[[#This Row],[INVOICE]],'Base de Dados'!D:D,'Base de Dados'!X:X)</f>
        <v>CONCLUÍDO</v>
      </c>
      <c r="D43" s="54">
        <v>373497</v>
      </c>
      <c r="E43" s="244" t="s">
        <v>913</v>
      </c>
      <c r="F43" s="245">
        <v>564</v>
      </c>
      <c r="G43" s="319">
        <v>6.03</v>
      </c>
      <c r="H43" s="246">
        <v>4.8998999999999997</v>
      </c>
      <c r="I43" s="247">
        <f t="shared" si="0"/>
        <v>29.546396999999999</v>
      </c>
      <c r="J43" s="248">
        <f t="shared" si="1"/>
        <v>16664.167907999999</v>
      </c>
      <c r="K43" s="249">
        <f>J43/_xlfn.XLOOKUP(A43,'Base de Dados'!D:D,'Base de Dados'!M:M)</f>
        <v>5.4856751740081165E-2</v>
      </c>
      <c r="L43" s="248">
        <f>K43*_xlfn.XLOOKUP(A43,'Base de Dados'!D:D,'Base de Dados'!N:N)</f>
        <v>794.55067787850965</v>
      </c>
      <c r="M43" s="250">
        <f t="shared" si="2"/>
        <v>17458.718585878509</v>
      </c>
      <c r="N43" s="251">
        <f t="shared" si="3"/>
        <v>30.95517479765693</v>
      </c>
      <c r="O43" s="252">
        <f t="shared" si="4"/>
        <v>0.43768192699999997</v>
      </c>
      <c r="P43" s="253">
        <f t="shared" si="10"/>
        <v>71</v>
      </c>
      <c r="Q43" s="252">
        <f t="shared" si="6"/>
        <v>0.56401162256821225</v>
      </c>
      <c r="R43" s="252">
        <v>0.53768192699999995</v>
      </c>
      <c r="S43" s="252">
        <f t="shared" si="7"/>
        <v>2.6329695568212297E-2</v>
      </c>
      <c r="T43" s="253">
        <f t="shared" si="11"/>
        <v>81</v>
      </c>
      <c r="U43" s="252">
        <f t="shared" si="9"/>
        <v>0.12345679012345678</v>
      </c>
      <c r="V43" s="290">
        <v>107001004</v>
      </c>
      <c r="W43" s="252" t="s">
        <v>563</v>
      </c>
    </row>
    <row r="44" spans="1:23" ht="14.4" x14ac:dyDescent="0.3">
      <c r="A44" s="54" t="s">
        <v>744</v>
      </c>
      <c r="B44" s="244" t="str">
        <f>_xlfn.XLOOKUP(A44,'Base de Dados'!D:D,'Base de Dados'!B:B)</f>
        <v>TIMBRO SWISS SA</v>
      </c>
      <c r="C44" s="244" t="str">
        <f>_xlfn.XLOOKUP(PRECIFICAÇÃO[[#This Row],[INVOICE]],'Base de Dados'!D:D,'Base de Dados'!X:X)</f>
        <v>CONCLUÍDO</v>
      </c>
      <c r="D44" s="54">
        <v>373496</v>
      </c>
      <c r="E44" s="244" t="s">
        <v>912</v>
      </c>
      <c r="F44" s="245">
        <v>528</v>
      </c>
      <c r="G44" s="319">
        <v>6.03</v>
      </c>
      <c r="H44" s="246">
        <v>4.8998999999999997</v>
      </c>
      <c r="I44" s="247">
        <f t="shared" si="0"/>
        <v>29.546396999999999</v>
      </c>
      <c r="J44" s="248">
        <f t="shared" si="1"/>
        <v>15600.497615999999</v>
      </c>
      <c r="K44" s="249">
        <f>J44/_xlfn.XLOOKUP(A44,'Base de Dados'!D:D,'Base de Dados'!M:M)</f>
        <v>5.1355256948161086E-2</v>
      </c>
      <c r="L44" s="248">
        <f>K44*_xlfn.XLOOKUP(A44,'Base de Dados'!D:D,'Base de Dados'!N:N)</f>
        <v>743.83467716285998</v>
      </c>
      <c r="M44" s="250">
        <f t="shared" si="2"/>
        <v>16344.332293162859</v>
      </c>
      <c r="N44" s="251">
        <f t="shared" si="3"/>
        <v>30.95517479765693</v>
      </c>
      <c r="O44" s="252">
        <f t="shared" si="4"/>
        <v>0.43768192699999997</v>
      </c>
      <c r="P44" s="253">
        <f t="shared" si="10"/>
        <v>71</v>
      </c>
      <c r="Q44" s="252">
        <f t="shared" si="6"/>
        <v>0.56401162256821225</v>
      </c>
      <c r="R44" s="252">
        <v>0.53768192699999995</v>
      </c>
      <c r="S44" s="252">
        <f t="shared" si="7"/>
        <v>2.6329695568212297E-2</v>
      </c>
      <c r="T44" s="253">
        <f t="shared" si="11"/>
        <v>81</v>
      </c>
      <c r="U44" s="252">
        <f t="shared" si="9"/>
        <v>0.12345679012345678</v>
      </c>
      <c r="V44" s="290">
        <v>107001004</v>
      </c>
      <c r="W44" s="252" t="s">
        <v>563</v>
      </c>
    </row>
    <row r="45" spans="1:23" ht="14.4" x14ac:dyDescent="0.3">
      <c r="A45" s="54" t="s">
        <v>744</v>
      </c>
      <c r="B45" s="244" t="str">
        <f>_xlfn.XLOOKUP(A45,'Base de Dados'!D:D,'Base de Dados'!B:B)</f>
        <v>TIMBRO SWISS SA</v>
      </c>
      <c r="C45" s="244" t="str">
        <f>_xlfn.XLOOKUP(PRECIFICAÇÃO[[#This Row],[INVOICE]],'Base de Dados'!D:D,'Base de Dados'!X:X)</f>
        <v>CONCLUÍDO</v>
      </c>
      <c r="D45" s="54">
        <v>382301</v>
      </c>
      <c r="E45" s="244" t="s">
        <v>925</v>
      </c>
      <c r="F45" s="245">
        <v>590</v>
      </c>
      <c r="G45" s="319">
        <v>8.1999999999999993</v>
      </c>
      <c r="H45" s="246">
        <v>4.8998999999999997</v>
      </c>
      <c r="I45" s="247">
        <f t="shared" si="0"/>
        <v>40.179179999999995</v>
      </c>
      <c r="J45" s="248">
        <f t="shared" si="1"/>
        <v>23705.716199999999</v>
      </c>
      <c r="K45" s="249">
        <f>J45/_xlfn.XLOOKUP(A45,'Base de Dados'!D:D,'Base de Dados'!M:M)</f>
        <v>7.8036815014323371E-2</v>
      </c>
      <c r="L45" s="248">
        <f>K45*_xlfn.XLOOKUP(A45,'Base de Dados'!D:D,'Base de Dados'!N:N)</f>
        <v>1130.2930323489611</v>
      </c>
      <c r="M45" s="250">
        <f t="shared" si="2"/>
        <v>24836.009232348959</v>
      </c>
      <c r="N45" s="251">
        <f t="shared" si="3"/>
        <v>42.094930902286372</v>
      </c>
      <c r="O45" s="252">
        <f t="shared" si="4"/>
        <v>0.43768192699999997</v>
      </c>
      <c r="P45" s="253">
        <f t="shared" si="10"/>
        <v>96</v>
      </c>
      <c r="Q45" s="252">
        <f t="shared" si="6"/>
        <v>0.561511136434517</v>
      </c>
      <c r="R45" s="252">
        <v>0.53768192699999995</v>
      </c>
      <c r="S45" s="252">
        <f t="shared" si="7"/>
        <v>2.3829209434517051E-2</v>
      </c>
      <c r="T45" s="253">
        <f t="shared" si="11"/>
        <v>106</v>
      </c>
      <c r="U45" s="252">
        <f t="shared" si="9"/>
        <v>9.4339622641509441E-2</v>
      </c>
      <c r="V45" s="290">
        <v>107001004</v>
      </c>
      <c r="W45" s="252" t="s">
        <v>563</v>
      </c>
    </row>
    <row r="46" spans="1:23" ht="14.4" x14ac:dyDescent="0.3">
      <c r="A46" s="54" t="s">
        <v>744</v>
      </c>
      <c r="B46" s="244" t="str">
        <f>_xlfn.XLOOKUP(A46,'Base de Dados'!D:D,'Base de Dados'!B:B)</f>
        <v>TIMBRO SWISS SA</v>
      </c>
      <c r="C46" s="244" t="str">
        <f>_xlfn.XLOOKUP(PRECIFICAÇÃO[[#This Row],[INVOICE]],'Base de Dados'!D:D,'Base de Dados'!X:X)</f>
        <v>CONCLUÍDO</v>
      </c>
      <c r="D46" s="54">
        <v>382300</v>
      </c>
      <c r="E46" s="244" t="s">
        <v>926</v>
      </c>
      <c r="F46" s="245">
        <v>580</v>
      </c>
      <c r="G46" s="319">
        <v>8.1999999999999993</v>
      </c>
      <c r="H46" s="246">
        <v>4.8998999999999997</v>
      </c>
      <c r="I46" s="247">
        <f t="shared" si="0"/>
        <v>40.179179999999995</v>
      </c>
      <c r="J46" s="248">
        <f t="shared" si="1"/>
        <v>23303.924399999996</v>
      </c>
      <c r="K46" s="249">
        <f>J46/_xlfn.XLOOKUP(A46,'Base de Dados'!D:D,'Base de Dados'!M:M)</f>
        <v>7.671415713272467E-2</v>
      </c>
      <c r="L46" s="248">
        <f>K46*_xlfn.XLOOKUP(A46,'Base de Dados'!D:D,'Base de Dados'!N:N)</f>
        <v>1111.1355233260974</v>
      </c>
      <c r="M46" s="250">
        <f t="shared" si="2"/>
        <v>24415.059923326095</v>
      </c>
      <c r="N46" s="251">
        <f t="shared" si="3"/>
        <v>42.094930902286372</v>
      </c>
      <c r="O46" s="252">
        <f t="shared" si="4"/>
        <v>0.43768192699999997</v>
      </c>
      <c r="P46" s="253">
        <f t="shared" si="10"/>
        <v>96</v>
      </c>
      <c r="Q46" s="252">
        <f t="shared" si="6"/>
        <v>0.561511136434517</v>
      </c>
      <c r="R46" s="252">
        <v>0.53768192699999995</v>
      </c>
      <c r="S46" s="252">
        <f t="shared" si="7"/>
        <v>2.3829209434517051E-2</v>
      </c>
      <c r="T46" s="253">
        <f t="shared" si="11"/>
        <v>106</v>
      </c>
      <c r="U46" s="252">
        <f t="shared" si="9"/>
        <v>9.4339622641509441E-2</v>
      </c>
      <c r="V46" s="290">
        <v>107001004</v>
      </c>
      <c r="W46" s="252" t="s">
        <v>563</v>
      </c>
    </row>
    <row r="47" spans="1:23" ht="14.4" x14ac:dyDescent="0.3">
      <c r="A47" s="49" t="s">
        <v>400</v>
      </c>
      <c r="B47" s="244" t="str">
        <f>_xlfn.XLOOKUP(A47,'Base de Dados'!D:D,'Base de Dados'!B:B)</f>
        <v>TIMBRO SWISS SA</v>
      </c>
      <c r="C47" s="277" t="str">
        <f>_xlfn.XLOOKUP(PRECIFICAÇÃO[[#This Row],[INVOICE]],'Base de Dados'!D:D,'Base de Dados'!X:X)</f>
        <v>CONCLUÍDO</v>
      </c>
      <c r="D47" s="49">
        <v>387147</v>
      </c>
      <c r="E47" s="277" t="s">
        <v>927</v>
      </c>
      <c r="F47" s="278">
        <v>1575</v>
      </c>
      <c r="G47" s="320">
        <v>40.71</v>
      </c>
      <c r="H47" s="279">
        <v>5.1087999999999996</v>
      </c>
      <c r="I47" s="280">
        <f t="shared" si="0"/>
        <v>207.97924799999998</v>
      </c>
      <c r="J47" s="281">
        <f t="shared" si="1"/>
        <v>327567.31559999997</v>
      </c>
      <c r="K47" s="282">
        <f>J47/_xlfn.XLOOKUP(A47,'Base de Dados'!D:D,'Base de Dados'!M:M)</f>
        <v>0.99999998656764655</v>
      </c>
      <c r="L47" s="281">
        <f>K47*_xlfn.XLOOKUP(A47,'Base de Dados'!D:D,'Base de Dados'!N:N)</f>
        <v>44344.379404350613</v>
      </c>
      <c r="M47" s="283">
        <f t="shared" si="2"/>
        <v>371911.69500435056</v>
      </c>
      <c r="N47" s="284">
        <f t="shared" si="3"/>
        <v>236.13440952657177</v>
      </c>
      <c r="O47" s="285">
        <f t="shared" si="4"/>
        <v>0.38095638600000004</v>
      </c>
      <c r="P47" s="286">
        <f t="shared" si="10"/>
        <v>620</v>
      </c>
      <c r="Q47" s="285">
        <f t="shared" si="6"/>
        <v>0.61913804915069071</v>
      </c>
      <c r="R47" s="285">
        <v>0.48095638600000001</v>
      </c>
      <c r="S47" s="285">
        <f t="shared" si="7"/>
        <v>0.13818166315069069</v>
      </c>
      <c r="T47" s="286">
        <f t="shared" si="11"/>
        <v>630</v>
      </c>
      <c r="U47" s="285">
        <f t="shared" si="9"/>
        <v>1.5873015873015872E-2</v>
      </c>
      <c r="V47" s="291">
        <v>117001006</v>
      </c>
      <c r="W47" s="252" t="s">
        <v>526</v>
      </c>
    </row>
    <row r="48" spans="1:23" ht="14.4" x14ac:dyDescent="0.3">
      <c r="A48" s="54" t="s">
        <v>715</v>
      </c>
      <c r="B48" s="244" t="str">
        <f>_xlfn.XLOOKUP(A48,'Base de Dados'!D:D,'Base de Dados'!B:B)</f>
        <v>TIMBRO SWISS SA</v>
      </c>
      <c r="C48" s="244" t="s">
        <v>259</v>
      </c>
      <c r="D48" s="54">
        <v>238722</v>
      </c>
      <c r="E48" s="244" t="s">
        <v>15</v>
      </c>
      <c r="F48" s="245">
        <v>3360</v>
      </c>
      <c r="G48" s="319">
        <f>4500/1000</f>
        <v>4.5</v>
      </c>
      <c r="H48" s="246">
        <v>5.7422000000000004</v>
      </c>
      <c r="I48" s="247">
        <f t="shared" si="0"/>
        <v>25.8399</v>
      </c>
      <c r="J48" s="248">
        <f t="shared" si="1"/>
        <v>86822.063999999998</v>
      </c>
      <c r="K48" s="249">
        <f>J48/_xlfn.XLOOKUP(A48,'Base de Dados'!D:D,'Base de Dados'!M:M)</f>
        <v>0.24022688034490025</v>
      </c>
      <c r="L48" s="248">
        <f>K48*_xlfn.XLOOKUP(A48,'Base de Dados'!D:D,'Base de Dados'!N:N)</f>
        <v>8966.3001500571609</v>
      </c>
      <c r="M48" s="250">
        <f t="shared" si="2"/>
        <v>95788.364150057154</v>
      </c>
      <c r="N48" s="251">
        <f t="shared" si="3"/>
        <v>28.508441711326533</v>
      </c>
      <c r="O48" s="252">
        <f t="shared" si="4"/>
        <v>0.41380769799999995</v>
      </c>
      <c r="P48" s="253">
        <f t="shared" si="10"/>
        <v>69</v>
      </c>
      <c r="Q48" s="252">
        <f t="shared" si="6"/>
        <v>0.5868341780967169</v>
      </c>
      <c r="R48" s="252">
        <v>0.51380769799999992</v>
      </c>
      <c r="S48" s="252">
        <f t="shared" si="7"/>
        <v>7.3026480096716972E-2</v>
      </c>
      <c r="T48" s="253">
        <f t="shared" si="11"/>
        <v>79</v>
      </c>
      <c r="U48" s="252">
        <f t="shared" si="9"/>
        <v>0.12658227848101267</v>
      </c>
      <c r="V48" s="290">
        <v>111003005</v>
      </c>
      <c r="W48" s="252" t="s">
        <v>498</v>
      </c>
    </row>
    <row r="49" spans="1:23" ht="14.4" x14ac:dyDescent="0.3">
      <c r="A49" s="54" t="s">
        <v>715</v>
      </c>
      <c r="B49" s="244" t="str">
        <f>_xlfn.XLOOKUP(A49,'Base de Dados'!D:D,'Base de Dados'!B:B)</f>
        <v>TIMBRO SWISS SA</v>
      </c>
      <c r="C49" s="277" t="s">
        <v>259</v>
      </c>
      <c r="D49" s="49">
        <v>238723</v>
      </c>
      <c r="E49" s="277" t="s">
        <v>16</v>
      </c>
      <c r="F49" s="278">
        <v>2600</v>
      </c>
      <c r="G49" s="320">
        <f>5650/1000</f>
        <v>5.65</v>
      </c>
      <c r="H49" s="279">
        <v>5.7422000000000004</v>
      </c>
      <c r="I49" s="280">
        <f t="shared" si="0"/>
        <v>32.443430000000006</v>
      </c>
      <c r="J49" s="281">
        <f t="shared" si="1"/>
        <v>84352.91800000002</v>
      </c>
      <c r="K49" s="282">
        <f>J49/_xlfn.XLOOKUP(A49,'Base de Dados'!D:D,'Base de Dados'!M:M)</f>
        <v>0.23339503123456254</v>
      </c>
      <c r="L49" s="281">
        <f>K49*_xlfn.XLOOKUP(A49,'Base de Dados'!D:D,'Base de Dados'!N:N)</f>
        <v>8711.3061643081837</v>
      </c>
      <c r="M49" s="283">
        <f t="shared" si="2"/>
        <v>93064.224164308209</v>
      </c>
      <c r="N49" s="284">
        <f t="shared" si="3"/>
        <v>35.793932370887774</v>
      </c>
      <c r="O49" s="285">
        <f t="shared" si="4"/>
        <v>0.41017661900000002</v>
      </c>
      <c r="P49" s="286">
        <f t="shared" si="10"/>
        <v>87</v>
      </c>
      <c r="Q49" s="285">
        <f t="shared" si="6"/>
        <v>0.5885754899897957</v>
      </c>
      <c r="R49" s="285">
        <v>0.510176619</v>
      </c>
      <c r="S49" s="285">
        <f t="shared" si="7"/>
        <v>7.8398870989795699E-2</v>
      </c>
      <c r="T49" s="286">
        <f t="shared" si="11"/>
        <v>97</v>
      </c>
      <c r="U49" s="285">
        <f t="shared" si="9"/>
        <v>0.10309278350515463</v>
      </c>
      <c r="V49" s="291">
        <v>111003001</v>
      </c>
      <c r="W49" s="252" t="s">
        <v>499</v>
      </c>
    </row>
    <row r="50" spans="1:23" ht="14.4" x14ac:dyDescent="0.3">
      <c r="A50" s="54" t="s">
        <v>715</v>
      </c>
      <c r="B50" s="244" t="str">
        <f>_xlfn.XLOOKUP(A50,'Base de Dados'!D:D,'Base de Dados'!B:B)</f>
        <v>TIMBRO SWISS SA</v>
      </c>
      <c r="C50" s="244" t="s">
        <v>259</v>
      </c>
      <c r="D50" s="54">
        <v>238699</v>
      </c>
      <c r="E50" s="244" t="s">
        <v>12</v>
      </c>
      <c r="F50" s="245">
        <v>1320</v>
      </c>
      <c r="G50" s="319">
        <v>13.9</v>
      </c>
      <c r="H50" s="246">
        <v>5.7422000000000004</v>
      </c>
      <c r="I50" s="247">
        <f t="shared" si="0"/>
        <v>79.816580000000002</v>
      </c>
      <c r="J50" s="248">
        <f t="shared" si="1"/>
        <v>105357.88560000001</v>
      </c>
      <c r="K50" s="249">
        <f>J50/_xlfn.XLOOKUP(A50,'Base de Dados'!D:D,'Base de Dados'!M:M)</f>
        <v>0.29151341273599407</v>
      </c>
      <c r="L50" s="248">
        <f>K50*_xlfn.XLOOKUP(A50,'Base de Dados'!D:D,'Base de Dados'!N:N)</f>
        <v>10880.534070982065</v>
      </c>
      <c r="M50" s="250">
        <f t="shared" si="2"/>
        <v>116238.41967098207</v>
      </c>
      <c r="N50" s="251">
        <f t="shared" si="3"/>
        <v>88.059408841653081</v>
      </c>
      <c r="O50" s="252">
        <f t="shared" si="4"/>
        <v>0.41243301300000001</v>
      </c>
      <c r="P50" s="253">
        <f t="shared" si="10"/>
        <v>214</v>
      </c>
      <c r="Q50" s="252">
        <f t="shared" si="6"/>
        <v>0.5885074353193781</v>
      </c>
      <c r="R50" s="252">
        <v>0.51243301299999999</v>
      </c>
      <c r="S50" s="252">
        <f t="shared" si="7"/>
        <v>7.607442231937811E-2</v>
      </c>
      <c r="T50" s="253">
        <f t="shared" si="11"/>
        <v>224</v>
      </c>
      <c r="U50" s="252">
        <f t="shared" si="9"/>
        <v>4.4642857142857144E-2</v>
      </c>
      <c r="V50" s="290">
        <v>111001005</v>
      </c>
      <c r="W50" s="252" t="s">
        <v>495</v>
      </c>
    </row>
    <row r="51" spans="1:23" ht="14.4" x14ac:dyDescent="0.3">
      <c r="A51" s="54" t="s">
        <v>715</v>
      </c>
      <c r="B51" s="244" t="str">
        <f>_xlfn.XLOOKUP(A51,'Base de Dados'!D:D,'Base de Dados'!B:B)</f>
        <v>TIMBRO SWISS SA</v>
      </c>
      <c r="C51" s="244" t="s">
        <v>259</v>
      </c>
      <c r="D51" s="54">
        <v>238721</v>
      </c>
      <c r="E51" s="244" t="s">
        <v>14</v>
      </c>
      <c r="F51" s="245">
        <v>1350</v>
      </c>
      <c r="G51" s="319">
        <v>10.95</v>
      </c>
      <c r="H51" s="246">
        <v>5.7422000000000004</v>
      </c>
      <c r="I51" s="247">
        <f t="shared" si="0"/>
        <v>62.877090000000003</v>
      </c>
      <c r="J51" s="248">
        <f t="shared" si="1"/>
        <v>84884.071500000005</v>
      </c>
      <c r="K51" s="249">
        <f>J51/_xlfn.XLOOKUP(A51,'Base de Dados'!D:D,'Base de Dados'!M:M)</f>
        <v>0.23486467319434448</v>
      </c>
      <c r="L51" s="248">
        <f>K51*_xlfn.XLOOKUP(A51,'Base de Dados'!D:D,'Base de Dados'!N:N)</f>
        <v>8766.159521707672</v>
      </c>
      <c r="M51" s="250">
        <f t="shared" si="2"/>
        <v>93650.231021707674</v>
      </c>
      <c r="N51" s="251">
        <f t="shared" si="3"/>
        <v>69.370541497561234</v>
      </c>
      <c r="O51" s="252">
        <f t="shared" si="4"/>
        <v>0.37835474300000005</v>
      </c>
      <c r="P51" s="253">
        <f t="shared" si="10"/>
        <v>183</v>
      </c>
      <c r="Q51" s="252">
        <f t="shared" si="6"/>
        <v>0.62092600274556697</v>
      </c>
      <c r="R51" s="252">
        <v>0.47835474300000003</v>
      </c>
      <c r="S51" s="252">
        <f t="shared" si="7"/>
        <v>0.14257125974556695</v>
      </c>
      <c r="T51" s="253">
        <f t="shared" si="11"/>
        <v>193</v>
      </c>
      <c r="U51" s="252">
        <f t="shared" si="9"/>
        <v>5.181347150259067E-2</v>
      </c>
      <c r="V51" s="290">
        <v>111001013</v>
      </c>
      <c r="W51" s="252" t="s">
        <v>497</v>
      </c>
    </row>
    <row r="52" spans="1:23" ht="14.4" x14ac:dyDescent="0.3">
      <c r="A52" s="54" t="s">
        <v>709</v>
      </c>
      <c r="B52" s="244" t="str">
        <f>_xlfn.XLOOKUP(A52,'Base de Dados'!D:D,'Base de Dados'!B:B)</f>
        <v>TIMBRO SWISS SA</v>
      </c>
      <c r="C52" s="244" t="s">
        <v>259</v>
      </c>
      <c r="D52" s="54">
        <v>238699</v>
      </c>
      <c r="E52" s="244" t="s">
        <v>12</v>
      </c>
      <c r="F52" s="245">
        <v>1320</v>
      </c>
      <c r="G52" s="319">
        <v>13.9</v>
      </c>
      <c r="H52" s="246">
        <v>5.6852</v>
      </c>
      <c r="I52" s="247">
        <f t="shared" si="0"/>
        <v>79.024280000000005</v>
      </c>
      <c r="J52" s="248">
        <f t="shared" si="1"/>
        <v>104312.04960000001</v>
      </c>
      <c r="K52" s="249">
        <f>J52/_xlfn.XLOOKUP(A52,'Base de Dados'!D:D,'Base de Dados'!M:M)</f>
        <v>0.31531592003061026</v>
      </c>
      <c r="L52" s="248">
        <f>K52*_xlfn.XLOOKUP(A52,'Base de Dados'!D:D,'Base de Dados'!N:N)</f>
        <v>11652.121445627166</v>
      </c>
      <c r="M52" s="250">
        <f t="shared" si="2"/>
        <v>115964.17104562718</v>
      </c>
      <c r="N52" s="251">
        <f t="shared" si="3"/>
        <v>87.851644731535742</v>
      </c>
      <c r="O52" s="252">
        <f t="shared" si="4"/>
        <v>0.39291766500000003</v>
      </c>
      <c r="P52" s="253">
        <f t="shared" si="10"/>
        <v>224</v>
      </c>
      <c r="Q52" s="252">
        <f t="shared" si="6"/>
        <v>0.60780515744850117</v>
      </c>
      <c r="R52" s="252">
        <v>0.492917665</v>
      </c>
      <c r="S52" s="252">
        <f t="shared" si="7"/>
        <v>0.11488749244850116</v>
      </c>
      <c r="T52" s="253">
        <f t="shared" si="11"/>
        <v>234</v>
      </c>
      <c r="U52" s="252">
        <f t="shared" si="9"/>
        <v>4.2735042735042736E-2</v>
      </c>
      <c r="V52" s="290">
        <v>111001005</v>
      </c>
      <c r="W52" s="252" t="s">
        <v>495</v>
      </c>
    </row>
    <row r="53" spans="1:23" ht="14.4" x14ac:dyDescent="0.3">
      <c r="A53" s="54" t="s">
        <v>709</v>
      </c>
      <c r="B53" s="244" t="str">
        <f>_xlfn.XLOOKUP(A53,'Base de Dados'!D:D,'Base de Dados'!B:B)</f>
        <v>TIMBRO SWISS SA</v>
      </c>
      <c r="C53" s="244" t="s">
        <v>259</v>
      </c>
      <c r="D53" s="54">
        <v>238700</v>
      </c>
      <c r="E53" s="244" t="s">
        <v>13</v>
      </c>
      <c r="F53" s="245">
        <v>4404</v>
      </c>
      <c r="G53" s="319">
        <v>5.69</v>
      </c>
      <c r="H53" s="246">
        <v>5.6852</v>
      </c>
      <c r="I53" s="247">
        <f t="shared" si="0"/>
        <v>32.348787999999999</v>
      </c>
      <c r="J53" s="248">
        <f t="shared" si="1"/>
        <v>142464.06235200001</v>
      </c>
      <c r="K53" s="249">
        <f>J53/_xlfn.XLOOKUP(A53,'Base de Dados'!D:D,'Base de Dados'!M:M)</f>
        <v>0.43064235689046515</v>
      </c>
      <c r="L53" s="248">
        <f>K53*_xlfn.XLOOKUP(A53,'Base de Dados'!D:D,'Base de Dados'!N:N)</f>
        <v>15913.871528058873</v>
      </c>
      <c r="M53" s="250">
        <f t="shared" si="2"/>
        <v>158377.93388005887</v>
      </c>
      <c r="N53" s="251">
        <f t="shared" si="3"/>
        <v>35.96229198003153</v>
      </c>
      <c r="O53" s="252">
        <f t="shared" si="4"/>
        <v>0.39291766500000003</v>
      </c>
      <c r="P53" s="253">
        <f t="shared" si="10"/>
        <v>92</v>
      </c>
      <c r="Q53" s="252">
        <f t="shared" si="6"/>
        <v>0.60910552195617906</v>
      </c>
      <c r="R53" s="252">
        <v>0.492917665</v>
      </c>
      <c r="S53" s="252">
        <f t="shared" si="7"/>
        <v>0.11618785695617906</v>
      </c>
      <c r="T53" s="253">
        <f t="shared" si="11"/>
        <v>102</v>
      </c>
      <c r="U53" s="252">
        <f t="shared" si="9"/>
        <v>9.8039215686274508E-2</v>
      </c>
      <c r="V53" s="290">
        <v>111001020</v>
      </c>
      <c r="W53" s="252" t="s">
        <v>496</v>
      </c>
    </row>
    <row r="54" spans="1:23" ht="14.4" x14ac:dyDescent="0.3">
      <c r="A54" s="54" t="s">
        <v>709</v>
      </c>
      <c r="B54" s="244" t="str">
        <f>_xlfn.XLOOKUP(A54,'Base de Dados'!D:D,'Base de Dados'!B:B)</f>
        <v>TIMBRO SWISS SA</v>
      </c>
      <c r="C54" s="244" t="s">
        <v>259</v>
      </c>
      <c r="D54" s="54">
        <v>238721</v>
      </c>
      <c r="E54" s="244" t="s">
        <v>14</v>
      </c>
      <c r="F54" s="245">
        <v>1350</v>
      </c>
      <c r="G54" s="319">
        <v>10.95</v>
      </c>
      <c r="H54" s="246">
        <v>5.6852</v>
      </c>
      <c r="I54" s="247">
        <f t="shared" si="0"/>
        <v>62.252939999999995</v>
      </c>
      <c r="J54" s="248">
        <f t="shared" si="1"/>
        <v>84041.468999999997</v>
      </c>
      <c r="K54" s="249">
        <f>J54/_xlfn.XLOOKUP(A54,'Base de Dados'!D:D,'Base de Dados'!M:M)</f>
        <v>0.25404172595664354</v>
      </c>
      <c r="L54" s="248">
        <f>K54*_xlfn.XLOOKUP(A54,'Base de Dados'!D:D,'Base de Dados'!N:N)</f>
        <v>9387.8071326566151</v>
      </c>
      <c r="M54" s="250">
        <f t="shared" si="2"/>
        <v>93429.276132656611</v>
      </c>
      <c r="N54" s="251">
        <f t="shared" si="3"/>
        <v>69.206871209375265</v>
      </c>
      <c r="O54" s="252">
        <f t="shared" si="4"/>
        <v>0.37835474300000005</v>
      </c>
      <c r="P54" s="253">
        <f t="shared" si="10"/>
        <v>183</v>
      </c>
      <c r="Q54" s="252">
        <f t="shared" si="6"/>
        <v>0.62182037590505324</v>
      </c>
      <c r="R54" s="252">
        <v>0.47835474300000003</v>
      </c>
      <c r="S54" s="252">
        <f t="shared" si="7"/>
        <v>0.14346563290505321</v>
      </c>
      <c r="T54" s="253">
        <f t="shared" si="11"/>
        <v>193</v>
      </c>
      <c r="U54" s="252">
        <f t="shared" si="9"/>
        <v>5.181347150259067E-2</v>
      </c>
      <c r="V54" s="290">
        <v>111001013</v>
      </c>
      <c r="W54" s="252" t="s">
        <v>497</v>
      </c>
    </row>
    <row r="55" spans="1:23" ht="14.4" x14ac:dyDescent="0.3">
      <c r="A55" s="54" t="s">
        <v>719</v>
      </c>
      <c r="B55" s="244" t="str">
        <f>_xlfn.XLOOKUP(A55,'Base de Dados'!D:D,'Base de Dados'!B:B)</f>
        <v>TIMBRO SWISS SA</v>
      </c>
      <c r="C55" s="244" t="s">
        <v>259</v>
      </c>
      <c r="D55" s="54">
        <v>267940</v>
      </c>
      <c r="E55" s="244" t="s">
        <v>25</v>
      </c>
      <c r="F55" s="245">
        <v>2448</v>
      </c>
      <c r="G55" s="319">
        <v>2.21</v>
      </c>
      <c r="H55" s="246">
        <v>5.5213000000000001</v>
      </c>
      <c r="I55" s="247">
        <f t="shared" si="0"/>
        <v>12.202073</v>
      </c>
      <c r="J55" s="248">
        <f t="shared" si="1"/>
        <v>29870.674704000001</v>
      </c>
      <c r="K55" s="249">
        <f>J55/_xlfn.XLOOKUP(A55,'Base de Dados'!D:D,'Base de Dados'!M:M)</f>
        <v>7.8915308888598212E-2</v>
      </c>
      <c r="L55" s="248">
        <f>K55*_xlfn.XLOOKUP(A55,'Base de Dados'!D:D,'Base de Dados'!N:N)</f>
        <v>2352.8615128197334</v>
      </c>
      <c r="M55" s="250">
        <f t="shared" si="2"/>
        <v>32223.536216819735</v>
      </c>
      <c r="N55" s="251">
        <f t="shared" si="3"/>
        <v>13.16320923889695</v>
      </c>
      <c r="O55" s="252">
        <f t="shared" si="4"/>
        <v>0.42527551200000002</v>
      </c>
      <c r="P55" s="253">
        <f t="shared" si="10"/>
        <v>31</v>
      </c>
      <c r="Q55" s="252">
        <f t="shared" si="6"/>
        <v>0.57538034713235642</v>
      </c>
      <c r="R55" s="252">
        <v>0.525275512</v>
      </c>
      <c r="S55" s="252">
        <f t="shared" si="7"/>
        <v>5.0104835132356418E-2</v>
      </c>
      <c r="T55" s="253">
        <f t="shared" si="11"/>
        <v>41</v>
      </c>
      <c r="U55" s="252">
        <f t="shared" si="9"/>
        <v>0.24390243902439024</v>
      </c>
      <c r="V55" s="290">
        <v>127001002</v>
      </c>
      <c r="W55" s="252" t="s">
        <v>501</v>
      </c>
    </row>
    <row r="56" spans="1:23" ht="14.4" x14ac:dyDescent="0.3">
      <c r="A56" s="54" t="s">
        <v>719</v>
      </c>
      <c r="B56" s="244" t="str">
        <f>_xlfn.XLOOKUP(A56,'Base de Dados'!D:D,'Base de Dados'!B:B)</f>
        <v>TIMBRO SWISS SA</v>
      </c>
      <c r="C56" s="244" t="s">
        <v>259</v>
      </c>
      <c r="D56" s="54">
        <v>267870</v>
      </c>
      <c r="E56" s="244" t="s">
        <v>18</v>
      </c>
      <c r="F56" s="245">
        <v>2448</v>
      </c>
      <c r="G56" s="319">
        <v>0.95</v>
      </c>
      <c r="H56" s="246">
        <v>5.5213000000000001</v>
      </c>
      <c r="I56" s="247">
        <f t="shared" si="0"/>
        <v>5.2452350000000001</v>
      </c>
      <c r="J56" s="248">
        <f t="shared" si="1"/>
        <v>12840.335279999999</v>
      </c>
      <c r="K56" s="249">
        <f>J56/_xlfn.XLOOKUP(A56,'Base de Dados'!D:D,'Base de Dados'!M:M)</f>
        <v>3.3922870336727737E-2</v>
      </c>
      <c r="L56" s="248">
        <f>K56*_xlfn.XLOOKUP(A56,'Base de Dados'!D:D,'Base de Dados'!N:N)</f>
        <v>1011.4110575469442</v>
      </c>
      <c r="M56" s="250">
        <f t="shared" si="2"/>
        <v>13851.746337546943</v>
      </c>
      <c r="N56" s="251">
        <f t="shared" si="3"/>
        <v>5.6583931117430328</v>
      </c>
      <c r="O56" s="252">
        <f t="shared" si="4"/>
        <v>0.40920539999999994</v>
      </c>
      <c r="P56" s="253">
        <f t="shared" si="10"/>
        <v>14</v>
      </c>
      <c r="Q56" s="252">
        <f t="shared" si="6"/>
        <v>0.59582906344692621</v>
      </c>
      <c r="R56" s="252">
        <v>0.50920539999999992</v>
      </c>
      <c r="S56" s="252">
        <f t="shared" si="7"/>
        <v>8.6623663446926291E-2</v>
      </c>
      <c r="T56" s="253">
        <f t="shared" si="11"/>
        <v>24</v>
      </c>
      <c r="U56" s="252">
        <f t="shared" si="9"/>
        <v>0.41666666666666669</v>
      </c>
      <c r="V56" s="290">
        <v>127001014</v>
      </c>
      <c r="W56" s="252" t="s">
        <v>500</v>
      </c>
    </row>
    <row r="57" spans="1:23" ht="14.4" x14ac:dyDescent="0.3">
      <c r="A57" s="54" t="s">
        <v>719</v>
      </c>
      <c r="B57" s="244" t="str">
        <f>_xlfn.XLOOKUP(A57,'Base de Dados'!D:D,'Base de Dados'!B:B)</f>
        <v>TIMBRO SWISS SA</v>
      </c>
      <c r="C57" s="244" t="s">
        <v>259</v>
      </c>
      <c r="D57" s="54">
        <v>267947</v>
      </c>
      <c r="E57" s="244" t="s">
        <v>32</v>
      </c>
      <c r="F57" s="245">
        <v>1200</v>
      </c>
      <c r="G57" s="319">
        <v>1.94</v>
      </c>
      <c r="H57" s="246">
        <v>5.5213000000000001</v>
      </c>
      <c r="I57" s="247">
        <f t="shared" si="0"/>
        <v>10.711321999999999</v>
      </c>
      <c r="J57" s="248">
        <f t="shared" si="1"/>
        <v>12853.586399999998</v>
      </c>
      <c r="K57" s="249">
        <f>J57/_xlfn.XLOOKUP(A57,'Base de Dados'!D:D,'Base de Dados'!M:M)</f>
        <v>3.395787845885026E-2</v>
      </c>
      <c r="L57" s="248">
        <f>K57*_xlfn.XLOOKUP(A57,'Base de Dados'!D:D,'Base de Dados'!N:N)</f>
        <v>1012.4548254081897</v>
      </c>
      <c r="M57" s="250">
        <f t="shared" si="2"/>
        <v>13866.041225408188</v>
      </c>
      <c r="N57" s="251">
        <f t="shared" si="3"/>
        <v>11.555034354506823</v>
      </c>
      <c r="O57" s="252">
        <f t="shared" si="4"/>
        <v>0.44510234400000004</v>
      </c>
      <c r="P57" s="253">
        <f t="shared" si="10"/>
        <v>26</v>
      </c>
      <c r="Q57" s="252">
        <f t="shared" si="6"/>
        <v>0.55557560174973752</v>
      </c>
      <c r="R57" s="252">
        <v>0.54510234400000002</v>
      </c>
      <c r="S57" s="252">
        <f t="shared" si="7"/>
        <v>1.0473257749737508E-2</v>
      </c>
      <c r="T57" s="253">
        <f t="shared" si="11"/>
        <v>36</v>
      </c>
      <c r="U57" s="252">
        <f t="shared" si="9"/>
        <v>0.27777777777777779</v>
      </c>
      <c r="V57" s="290">
        <v>127001001</v>
      </c>
      <c r="W57" s="252" t="s">
        <v>503</v>
      </c>
    </row>
    <row r="58" spans="1:23" ht="14.4" x14ac:dyDescent="0.3">
      <c r="A58" s="54" t="s">
        <v>719</v>
      </c>
      <c r="B58" s="244" t="str">
        <f>_xlfn.XLOOKUP(A58,'Base de Dados'!D:D,'Base de Dados'!B:B)</f>
        <v>TIMBRO SWISS SA</v>
      </c>
      <c r="C58" s="244" t="s">
        <v>259</v>
      </c>
      <c r="D58" s="54">
        <v>267946</v>
      </c>
      <c r="E58" s="244" t="s">
        <v>31</v>
      </c>
      <c r="F58" s="245">
        <v>1200</v>
      </c>
      <c r="G58" s="319">
        <v>1.33</v>
      </c>
      <c r="H58" s="246">
        <v>5.5213000000000001</v>
      </c>
      <c r="I58" s="247">
        <f t="shared" si="0"/>
        <v>7.3433290000000007</v>
      </c>
      <c r="J58" s="248">
        <f t="shared" si="1"/>
        <v>8811.9948000000004</v>
      </c>
      <c r="K58" s="249">
        <f>J58/_xlfn.XLOOKUP(A58,'Base de Dados'!D:D,'Base de Dados'!M:M)</f>
        <v>2.3280401211479822E-2</v>
      </c>
      <c r="L58" s="248">
        <f>K58*_xlfn.XLOOKUP(A58,'Base de Dados'!D:D,'Base de Dados'!N:N)</f>
        <v>694.10562772829519</v>
      </c>
      <c r="M58" s="250">
        <f t="shared" si="2"/>
        <v>9506.1004277282955</v>
      </c>
      <c r="N58" s="251">
        <f t="shared" si="3"/>
        <v>7.9217503564402465</v>
      </c>
      <c r="O58" s="252">
        <f t="shared" si="4"/>
        <v>0.44510234400000004</v>
      </c>
      <c r="P58" s="253">
        <f t="shared" si="10"/>
        <v>18</v>
      </c>
      <c r="Q58" s="252">
        <f t="shared" si="6"/>
        <v>0.5599027579755419</v>
      </c>
      <c r="R58" s="252">
        <v>0.54510234400000002</v>
      </c>
      <c r="S58" s="252">
        <f t="shared" si="7"/>
        <v>1.4800413975541882E-2</v>
      </c>
      <c r="T58" s="253">
        <f t="shared" si="11"/>
        <v>28</v>
      </c>
      <c r="U58" s="252">
        <f t="shared" si="9"/>
        <v>0.35714285714285715</v>
      </c>
      <c r="V58" s="290">
        <v>127001001</v>
      </c>
      <c r="W58" s="252" t="s">
        <v>503</v>
      </c>
    </row>
    <row r="59" spans="1:23" ht="14.4" x14ac:dyDescent="0.3">
      <c r="A59" s="54" t="s">
        <v>719</v>
      </c>
      <c r="B59" s="244" t="str">
        <f>_xlfn.XLOOKUP(A59,'Base de Dados'!D:D,'Base de Dados'!B:B)</f>
        <v>TIMBRO SWISS SA</v>
      </c>
      <c r="C59" s="244" t="s">
        <v>259</v>
      </c>
      <c r="D59" s="54">
        <v>267945</v>
      </c>
      <c r="E59" s="244" t="s">
        <v>30</v>
      </c>
      <c r="F59" s="245">
        <v>1200</v>
      </c>
      <c r="G59" s="319">
        <v>3.01</v>
      </c>
      <c r="H59" s="246">
        <v>5.5213000000000001</v>
      </c>
      <c r="I59" s="247">
        <f t="shared" si="0"/>
        <v>16.619112999999999</v>
      </c>
      <c r="J59" s="248">
        <f t="shared" si="1"/>
        <v>19942.935599999997</v>
      </c>
      <c r="K59" s="249">
        <f>J59/_xlfn.XLOOKUP(A59,'Base de Dados'!D:D,'Base de Dados'!M:M)</f>
        <v>5.2687223794401696E-2</v>
      </c>
      <c r="L59" s="248">
        <f>K59*_xlfn.XLOOKUP(A59,'Base de Dados'!D:D,'Base de Dados'!N:N)</f>
        <v>1570.8706311745625</v>
      </c>
      <c r="M59" s="250">
        <f t="shared" si="2"/>
        <v>21513.80623117456</v>
      </c>
      <c r="N59" s="251">
        <f t="shared" si="3"/>
        <v>17.928171859312133</v>
      </c>
      <c r="O59" s="252">
        <f t="shared" si="4"/>
        <v>0.42527551200000002</v>
      </c>
      <c r="P59" s="253">
        <f t="shared" si="10"/>
        <v>42</v>
      </c>
      <c r="Q59" s="252">
        <f t="shared" si="6"/>
        <v>0.57313876525447305</v>
      </c>
      <c r="R59" s="252">
        <v>0.525275512</v>
      </c>
      <c r="S59" s="252">
        <f t="shared" si="7"/>
        <v>4.7863253254473048E-2</v>
      </c>
      <c r="T59" s="253">
        <f t="shared" si="11"/>
        <v>52</v>
      </c>
      <c r="U59" s="252">
        <f t="shared" si="9"/>
        <v>0.19230769230769232</v>
      </c>
      <c r="V59" s="290">
        <v>127001002</v>
      </c>
      <c r="W59" s="252" t="s">
        <v>501</v>
      </c>
    </row>
    <row r="60" spans="1:23" ht="14.4" x14ac:dyDescent="0.3">
      <c r="A60" s="54" t="s">
        <v>719</v>
      </c>
      <c r="B60" s="244" t="str">
        <f>_xlfn.XLOOKUP(A60,'Base de Dados'!D:D,'Base de Dados'!B:B)</f>
        <v>TIMBRO SWISS SA</v>
      </c>
      <c r="C60" s="244" t="s">
        <v>259</v>
      </c>
      <c r="D60" s="54">
        <v>267944</v>
      </c>
      <c r="E60" s="244" t="s">
        <v>29</v>
      </c>
      <c r="F60" s="245">
        <v>1662</v>
      </c>
      <c r="G60" s="319">
        <v>2.6</v>
      </c>
      <c r="H60" s="246">
        <v>5.5213000000000001</v>
      </c>
      <c r="I60" s="247">
        <f t="shared" si="0"/>
        <v>14.35538</v>
      </c>
      <c r="J60" s="248">
        <f t="shared" si="1"/>
        <v>23858.64156</v>
      </c>
      <c r="K60" s="249">
        <f>J60/_xlfn.XLOOKUP(A60,'Base de Dados'!D:D,'Base de Dados'!M:M)</f>
        <v>6.3032123881608143E-2</v>
      </c>
      <c r="L60" s="248">
        <f>K60*_xlfn.XLOOKUP(A60,'Base de Dados'!D:D,'Base de Dados'!N:N)</f>
        <v>1879.3040341726244</v>
      </c>
      <c r="M60" s="250">
        <f t="shared" si="2"/>
        <v>25737.945594172623</v>
      </c>
      <c r="N60" s="251">
        <f t="shared" si="3"/>
        <v>15.486128516349352</v>
      </c>
      <c r="O60" s="252">
        <f t="shared" si="4"/>
        <v>0.44079731899999997</v>
      </c>
      <c r="P60" s="253">
        <f t="shared" si="10"/>
        <v>35</v>
      </c>
      <c r="Q60" s="252">
        <f t="shared" si="6"/>
        <v>0.55753918524716128</v>
      </c>
      <c r="R60" s="252">
        <v>0.54079731899999994</v>
      </c>
      <c r="S60" s="252">
        <f t="shared" si="7"/>
        <v>1.6741866247161341E-2</v>
      </c>
      <c r="T60" s="253">
        <f t="shared" si="11"/>
        <v>45</v>
      </c>
      <c r="U60" s="252">
        <f t="shared" si="9"/>
        <v>0.22222222222222221</v>
      </c>
      <c r="V60" s="290">
        <v>127001006</v>
      </c>
      <c r="W60" s="252" t="s">
        <v>502</v>
      </c>
    </row>
    <row r="61" spans="1:23" ht="14.4" x14ac:dyDescent="0.3">
      <c r="A61" s="54" t="s">
        <v>719</v>
      </c>
      <c r="B61" s="244" t="str">
        <f>_xlfn.XLOOKUP(A61,'Base de Dados'!D:D,'Base de Dados'!B:B)</f>
        <v>TIMBRO SWISS SA</v>
      </c>
      <c r="C61" s="244" t="s">
        <v>259</v>
      </c>
      <c r="D61" s="54">
        <v>267943</v>
      </c>
      <c r="E61" s="244" t="s">
        <v>28</v>
      </c>
      <c r="F61" s="245">
        <v>2448</v>
      </c>
      <c r="G61" s="319">
        <v>1.95</v>
      </c>
      <c r="H61" s="246">
        <v>5.5213000000000001</v>
      </c>
      <c r="I61" s="247">
        <f t="shared" si="0"/>
        <v>10.766534999999999</v>
      </c>
      <c r="J61" s="248">
        <f t="shared" si="1"/>
        <v>26356.47768</v>
      </c>
      <c r="K61" s="249">
        <f>J61/_xlfn.XLOOKUP(A61,'Base de Dados'!D:D,'Base de Dados'!M:M)</f>
        <v>6.9631154901704309E-2</v>
      </c>
      <c r="L61" s="248">
        <f>K61*_xlfn.XLOOKUP(A61,'Base de Dados'!D:D,'Base de Dados'!N:N)</f>
        <v>2076.0542760174121</v>
      </c>
      <c r="M61" s="250">
        <f t="shared" si="2"/>
        <v>28432.53195601741</v>
      </c>
      <c r="N61" s="251">
        <f t="shared" si="3"/>
        <v>11.614596387262013</v>
      </c>
      <c r="O61" s="252">
        <f t="shared" si="4"/>
        <v>0.44079731899999997</v>
      </c>
      <c r="P61" s="253">
        <f t="shared" si="10"/>
        <v>26</v>
      </c>
      <c r="Q61" s="252">
        <f t="shared" si="6"/>
        <v>0.55328475433607638</v>
      </c>
      <c r="R61" s="252">
        <v>0.54079731899999994</v>
      </c>
      <c r="S61" s="252">
        <f t="shared" si="7"/>
        <v>1.2487435336076436E-2</v>
      </c>
      <c r="T61" s="253">
        <f t="shared" si="11"/>
        <v>36</v>
      </c>
      <c r="U61" s="252">
        <f t="shared" si="9"/>
        <v>0.27777777777777779</v>
      </c>
      <c r="V61" s="290">
        <v>127001006</v>
      </c>
      <c r="W61" s="252" t="s">
        <v>502</v>
      </c>
    </row>
    <row r="62" spans="1:23" ht="14.4" x14ac:dyDescent="0.3">
      <c r="A62" s="54" t="s">
        <v>719</v>
      </c>
      <c r="B62" s="244" t="str">
        <f>_xlfn.XLOOKUP(A62,'Base de Dados'!D:D,'Base de Dados'!B:B)</f>
        <v>TIMBRO SWISS SA</v>
      </c>
      <c r="C62" s="244" t="s">
        <v>259</v>
      </c>
      <c r="D62" s="54">
        <v>267942</v>
      </c>
      <c r="E62" s="244" t="s">
        <v>27</v>
      </c>
      <c r="F62" s="245">
        <v>2448</v>
      </c>
      <c r="G62" s="319">
        <v>1.46</v>
      </c>
      <c r="H62" s="246">
        <v>5.5213000000000001</v>
      </c>
      <c r="I62" s="247">
        <f t="shared" si="0"/>
        <v>8.0610979999999994</v>
      </c>
      <c r="J62" s="248">
        <f t="shared" si="1"/>
        <v>19733.567904</v>
      </c>
      <c r="K62" s="249">
        <f>J62/_xlfn.XLOOKUP(A62,'Base de Dados'!D:D,'Base de Dados'!M:M)</f>
        <v>5.213409546486579E-2</v>
      </c>
      <c r="L62" s="248">
        <f>K62*_xlfn.XLOOKUP(A62,'Base de Dados'!D:D,'Base de Dados'!N:N)</f>
        <v>1554.3790989668828</v>
      </c>
      <c r="M62" s="250">
        <f t="shared" si="2"/>
        <v>21287.947002966881</v>
      </c>
      <c r="N62" s="251">
        <f t="shared" si="3"/>
        <v>8.6960567822577133</v>
      </c>
      <c r="O62" s="252">
        <f t="shared" si="4"/>
        <v>0.44079731899999997</v>
      </c>
      <c r="P62" s="253">
        <f t="shared" si="10"/>
        <v>20</v>
      </c>
      <c r="Q62" s="252">
        <f t="shared" si="6"/>
        <v>0.56519716088711436</v>
      </c>
      <c r="R62" s="252">
        <v>0.54079731899999994</v>
      </c>
      <c r="S62" s="252">
        <f t="shared" si="7"/>
        <v>2.4399841887114415E-2</v>
      </c>
      <c r="T62" s="253">
        <f t="shared" si="11"/>
        <v>30</v>
      </c>
      <c r="U62" s="252">
        <f t="shared" si="9"/>
        <v>0.33333333333333331</v>
      </c>
      <c r="V62" s="290">
        <v>127001006</v>
      </c>
      <c r="W62" s="252" t="s">
        <v>502</v>
      </c>
    </row>
    <row r="63" spans="1:23" ht="14.4" x14ac:dyDescent="0.3">
      <c r="A63" s="54" t="s">
        <v>719</v>
      </c>
      <c r="B63" s="244" t="str">
        <f>_xlfn.XLOOKUP(A63,'Base de Dados'!D:D,'Base de Dados'!B:B)</f>
        <v>TIMBRO SWISS SA</v>
      </c>
      <c r="C63" s="244" t="s">
        <v>259</v>
      </c>
      <c r="D63" s="54">
        <v>267941</v>
      </c>
      <c r="E63" s="244" t="s">
        <v>26</v>
      </c>
      <c r="F63" s="245">
        <v>2448</v>
      </c>
      <c r="G63" s="319">
        <v>1.53</v>
      </c>
      <c r="H63" s="246">
        <v>5.5213000000000001</v>
      </c>
      <c r="I63" s="247">
        <f t="shared" si="0"/>
        <v>8.4475890000000007</v>
      </c>
      <c r="J63" s="248">
        <f t="shared" si="1"/>
        <v>20679.697872000001</v>
      </c>
      <c r="K63" s="249">
        <f>J63/_xlfn.XLOOKUP(A63,'Base de Dados'!D:D,'Base de Dados'!M:M)</f>
        <v>5.4633675384414153E-2</v>
      </c>
      <c r="L63" s="248">
        <f>K63*_xlfn.XLOOKUP(A63,'Base de Dados'!D:D,'Base de Dados'!N:N)</f>
        <v>1628.9041242598157</v>
      </c>
      <c r="M63" s="250">
        <f t="shared" si="2"/>
        <v>22308.601996259815</v>
      </c>
      <c r="N63" s="251">
        <f t="shared" si="3"/>
        <v>9.1129910115440413</v>
      </c>
      <c r="O63" s="252">
        <f t="shared" si="4"/>
        <v>0.42527551200000002</v>
      </c>
      <c r="P63" s="253">
        <f t="shared" si="10"/>
        <v>21</v>
      </c>
      <c r="Q63" s="252">
        <f t="shared" si="6"/>
        <v>0.56604804706933132</v>
      </c>
      <c r="R63" s="252">
        <v>0.525275512</v>
      </c>
      <c r="S63" s="252">
        <f t="shared" si="7"/>
        <v>4.0772535069331317E-2</v>
      </c>
      <c r="T63" s="253">
        <f t="shared" si="11"/>
        <v>31</v>
      </c>
      <c r="U63" s="252">
        <f t="shared" si="9"/>
        <v>0.32258064516129031</v>
      </c>
      <c r="V63" s="290">
        <v>127001002</v>
      </c>
      <c r="W63" s="252" t="s">
        <v>501</v>
      </c>
    </row>
    <row r="64" spans="1:23" ht="14.4" x14ac:dyDescent="0.3">
      <c r="A64" s="54" t="s">
        <v>719</v>
      </c>
      <c r="B64" s="244" t="str">
        <f>_xlfn.XLOOKUP(A64,'Base de Dados'!D:D,'Base de Dados'!B:B)</f>
        <v>TIMBRO SWISS SA</v>
      </c>
      <c r="C64" s="277" t="s">
        <v>259</v>
      </c>
      <c r="D64" s="49">
        <v>267869</v>
      </c>
      <c r="E64" s="277" t="s">
        <v>928</v>
      </c>
      <c r="F64" s="278">
        <v>2448</v>
      </c>
      <c r="G64" s="320">
        <v>0.74</v>
      </c>
      <c r="H64" s="279">
        <v>5.5213000000000001</v>
      </c>
      <c r="I64" s="280">
        <f t="shared" si="0"/>
        <v>4.0857619999999999</v>
      </c>
      <c r="J64" s="281">
        <f t="shared" si="1"/>
        <v>10001.945376</v>
      </c>
      <c r="K64" s="282">
        <f>J64/_xlfn.XLOOKUP(A64,'Base de Dados'!D:D,'Base de Dados'!M:M)</f>
        <v>2.6424130578082659E-2</v>
      </c>
      <c r="L64" s="281">
        <f>K64*_xlfn.XLOOKUP(A64,'Base de Dados'!D:D,'Base de Dados'!N:N)</f>
        <v>787.83598166814602</v>
      </c>
      <c r="M64" s="283">
        <f t="shared" si="2"/>
        <v>10789.781357668146</v>
      </c>
      <c r="N64" s="284">
        <f t="shared" si="3"/>
        <v>4.407590423884046</v>
      </c>
      <c r="O64" s="285">
        <f t="shared" si="4"/>
        <v>0.40920539999999994</v>
      </c>
      <c r="P64" s="286">
        <f t="shared" si="10"/>
        <v>11</v>
      </c>
      <c r="Q64" s="285">
        <f t="shared" si="6"/>
        <v>0.59930996146508675</v>
      </c>
      <c r="R64" s="285">
        <v>0.50920539999999992</v>
      </c>
      <c r="S64" s="285">
        <f t="shared" si="7"/>
        <v>9.010456146508683E-2</v>
      </c>
      <c r="T64" s="286">
        <f t="shared" si="11"/>
        <v>21</v>
      </c>
      <c r="U64" s="285">
        <f t="shared" si="9"/>
        <v>0.47619047619047616</v>
      </c>
      <c r="V64" s="291">
        <v>127001014</v>
      </c>
      <c r="W64" s="252" t="s">
        <v>500</v>
      </c>
    </row>
    <row r="65" spans="1:46" ht="14.4" x14ac:dyDescent="0.3">
      <c r="A65" s="54" t="s">
        <v>719</v>
      </c>
      <c r="B65" s="244" t="str">
        <f>_xlfn.XLOOKUP(A65,'Base de Dados'!D:D,'Base de Dados'!B:B)</f>
        <v>TIMBRO SWISS SA</v>
      </c>
      <c r="C65" s="244" t="s">
        <v>259</v>
      </c>
      <c r="D65" s="54">
        <v>267939</v>
      </c>
      <c r="E65" s="244" t="s">
        <v>24</v>
      </c>
      <c r="F65" s="245">
        <v>2448</v>
      </c>
      <c r="G65" s="319">
        <v>2.1</v>
      </c>
      <c r="H65" s="246">
        <v>5.5213000000000001</v>
      </c>
      <c r="I65" s="247">
        <f t="shared" si="0"/>
        <v>11.59473</v>
      </c>
      <c r="J65" s="248">
        <f t="shared" si="1"/>
        <v>28383.89904</v>
      </c>
      <c r="K65" s="249">
        <f>J65/_xlfn.XLOOKUP(A65,'Base de Dados'!D:D,'Base de Dados'!M:M)</f>
        <v>7.4987397586450788E-2</v>
      </c>
      <c r="L65" s="248">
        <f>K65*_xlfn.XLOOKUP(A65,'Base de Dados'!D:D,'Base de Dados'!N:N)</f>
        <v>2235.7507587879818</v>
      </c>
      <c r="M65" s="250">
        <f t="shared" si="2"/>
        <v>30619.649798787981</v>
      </c>
      <c r="N65" s="251">
        <f t="shared" si="3"/>
        <v>12.508026878589861</v>
      </c>
      <c r="O65" s="252">
        <f t="shared" si="4"/>
        <v>0.42527551200000002</v>
      </c>
      <c r="P65" s="253">
        <f t="shared" si="10"/>
        <v>29</v>
      </c>
      <c r="Q65" s="252">
        <f t="shared" si="6"/>
        <v>0.56868872832448758</v>
      </c>
      <c r="R65" s="252">
        <v>0.525275512</v>
      </c>
      <c r="S65" s="252">
        <f t="shared" si="7"/>
        <v>4.341321632448758E-2</v>
      </c>
      <c r="T65" s="253">
        <f t="shared" si="11"/>
        <v>39</v>
      </c>
      <c r="U65" s="252">
        <f t="shared" si="9"/>
        <v>0.25641025641025639</v>
      </c>
      <c r="V65" s="290">
        <v>127001002</v>
      </c>
      <c r="W65" s="252" t="s">
        <v>501</v>
      </c>
    </row>
    <row r="66" spans="1:46" ht="14.4" x14ac:dyDescent="0.3">
      <c r="A66" s="54" t="s">
        <v>719</v>
      </c>
      <c r="B66" s="244" t="str">
        <f>_xlfn.XLOOKUP(A66,'Base de Dados'!D:D,'Base de Dados'!B:B)</f>
        <v>TIMBRO SWISS SA</v>
      </c>
      <c r="C66" s="244" t="s">
        <v>259</v>
      </c>
      <c r="D66" s="54">
        <v>267938</v>
      </c>
      <c r="E66" s="244" t="s">
        <v>23</v>
      </c>
      <c r="F66" s="245">
        <v>1812</v>
      </c>
      <c r="G66" s="319">
        <v>2.15</v>
      </c>
      <c r="H66" s="246">
        <v>5.5213000000000001</v>
      </c>
      <c r="I66" s="247">
        <f t="shared" ref="I66:I129" si="12">H66*G66</f>
        <v>11.870794999999999</v>
      </c>
      <c r="J66" s="248">
        <f t="shared" ref="J66:J129" si="13">I66*F66</f>
        <v>21509.880539999998</v>
      </c>
      <c r="K66" s="249">
        <f>J66/_xlfn.XLOOKUP(A66,'Base de Dados'!D:D,'Base de Dados'!M:M)</f>
        <v>5.6826934235390404E-2</v>
      </c>
      <c r="L66" s="248">
        <f>K66*_xlfn.XLOOKUP(A66,'Base de Dados'!D:D,'Base de Dados'!N:N)</f>
        <v>1694.2961807668496</v>
      </c>
      <c r="M66" s="250">
        <f t="shared" ref="M66:M129" si="14">J66+L66</f>
        <v>23204.176720766849</v>
      </c>
      <c r="N66" s="251">
        <f t="shared" ref="N66:N129" si="15">M66/F66</f>
        <v>12.805837042365811</v>
      </c>
      <c r="O66" s="252">
        <f t="shared" ref="O66:O129" si="16">R66-0.1</f>
        <v>0.40920539999999994</v>
      </c>
      <c r="P66" s="253">
        <f t="shared" ref="P66:P97" si="17">ROUND(N66/O66,0)</f>
        <v>31</v>
      </c>
      <c r="Q66" s="252">
        <f t="shared" ref="Q66:Q129" si="18">(P66-N66)/P66</f>
        <v>0.5869084825043287</v>
      </c>
      <c r="R66" s="252">
        <v>0.50920539999999992</v>
      </c>
      <c r="S66" s="252">
        <f t="shared" ref="S66:S129" si="19">Q66-R66</f>
        <v>7.770308250432878E-2</v>
      </c>
      <c r="T66" s="253">
        <f t="shared" ref="T66:T97" si="20">P66+10</f>
        <v>41</v>
      </c>
      <c r="U66" s="252">
        <f t="shared" ref="U66:U129" si="21">(T66-P66)/T66</f>
        <v>0.24390243902439024</v>
      </c>
      <c r="V66" s="290">
        <v>127001014</v>
      </c>
      <c r="W66" s="252" t="s">
        <v>500</v>
      </c>
    </row>
    <row r="67" spans="1:46" ht="14.4" x14ac:dyDescent="0.3">
      <c r="A67" s="54" t="s">
        <v>719</v>
      </c>
      <c r="B67" s="244" t="str">
        <f>_xlfn.XLOOKUP(A67,'Base de Dados'!D:D,'Base de Dados'!B:B)</f>
        <v>TIMBRO SWISS SA</v>
      </c>
      <c r="C67" s="244" t="s">
        <v>259</v>
      </c>
      <c r="D67" s="54">
        <v>267937</v>
      </c>
      <c r="E67" s="244" t="s">
        <v>22</v>
      </c>
      <c r="F67" s="245">
        <v>1824</v>
      </c>
      <c r="G67" s="319">
        <v>1.79</v>
      </c>
      <c r="H67" s="246">
        <v>5.5213000000000001</v>
      </c>
      <c r="I67" s="247">
        <f t="shared" si="12"/>
        <v>9.883127</v>
      </c>
      <c r="J67" s="248">
        <f t="shared" si="13"/>
        <v>18026.823648000001</v>
      </c>
      <c r="K67" s="249">
        <f>J67/_xlfn.XLOOKUP(A67,'Base de Dados'!D:D,'Base de Dados'!M:M)</f>
        <v>4.7625049335484441E-2</v>
      </c>
      <c r="L67" s="248">
        <f>K67*_xlfn.XLOOKUP(A67,'Base de Dados'!D:D,'Base de Dados'!N:N)</f>
        <v>1419.9417984384554</v>
      </c>
      <c r="M67" s="250">
        <f t="shared" si="14"/>
        <v>19446.765446438458</v>
      </c>
      <c r="N67" s="251">
        <f t="shared" si="15"/>
        <v>10.661603863178978</v>
      </c>
      <c r="O67" s="252">
        <f t="shared" si="16"/>
        <v>0.40920539999999994</v>
      </c>
      <c r="P67" s="253">
        <f t="shared" si="17"/>
        <v>26</v>
      </c>
      <c r="Q67" s="252">
        <f t="shared" si="18"/>
        <v>0.58993831295465471</v>
      </c>
      <c r="R67" s="252">
        <v>0.50920539999999992</v>
      </c>
      <c r="S67" s="252">
        <f t="shared" si="19"/>
        <v>8.073291295465479E-2</v>
      </c>
      <c r="T67" s="253">
        <f t="shared" si="20"/>
        <v>36</v>
      </c>
      <c r="U67" s="252">
        <f t="shared" si="21"/>
        <v>0.27777777777777779</v>
      </c>
      <c r="V67" s="290">
        <v>127001014</v>
      </c>
      <c r="W67" s="252" t="s">
        <v>500</v>
      </c>
    </row>
    <row r="68" spans="1:46" ht="14.4" x14ac:dyDescent="0.3">
      <c r="A68" s="54" t="s">
        <v>719</v>
      </c>
      <c r="B68" s="244" t="str">
        <f>_xlfn.XLOOKUP(A68,'Base de Dados'!D:D,'Base de Dados'!B:B)</f>
        <v>TIMBRO SWISS SA</v>
      </c>
      <c r="C68" s="244" t="s">
        <v>259</v>
      </c>
      <c r="D68" s="54">
        <v>267936</v>
      </c>
      <c r="E68" s="244" t="s">
        <v>21</v>
      </c>
      <c r="F68" s="245">
        <v>1824</v>
      </c>
      <c r="G68" s="319">
        <v>1.34</v>
      </c>
      <c r="H68" s="246">
        <v>5.5213000000000001</v>
      </c>
      <c r="I68" s="247">
        <f t="shared" si="12"/>
        <v>7.3985420000000008</v>
      </c>
      <c r="J68" s="248">
        <f t="shared" si="13"/>
        <v>13494.940608000001</v>
      </c>
      <c r="K68" s="249">
        <f>J68/_xlfn.XLOOKUP(A68,'Base de Dados'!D:D,'Base de Dados'!M:M)</f>
        <v>3.5652271569580528E-2</v>
      </c>
      <c r="L68" s="248">
        <f>K68*_xlfn.XLOOKUP(A68,'Base de Dados'!D:D,'Base de Dados'!N:N)</f>
        <v>1062.9731898924749</v>
      </c>
      <c r="M68" s="250">
        <f t="shared" si="14"/>
        <v>14557.913797892475</v>
      </c>
      <c r="N68" s="251">
        <f t="shared" si="15"/>
        <v>7.9813123891954358</v>
      </c>
      <c r="O68" s="252">
        <f t="shared" si="16"/>
        <v>0.40920539999999994</v>
      </c>
      <c r="P68" s="253">
        <f t="shared" si="17"/>
        <v>20</v>
      </c>
      <c r="Q68" s="252">
        <f t="shared" si="18"/>
        <v>0.60093438054022819</v>
      </c>
      <c r="R68" s="252">
        <v>0.50920539999999992</v>
      </c>
      <c r="S68" s="252">
        <f t="shared" si="19"/>
        <v>9.1728980540228267E-2</v>
      </c>
      <c r="T68" s="253">
        <f t="shared" si="20"/>
        <v>30</v>
      </c>
      <c r="U68" s="252">
        <f t="shared" si="21"/>
        <v>0.33333333333333331</v>
      </c>
      <c r="V68" s="290">
        <v>127001014</v>
      </c>
      <c r="W68" s="252" t="s">
        <v>500</v>
      </c>
    </row>
    <row r="69" spans="1:46" ht="14.4" x14ac:dyDescent="0.3">
      <c r="A69" s="54" t="s">
        <v>719</v>
      </c>
      <c r="B69" s="244" t="str">
        <f>_xlfn.XLOOKUP(A69,'Base de Dados'!D:D,'Base de Dados'!B:B)</f>
        <v>TIMBRO SWISS SA</v>
      </c>
      <c r="C69" s="244" t="s">
        <v>259</v>
      </c>
      <c r="D69" s="54">
        <v>267931</v>
      </c>
      <c r="E69" s="244" t="s">
        <v>19</v>
      </c>
      <c r="F69" s="245">
        <v>1824</v>
      </c>
      <c r="G69" s="319">
        <v>2.99</v>
      </c>
      <c r="H69" s="246">
        <v>5.5213000000000001</v>
      </c>
      <c r="I69" s="247">
        <f t="shared" si="12"/>
        <v>16.508687000000002</v>
      </c>
      <c r="J69" s="248">
        <f t="shared" si="13"/>
        <v>30111.845088000002</v>
      </c>
      <c r="K69" s="249">
        <f>J69/_xlfn.XLOOKUP(A69,'Base de Dados'!D:D,'Base de Dados'!M:M)</f>
        <v>7.9552456711228195E-2</v>
      </c>
      <c r="L69" s="248">
        <f>K69*_xlfn.XLOOKUP(A69,'Base de Dados'!D:D,'Base de Dados'!N:N)</f>
        <v>2371.8580878944031</v>
      </c>
      <c r="M69" s="250">
        <f t="shared" si="14"/>
        <v>32483.703175894407</v>
      </c>
      <c r="N69" s="251">
        <f t="shared" si="15"/>
        <v>17.809047793801756</v>
      </c>
      <c r="O69" s="252">
        <f t="shared" si="16"/>
        <v>0.40920539999999994</v>
      </c>
      <c r="P69" s="253">
        <f t="shared" si="17"/>
        <v>44</v>
      </c>
      <c r="Q69" s="252">
        <f t="shared" si="18"/>
        <v>0.59524891377723277</v>
      </c>
      <c r="R69" s="252">
        <v>0.50920539999999992</v>
      </c>
      <c r="S69" s="252">
        <f t="shared" si="19"/>
        <v>8.604351377723285E-2</v>
      </c>
      <c r="T69" s="253">
        <f t="shared" si="20"/>
        <v>54</v>
      </c>
      <c r="U69" s="252">
        <f t="shared" si="21"/>
        <v>0.18518518518518517</v>
      </c>
      <c r="V69" s="290">
        <v>127001014</v>
      </c>
      <c r="W69" s="252" t="s">
        <v>500</v>
      </c>
    </row>
    <row r="70" spans="1:46" s="276" customFormat="1" ht="14.4" x14ac:dyDescent="0.3">
      <c r="A70" s="54" t="s">
        <v>719</v>
      </c>
      <c r="B70" s="244" t="str">
        <f>_xlfn.XLOOKUP(A70,'Base de Dados'!D:D,'Base de Dados'!B:B)</f>
        <v>TIMBRO SWISS SA</v>
      </c>
      <c r="C70" s="277" t="s">
        <v>259</v>
      </c>
      <c r="D70" s="49">
        <v>267932</v>
      </c>
      <c r="E70" s="277" t="s">
        <v>20</v>
      </c>
      <c r="F70" s="278">
        <v>1824</v>
      </c>
      <c r="G70" s="320">
        <v>2.38</v>
      </c>
      <c r="H70" s="279">
        <v>5.5213000000000001</v>
      </c>
      <c r="I70" s="280">
        <f t="shared" si="12"/>
        <v>13.140694</v>
      </c>
      <c r="J70" s="281">
        <f t="shared" si="13"/>
        <v>23968.625855999999</v>
      </c>
      <c r="K70" s="282">
        <f>J70/_xlfn.XLOOKUP(A70,'Base de Dados'!D:D,'Base de Dados'!M:M)</f>
        <v>6.3322691295225109E-2</v>
      </c>
      <c r="L70" s="281">
        <f>K70*_xlfn.XLOOKUP(A70,'Base de Dados'!D:D,'Base de Dados'!N:N)</f>
        <v>1887.9673074209625</v>
      </c>
      <c r="M70" s="283">
        <f t="shared" si="14"/>
        <v>25856.593163420963</v>
      </c>
      <c r="N70" s="284">
        <f t="shared" si="15"/>
        <v>14.175763795735177</v>
      </c>
      <c r="O70" s="285">
        <f t="shared" si="16"/>
        <v>0.40920539999999994</v>
      </c>
      <c r="P70" s="286">
        <f t="shared" si="17"/>
        <v>35</v>
      </c>
      <c r="Q70" s="285">
        <f t="shared" si="18"/>
        <v>0.59497817726470914</v>
      </c>
      <c r="R70" s="285">
        <v>0.50920539999999992</v>
      </c>
      <c r="S70" s="285">
        <f t="shared" si="19"/>
        <v>8.5772777264709221E-2</v>
      </c>
      <c r="T70" s="286">
        <f t="shared" si="20"/>
        <v>45</v>
      </c>
      <c r="U70" s="285">
        <f t="shared" si="21"/>
        <v>0.22222222222222221</v>
      </c>
      <c r="V70" s="291">
        <v>127001014</v>
      </c>
      <c r="W70" s="252" t="s">
        <v>500</v>
      </c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</row>
    <row r="71" spans="1:46" ht="14.4" x14ac:dyDescent="0.3">
      <c r="A71" s="54" t="s">
        <v>719</v>
      </c>
      <c r="B71" s="244" t="str">
        <f>_xlfn.XLOOKUP(A71,'Base de Dados'!D:D,'Base de Dados'!B:B)</f>
        <v>TIMBRO SWISS SA</v>
      </c>
      <c r="C71" s="244" t="s">
        <v>259</v>
      </c>
      <c r="D71" s="54">
        <v>269686</v>
      </c>
      <c r="E71" s="244" t="s">
        <v>35</v>
      </c>
      <c r="F71" s="245">
        <v>1824</v>
      </c>
      <c r="G71" s="319">
        <v>1.73</v>
      </c>
      <c r="H71" s="246">
        <v>5.5213000000000001</v>
      </c>
      <c r="I71" s="247">
        <f t="shared" si="12"/>
        <v>9.5518490000000007</v>
      </c>
      <c r="J71" s="248">
        <f t="shared" si="13"/>
        <v>17422.572576000002</v>
      </c>
      <c r="K71" s="249">
        <f>J71/_xlfn.XLOOKUP(A71,'Base de Dados'!D:D,'Base de Dados'!M:M)</f>
        <v>4.6028678966697253E-2</v>
      </c>
      <c r="L71" s="248">
        <f>K71*_xlfn.XLOOKUP(A71,'Base de Dados'!D:D,'Base de Dados'!N:N)</f>
        <v>1372.345983965658</v>
      </c>
      <c r="M71" s="250">
        <f t="shared" si="14"/>
        <v>18794.918559965659</v>
      </c>
      <c r="N71" s="251">
        <f t="shared" si="15"/>
        <v>10.304231666647839</v>
      </c>
      <c r="O71" s="252">
        <f t="shared" si="16"/>
        <v>0.40920539999999994</v>
      </c>
      <c r="P71" s="253">
        <f t="shared" si="17"/>
        <v>25</v>
      </c>
      <c r="Q71" s="252">
        <f t="shared" si="18"/>
        <v>0.58783073333408642</v>
      </c>
      <c r="R71" s="252">
        <v>0.50920539999999992</v>
      </c>
      <c r="S71" s="252">
        <f t="shared" si="19"/>
        <v>7.86253333340865E-2</v>
      </c>
      <c r="T71" s="253">
        <f t="shared" si="20"/>
        <v>35</v>
      </c>
      <c r="U71" s="252">
        <f t="shared" si="21"/>
        <v>0.2857142857142857</v>
      </c>
      <c r="V71" s="290">
        <v>127001014</v>
      </c>
      <c r="W71" s="252" t="s">
        <v>500</v>
      </c>
    </row>
    <row r="72" spans="1:46" ht="14.4" x14ac:dyDescent="0.3">
      <c r="A72" s="54" t="s">
        <v>719</v>
      </c>
      <c r="B72" s="244" t="str">
        <f>_xlfn.XLOOKUP(A72,'Base de Dados'!D:D,'Base de Dados'!B:B)</f>
        <v>TIMBRO SWISS SA</v>
      </c>
      <c r="C72" s="244" t="s">
        <v>259</v>
      </c>
      <c r="D72" s="54">
        <v>268132</v>
      </c>
      <c r="E72" s="244" t="s">
        <v>33</v>
      </c>
      <c r="F72" s="245">
        <v>2004</v>
      </c>
      <c r="G72" s="319">
        <v>2.11</v>
      </c>
      <c r="H72" s="246">
        <v>5.5213000000000001</v>
      </c>
      <c r="I72" s="247">
        <f t="shared" si="12"/>
        <v>11.649943</v>
      </c>
      <c r="J72" s="248">
        <f t="shared" si="13"/>
        <v>23346.485772</v>
      </c>
      <c r="K72" s="249">
        <f>J72/_xlfn.XLOOKUP(A72,'Base de Dados'!D:D,'Base de Dados'!M:M)</f>
        <v>6.1679059961572517E-2</v>
      </c>
      <c r="L72" s="248">
        <f>K72*_xlfn.XLOOKUP(A72,'Base de Dados'!D:D,'Base de Dados'!N:N)</f>
        <v>1838.9624063354838</v>
      </c>
      <c r="M72" s="250">
        <f t="shared" si="14"/>
        <v>25185.448178335482</v>
      </c>
      <c r="N72" s="251">
        <f t="shared" si="15"/>
        <v>12.567588911345052</v>
      </c>
      <c r="O72" s="252">
        <f t="shared" si="16"/>
        <v>0.40920539999999994</v>
      </c>
      <c r="P72" s="253">
        <f t="shared" si="17"/>
        <v>31</v>
      </c>
      <c r="Q72" s="252">
        <f t="shared" si="18"/>
        <v>0.59459390608564344</v>
      </c>
      <c r="R72" s="252">
        <v>0.50920539999999992</v>
      </c>
      <c r="S72" s="252">
        <f t="shared" si="19"/>
        <v>8.5388506085643523E-2</v>
      </c>
      <c r="T72" s="253">
        <f t="shared" si="20"/>
        <v>41</v>
      </c>
      <c r="U72" s="252">
        <f t="shared" si="21"/>
        <v>0.24390243902439024</v>
      </c>
      <c r="V72" s="290">
        <v>127001014</v>
      </c>
      <c r="W72" s="252" t="s">
        <v>500</v>
      </c>
    </row>
    <row r="73" spans="1:46" ht="14.4" x14ac:dyDescent="0.3">
      <c r="A73" s="54" t="s">
        <v>719</v>
      </c>
      <c r="B73" s="244" t="str">
        <f>_xlfn.XLOOKUP(A73,'Base de Dados'!D:D,'Base de Dados'!B:B)</f>
        <v>TIMBRO SWISS SA</v>
      </c>
      <c r="C73" s="244" t="s">
        <v>259</v>
      </c>
      <c r="D73" s="54">
        <v>268133</v>
      </c>
      <c r="E73" s="244" t="s">
        <v>34</v>
      </c>
      <c r="F73" s="245">
        <v>2448</v>
      </c>
      <c r="G73" s="319">
        <v>1.28</v>
      </c>
      <c r="H73" s="246">
        <v>5.5213000000000001</v>
      </c>
      <c r="I73" s="247">
        <f t="shared" si="12"/>
        <v>7.0672640000000007</v>
      </c>
      <c r="J73" s="248">
        <f t="shared" si="13"/>
        <v>17300.662272000001</v>
      </c>
      <c r="K73" s="249">
        <f>J73/_xlfn.XLOOKUP(A73,'Base de Dados'!D:D,'Base de Dados'!M:M)</f>
        <v>4.570660424317001E-2</v>
      </c>
      <c r="L73" s="248">
        <f>K73*_xlfn.XLOOKUP(A73,'Base de Dados'!D:D,'Base de Dados'!N:N)</f>
        <v>1362.7433196421987</v>
      </c>
      <c r="M73" s="250">
        <f t="shared" si="14"/>
        <v>18663.4055916422</v>
      </c>
      <c r="N73" s="251">
        <f t="shared" si="15"/>
        <v>7.6239401926642971</v>
      </c>
      <c r="O73" s="252">
        <f t="shared" si="16"/>
        <v>0.40920539999999994</v>
      </c>
      <c r="P73" s="253">
        <f t="shared" si="17"/>
        <v>19</v>
      </c>
      <c r="Q73" s="252">
        <f t="shared" si="18"/>
        <v>0.59873998985977384</v>
      </c>
      <c r="R73" s="252">
        <v>0.50920539999999992</v>
      </c>
      <c r="S73" s="252">
        <f t="shared" si="19"/>
        <v>8.9534589859773916E-2</v>
      </c>
      <c r="T73" s="253">
        <f t="shared" si="20"/>
        <v>29</v>
      </c>
      <c r="U73" s="252">
        <f t="shared" si="21"/>
        <v>0.34482758620689657</v>
      </c>
      <c r="V73" s="290">
        <v>127001014</v>
      </c>
      <c r="W73" s="252" t="s">
        <v>500</v>
      </c>
    </row>
    <row r="74" spans="1:46" s="276" customFormat="1" ht="14.4" x14ac:dyDescent="0.3">
      <c r="A74" s="49" t="s">
        <v>364</v>
      </c>
      <c r="B74" s="244" t="str">
        <f>_xlfn.XLOOKUP(A74,'Base de Dados'!D:D,'Base de Dados'!B:B)</f>
        <v>TIMBRO SWISS SA</v>
      </c>
      <c r="C74" s="277" t="str">
        <f>_xlfn.XLOOKUP(PRECIFICAÇÃO[[#This Row],[INVOICE]],'Base de Dados'!D:D,'Base de Dados'!X:X)</f>
        <v>CONCLUÍDO</v>
      </c>
      <c r="D74" s="49">
        <v>267946</v>
      </c>
      <c r="E74" s="277" t="s">
        <v>31</v>
      </c>
      <c r="F74" s="278">
        <v>2004</v>
      </c>
      <c r="G74" s="320">
        <v>1.33</v>
      </c>
      <c r="H74" s="279">
        <v>4.9587000000000003</v>
      </c>
      <c r="I74" s="280">
        <f t="shared" si="12"/>
        <v>6.5950710000000008</v>
      </c>
      <c r="J74" s="281">
        <f t="shared" si="13"/>
        <v>13216.522284000002</v>
      </c>
      <c r="K74" s="282">
        <f>J74/_xlfn.XLOOKUP(A74,'Base de Dados'!D:D,'Base de Dados'!M:M)</f>
        <v>3.8221482319503473E-2</v>
      </c>
      <c r="L74" s="281">
        <f>K74*_xlfn.XLOOKUP(A74,'Base de Dados'!D:D,'Base de Dados'!N:N)</f>
        <v>880.9302533592089</v>
      </c>
      <c r="M74" s="283">
        <f t="shared" si="14"/>
        <v>14097.452537359211</v>
      </c>
      <c r="N74" s="284">
        <f t="shared" si="15"/>
        <v>7.0346569547700657</v>
      </c>
      <c r="O74" s="285">
        <f t="shared" si="16"/>
        <v>0.44510234400000004</v>
      </c>
      <c r="P74" s="286">
        <f t="shared" si="17"/>
        <v>16</v>
      </c>
      <c r="Q74" s="285">
        <f t="shared" si="18"/>
        <v>0.56033394032687089</v>
      </c>
      <c r="R74" s="285">
        <v>0.54510234400000002</v>
      </c>
      <c r="S74" s="285">
        <f t="shared" si="19"/>
        <v>1.5231596326870878E-2</v>
      </c>
      <c r="T74" s="286">
        <f t="shared" si="20"/>
        <v>26</v>
      </c>
      <c r="U74" s="285">
        <f t="shared" si="21"/>
        <v>0.38461538461538464</v>
      </c>
      <c r="V74" s="291">
        <v>127001001</v>
      </c>
      <c r="W74" s="252" t="s">
        <v>503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 spans="1:46" ht="14.4" x14ac:dyDescent="0.3">
      <c r="A75" s="49" t="s">
        <v>364</v>
      </c>
      <c r="B75" s="244" t="str">
        <f>_xlfn.XLOOKUP(A75,'Base de Dados'!D:D,'Base de Dados'!B:B)</f>
        <v>TIMBRO SWISS SA</v>
      </c>
      <c r="C75" s="244" t="str">
        <f>_xlfn.XLOOKUP(PRECIFICAÇÃO[[#This Row],[INVOICE]],'Base de Dados'!D:D,'Base de Dados'!X:X)</f>
        <v>CONCLUÍDO</v>
      </c>
      <c r="D75" s="54">
        <v>267869</v>
      </c>
      <c r="E75" s="244" t="s">
        <v>892</v>
      </c>
      <c r="F75" s="245">
        <v>7020</v>
      </c>
      <c r="G75" s="319">
        <v>0.74</v>
      </c>
      <c r="H75" s="246">
        <v>4.9587000000000003</v>
      </c>
      <c r="I75" s="247">
        <f t="shared" si="12"/>
        <v>3.6694380000000004</v>
      </c>
      <c r="J75" s="248">
        <f t="shared" si="13"/>
        <v>25759.454760000004</v>
      </c>
      <c r="K75" s="249">
        <f>J75/_xlfn.XLOOKUP(A75,'Base de Dados'!D:D,'Base de Dados'!M:M)</f>
        <v>7.4494978596700068E-2</v>
      </c>
      <c r="L75" s="248">
        <f>K75*_xlfn.XLOOKUP(A75,'Base de Dados'!D:D,'Base de Dados'!N:N)</f>
        <v>1716.963246495887</v>
      </c>
      <c r="M75" s="250">
        <f t="shared" si="14"/>
        <v>27476.418006495893</v>
      </c>
      <c r="N75" s="251">
        <f t="shared" si="15"/>
        <v>3.9140196590449992</v>
      </c>
      <c r="O75" s="252">
        <f t="shared" si="16"/>
        <v>0.40920539999999994</v>
      </c>
      <c r="P75" s="253">
        <f t="shared" si="17"/>
        <v>10</v>
      </c>
      <c r="Q75" s="252">
        <f t="shared" si="18"/>
        <v>0.60859803409550006</v>
      </c>
      <c r="R75" s="252">
        <v>0.50920539999999992</v>
      </c>
      <c r="S75" s="252">
        <f t="shared" si="19"/>
        <v>9.9392634095500143E-2</v>
      </c>
      <c r="T75" s="253">
        <f t="shared" si="20"/>
        <v>20</v>
      </c>
      <c r="U75" s="252">
        <f t="shared" si="21"/>
        <v>0.5</v>
      </c>
      <c r="V75" s="290">
        <v>127001014</v>
      </c>
      <c r="W75" s="252" t="s">
        <v>500</v>
      </c>
    </row>
    <row r="76" spans="1:46" ht="14.4" x14ac:dyDescent="0.3">
      <c r="A76" s="49" t="s">
        <v>364</v>
      </c>
      <c r="B76" s="244" t="str">
        <f>_xlfn.XLOOKUP(A76,'Base de Dados'!D:D,'Base de Dados'!B:B)</f>
        <v>TIMBRO SWISS SA</v>
      </c>
      <c r="C76" s="244" t="str">
        <f>_xlfn.XLOOKUP(PRECIFICAÇÃO[[#This Row],[INVOICE]],'Base de Dados'!D:D,'Base de Dados'!X:X)</f>
        <v>CONCLUÍDO</v>
      </c>
      <c r="D76" s="54">
        <v>267870</v>
      </c>
      <c r="E76" s="244" t="s">
        <v>929</v>
      </c>
      <c r="F76" s="245">
        <v>6960</v>
      </c>
      <c r="G76" s="319">
        <v>0.95</v>
      </c>
      <c r="H76" s="246">
        <v>4.9587000000000003</v>
      </c>
      <c r="I76" s="247">
        <f t="shared" si="12"/>
        <v>4.7107650000000003</v>
      </c>
      <c r="J76" s="248">
        <f t="shared" si="13"/>
        <v>32786.924400000004</v>
      </c>
      <c r="K76" s="249">
        <f>J76/_xlfn.XLOOKUP(A76,'Base de Dados'!D:D,'Base de Dados'!M:M)</f>
        <v>9.4818048525714335E-2</v>
      </c>
      <c r="L76" s="248">
        <f>K76*_xlfn.XLOOKUP(A76,'Base de Dados'!D:D,'Base de Dados'!N:N)</f>
        <v>2185.3701751426051</v>
      </c>
      <c r="M76" s="250">
        <f t="shared" si="14"/>
        <v>34972.294575142609</v>
      </c>
      <c r="N76" s="251">
        <f t="shared" si="15"/>
        <v>5.0247549676929033</v>
      </c>
      <c r="O76" s="252">
        <f t="shared" si="16"/>
        <v>0.40920539999999994</v>
      </c>
      <c r="P76" s="253">
        <f t="shared" si="17"/>
        <v>12</v>
      </c>
      <c r="Q76" s="252">
        <f t="shared" si="18"/>
        <v>0.58127041935892476</v>
      </c>
      <c r="R76" s="252">
        <v>0.50920539999999992</v>
      </c>
      <c r="S76" s="252">
        <f t="shared" si="19"/>
        <v>7.2065019358924842E-2</v>
      </c>
      <c r="T76" s="253">
        <f t="shared" si="20"/>
        <v>22</v>
      </c>
      <c r="U76" s="252">
        <f t="shared" si="21"/>
        <v>0.45454545454545453</v>
      </c>
      <c r="V76" s="290">
        <v>127001014</v>
      </c>
      <c r="W76" s="252" t="s">
        <v>500</v>
      </c>
    </row>
    <row r="77" spans="1:46" ht="14.4" x14ac:dyDescent="0.3">
      <c r="A77" s="49" t="s">
        <v>364</v>
      </c>
      <c r="B77" s="244" t="str">
        <f>_xlfn.XLOOKUP(A77,'Base de Dados'!D:D,'Base de Dados'!B:B)</f>
        <v>TIMBRO SWISS SA</v>
      </c>
      <c r="C77" s="244" t="str">
        <f>_xlfn.XLOOKUP(PRECIFICAÇÃO[[#This Row],[INVOICE]],'Base de Dados'!D:D,'Base de Dados'!X:X)</f>
        <v>CONCLUÍDO</v>
      </c>
      <c r="D77" s="54">
        <v>267937</v>
      </c>
      <c r="E77" s="244" t="s">
        <v>893</v>
      </c>
      <c r="F77" s="245">
        <v>2016</v>
      </c>
      <c r="G77" s="319">
        <v>1.79</v>
      </c>
      <c r="H77" s="246">
        <v>4.9587000000000003</v>
      </c>
      <c r="I77" s="247">
        <f t="shared" si="12"/>
        <v>8.8760729999999999</v>
      </c>
      <c r="J77" s="248">
        <f t="shared" si="13"/>
        <v>17894.163167999999</v>
      </c>
      <c r="K77" s="249">
        <f>J77/_xlfn.XLOOKUP(A77,'Base de Dados'!D:D,'Base de Dados'!M:M)</f>
        <v>5.1748971964887133E-2</v>
      </c>
      <c r="L77" s="248">
        <f>K77*_xlfn.XLOOKUP(A77,'Base de Dados'!D:D,'Base de Dados'!N:N)</f>
        <v>1192.7123758055973</v>
      </c>
      <c r="M77" s="250">
        <f t="shared" si="14"/>
        <v>19086.875543805596</v>
      </c>
      <c r="N77" s="251">
        <f t="shared" si="15"/>
        <v>9.4676962022845217</v>
      </c>
      <c r="O77" s="252">
        <f t="shared" si="16"/>
        <v>0.40920539999999994</v>
      </c>
      <c r="P77" s="253">
        <f t="shared" si="17"/>
        <v>23</v>
      </c>
      <c r="Q77" s="252">
        <f t="shared" si="18"/>
        <v>0.58836103468328171</v>
      </c>
      <c r="R77" s="252">
        <v>0.50920539999999992</v>
      </c>
      <c r="S77" s="252">
        <f t="shared" si="19"/>
        <v>7.9155634683281795E-2</v>
      </c>
      <c r="T77" s="253">
        <f t="shared" si="20"/>
        <v>33</v>
      </c>
      <c r="U77" s="252">
        <f t="shared" si="21"/>
        <v>0.30303030303030304</v>
      </c>
      <c r="V77" s="290">
        <v>127001014</v>
      </c>
      <c r="W77" s="252" t="s">
        <v>500</v>
      </c>
    </row>
    <row r="78" spans="1:46" s="276" customFormat="1" ht="14.4" x14ac:dyDescent="0.3">
      <c r="A78" s="49" t="s">
        <v>364</v>
      </c>
      <c r="B78" s="277" t="str">
        <f>_xlfn.XLOOKUP(A78,'Base de Dados'!D:D,'Base de Dados'!B:B)</f>
        <v>TIMBRO SWISS SA</v>
      </c>
      <c r="C78" s="277" t="str">
        <f>_xlfn.XLOOKUP(PRECIFICAÇÃO[[#This Row],[INVOICE]],'Base de Dados'!D:D,'Base de Dados'!X:X)</f>
        <v>CONCLUÍDO</v>
      </c>
      <c r="D78" s="49">
        <v>267941</v>
      </c>
      <c r="E78" s="277" t="s">
        <v>26</v>
      </c>
      <c r="F78" s="278">
        <v>2004</v>
      </c>
      <c r="G78" s="320">
        <v>1.53</v>
      </c>
      <c r="H78" s="279">
        <v>4.9587000000000003</v>
      </c>
      <c r="I78" s="280">
        <f t="shared" si="12"/>
        <v>7.5868110000000009</v>
      </c>
      <c r="J78" s="281">
        <f t="shared" si="13"/>
        <v>15203.969244000002</v>
      </c>
      <c r="K78" s="282">
        <f>J78/_xlfn.XLOOKUP(A78,'Base de Dados'!D:D,'Base de Dados'!M:M)</f>
        <v>4.3969073645744594E-2</v>
      </c>
      <c r="L78" s="281">
        <f>K78*_xlfn.XLOOKUP(A78,'Base de Dados'!D:D,'Base de Dados'!N:N)</f>
        <v>1013.4009681500672</v>
      </c>
      <c r="M78" s="283">
        <f t="shared" si="14"/>
        <v>16217.370212150068</v>
      </c>
      <c r="N78" s="284">
        <f t="shared" si="15"/>
        <v>8.0925001058633068</v>
      </c>
      <c r="O78" s="285">
        <f t="shared" si="16"/>
        <v>0.42527551200000002</v>
      </c>
      <c r="P78" s="286">
        <f t="shared" si="17"/>
        <v>19</v>
      </c>
      <c r="Q78" s="285">
        <f t="shared" si="18"/>
        <v>0.57407894179666807</v>
      </c>
      <c r="R78" s="285">
        <v>0.525275512</v>
      </c>
      <c r="S78" s="285">
        <f t="shared" si="19"/>
        <v>4.8803429796668074E-2</v>
      </c>
      <c r="T78" s="286">
        <f t="shared" si="20"/>
        <v>29</v>
      </c>
      <c r="U78" s="285">
        <f t="shared" si="21"/>
        <v>0.34482758620689657</v>
      </c>
      <c r="V78" s="291">
        <v>127001002</v>
      </c>
      <c r="W78" s="252" t="s">
        <v>501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 spans="1:46" ht="14.4" x14ac:dyDescent="0.3">
      <c r="A79" s="49" t="s">
        <v>364</v>
      </c>
      <c r="B79" s="244" t="str">
        <f>_xlfn.XLOOKUP(A79,'Base de Dados'!D:D,'Base de Dados'!B:B)</f>
        <v>TIMBRO SWISS SA</v>
      </c>
      <c r="C79" s="244" t="str">
        <f>_xlfn.XLOOKUP(PRECIFICAÇÃO[[#This Row],[INVOICE]],'Base de Dados'!D:D,'Base de Dados'!X:X)</f>
        <v>CONCLUÍDO</v>
      </c>
      <c r="D79" s="54">
        <v>267942</v>
      </c>
      <c r="E79" s="244" t="s">
        <v>27</v>
      </c>
      <c r="F79" s="245">
        <v>2004</v>
      </c>
      <c r="G79" s="319">
        <v>1.46</v>
      </c>
      <c r="H79" s="246">
        <v>4.9587000000000003</v>
      </c>
      <c r="I79" s="247">
        <f t="shared" si="12"/>
        <v>7.2397020000000003</v>
      </c>
      <c r="J79" s="248">
        <f t="shared" si="13"/>
        <v>14508.362808</v>
      </c>
      <c r="K79" s="249">
        <f>J79/_xlfn.XLOOKUP(A79,'Base de Dados'!D:D,'Base de Dados'!M:M)</f>
        <v>4.1957416681560195E-2</v>
      </c>
      <c r="L79" s="248">
        <f>K79*_xlfn.XLOOKUP(A79,'Base de Dados'!D:D,'Base de Dados'!N:N)</f>
        <v>967.03621797326662</v>
      </c>
      <c r="M79" s="250">
        <f t="shared" si="14"/>
        <v>15475.399025973267</v>
      </c>
      <c r="N79" s="251">
        <f t="shared" si="15"/>
        <v>7.7222550029806722</v>
      </c>
      <c r="O79" s="252">
        <f t="shared" si="16"/>
        <v>0.44079731899999997</v>
      </c>
      <c r="P79" s="253">
        <f t="shared" si="17"/>
        <v>18</v>
      </c>
      <c r="Q79" s="252">
        <f t="shared" si="18"/>
        <v>0.57098583316774043</v>
      </c>
      <c r="R79" s="252">
        <v>0.54079731899999994</v>
      </c>
      <c r="S79" s="252">
        <f t="shared" si="19"/>
        <v>3.0188514167740488E-2</v>
      </c>
      <c r="T79" s="253">
        <f t="shared" si="20"/>
        <v>28</v>
      </c>
      <c r="U79" s="252">
        <f t="shared" si="21"/>
        <v>0.35714285714285715</v>
      </c>
      <c r="V79" s="290">
        <v>127001006</v>
      </c>
      <c r="W79" s="252" t="s">
        <v>502</v>
      </c>
    </row>
    <row r="80" spans="1:46" ht="14.4" x14ac:dyDescent="0.3">
      <c r="A80" s="49" t="s">
        <v>364</v>
      </c>
      <c r="B80" s="244" t="str">
        <f>_xlfn.XLOOKUP(A80,'Base de Dados'!D:D,'Base de Dados'!B:B)</f>
        <v>TIMBRO SWISS SA</v>
      </c>
      <c r="C80" s="244" t="str">
        <f>_xlfn.XLOOKUP(PRECIFICAÇÃO[[#This Row],[INVOICE]],'Base de Dados'!D:D,'Base de Dados'!X:X)</f>
        <v>CONCLUÍDO</v>
      </c>
      <c r="D80" s="54">
        <v>267945</v>
      </c>
      <c r="E80" s="244" t="s">
        <v>30</v>
      </c>
      <c r="F80" s="245">
        <v>8004</v>
      </c>
      <c r="G80" s="319">
        <v>3.01</v>
      </c>
      <c r="H80" s="246">
        <v>4.9587000000000003</v>
      </c>
      <c r="I80" s="247">
        <f t="shared" si="12"/>
        <v>14.925687</v>
      </c>
      <c r="J80" s="248">
        <f t="shared" si="13"/>
        <v>119465.198748</v>
      </c>
      <c r="K80" s="249">
        <f>J80/_xlfn.XLOOKUP(A80,'Base de Dados'!D:D,'Base de Dados'!M:M)</f>
        <v>0.34548702628606331</v>
      </c>
      <c r="L80" s="248">
        <f>K80*_xlfn.XLOOKUP(A80,'Base de Dados'!D:D,'Base de Dados'!N:N)</f>
        <v>7962.7988013222393</v>
      </c>
      <c r="M80" s="250">
        <f t="shared" si="14"/>
        <v>127427.99754932223</v>
      </c>
      <c r="N80" s="251">
        <f t="shared" si="15"/>
        <v>15.920539423953302</v>
      </c>
      <c r="O80" s="252">
        <f t="shared" si="16"/>
        <v>0.42527551200000002</v>
      </c>
      <c r="P80" s="253">
        <f t="shared" si="17"/>
        <v>37</v>
      </c>
      <c r="Q80" s="252">
        <f t="shared" si="18"/>
        <v>0.56971515070396483</v>
      </c>
      <c r="R80" s="252">
        <v>0.525275512</v>
      </c>
      <c r="S80" s="252">
        <f t="shared" si="19"/>
        <v>4.4439638703964834E-2</v>
      </c>
      <c r="T80" s="253">
        <f t="shared" si="20"/>
        <v>47</v>
      </c>
      <c r="U80" s="252">
        <f t="shared" si="21"/>
        <v>0.21276595744680851</v>
      </c>
      <c r="V80" s="290">
        <v>127001002</v>
      </c>
      <c r="W80" s="252" t="s">
        <v>501</v>
      </c>
    </row>
    <row r="81" spans="1:46" ht="14.4" x14ac:dyDescent="0.3">
      <c r="A81" s="49" t="s">
        <v>364</v>
      </c>
      <c r="B81" s="244" t="str">
        <f>_xlfn.XLOOKUP(A81,'Base de Dados'!D:D,'Base de Dados'!B:B)</f>
        <v>TIMBRO SWISS SA</v>
      </c>
      <c r="C81" s="244" t="str">
        <f>_xlfn.XLOOKUP(PRECIFICAÇÃO[[#This Row],[INVOICE]],'Base de Dados'!D:D,'Base de Dados'!X:X)</f>
        <v>CONCLUÍDO</v>
      </c>
      <c r="D81" s="54">
        <v>268132</v>
      </c>
      <c r="E81" s="244" t="s">
        <v>33</v>
      </c>
      <c r="F81" s="245">
        <v>6000</v>
      </c>
      <c r="G81" s="319">
        <v>2.11</v>
      </c>
      <c r="H81" s="246">
        <v>4.9587000000000003</v>
      </c>
      <c r="I81" s="247">
        <f t="shared" si="12"/>
        <v>10.462857</v>
      </c>
      <c r="J81" s="248">
        <f t="shared" si="13"/>
        <v>62777.142</v>
      </c>
      <c r="K81" s="249">
        <f>J81/_xlfn.XLOOKUP(A81,'Base de Dados'!D:D,'Base de Dados'!M:M)</f>
        <v>0.18154816913725702</v>
      </c>
      <c r="L81" s="248">
        <f>K81*_xlfn.XLOOKUP(A81,'Base de Dados'!D:D,'Base de Dados'!N:N)</f>
        <v>4184.3294642022656</v>
      </c>
      <c r="M81" s="250">
        <f t="shared" si="14"/>
        <v>66961.471464202259</v>
      </c>
      <c r="N81" s="251">
        <f t="shared" si="15"/>
        <v>11.16024524403371</v>
      </c>
      <c r="O81" s="252">
        <f t="shared" si="16"/>
        <v>0.40920539999999994</v>
      </c>
      <c r="P81" s="253">
        <f t="shared" si="17"/>
        <v>27</v>
      </c>
      <c r="Q81" s="252">
        <f t="shared" si="18"/>
        <v>0.58665758355430697</v>
      </c>
      <c r="R81" s="252">
        <v>0.50920539999999992</v>
      </c>
      <c r="S81" s="252">
        <f t="shared" si="19"/>
        <v>7.7452183554307052E-2</v>
      </c>
      <c r="T81" s="253">
        <f t="shared" si="20"/>
        <v>37</v>
      </c>
      <c r="U81" s="252">
        <f t="shared" si="21"/>
        <v>0.27027027027027029</v>
      </c>
      <c r="V81" s="290">
        <v>127001014</v>
      </c>
      <c r="W81" s="252" t="s">
        <v>500</v>
      </c>
    </row>
    <row r="82" spans="1:46" ht="14.4" x14ac:dyDescent="0.3">
      <c r="A82" s="49" t="s">
        <v>364</v>
      </c>
      <c r="B82" s="254" t="str">
        <f>_xlfn.XLOOKUP(A82,'Base de Dados'!D:D,'Base de Dados'!B:B)</f>
        <v>TIMBRO SWISS SA</v>
      </c>
      <c r="C82" s="254" t="str">
        <f>_xlfn.XLOOKUP(PRECIFICAÇÃO[[#This Row],[INVOICE]],'Base de Dados'!D:D,'Base de Dados'!X:X)</f>
        <v>CONCLUÍDO</v>
      </c>
      <c r="D82" s="68">
        <v>268133</v>
      </c>
      <c r="E82" s="254" t="s">
        <v>34</v>
      </c>
      <c r="F82" s="255">
        <v>6960</v>
      </c>
      <c r="G82" s="321">
        <v>1.28</v>
      </c>
      <c r="H82" s="256">
        <v>4.9587000000000003</v>
      </c>
      <c r="I82" s="257">
        <f t="shared" si="12"/>
        <v>6.3471360000000008</v>
      </c>
      <c r="J82" s="258">
        <f t="shared" si="13"/>
        <v>44176.066560000007</v>
      </c>
      <c r="K82" s="259">
        <f>J82/_xlfn.XLOOKUP(A82,'Base de Dados'!D:D,'Base de Dados'!M:M)</f>
        <v>0.12775484432938353</v>
      </c>
      <c r="L82" s="258">
        <f>K82*_xlfn.XLOOKUP(A82,'Base de Dados'!D:D,'Base de Dados'!N:N)</f>
        <v>2944.4987622974049</v>
      </c>
      <c r="M82" s="260">
        <f t="shared" si="14"/>
        <v>47120.565322297414</v>
      </c>
      <c r="N82" s="261">
        <f t="shared" si="15"/>
        <v>6.7701961669967545</v>
      </c>
      <c r="O82" s="262">
        <f t="shared" si="16"/>
        <v>0.40920539999999994</v>
      </c>
      <c r="P82" s="263">
        <f t="shared" si="17"/>
        <v>17</v>
      </c>
      <c r="Q82" s="262">
        <f t="shared" si="18"/>
        <v>0.60175316664724976</v>
      </c>
      <c r="R82" s="262">
        <v>0.50920539999999992</v>
      </c>
      <c r="S82" s="262">
        <f t="shared" si="19"/>
        <v>9.2547766647249841E-2</v>
      </c>
      <c r="T82" s="263">
        <f t="shared" si="20"/>
        <v>27</v>
      </c>
      <c r="U82" s="262">
        <f t="shared" si="21"/>
        <v>0.37037037037037035</v>
      </c>
      <c r="V82" s="292">
        <v>127001014</v>
      </c>
      <c r="W82" s="252" t="s">
        <v>500</v>
      </c>
    </row>
    <row r="83" spans="1:46" s="276" customFormat="1" ht="14.4" x14ac:dyDescent="0.3">
      <c r="A83" s="49" t="s">
        <v>394</v>
      </c>
      <c r="B83" s="277" t="str">
        <f>_xlfn.XLOOKUP(A83,'Base de Dados'!D:D,'Base de Dados'!B:B)</f>
        <v>TIMBRO SWISS SA</v>
      </c>
      <c r="C83" s="277" t="str">
        <f>_xlfn.XLOOKUP(PRECIFICAÇÃO[[#This Row],[INVOICE]],'Base de Dados'!D:D,'Base de Dados'!X:X)</f>
        <v>CONCLUÍDO</v>
      </c>
      <c r="D83" s="49">
        <v>383492</v>
      </c>
      <c r="E83" s="277" t="s">
        <v>930</v>
      </c>
      <c r="F83" s="278">
        <v>4998</v>
      </c>
      <c r="G83" s="320">
        <v>19</v>
      </c>
      <c r="H83" s="279">
        <v>5.1717000000000004</v>
      </c>
      <c r="I83" s="280">
        <f t="shared" si="12"/>
        <v>98.26230000000001</v>
      </c>
      <c r="J83" s="281">
        <f t="shared" si="13"/>
        <v>491114.97540000005</v>
      </c>
      <c r="K83" s="282">
        <f>J83/_xlfn.XLOOKUP(A83,'Base de Dados'!D:D,'Base de Dados'!M:M)</f>
        <v>1.0902155866106698</v>
      </c>
      <c r="L83" s="281">
        <f>K83*_xlfn.XLOOKUP(A83,'Base de Dados'!D:D,'Base de Dados'!N:N)</f>
        <v>51426.646653258831</v>
      </c>
      <c r="M83" s="283">
        <f t="shared" si="14"/>
        <v>542541.62205325894</v>
      </c>
      <c r="N83" s="284">
        <f t="shared" si="15"/>
        <v>108.55174510869527</v>
      </c>
      <c r="O83" s="285">
        <f t="shared" si="16"/>
        <v>0.43667821100000004</v>
      </c>
      <c r="P83" s="286">
        <f t="shared" si="17"/>
        <v>249</v>
      </c>
      <c r="Q83" s="285">
        <f t="shared" si="18"/>
        <v>0.56404921643094263</v>
      </c>
      <c r="R83" s="285">
        <v>0.53667821100000002</v>
      </c>
      <c r="S83" s="285">
        <f t="shared" si="19"/>
        <v>2.7371005430942619E-2</v>
      </c>
      <c r="T83" s="286">
        <f t="shared" si="20"/>
        <v>259</v>
      </c>
      <c r="U83" s="285">
        <f t="shared" si="21"/>
        <v>3.8610038610038609E-2</v>
      </c>
      <c r="V83" s="291">
        <v>127001003</v>
      </c>
      <c r="W83" s="252" t="s">
        <v>505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 spans="1:46" ht="14.4" x14ac:dyDescent="0.3">
      <c r="A84" s="265" t="s">
        <v>394</v>
      </c>
      <c r="B84" s="264" t="str">
        <f>_xlfn.XLOOKUP(A84,'Base de Dados'!D:D,'Base de Dados'!B:B)</f>
        <v>TIMBRO SWISS SA</v>
      </c>
      <c r="C84" s="264" t="str">
        <f>_xlfn.XLOOKUP(PRECIFICAÇÃO[[#This Row],[INVOICE]],'Base de Dados'!D:D,'Base de Dados'!X:X)</f>
        <v>CONCLUÍDO</v>
      </c>
      <c r="D84" s="265">
        <v>383493</v>
      </c>
      <c r="E84" s="264" t="s">
        <v>931</v>
      </c>
      <c r="F84" s="266">
        <v>6252</v>
      </c>
      <c r="G84" s="322">
        <v>26</v>
      </c>
      <c r="H84" s="267">
        <v>5.1717000000000004</v>
      </c>
      <c r="I84" s="268">
        <f t="shared" si="12"/>
        <v>134.46420000000001</v>
      </c>
      <c r="J84" s="269">
        <f t="shared" si="13"/>
        <v>840670.17839999998</v>
      </c>
      <c r="K84" s="270">
        <f>J84/_xlfn.XLOOKUP(A84,'Base de Dados'!D:D,'Base de Dados'!M:M)</f>
        <v>1.8661856746355125</v>
      </c>
      <c r="L84" s="269">
        <f>K84*_xlfn.XLOOKUP(A84,'Base de Dados'!D:D,'Base de Dados'!N:N)</f>
        <v>88029.993753085742</v>
      </c>
      <c r="M84" s="271">
        <f t="shared" si="14"/>
        <v>928700.1721530857</v>
      </c>
      <c r="N84" s="272">
        <f t="shared" si="15"/>
        <v>148.54449330663559</v>
      </c>
      <c r="O84" s="273">
        <f t="shared" si="16"/>
        <v>0.43667821100000004</v>
      </c>
      <c r="P84" s="274">
        <f t="shared" si="17"/>
        <v>340</v>
      </c>
      <c r="Q84" s="273">
        <f t="shared" si="18"/>
        <v>0.56310443145107181</v>
      </c>
      <c r="R84" s="273">
        <v>0.53667821100000002</v>
      </c>
      <c r="S84" s="273">
        <f t="shared" si="19"/>
        <v>2.6426220451071791E-2</v>
      </c>
      <c r="T84" s="274">
        <f t="shared" si="20"/>
        <v>350</v>
      </c>
      <c r="U84" s="273">
        <f t="shared" si="21"/>
        <v>2.8571428571428571E-2</v>
      </c>
      <c r="V84" s="293">
        <v>127001003</v>
      </c>
      <c r="W84" s="252" t="s">
        <v>505</v>
      </c>
    </row>
    <row r="85" spans="1:46" ht="14.4" x14ac:dyDescent="0.3">
      <c r="A85" s="54" t="s">
        <v>394</v>
      </c>
      <c r="B85" s="244" t="str">
        <f>_xlfn.XLOOKUP(A85,'Base de Dados'!D:D,'Base de Dados'!B:B)</f>
        <v>TIMBRO SWISS SA</v>
      </c>
      <c r="C85" s="244" t="str">
        <f>_xlfn.XLOOKUP(PRECIFICAÇÃO[[#This Row],[INVOICE]],'Base de Dados'!D:D,'Base de Dados'!X:X)</f>
        <v>CONCLUÍDO</v>
      </c>
      <c r="D85" s="54">
        <v>383494</v>
      </c>
      <c r="E85" s="244" t="s">
        <v>932</v>
      </c>
      <c r="F85" s="245">
        <v>5832</v>
      </c>
      <c r="G85" s="319">
        <v>34.1</v>
      </c>
      <c r="H85" s="246">
        <v>5.1717000000000004</v>
      </c>
      <c r="I85" s="247">
        <f t="shared" si="12"/>
        <v>176.35497000000001</v>
      </c>
      <c r="J85" s="248">
        <f t="shared" si="13"/>
        <v>1028502.18504</v>
      </c>
      <c r="K85" s="249">
        <f>J85/_xlfn.XLOOKUP(A85,'Base de Dados'!D:D,'Base de Dados'!M:M)</f>
        <v>2.2831499122593013</v>
      </c>
      <c r="L85" s="248">
        <f>K85*_xlfn.XLOOKUP(A85,'Base de Dados'!D:D,'Base de Dados'!N:N)</f>
        <v>107698.64716317649</v>
      </c>
      <c r="M85" s="250">
        <f t="shared" si="14"/>
        <v>1136200.8322031766</v>
      </c>
      <c r="N85" s="251">
        <f t="shared" si="15"/>
        <v>194.82181622139515</v>
      </c>
      <c r="O85" s="252">
        <f t="shared" si="16"/>
        <v>0.43667821100000004</v>
      </c>
      <c r="P85" s="253">
        <f t="shared" si="17"/>
        <v>446</v>
      </c>
      <c r="Q85" s="252">
        <f t="shared" si="18"/>
        <v>0.56317978425696158</v>
      </c>
      <c r="R85" s="252">
        <v>0.53667821100000002</v>
      </c>
      <c r="S85" s="252">
        <f t="shared" si="19"/>
        <v>2.6501573256961564E-2</v>
      </c>
      <c r="T85" s="253">
        <f t="shared" si="20"/>
        <v>456</v>
      </c>
      <c r="U85" s="252">
        <f t="shared" si="21"/>
        <v>2.1929824561403508E-2</v>
      </c>
      <c r="V85" s="290">
        <v>127001003</v>
      </c>
      <c r="W85" s="252" t="s">
        <v>505</v>
      </c>
    </row>
    <row r="86" spans="1:46" ht="14.4" x14ac:dyDescent="0.3">
      <c r="A86" s="54" t="s">
        <v>394</v>
      </c>
      <c r="B86" s="244" t="str">
        <f>_xlfn.XLOOKUP(A86,'Base de Dados'!D:D,'Base de Dados'!B:B)</f>
        <v>TIMBRO SWISS SA</v>
      </c>
      <c r="C86" s="244" t="str">
        <f>_xlfn.XLOOKUP(PRECIFICAÇÃO[[#This Row],[INVOICE]],'Base de Dados'!D:D,'Base de Dados'!X:X)</f>
        <v>CONCLUÍDO</v>
      </c>
      <c r="D86" s="54">
        <v>383495</v>
      </c>
      <c r="E86" s="244" t="s">
        <v>933</v>
      </c>
      <c r="F86" s="245">
        <v>6252</v>
      </c>
      <c r="G86" s="319">
        <v>16.899999999999999</v>
      </c>
      <c r="H86" s="246">
        <v>5.1717000000000004</v>
      </c>
      <c r="I86" s="247">
        <f t="shared" si="12"/>
        <v>87.401730000000001</v>
      </c>
      <c r="J86" s="248">
        <f t="shared" si="13"/>
        <v>546435.61595999997</v>
      </c>
      <c r="K86" s="249">
        <f>J86/_xlfn.XLOOKUP(A86,'Base de Dados'!D:D,'Base de Dados'!M:M)</f>
        <v>1.2130206885130832</v>
      </c>
      <c r="L86" s="248">
        <f>K86*_xlfn.XLOOKUP(A86,'Base de Dados'!D:D,'Base de Dados'!N:N)</f>
        <v>57219.49593950573</v>
      </c>
      <c r="M86" s="250">
        <f t="shared" si="14"/>
        <v>603655.11189950572</v>
      </c>
      <c r="N86" s="251">
        <f t="shared" si="15"/>
        <v>96.553920649313142</v>
      </c>
      <c r="O86" s="252">
        <f t="shared" si="16"/>
        <v>0.43667821100000004</v>
      </c>
      <c r="P86" s="253">
        <f t="shared" si="17"/>
        <v>221</v>
      </c>
      <c r="Q86" s="252">
        <f t="shared" si="18"/>
        <v>0.56310443145107181</v>
      </c>
      <c r="R86" s="252">
        <v>0.53667821100000002</v>
      </c>
      <c r="S86" s="252">
        <f t="shared" si="19"/>
        <v>2.6426220451071791E-2</v>
      </c>
      <c r="T86" s="253">
        <f t="shared" si="20"/>
        <v>231</v>
      </c>
      <c r="U86" s="252">
        <f t="shared" si="21"/>
        <v>4.3290043290043288E-2</v>
      </c>
      <c r="V86" s="290">
        <v>127001003</v>
      </c>
      <c r="W86" s="252" t="s">
        <v>505</v>
      </c>
    </row>
    <row r="87" spans="1:46" ht="14.4" x14ac:dyDescent="0.3">
      <c r="A87" s="54" t="s">
        <v>394</v>
      </c>
      <c r="B87" s="244" t="str">
        <f>_xlfn.XLOOKUP(A87,'Base de Dados'!D:D,'Base de Dados'!B:B)</f>
        <v>TIMBRO SWISS SA</v>
      </c>
      <c r="C87" s="244" t="str">
        <f>_xlfn.XLOOKUP(PRECIFICAÇÃO[[#This Row],[INVOICE]],'Base de Dados'!D:D,'Base de Dados'!X:X)</f>
        <v>CONCLUÍDO</v>
      </c>
      <c r="D87" s="54">
        <v>383496</v>
      </c>
      <c r="E87" s="244" t="s">
        <v>934</v>
      </c>
      <c r="F87" s="245">
        <v>6250</v>
      </c>
      <c r="G87" s="319">
        <v>22.4</v>
      </c>
      <c r="H87" s="246">
        <v>5.1717000000000004</v>
      </c>
      <c r="I87" s="247">
        <f t="shared" si="12"/>
        <v>115.84608</v>
      </c>
      <c r="J87" s="248">
        <f t="shared" si="13"/>
        <v>724038</v>
      </c>
      <c r="K87" s="249">
        <f>J87/_xlfn.XLOOKUP(A87,'Base de Dados'!D:D,'Base de Dados'!M:M)</f>
        <v>1.607276406620477</v>
      </c>
      <c r="L87" s="248">
        <f>K87*_xlfn.XLOOKUP(A87,'Base de Dados'!D:D,'Base de Dados'!N:N)</f>
        <v>75816.963958807057</v>
      </c>
      <c r="M87" s="250">
        <f t="shared" si="14"/>
        <v>799854.96395880706</v>
      </c>
      <c r="N87" s="251">
        <f t="shared" si="15"/>
        <v>127.97679423340912</v>
      </c>
      <c r="O87" s="252">
        <f t="shared" si="16"/>
        <v>0.43667821100000004</v>
      </c>
      <c r="P87" s="253">
        <f t="shared" si="17"/>
        <v>293</v>
      </c>
      <c r="Q87" s="252">
        <f t="shared" si="18"/>
        <v>0.56321913230918386</v>
      </c>
      <c r="R87" s="252">
        <v>0.53667821100000002</v>
      </c>
      <c r="S87" s="252">
        <f t="shared" si="19"/>
        <v>2.654092130918384E-2</v>
      </c>
      <c r="T87" s="253">
        <f t="shared" si="20"/>
        <v>303</v>
      </c>
      <c r="U87" s="252">
        <f t="shared" si="21"/>
        <v>3.3003300330033E-2</v>
      </c>
      <c r="V87" s="290">
        <v>127001003</v>
      </c>
      <c r="W87" s="252" t="s">
        <v>505</v>
      </c>
    </row>
    <row r="88" spans="1:46" ht="14.4" x14ac:dyDescent="0.3">
      <c r="A88" s="54" t="s">
        <v>394</v>
      </c>
      <c r="B88" s="244" t="str">
        <f>_xlfn.XLOOKUP(A88,'Base de Dados'!D:D,'Base de Dados'!B:B)</f>
        <v>TIMBRO SWISS SA</v>
      </c>
      <c r="C88" s="244" t="str">
        <f>_xlfn.XLOOKUP(PRECIFICAÇÃO[[#This Row],[INVOICE]],'Base de Dados'!D:D,'Base de Dados'!X:X)</f>
        <v>CONCLUÍDO</v>
      </c>
      <c r="D88" s="54">
        <v>383497</v>
      </c>
      <c r="E88" s="244" t="s">
        <v>935</v>
      </c>
      <c r="F88" s="245">
        <v>5382</v>
      </c>
      <c r="G88" s="319">
        <v>31.4</v>
      </c>
      <c r="H88" s="246">
        <v>5.1717000000000004</v>
      </c>
      <c r="I88" s="247">
        <f t="shared" si="12"/>
        <v>162.39138</v>
      </c>
      <c r="J88" s="248">
        <f t="shared" si="13"/>
        <v>873990.40715999994</v>
      </c>
      <c r="K88" s="249">
        <f>J88/_xlfn.XLOOKUP(A88,'Base de Dados'!D:D,'Base de Dados'!M:M)</f>
        <v>1.940152534868187</v>
      </c>
      <c r="L88" s="248">
        <f>K88*_xlfn.XLOOKUP(A88,'Base de Dados'!D:D,'Base de Dados'!N:N)</f>
        <v>91519.090434470039</v>
      </c>
      <c r="M88" s="250">
        <f t="shared" si="14"/>
        <v>965509.49759446993</v>
      </c>
      <c r="N88" s="251">
        <f t="shared" si="15"/>
        <v>179.39604191647527</v>
      </c>
      <c r="O88" s="252">
        <f t="shared" si="16"/>
        <v>0.43667821100000004</v>
      </c>
      <c r="P88" s="253">
        <f t="shared" si="17"/>
        <v>411</v>
      </c>
      <c r="Q88" s="252">
        <f t="shared" si="18"/>
        <v>0.56351328000857603</v>
      </c>
      <c r="R88" s="252">
        <v>0.53667821100000002</v>
      </c>
      <c r="S88" s="252">
        <f t="shared" si="19"/>
        <v>2.6835069008576018E-2</v>
      </c>
      <c r="T88" s="253">
        <f t="shared" si="20"/>
        <v>421</v>
      </c>
      <c r="U88" s="252">
        <f t="shared" si="21"/>
        <v>2.3752969121140142E-2</v>
      </c>
      <c r="V88" s="290">
        <v>127001003</v>
      </c>
      <c r="W88" s="252" t="s">
        <v>505</v>
      </c>
    </row>
    <row r="89" spans="1:46" ht="14.4" x14ac:dyDescent="0.3">
      <c r="A89" s="54" t="s">
        <v>301</v>
      </c>
      <c r="B89" s="244" t="str">
        <f>_xlfn.XLOOKUP(A89,'Base de Dados'!D:D,'Base de Dados'!B:B)</f>
        <v>TIMBRO SWISS SA</v>
      </c>
      <c r="C89" s="244" t="str">
        <f>_xlfn.XLOOKUP(PRECIFICAÇÃO[[#This Row],[INVOICE]],'Base de Dados'!D:D,'Base de Dados'!X:X)</f>
        <v>CONCLUÍDO</v>
      </c>
      <c r="D89" s="54">
        <v>370451</v>
      </c>
      <c r="E89" s="244" t="s">
        <v>936</v>
      </c>
      <c r="F89" s="245">
        <v>11000</v>
      </c>
      <c r="G89" s="319">
        <v>1.38</v>
      </c>
      <c r="H89" s="246">
        <v>5.5739000000000001</v>
      </c>
      <c r="I89" s="247">
        <f t="shared" si="12"/>
        <v>7.6919819999999994</v>
      </c>
      <c r="J89" s="248">
        <f t="shared" si="13"/>
        <v>84611.801999999996</v>
      </c>
      <c r="K89" s="249">
        <f>J89/_xlfn.XLOOKUP(A89,'Base de Dados'!D:D,'Base de Dados'!M:M)</f>
        <v>0.18214564637799113</v>
      </c>
      <c r="L89" s="248">
        <f>K89*_xlfn.XLOOKUP(A89,'Base de Dados'!D:D,'Base de Dados'!N:N)</f>
        <v>2944.2586932042259</v>
      </c>
      <c r="M89" s="250">
        <f t="shared" si="14"/>
        <v>87556.060693204228</v>
      </c>
      <c r="N89" s="251">
        <f t="shared" si="15"/>
        <v>7.9596418812003842</v>
      </c>
      <c r="O89" s="252">
        <f t="shared" si="16"/>
        <v>0.37093717599999998</v>
      </c>
      <c r="P89" s="253">
        <f t="shared" si="17"/>
        <v>21</v>
      </c>
      <c r="Q89" s="252">
        <f t="shared" si="18"/>
        <v>0.62096943422855322</v>
      </c>
      <c r="R89" s="252">
        <v>0.47093717599999996</v>
      </c>
      <c r="S89" s="252">
        <f t="shared" si="19"/>
        <v>0.15003225822855326</v>
      </c>
      <c r="T89" s="253">
        <f t="shared" si="20"/>
        <v>31</v>
      </c>
      <c r="U89" s="252">
        <f t="shared" si="21"/>
        <v>0.32258064516129031</v>
      </c>
      <c r="V89" s="290">
        <v>130001013</v>
      </c>
      <c r="W89" s="252" t="s">
        <v>532</v>
      </c>
    </row>
    <row r="90" spans="1:46" ht="14.4" x14ac:dyDescent="0.3">
      <c r="A90" s="54" t="s">
        <v>301</v>
      </c>
      <c r="B90" s="244" t="str">
        <f>_xlfn.XLOOKUP(A90,'Base de Dados'!D:D,'Base de Dados'!B:B)</f>
        <v>TIMBRO SWISS SA</v>
      </c>
      <c r="C90" s="244" t="str">
        <f>_xlfn.XLOOKUP(PRECIFICAÇÃO[[#This Row],[INVOICE]],'Base de Dados'!D:D,'Base de Dados'!X:X)</f>
        <v>CONCLUÍDO</v>
      </c>
      <c r="D90" s="54">
        <v>370452</v>
      </c>
      <c r="E90" s="244" t="s">
        <v>937</v>
      </c>
      <c r="F90" s="245">
        <v>3550</v>
      </c>
      <c r="G90" s="319">
        <v>5.15</v>
      </c>
      <c r="H90" s="246">
        <v>5.5739000000000001</v>
      </c>
      <c r="I90" s="247">
        <f t="shared" si="12"/>
        <v>28.705585000000003</v>
      </c>
      <c r="J90" s="248">
        <f t="shared" si="13"/>
        <v>101904.82675000001</v>
      </c>
      <c r="K90" s="249">
        <f>J90/_xlfn.XLOOKUP(A90,'Base de Dados'!D:D,'Base de Dados'!M:M)</f>
        <v>0.2193727127737565</v>
      </c>
      <c r="L90" s="248">
        <f>K90*_xlfn.XLOOKUP(A90,'Base de Dados'!D:D,'Base de Dados'!N:N)</f>
        <v>3546.00853481596</v>
      </c>
      <c r="M90" s="250">
        <f t="shared" si="14"/>
        <v>105450.83528481597</v>
      </c>
      <c r="N90" s="251">
        <f t="shared" si="15"/>
        <v>29.704460643610133</v>
      </c>
      <c r="O90" s="252">
        <f t="shared" si="16"/>
        <v>0.37093717599999998</v>
      </c>
      <c r="P90" s="253">
        <f t="shared" si="17"/>
        <v>80</v>
      </c>
      <c r="Q90" s="252">
        <f t="shared" si="18"/>
        <v>0.62869424195487333</v>
      </c>
      <c r="R90" s="252">
        <v>0.47093717599999996</v>
      </c>
      <c r="S90" s="252">
        <f t="shared" si="19"/>
        <v>0.15775706595487338</v>
      </c>
      <c r="T90" s="253">
        <f t="shared" si="20"/>
        <v>90</v>
      </c>
      <c r="U90" s="252">
        <f t="shared" si="21"/>
        <v>0.1111111111111111</v>
      </c>
      <c r="V90" s="290">
        <v>130001013</v>
      </c>
      <c r="W90" s="252" t="s">
        <v>532</v>
      </c>
    </row>
    <row r="91" spans="1:46" ht="14.4" x14ac:dyDescent="0.3">
      <c r="A91" s="54" t="s">
        <v>301</v>
      </c>
      <c r="B91" s="244" t="str">
        <f>_xlfn.XLOOKUP(A91,'Base de Dados'!D:D,'Base de Dados'!B:B)</f>
        <v>TIMBRO SWISS SA</v>
      </c>
      <c r="C91" s="244" t="str">
        <f>_xlfn.XLOOKUP(PRECIFICAÇÃO[[#This Row],[INVOICE]],'Base de Dados'!D:D,'Base de Dados'!X:X)</f>
        <v>CONCLUÍDO</v>
      </c>
      <c r="D91" s="54">
        <v>370453</v>
      </c>
      <c r="E91" s="244" t="s">
        <v>938</v>
      </c>
      <c r="F91" s="245">
        <v>2910</v>
      </c>
      <c r="G91" s="319">
        <v>7.54</v>
      </c>
      <c r="H91" s="246">
        <v>5.5739000000000001</v>
      </c>
      <c r="I91" s="247">
        <f t="shared" si="12"/>
        <v>42.027206</v>
      </c>
      <c r="J91" s="248">
        <f t="shared" si="13"/>
        <v>122299.16946</v>
      </c>
      <c r="K91" s="249">
        <f>J91/_xlfn.XLOOKUP(A91,'Base de Dados'!D:D,'Base de Dados'!M:M)</f>
        <v>0.26327605305916041</v>
      </c>
      <c r="L91" s="248">
        <f>K91*_xlfn.XLOOKUP(A91,'Base de Dados'!D:D,'Base de Dados'!N:N)</f>
        <v>4255.6757372247166</v>
      </c>
      <c r="M91" s="250">
        <f t="shared" si="14"/>
        <v>126554.84519722473</v>
      </c>
      <c r="N91" s="251">
        <f t="shared" si="15"/>
        <v>43.489637524819493</v>
      </c>
      <c r="O91" s="252">
        <f t="shared" si="16"/>
        <v>0.37093717599999998</v>
      </c>
      <c r="P91" s="253">
        <f t="shared" si="17"/>
        <v>117</v>
      </c>
      <c r="Q91" s="252">
        <f t="shared" si="18"/>
        <v>0.62829369636906407</v>
      </c>
      <c r="R91" s="252">
        <v>0.47093717599999996</v>
      </c>
      <c r="S91" s="252">
        <f t="shared" si="19"/>
        <v>0.15735652036906411</v>
      </c>
      <c r="T91" s="253">
        <f t="shared" si="20"/>
        <v>127</v>
      </c>
      <c r="U91" s="252">
        <f t="shared" si="21"/>
        <v>7.874015748031496E-2</v>
      </c>
      <c r="V91" s="290">
        <v>130001013</v>
      </c>
      <c r="W91" s="252" t="s">
        <v>532</v>
      </c>
    </row>
    <row r="92" spans="1:46" ht="14.4" x14ac:dyDescent="0.3">
      <c r="A92" s="54" t="s">
        <v>301</v>
      </c>
      <c r="B92" s="244" t="str">
        <f>_xlfn.XLOOKUP(A92,'Base de Dados'!D:D,'Base de Dados'!B:B)</f>
        <v>TIMBRO SWISS SA</v>
      </c>
      <c r="C92" s="244" t="str">
        <f>_xlfn.XLOOKUP(PRECIFICAÇÃO[[#This Row],[INVOICE]],'Base de Dados'!D:D,'Base de Dados'!X:X)</f>
        <v>CONCLUÍDO</v>
      </c>
      <c r="D92" s="54">
        <v>358233</v>
      </c>
      <c r="E92" s="244" t="s">
        <v>939</v>
      </c>
      <c r="F92" s="245">
        <v>600</v>
      </c>
      <c r="G92" s="319">
        <v>43.66</v>
      </c>
      <c r="H92" s="246">
        <v>5.5739000000000001</v>
      </c>
      <c r="I92" s="247">
        <f t="shared" si="12"/>
        <v>243.35647399999999</v>
      </c>
      <c r="J92" s="248">
        <f t="shared" si="13"/>
        <v>146013.88439999998</v>
      </c>
      <c r="K92" s="249">
        <f>J92/_xlfn.XLOOKUP(A92,'Base de Dados'!D:D,'Base de Dados'!M:M)</f>
        <v>0.31432723007364005</v>
      </c>
      <c r="L92" s="248">
        <f>K92*_xlfn.XLOOKUP(A92,'Base de Dados'!D:D,'Base de Dados'!N:N)</f>
        <v>5080.8827883516406</v>
      </c>
      <c r="M92" s="250">
        <f t="shared" si="14"/>
        <v>151094.76718835163</v>
      </c>
      <c r="N92" s="251">
        <f t="shared" si="15"/>
        <v>251.82461198058604</v>
      </c>
      <c r="O92" s="252">
        <f t="shared" si="16"/>
        <v>0.39018382800000007</v>
      </c>
      <c r="P92" s="253">
        <f t="shared" si="17"/>
        <v>645</v>
      </c>
      <c r="Q92" s="252">
        <f t="shared" si="18"/>
        <v>0.6095742449913395</v>
      </c>
      <c r="R92" s="252">
        <v>0.49018382800000004</v>
      </c>
      <c r="S92" s="252">
        <f t="shared" si="19"/>
        <v>0.11939041699133945</v>
      </c>
      <c r="T92" s="253">
        <f t="shared" si="20"/>
        <v>655</v>
      </c>
      <c r="U92" s="252">
        <f t="shared" si="21"/>
        <v>1.5267175572519083E-2</v>
      </c>
      <c r="V92" s="290">
        <v>111001019</v>
      </c>
      <c r="W92" s="252" t="s">
        <v>525</v>
      </c>
    </row>
    <row r="93" spans="1:46" ht="14.4" x14ac:dyDescent="0.3">
      <c r="A93" s="54" t="s">
        <v>301</v>
      </c>
      <c r="B93" s="244" t="str">
        <f>_xlfn.XLOOKUP(A93,'Base de Dados'!D:D,'Base de Dados'!B:B)</f>
        <v>TIMBRO SWISS SA</v>
      </c>
      <c r="C93" s="244" t="str">
        <f>_xlfn.XLOOKUP(PRECIFICAÇÃO[[#This Row],[INVOICE]],'Base de Dados'!D:D,'Base de Dados'!X:X)</f>
        <v>CONCLUÍDO</v>
      </c>
      <c r="D93" s="54">
        <v>354935</v>
      </c>
      <c r="E93" s="244" t="s">
        <v>940</v>
      </c>
      <c r="F93" s="245">
        <v>174</v>
      </c>
      <c r="G93" s="319">
        <v>10</v>
      </c>
      <c r="H93" s="246">
        <v>5.5739000000000001</v>
      </c>
      <c r="I93" s="247">
        <f t="shared" si="12"/>
        <v>55.739000000000004</v>
      </c>
      <c r="J93" s="248">
        <f t="shared" si="13"/>
        <v>9698.5860000000011</v>
      </c>
      <c r="K93" s="249">
        <f>J93/_xlfn.XLOOKUP(A93,'Base de Dados'!D:D,'Base de Dados'!M:M)</f>
        <v>2.087835472316895E-2</v>
      </c>
      <c r="L93" s="248">
        <f>K93*_xlfn.XLOOKUP(A93,'Base de Dados'!D:D,'Base de Dados'!N:N)</f>
        <v>337.48419803526707</v>
      </c>
      <c r="M93" s="250">
        <f t="shared" si="14"/>
        <v>10036.070198035268</v>
      </c>
      <c r="N93" s="251">
        <f t="shared" si="15"/>
        <v>57.678564356524525</v>
      </c>
      <c r="O93" s="252">
        <f t="shared" si="16"/>
        <v>0.43322996400000002</v>
      </c>
      <c r="P93" s="253">
        <f t="shared" si="17"/>
        <v>133</v>
      </c>
      <c r="Q93" s="252">
        <f t="shared" si="18"/>
        <v>0.5663265837855298</v>
      </c>
      <c r="R93" s="252">
        <v>0.533229964</v>
      </c>
      <c r="S93" s="252">
        <f t="shared" si="19"/>
        <v>3.3096619785529802E-2</v>
      </c>
      <c r="T93" s="253">
        <f t="shared" si="20"/>
        <v>143</v>
      </c>
      <c r="U93" s="252">
        <f t="shared" si="21"/>
        <v>6.9930069930069935E-2</v>
      </c>
      <c r="V93" s="290">
        <v>111001016</v>
      </c>
      <c r="W93" s="252" t="s">
        <v>941</v>
      </c>
    </row>
    <row r="94" spans="1:46" ht="14.4" x14ac:dyDescent="0.3">
      <c r="A94" s="54" t="s">
        <v>296</v>
      </c>
      <c r="B94" s="244" t="str">
        <f>_xlfn.XLOOKUP(A94,'Base de Dados'!D:D,'Base de Dados'!B:B)</f>
        <v>TIMBRO SWISS SA</v>
      </c>
      <c r="C94" s="244" t="str">
        <f>_xlfn.XLOOKUP(PRECIFICAÇÃO[[#This Row],[INVOICE]],'Base de Dados'!D:D,'Base de Dados'!X:X)</f>
        <v>CONCLUÍDO</v>
      </c>
      <c r="D94" s="54">
        <v>267947</v>
      </c>
      <c r="E94" s="244" t="s">
        <v>32</v>
      </c>
      <c r="F94" s="245">
        <v>1008</v>
      </c>
      <c r="G94" s="319">
        <v>0.19400000000000001</v>
      </c>
      <c r="H94" s="246">
        <v>5.5388999999999999</v>
      </c>
      <c r="I94" s="247">
        <f t="shared" si="12"/>
        <v>1.0745466000000001</v>
      </c>
      <c r="J94" s="248">
        <f t="shared" si="13"/>
        <v>1083.1429728000001</v>
      </c>
      <c r="K94" s="249">
        <f>J94/_xlfn.XLOOKUP(A94,'Base de Dados'!D:D,'Base de Dados'!M:M)</f>
        <v>3.447039561444233E-3</v>
      </c>
      <c r="L94" s="248">
        <f>K94*_xlfn.XLOOKUP(A94,'Base de Dados'!D:D,'Base de Dados'!N:N)</f>
        <v>110.73828307592407</v>
      </c>
      <c r="M94" s="250">
        <f t="shared" si="14"/>
        <v>1193.8812558759241</v>
      </c>
      <c r="N94" s="251">
        <f t="shared" si="15"/>
        <v>1.1844060078134169</v>
      </c>
      <c r="O94" s="252">
        <f t="shared" si="16"/>
        <v>0.44510234400000004</v>
      </c>
      <c r="P94" s="253">
        <f t="shared" si="17"/>
        <v>3</v>
      </c>
      <c r="Q94" s="252">
        <f t="shared" si="18"/>
        <v>0.60519799739552771</v>
      </c>
      <c r="R94" s="252">
        <v>0.54510234400000002</v>
      </c>
      <c r="S94" s="252">
        <f t="shared" si="19"/>
        <v>6.0095653395527693E-2</v>
      </c>
      <c r="T94" s="253">
        <f t="shared" si="20"/>
        <v>13</v>
      </c>
      <c r="U94" s="252">
        <f t="shared" si="21"/>
        <v>0.76923076923076927</v>
      </c>
      <c r="V94" s="290">
        <v>127001001</v>
      </c>
      <c r="W94" s="252" t="s">
        <v>503</v>
      </c>
    </row>
    <row r="95" spans="1:46" ht="14.4" x14ac:dyDescent="0.3">
      <c r="A95" s="54" t="s">
        <v>296</v>
      </c>
      <c r="B95" s="244" t="str">
        <f>_xlfn.XLOOKUP(A95,'Base de Dados'!D:D,'Base de Dados'!B:B)</f>
        <v>TIMBRO SWISS SA</v>
      </c>
      <c r="C95" s="244" t="str">
        <f>_xlfn.XLOOKUP(PRECIFICAÇÃO[[#This Row],[INVOICE]],'Base de Dados'!D:D,'Base de Dados'!X:X)</f>
        <v>CONCLUÍDO</v>
      </c>
      <c r="D95" s="54">
        <v>367984</v>
      </c>
      <c r="E95" s="244" t="s">
        <v>942</v>
      </c>
      <c r="F95" s="245">
        <v>3000</v>
      </c>
      <c r="G95" s="319">
        <v>0.29299999999999998</v>
      </c>
      <c r="H95" s="246">
        <v>5.5388999999999999</v>
      </c>
      <c r="I95" s="247">
        <f t="shared" si="12"/>
        <v>1.6228976999999998</v>
      </c>
      <c r="J95" s="248">
        <f t="shared" si="13"/>
        <v>4868.6930999999995</v>
      </c>
      <c r="K95" s="249">
        <f>J95/_xlfn.XLOOKUP(A95,'Base de Dados'!D:D,'Base de Dados'!M:M)</f>
        <v>1.5494332834793203E-2</v>
      </c>
      <c r="L95" s="248">
        <f>K95*_xlfn.XLOOKUP(A95,'Base de Dados'!D:D,'Base de Dados'!N:N)</f>
        <v>497.76504880408919</v>
      </c>
      <c r="M95" s="250">
        <f t="shared" si="14"/>
        <v>5366.4581488040885</v>
      </c>
      <c r="N95" s="251">
        <f t="shared" si="15"/>
        <v>1.7888193829346961</v>
      </c>
      <c r="O95" s="252">
        <f t="shared" si="16"/>
        <v>0.42527551200000002</v>
      </c>
      <c r="P95" s="253">
        <f t="shared" si="17"/>
        <v>4</v>
      </c>
      <c r="Q95" s="252">
        <f t="shared" si="18"/>
        <v>0.55279515426632597</v>
      </c>
      <c r="R95" s="252">
        <v>0.525275512</v>
      </c>
      <c r="S95" s="252">
        <f t="shared" si="19"/>
        <v>2.7519642266325972E-2</v>
      </c>
      <c r="T95" s="253">
        <f t="shared" si="20"/>
        <v>14</v>
      </c>
      <c r="U95" s="252">
        <f t="shared" si="21"/>
        <v>0.7142857142857143</v>
      </c>
      <c r="V95" s="290">
        <v>127001002</v>
      </c>
      <c r="W95" s="252" t="s">
        <v>501</v>
      </c>
    </row>
    <row r="96" spans="1:46" ht="14.4" x14ac:dyDescent="0.3">
      <c r="A96" s="54" t="s">
        <v>296</v>
      </c>
      <c r="B96" s="244" t="str">
        <f>_xlfn.XLOOKUP(A96,'Base de Dados'!D:D,'Base de Dados'!B:B)</f>
        <v>TIMBRO SWISS SA</v>
      </c>
      <c r="C96" s="244" t="str">
        <f>_xlfn.XLOOKUP(PRECIFICAÇÃO[[#This Row],[INVOICE]],'Base de Dados'!D:D,'Base de Dados'!X:X)</f>
        <v>CONCLUÍDO</v>
      </c>
      <c r="D96" s="54">
        <v>269686</v>
      </c>
      <c r="E96" s="244" t="s">
        <v>35</v>
      </c>
      <c r="F96" s="245">
        <v>1992</v>
      </c>
      <c r="G96" s="319">
        <v>0.17299999999999999</v>
      </c>
      <c r="H96" s="246">
        <v>5.5388999999999999</v>
      </c>
      <c r="I96" s="247">
        <f t="shared" si="12"/>
        <v>0.95822969999999996</v>
      </c>
      <c r="J96" s="248">
        <f t="shared" si="13"/>
        <v>1908.7935623999999</v>
      </c>
      <c r="K96" s="249">
        <f>J96/_xlfn.XLOOKUP(A96,'Base de Dados'!D:D,'Base de Dados'!M:M)</f>
        <v>6.0746245781514163E-3</v>
      </c>
      <c r="L96" s="248">
        <f>K96*_xlfn.XLOOKUP(A96,'Base de Dados'!D:D,'Base de Dados'!N:N)</f>
        <v>195.15108084035271</v>
      </c>
      <c r="M96" s="250">
        <f t="shared" si="14"/>
        <v>2103.9446432403524</v>
      </c>
      <c r="N96" s="251">
        <f t="shared" si="15"/>
        <v>1.0561971100604179</v>
      </c>
      <c r="O96" s="252">
        <f t="shared" si="16"/>
        <v>0.40920539999999994</v>
      </c>
      <c r="P96" s="253">
        <f t="shared" si="17"/>
        <v>3</v>
      </c>
      <c r="Q96" s="252">
        <f t="shared" si="18"/>
        <v>0.64793429664652735</v>
      </c>
      <c r="R96" s="252">
        <v>0.50920539999999992</v>
      </c>
      <c r="S96" s="252">
        <f t="shared" si="19"/>
        <v>0.13872889664652743</v>
      </c>
      <c r="T96" s="253">
        <f t="shared" si="20"/>
        <v>13</v>
      </c>
      <c r="U96" s="252">
        <f t="shared" si="21"/>
        <v>0.76923076923076927</v>
      </c>
      <c r="V96" s="290">
        <v>127001014</v>
      </c>
      <c r="W96" s="252" t="s">
        <v>500</v>
      </c>
    </row>
    <row r="97" spans="1:42" ht="14.4" x14ac:dyDescent="0.3">
      <c r="A97" s="54" t="s">
        <v>296</v>
      </c>
      <c r="B97" s="244" t="str">
        <f>_xlfn.XLOOKUP(A97,'Base de Dados'!D:D,'Base de Dados'!B:B)</f>
        <v>TIMBRO SWISS SA</v>
      </c>
      <c r="C97" s="244" t="str">
        <f>_xlfn.XLOOKUP(PRECIFICAÇÃO[[#This Row],[INVOICE]],'Base de Dados'!D:D,'Base de Dados'!X:X)</f>
        <v>CONCLUÍDO</v>
      </c>
      <c r="D97" s="54">
        <v>367987</v>
      </c>
      <c r="E97" s="244" t="s">
        <v>40</v>
      </c>
      <c r="F97" s="245">
        <v>3000</v>
      </c>
      <c r="G97" s="319">
        <v>0.29199999999999998</v>
      </c>
      <c r="H97" s="246">
        <v>5.5388999999999999</v>
      </c>
      <c r="I97" s="247">
        <f t="shared" si="12"/>
        <v>1.6173587999999999</v>
      </c>
      <c r="J97" s="248">
        <f t="shared" si="13"/>
        <v>4852.0763999999999</v>
      </c>
      <c r="K97" s="249">
        <f>J97/_xlfn.XLOOKUP(A97,'Base de Dados'!D:D,'Base de Dados'!M:M)</f>
        <v>1.5441451152763193E-2</v>
      </c>
      <c r="L97" s="248">
        <f>K97*_xlfn.XLOOKUP(A97,'Base de Dados'!D:D,'Base de Dados'!N:N)</f>
        <v>496.06619198223228</v>
      </c>
      <c r="M97" s="250">
        <f t="shared" si="14"/>
        <v>5348.1425919822323</v>
      </c>
      <c r="N97" s="251">
        <f t="shared" si="15"/>
        <v>1.7827141973274108</v>
      </c>
      <c r="O97" s="252">
        <f t="shared" si="16"/>
        <v>0.45721011100000009</v>
      </c>
      <c r="P97" s="253">
        <f t="shared" si="17"/>
        <v>4</v>
      </c>
      <c r="Q97" s="252">
        <f t="shared" si="18"/>
        <v>0.55432145066814731</v>
      </c>
      <c r="R97" s="252">
        <v>0.55721011100000006</v>
      </c>
      <c r="S97" s="252">
        <f t="shared" si="19"/>
        <v>-2.8886603318527548E-3</v>
      </c>
      <c r="T97" s="253">
        <f t="shared" si="20"/>
        <v>14</v>
      </c>
      <c r="U97" s="252">
        <f t="shared" si="21"/>
        <v>0.7142857142857143</v>
      </c>
      <c r="V97" s="290">
        <v>127001027</v>
      </c>
      <c r="W97" s="252" t="s">
        <v>504</v>
      </c>
    </row>
    <row r="98" spans="1:42" ht="14.4" x14ac:dyDescent="0.3">
      <c r="A98" s="54" t="s">
        <v>296</v>
      </c>
      <c r="B98" s="244" t="str">
        <f>_xlfn.XLOOKUP(A98,'Base de Dados'!D:D,'Base de Dados'!B:B)</f>
        <v>TIMBRO SWISS SA</v>
      </c>
      <c r="C98" s="244" t="str">
        <f>_xlfn.XLOOKUP(PRECIFICAÇÃO[[#This Row],[INVOICE]],'Base de Dados'!D:D,'Base de Dados'!X:X)</f>
        <v>CONCLUÍDO</v>
      </c>
      <c r="D98" s="54">
        <v>367986</v>
      </c>
      <c r="E98" s="244" t="s">
        <v>39</v>
      </c>
      <c r="F98" s="245">
        <v>3000</v>
      </c>
      <c r="G98" s="319">
        <v>0.224</v>
      </c>
      <c r="H98" s="246">
        <v>5.5388999999999999</v>
      </c>
      <c r="I98" s="247">
        <f t="shared" si="12"/>
        <v>1.2407136000000001</v>
      </c>
      <c r="J98" s="248">
        <f t="shared" si="13"/>
        <v>3722.1408000000001</v>
      </c>
      <c r="K98" s="249">
        <f>J98/_xlfn.XLOOKUP(A98,'Base de Dados'!D:D,'Base de Dados'!M:M)</f>
        <v>1.184549677472245E-2</v>
      </c>
      <c r="L98" s="248">
        <f>K98*_xlfn.XLOOKUP(A98,'Base de Dados'!D:D,'Base de Dados'!N:N)</f>
        <v>380.54392809595902</v>
      </c>
      <c r="M98" s="250">
        <f t="shared" si="14"/>
        <v>4102.6847280959591</v>
      </c>
      <c r="N98" s="251">
        <f t="shared" si="15"/>
        <v>1.3675615760319864</v>
      </c>
      <c r="O98" s="252">
        <f t="shared" si="16"/>
        <v>0.45721011100000009</v>
      </c>
      <c r="P98" s="253">
        <f t="shared" ref="P98:P129" si="22">ROUND(N98/O98,0)</f>
        <v>3</v>
      </c>
      <c r="Q98" s="252">
        <f t="shared" si="18"/>
        <v>0.54414614132267125</v>
      </c>
      <c r="R98" s="252">
        <v>0.55721011100000006</v>
      </c>
      <c r="S98" s="252">
        <f t="shared" si="19"/>
        <v>-1.3063969677328813E-2</v>
      </c>
      <c r="T98" s="253">
        <f t="shared" ref="T98:T129" si="23">P98+10</f>
        <v>13</v>
      </c>
      <c r="U98" s="252">
        <f t="shared" si="21"/>
        <v>0.76923076923076927</v>
      </c>
      <c r="V98" s="290">
        <v>127001027</v>
      </c>
      <c r="W98" s="252" t="s">
        <v>504</v>
      </c>
    </row>
    <row r="99" spans="1:42" ht="14.4" x14ac:dyDescent="0.3">
      <c r="A99" s="54" t="s">
        <v>296</v>
      </c>
      <c r="B99" s="244" t="str">
        <f>_xlfn.XLOOKUP(A99,'Base de Dados'!D:D,'Base de Dados'!B:B)</f>
        <v>TIMBRO SWISS SA</v>
      </c>
      <c r="C99" s="244" t="str">
        <f>_xlfn.XLOOKUP(PRECIFICAÇÃO[[#This Row],[INVOICE]],'Base de Dados'!D:D,'Base de Dados'!X:X)</f>
        <v>CONCLUÍDO</v>
      </c>
      <c r="D99" s="54">
        <v>367985</v>
      </c>
      <c r="E99" s="244" t="s">
        <v>38</v>
      </c>
      <c r="F99" s="245">
        <v>3000</v>
      </c>
      <c r="G99" s="319">
        <v>0.128</v>
      </c>
      <c r="H99" s="246">
        <v>5.5388999999999999</v>
      </c>
      <c r="I99" s="247">
        <f t="shared" si="12"/>
        <v>0.70897920000000003</v>
      </c>
      <c r="J99" s="248">
        <f t="shared" si="13"/>
        <v>2126.9376000000002</v>
      </c>
      <c r="K99" s="249">
        <f>J99/_xlfn.XLOOKUP(A99,'Base de Dados'!D:D,'Base de Dados'!M:M)</f>
        <v>6.7688552998414007E-3</v>
      </c>
      <c r="L99" s="248">
        <f>K99*_xlfn.XLOOKUP(A99,'Base de Dados'!D:D,'Base de Dados'!N:N)</f>
        <v>217.4536731976909</v>
      </c>
      <c r="M99" s="250">
        <f t="shared" si="14"/>
        <v>2344.3912731976911</v>
      </c>
      <c r="N99" s="251">
        <f t="shared" si="15"/>
        <v>0.78146375773256371</v>
      </c>
      <c r="O99" s="252">
        <f t="shared" si="16"/>
        <v>0.45721011100000009</v>
      </c>
      <c r="P99" s="253">
        <f t="shared" si="22"/>
        <v>2</v>
      </c>
      <c r="Q99" s="252">
        <f t="shared" si="18"/>
        <v>0.60926812113371809</v>
      </c>
      <c r="R99" s="252">
        <v>0.55721011100000006</v>
      </c>
      <c r="S99" s="252">
        <f t="shared" si="19"/>
        <v>5.2058010133718025E-2</v>
      </c>
      <c r="T99" s="253">
        <f t="shared" si="23"/>
        <v>12</v>
      </c>
      <c r="U99" s="252">
        <f t="shared" si="21"/>
        <v>0.83333333333333337</v>
      </c>
      <c r="V99" s="290">
        <v>127001027</v>
      </c>
      <c r="W99" s="252" t="s">
        <v>504</v>
      </c>
    </row>
    <row r="100" spans="1:42" ht="14.4" x14ac:dyDescent="0.3">
      <c r="A100" s="54" t="s">
        <v>296</v>
      </c>
      <c r="B100" s="244" t="str">
        <f>_xlfn.XLOOKUP(A100,'Base de Dados'!D:D,'Base de Dados'!B:B)</f>
        <v>TIMBRO SWISS SA</v>
      </c>
      <c r="C100" s="244" t="str">
        <f>_xlfn.XLOOKUP(PRECIFICAÇÃO[[#This Row],[INVOICE]],'Base de Dados'!D:D,'Base de Dados'!X:X)</f>
        <v>CONCLUÍDO</v>
      </c>
      <c r="D100" s="54">
        <v>267944</v>
      </c>
      <c r="E100" s="244" t="s">
        <v>29</v>
      </c>
      <c r="F100" s="245">
        <v>1002</v>
      </c>
      <c r="G100" s="319">
        <v>0.26</v>
      </c>
      <c r="H100" s="246">
        <v>5.5388999999999999</v>
      </c>
      <c r="I100" s="247">
        <f t="shared" si="12"/>
        <v>1.4401140000000001</v>
      </c>
      <c r="J100" s="248">
        <f t="shared" si="13"/>
        <v>1442.994228</v>
      </c>
      <c r="K100" s="249">
        <f>J100/_xlfn.XLOOKUP(A100,'Base de Dados'!D:D,'Base de Dados'!M:M)</f>
        <v>4.5922452674861496E-3</v>
      </c>
      <c r="L100" s="248">
        <f>K100*_xlfn.XLOOKUP(A100,'Base de Dados'!D:D,'Base de Dados'!N:N)</f>
        <v>147.5287264100584</v>
      </c>
      <c r="M100" s="250">
        <f t="shared" si="14"/>
        <v>1590.5229544100584</v>
      </c>
      <c r="N100" s="251">
        <f t="shared" si="15"/>
        <v>1.5873482578942699</v>
      </c>
      <c r="O100" s="252">
        <f t="shared" si="16"/>
        <v>0.44079731899999997</v>
      </c>
      <c r="P100" s="253">
        <f t="shared" si="22"/>
        <v>4</v>
      </c>
      <c r="Q100" s="252">
        <f t="shared" si="18"/>
        <v>0.60316293552643252</v>
      </c>
      <c r="R100" s="252">
        <v>0.54079731899999994</v>
      </c>
      <c r="S100" s="252">
        <f t="shared" si="19"/>
        <v>6.2365616526432577E-2</v>
      </c>
      <c r="T100" s="253">
        <f t="shared" si="23"/>
        <v>14</v>
      </c>
      <c r="U100" s="252">
        <f t="shared" si="21"/>
        <v>0.7142857142857143</v>
      </c>
      <c r="V100" s="290">
        <v>127001006</v>
      </c>
      <c r="W100" s="252" t="s">
        <v>502</v>
      </c>
    </row>
    <row r="101" spans="1:42" ht="14.4" x14ac:dyDescent="0.3">
      <c r="A101" s="54" t="s">
        <v>296</v>
      </c>
      <c r="B101" s="244" t="str">
        <f>_xlfn.XLOOKUP(A101,'Base de Dados'!D:D,'Base de Dados'!B:B)</f>
        <v>TIMBRO SWISS SA</v>
      </c>
      <c r="C101" s="244" t="str">
        <f>_xlfn.XLOOKUP(PRECIFICAÇÃO[[#This Row],[INVOICE]],'Base de Dados'!D:D,'Base de Dados'!X:X)</f>
        <v>CONCLUÍDO</v>
      </c>
      <c r="D101" s="54">
        <v>267945</v>
      </c>
      <c r="E101" s="244" t="s">
        <v>30</v>
      </c>
      <c r="F101" s="245">
        <v>774</v>
      </c>
      <c r="G101" s="319">
        <v>0.30099999999999999</v>
      </c>
      <c r="H101" s="246">
        <v>5.5388999999999999</v>
      </c>
      <c r="I101" s="247">
        <f t="shared" si="12"/>
        <v>1.6672088999999999</v>
      </c>
      <c r="J101" s="248">
        <f t="shared" si="13"/>
        <v>1290.4196886</v>
      </c>
      <c r="K101" s="249">
        <f>J101/_xlfn.XLOOKUP(A101,'Base de Dados'!D:D,'Base de Dados'!M:M)</f>
        <v>4.1066856630865897E-3</v>
      </c>
      <c r="L101" s="248">
        <f>K101*_xlfn.XLOOKUP(A101,'Base de Dados'!D:D,'Base de Dados'!N:N)</f>
        <v>131.9298230717678</v>
      </c>
      <c r="M101" s="250">
        <f t="shared" si="14"/>
        <v>1422.3495116717677</v>
      </c>
      <c r="N101" s="251">
        <f t="shared" si="15"/>
        <v>1.8376608677929815</v>
      </c>
      <c r="O101" s="252">
        <f t="shared" si="16"/>
        <v>0.42527551200000002</v>
      </c>
      <c r="P101" s="253">
        <f t="shared" si="22"/>
        <v>4</v>
      </c>
      <c r="Q101" s="252">
        <f t="shared" si="18"/>
        <v>0.54058478305175461</v>
      </c>
      <c r="R101" s="252">
        <v>0.525275512</v>
      </c>
      <c r="S101" s="252">
        <f t="shared" si="19"/>
        <v>1.5309271051754614E-2</v>
      </c>
      <c r="T101" s="253">
        <f t="shared" si="23"/>
        <v>14</v>
      </c>
      <c r="U101" s="252">
        <f t="shared" si="21"/>
        <v>0.7142857142857143</v>
      </c>
      <c r="V101" s="290">
        <v>127001002</v>
      </c>
      <c r="W101" s="252" t="s">
        <v>501</v>
      </c>
    </row>
    <row r="102" spans="1:42" ht="14.4" x14ac:dyDescent="0.3">
      <c r="A102" s="54" t="s">
        <v>296</v>
      </c>
      <c r="B102" s="244" t="str">
        <f>_xlfn.XLOOKUP(A102,'Base de Dados'!D:D,'Base de Dados'!B:B)</f>
        <v>TIMBRO SWISS SA</v>
      </c>
      <c r="C102" s="244" t="str">
        <f>_xlfn.XLOOKUP(PRECIFICAÇÃO[[#This Row],[INVOICE]],'Base de Dados'!D:D,'Base de Dados'!X:X)</f>
        <v>CONCLUÍDO</v>
      </c>
      <c r="D102" s="54">
        <v>367983</v>
      </c>
      <c r="E102" s="244" t="s">
        <v>36</v>
      </c>
      <c r="F102" s="245">
        <v>3000</v>
      </c>
      <c r="G102" s="319">
        <v>0.35699999999999998</v>
      </c>
      <c r="H102" s="246">
        <v>5.5388999999999999</v>
      </c>
      <c r="I102" s="247">
        <f t="shared" si="12"/>
        <v>1.9773873</v>
      </c>
      <c r="J102" s="248">
        <f t="shared" si="13"/>
        <v>5932.1619000000001</v>
      </c>
      <c r="K102" s="249">
        <f>J102/_xlfn.XLOOKUP(A102,'Base de Dados'!D:D,'Base de Dados'!M:M)</f>
        <v>1.8878760484713906E-2</v>
      </c>
      <c r="L102" s="248">
        <f>K102*_xlfn.XLOOKUP(A102,'Base de Dados'!D:D,'Base de Dados'!N:N)</f>
        <v>606.49188540293471</v>
      </c>
      <c r="M102" s="250">
        <f t="shared" si="14"/>
        <v>6538.6537854029348</v>
      </c>
      <c r="N102" s="251">
        <f t="shared" si="15"/>
        <v>2.1795512618009782</v>
      </c>
      <c r="O102" s="252">
        <f t="shared" si="16"/>
        <v>0.42527551200000002</v>
      </c>
      <c r="P102" s="253">
        <f t="shared" si="22"/>
        <v>5</v>
      </c>
      <c r="Q102" s="252">
        <f t="shared" si="18"/>
        <v>0.56408974763980435</v>
      </c>
      <c r="R102" s="252">
        <v>0.525275512</v>
      </c>
      <c r="S102" s="252">
        <f t="shared" si="19"/>
        <v>3.8814235639804351E-2</v>
      </c>
      <c r="T102" s="253">
        <f t="shared" si="23"/>
        <v>15</v>
      </c>
      <c r="U102" s="252">
        <f t="shared" si="21"/>
        <v>0.66666666666666663</v>
      </c>
      <c r="V102" s="290">
        <v>127001002</v>
      </c>
      <c r="W102" s="252" t="s">
        <v>501</v>
      </c>
    </row>
    <row r="103" spans="1:42" s="276" customFormat="1" ht="14.4" x14ac:dyDescent="0.3">
      <c r="A103" s="49" t="s">
        <v>296</v>
      </c>
      <c r="B103" s="277" t="str">
        <f>_xlfn.XLOOKUP(A103,'Base de Dados'!D:D,'Base de Dados'!B:B)</f>
        <v>TIMBRO SWISS SA</v>
      </c>
      <c r="C103" s="277" t="str">
        <f>_xlfn.XLOOKUP(PRECIFICAÇÃO[[#This Row],[INVOICE]],'Base de Dados'!D:D,'Base de Dados'!X:X)</f>
        <v>CONCLUÍDO</v>
      </c>
      <c r="D103" s="49">
        <v>267936</v>
      </c>
      <c r="E103" s="277" t="s">
        <v>21</v>
      </c>
      <c r="F103" s="278">
        <v>2616</v>
      </c>
      <c r="G103" s="320">
        <v>0.13400000000000001</v>
      </c>
      <c r="H103" s="279">
        <v>5.5388999999999999</v>
      </c>
      <c r="I103" s="280">
        <f t="shared" si="12"/>
        <v>0.7422126</v>
      </c>
      <c r="J103" s="281">
        <f t="shared" si="13"/>
        <v>1941.6281616000001</v>
      </c>
      <c r="K103" s="282">
        <f>J103/_xlfn.XLOOKUP(A103,'Base de Dados'!D:D,'Base de Dados'!M:M)</f>
        <v>6.1791187818427181E-3</v>
      </c>
      <c r="L103" s="281">
        <f>K103*_xlfn.XLOOKUP(A103,'Base de Dados'!D:D,'Base de Dados'!N:N)</f>
        <v>198.50802192034206</v>
      </c>
      <c r="M103" s="283">
        <f t="shared" si="14"/>
        <v>2140.136183520342</v>
      </c>
      <c r="N103" s="284">
        <f t="shared" si="15"/>
        <v>0.81809487137627757</v>
      </c>
      <c r="O103" s="285">
        <f t="shared" si="16"/>
        <v>0.40920539999999994</v>
      </c>
      <c r="P103" s="286">
        <f t="shared" si="22"/>
        <v>2</v>
      </c>
      <c r="Q103" s="285">
        <f t="shared" si="18"/>
        <v>0.59095256431186116</v>
      </c>
      <c r="R103" s="285">
        <v>0.50920539999999992</v>
      </c>
      <c r="S103" s="285">
        <f t="shared" si="19"/>
        <v>8.1747164311861242E-2</v>
      </c>
      <c r="T103" s="286">
        <f t="shared" si="23"/>
        <v>12</v>
      </c>
      <c r="U103" s="285">
        <f t="shared" si="21"/>
        <v>0.83333333333333337</v>
      </c>
      <c r="V103" s="291">
        <v>127001014</v>
      </c>
      <c r="W103" s="252" t="s">
        <v>500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14.4" x14ac:dyDescent="0.3">
      <c r="A104" s="54" t="s">
        <v>296</v>
      </c>
      <c r="B104" s="244" t="str">
        <f>_xlfn.XLOOKUP(A104,'Base de Dados'!D:D,'Base de Dados'!B:B)</f>
        <v>TIMBRO SWISS SA</v>
      </c>
      <c r="C104" s="244" t="str">
        <f>_xlfn.XLOOKUP(PRECIFICAÇÃO[[#This Row],[INVOICE]],'Base de Dados'!D:D,'Base de Dados'!X:X)</f>
        <v>CONCLUÍDO</v>
      </c>
      <c r="D104" s="54">
        <v>267938</v>
      </c>
      <c r="E104" s="244" t="s">
        <v>23</v>
      </c>
      <c r="F104" s="245">
        <v>1200</v>
      </c>
      <c r="G104" s="319">
        <v>0.215</v>
      </c>
      <c r="H104" s="246">
        <v>5.5388999999999999</v>
      </c>
      <c r="I104" s="247">
        <f t="shared" si="12"/>
        <v>1.1908635000000001</v>
      </c>
      <c r="J104" s="248">
        <f t="shared" si="13"/>
        <v>1429.0362</v>
      </c>
      <c r="K104" s="249">
        <f>J104/_xlfn.XLOOKUP(A104,'Base de Dados'!D:D,'Base de Dados'!M:M)</f>
        <v>4.5478246545809405E-3</v>
      </c>
      <c r="L104" s="248">
        <f>K104*_xlfn.XLOOKUP(A104,'Base de Dados'!D:D,'Base de Dados'!N:N)</f>
        <v>146.10168667969856</v>
      </c>
      <c r="M104" s="250">
        <f t="shared" si="14"/>
        <v>1575.1378866796986</v>
      </c>
      <c r="N104" s="251">
        <f t="shared" si="15"/>
        <v>1.3126149055664156</v>
      </c>
      <c r="O104" s="252">
        <f t="shared" si="16"/>
        <v>0.40920539999999994</v>
      </c>
      <c r="P104" s="253">
        <f t="shared" si="22"/>
        <v>3</v>
      </c>
      <c r="Q104" s="252">
        <f t="shared" si="18"/>
        <v>0.56246169814452818</v>
      </c>
      <c r="R104" s="252">
        <v>0.50920539999999992</v>
      </c>
      <c r="S104" s="252">
        <f t="shared" si="19"/>
        <v>5.3256298144528258E-2</v>
      </c>
      <c r="T104" s="253">
        <f t="shared" si="23"/>
        <v>13</v>
      </c>
      <c r="U104" s="252">
        <f t="shared" si="21"/>
        <v>0.76923076923076927</v>
      </c>
      <c r="V104" s="290">
        <v>127001014</v>
      </c>
      <c r="W104" s="252" t="s">
        <v>500</v>
      </c>
    </row>
    <row r="105" spans="1:42" ht="14.4" x14ac:dyDescent="0.3">
      <c r="A105" s="54" t="s">
        <v>296</v>
      </c>
      <c r="B105" s="244" t="str">
        <f>_xlfn.XLOOKUP(A105,'Base de Dados'!D:D,'Base de Dados'!B:B)</f>
        <v>TIMBRO SWISS SA</v>
      </c>
      <c r="C105" s="244" t="str">
        <f>_xlfn.XLOOKUP(PRECIFICAÇÃO[[#This Row],[INVOICE]],'Base de Dados'!D:D,'Base de Dados'!X:X)</f>
        <v>CONCLUÍDO</v>
      </c>
      <c r="D105" s="54">
        <v>267870</v>
      </c>
      <c r="E105" s="244" t="s">
        <v>18</v>
      </c>
      <c r="F105" s="245">
        <v>216</v>
      </c>
      <c r="G105" s="319">
        <v>9.5000000000000001E-2</v>
      </c>
      <c r="H105" s="246">
        <v>5.5388999999999999</v>
      </c>
      <c r="I105" s="247">
        <f t="shared" si="12"/>
        <v>0.52619550000000004</v>
      </c>
      <c r="J105" s="248">
        <f t="shared" si="13"/>
        <v>113.65822800000001</v>
      </c>
      <c r="K105" s="249">
        <f>J105/_xlfn.XLOOKUP(A105,'Base de Dados'!D:D,'Base de Dados'!M:M)</f>
        <v>3.6171070508527484E-4</v>
      </c>
      <c r="L105" s="248">
        <f>K105*_xlfn.XLOOKUP(A105,'Base de Dados'!D:D,'Base de Dados'!N:N)</f>
        <v>11.620180661501607</v>
      </c>
      <c r="M105" s="250">
        <f t="shared" si="14"/>
        <v>125.27840866150162</v>
      </c>
      <c r="N105" s="251">
        <f t="shared" si="15"/>
        <v>0.57999263269213708</v>
      </c>
      <c r="O105" s="252">
        <f t="shared" si="16"/>
        <v>0.40920539999999994</v>
      </c>
      <c r="P105" s="253">
        <f t="shared" si="22"/>
        <v>1</v>
      </c>
      <c r="Q105" s="252">
        <f t="shared" si="18"/>
        <v>0.42000736730786292</v>
      </c>
      <c r="R105" s="252">
        <v>0.50920539999999992</v>
      </c>
      <c r="S105" s="252">
        <f t="shared" si="19"/>
        <v>-8.9198032692136997E-2</v>
      </c>
      <c r="T105" s="253">
        <f t="shared" si="23"/>
        <v>11</v>
      </c>
      <c r="U105" s="252">
        <f t="shared" si="21"/>
        <v>0.90909090909090906</v>
      </c>
      <c r="V105" s="290">
        <v>127001014</v>
      </c>
      <c r="W105" s="252" t="s">
        <v>500</v>
      </c>
    </row>
    <row r="106" spans="1:42" ht="14.4" x14ac:dyDescent="0.3">
      <c r="A106" s="54" t="s">
        <v>296</v>
      </c>
      <c r="B106" s="244" t="str">
        <f>_xlfn.XLOOKUP(A106,'Base de Dados'!D:D,'Base de Dados'!B:B)</f>
        <v>TIMBRO SWISS SA</v>
      </c>
      <c r="C106" s="244" t="str">
        <f>_xlfn.XLOOKUP(PRECIFICAÇÃO[[#This Row],[INVOICE]],'Base de Dados'!D:D,'Base de Dados'!X:X)</f>
        <v>CONCLUÍDO</v>
      </c>
      <c r="D106" s="54">
        <v>267869</v>
      </c>
      <c r="E106" s="244" t="s">
        <v>17</v>
      </c>
      <c r="F106" s="245">
        <v>468</v>
      </c>
      <c r="G106" s="319">
        <v>7.3999999999999996E-2</v>
      </c>
      <c r="H106" s="246">
        <v>5.5388999999999999</v>
      </c>
      <c r="I106" s="247">
        <f t="shared" si="12"/>
        <v>0.40987859999999998</v>
      </c>
      <c r="J106" s="248">
        <f t="shared" si="13"/>
        <v>191.82318479999998</v>
      </c>
      <c r="K106" s="249">
        <f>J106/_xlfn.XLOOKUP(A106,'Base de Dados'!D:D,'Base de Dados'!M:M)</f>
        <v>6.1046613735444622E-4</v>
      </c>
      <c r="L106" s="248">
        <f>K106*_xlfn.XLOOKUP(A106,'Base de Dados'!D:D,'Base de Dados'!N:N)</f>
        <v>19.611603151516743</v>
      </c>
      <c r="M106" s="250">
        <f t="shared" si="14"/>
        <v>211.43478795151671</v>
      </c>
      <c r="N106" s="251">
        <f t="shared" si="15"/>
        <v>0.45178373493913826</v>
      </c>
      <c r="O106" s="252">
        <f t="shared" si="16"/>
        <v>0.40920539999999994</v>
      </c>
      <c r="P106" s="253">
        <f t="shared" si="22"/>
        <v>1</v>
      </c>
      <c r="Q106" s="252">
        <f t="shared" si="18"/>
        <v>0.54821626506086174</v>
      </c>
      <c r="R106" s="252">
        <v>0.50920539999999992</v>
      </c>
      <c r="S106" s="252">
        <f t="shared" si="19"/>
        <v>3.9010865060861821E-2</v>
      </c>
      <c r="T106" s="253">
        <f t="shared" si="23"/>
        <v>11</v>
      </c>
      <c r="U106" s="252">
        <f t="shared" si="21"/>
        <v>0.90909090909090906</v>
      </c>
      <c r="V106" s="290">
        <v>127001014</v>
      </c>
      <c r="W106" s="252" t="s">
        <v>500</v>
      </c>
    </row>
    <row r="107" spans="1:42" ht="14.4" x14ac:dyDescent="0.3">
      <c r="A107" s="54" t="s">
        <v>296</v>
      </c>
      <c r="B107" s="244" t="str">
        <f>_xlfn.XLOOKUP(A107,'Base de Dados'!D:D,'Base de Dados'!B:B)</f>
        <v>TIMBRO SWISS SA</v>
      </c>
      <c r="C107" s="244" t="str">
        <f>_xlfn.XLOOKUP(PRECIFICAÇÃO[[#This Row],[INVOICE]],'Base de Dados'!D:D,'Base de Dados'!X:X)</f>
        <v>CONCLUÍDO</v>
      </c>
      <c r="D107" s="54">
        <v>268132</v>
      </c>
      <c r="E107" s="244" t="s">
        <v>33</v>
      </c>
      <c r="F107" s="245">
        <v>444</v>
      </c>
      <c r="G107" s="319">
        <v>0.21099999999999999</v>
      </c>
      <c r="H107" s="246">
        <v>5.5388999999999999</v>
      </c>
      <c r="I107" s="247">
        <f t="shared" si="12"/>
        <v>1.1687079</v>
      </c>
      <c r="J107" s="248">
        <f t="shared" si="13"/>
        <v>518.90630759999999</v>
      </c>
      <c r="K107" s="249">
        <f>J107/_xlfn.XLOOKUP(A107,'Base de Dados'!D:D,'Base de Dados'!M:M)</f>
        <v>1.6513891664331815E-3</v>
      </c>
      <c r="L107" s="248">
        <f>K107*_xlfn.XLOOKUP(A107,'Base de Dados'!D:D,'Base de Dados'!N:N)</f>
        <v>53.051900832949144</v>
      </c>
      <c r="M107" s="250">
        <f t="shared" si="14"/>
        <v>571.95820843294916</v>
      </c>
      <c r="N107" s="251">
        <f t="shared" si="15"/>
        <v>1.2881941631372729</v>
      </c>
      <c r="O107" s="252">
        <f t="shared" si="16"/>
        <v>0.40920539999999994</v>
      </c>
      <c r="P107" s="253">
        <f t="shared" si="22"/>
        <v>3</v>
      </c>
      <c r="Q107" s="252">
        <f t="shared" si="18"/>
        <v>0.57060194562090905</v>
      </c>
      <c r="R107" s="252">
        <v>0.50920539999999992</v>
      </c>
      <c r="S107" s="252">
        <f t="shared" si="19"/>
        <v>6.1396545620909126E-2</v>
      </c>
      <c r="T107" s="253">
        <f t="shared" si="23"/>
        <v>13</v>
      </c>
      <c r="U107" s="252">
        <f t="shared" si="21"/>
        <v>0.76923076923076927</v>
      </c>
      <c r="V107" s="290">
        <v>127001014</v>
      </c>
      <c r="W107" s="252" t="s">
        <v>500</v>
      </c>
    </row>
    <row r="108" spans="1:42" ht="14.4" x14ac:dyDescent="0.3">
      <c r="A108" s="54" t="s">
        <v>730</v>
      </c>
      <c r="B108" s="244" t="str">
        <f>_xlfn.XLOOKUP(A108,'Base de Dados'!D:D,'Base de Dados'!B:B)</f>
        <v>TIMBRO SWISS SA</v>
      </c>
      <c r="C108" s="244" t="str">
        <f>_xlfn.XLOOKUP(PRECIFICAÇÃO[[#This Row],[INVOICE]],'Base de Dados'!D:D,'Base de Dados'!X:X)</f>
        <v>CONCLUÍDO</v>
      </c>
      <c r="D108" s="54">
        <v>373488</v>
      </c>
      <c r="E108" s="244" t="s">
        <v>943</v>
      </c>
      <c r="F108" s="245">
        <v>850</v>
      </c>
      <c r="G108" s="319">
        <v>15.5</v>
      </c>
      <c r="H108" s="246">
        <v>5.2005999999999997</v>
      </c>
      <c r="I108" s="247">
        <f t="shared" si="12"/>
        <v>80.60929999999999</v>
      </c>
      <c r="J108" s="248">
        <f t="shared" si="13"/>
        <v>68517.904999999999</v>
      </c>
      <c r="K108" s="249">
        <f>J108/_xlfn.XLOOKUP(A108,'Base de Dados'!D:D,'Base de Dados'!M:M)</f>
        <v>0.31300425341566285</v>
      </c>
      <c r="L108" s="248">
        <f>K108*_xlfn.XLOOKUP(A108,'Base de Dados'!D:D,'Base de Dados'!N:N)</f>
        <v>9722.9137247014187</v>
      </c>
      <c r="M108" s="250">
        <f t="shared" si="14"/>
        <v>78240.818724701414</v>
      </c>
      <c r="N108" s="251">
        <f t="shared" si="15"/>
        <v>92.04802202906049</v>
      </c>
      <c r="O108" s="252">
        <f t="shared" si="16"/>
        <v>0.42743574600000001</v>
      </c>
      <c r="P108" s="253">
        <f t="shared" si="22"/>
        <v>215</v>
      </c>
      <c r="Q108" s="252">
        <f t="shared" si="18"/>
        <v>0.57186966498111402</v>
      </c>
      <c r="R108" s="252">
        <v>0.52743574599999998</v>
      </c>
      <c r="S108" s="252">
        <f t="shared" si="19"/>
        <v>4.443391898111404E-2</v>
      </c>
      <c r="T108" s="253">
        <f t="shared" si="23"/>
        <v>225</v>
      </c>
      <c r="U108" s="252">
        <f t="shared" si="21"/>
        <v>4.4444444444444446E-2</v>
      </c>
      <c r="V108" s="290">
        <v>107001003</v>
      </c>
      <c r="W108" s="252" t="s">
        <v>534</v>
      </c>
    </row>
    <row r="109" spans="1:42" ht="14.4" x14ac:dyDescent="0.3">
      <c r="A109" s="54" t="s">
        <v>730</v>
      </c>
      <c r="B109" s="244" t="str">
        <f>_xlfn.XLOOKUP(A109,'Base de Dados'!D:D,'Base de Dados'!B:B)</f>
        <v>TIMBRO SWISS SA</v>
      </c>
      <c r="C109" s="244" t="str">
        <f>_xlfn.XLOOKUP(PRECIFICAÇÃO[[#This Row],[INVOICE]],'Base de Dados'!D:D,'Base de Dados'!X:X)</f>
        <v>CONCLUÍDO</v>
      </c>
      <c r="D109" s="54">
        <v>373489</v>
      </c>
      <c r="E109" s="244" t="s">
        <v>944</v>
      </c>
      <c r="F109" s="245">
        <v>850</v>
      </c>
      <c r="G109" s="319">
        <v>15.5</v>
      </c>
      <c r="H109" s="246">
        <v>5.2005999999999997</v>
      </c>
      <c r="I109" s="247">
        <f t="shared" si="12"/>
        <v>80.60929999999999</v>
      </c>
      <c r="J109" s="248">
        <f t="shared" si="13"/>
        <v>68517.904999999999</v>
      </c>
      <c r="K109" s="249">
        <f>J109/_xlfn.XLOOKUP(A109,'Base de Dados'!D:D,'Base de Dados'!M:M)</f>
        <v>0.31300425341566285</v>
      </c>
      <c r="L109" s="248">
        <f>K109*_xlfn.XLOOKUP(A109,'Base de Dados'!D:D,'Base de Dados'!N:N)</f>
        <v>9722.9137247014187</v>
      </c>
      <c r="M109" s="250">
        <f t="shared" si="14"/>
        <v>78240.818724701414</v>
      </c>
      <c r="N109" s="251">
        <f t="shared" si="15"/>
        <v>92.04802202906049</v>
      </c>
      <c r="O109" s="252">
        <f t="shared" si="16"/>
        <v>0.42743574600000001</v>
      </c>
      <c r="P109" s="253">
        <f t="shared" si="22"/>
        <v>215</v>
      </c>
      <c r="Q109" s="252">
        <f t="shared" si="18"/>
        <v>0.57186966498111402</v>
      </c>
      <c r="R109" s="252">
        <v>0.52743574599999998</v>
      </c>
      <c r="S109" s="252">
        <f t="shared" si="19"/>
        <v>4.443391898111404E-2</v>
      </c>
      <c r="T109" s="253">
        <f t="shared" si="23"/>
        <v>225</v>
      </c>
      <c r="U109" s="252">
        <f t="shared" si="21"/>
        <v>4.4444444444444446E-2</v>
      </c>
      <c r="V109" s="290">
        <v>107001003</v>
      </c>
      <c r="W109" s="252" t="s">
        <v>534</v>
      </c>
    </row>
    <row r="110" spans="1:42" ht="14.4" x14ac:dyDescent="0.3">
      <c r="A110" s="54" t="s">
        <v>730</v>
      </c>
      <c r="B110" s="244" t="str">
        <f>_xlfn.XLOOKUP(A110,'Base de Dados'!D:D,'Base de Dados'!B:B)</f>
        <v>TIMBRO SWISS SA</v>
      </c>
      <c r="C110" s="244" t="str">
        <f>_xlfn.XLOOKUP(PRECIFICAÇÃO[[#This Row],[INVOICE]],'Base de Dados'!D:D,'Base de Dados'!X:X)</f>
        <v>CONCLUÍDO</v>
      </c>
      <c r="D110" s="54">
        <v>373491</v>
      </c>
      <c r="E110" s="244" t="s">
        <v>945</v>
      </c>
      <c r="F110" s="245">
        <v>432</v>
      </c>
      <c r="G110" s="319">
        <v>18.22</v>
      </c>
      <c r="H110" s="246">
        <v>5.2005999999999997</v>
      </c>
      <c r="I110" s="247">
        <f t="shared" si="12"/>
        <v>94.754931999999982</v>
      </c>
      <c r="J110" s="248">
        <f t="shared" si="13"/>
        <v>40934.13062399999</v>
      </c>
      <c r="K110" s="249">
        <f>J110/_xlfn.XLOOKUP(A110,'Base de Dados'!D:D,'Base de Dados'!M:M)</f>
        <v>0.18699574943490083</v>
      </c>
      <c r="L110" s="248">
        <f>K110*_xlfn.XLOOKUP(A110,'Base de Dados'!D:D,'Base de Dados'!N:N)</f>
        <v>5808.6863638462119</v>
      </c>
      <c r="M110" s="250">
        <f t="shared" si="14"/>
        <v>46742.816987846199</v>
      </c>
      <c r="N110" s="251">
        <f t="shared" si="15"/>
        <v>108.20096524964399</v>
      </c>
      <c r="O110" s="252">
        <f t="shared" si="16"/>
        <v>0.42743574600000001</v>
      </c>
      <c r="P110" s="253">
        <f t="shared" si="22"/>
        <v>253</v>
      </c>
      <c r="Q110" s="252">
        <f t="shared" si="18"/>
        <v>0.57232820059429257</v>
      </c>
      <c r="R110" s="252">
        <v>0.52743574599999998</v>
      </c>
      <c r="S110" s="252">
        <f t="shared" si="19"/>
        <v>4.4892454594292586E-2</v>
      </c>
      <c r="T110" s="253">
        <f t="shared" si="23"/>
        <v>263</v>
      </c>
      <c r="U110" s="252">
        <f t="shared" si="21"/>
        <v>3.8022813688212927E-2</v>
      </c>
      <c r="V110" s="290">
        <v>107001003</v>
      </c>
      <c r="W110" s="252" t="s">
        <v>534</v>
      </c>
    </row>
    <row r="111" spans="1:42" s="276" customFormat="1" ht="14.4" x14ac:dyDescent="0.3">
      <c r="A111" s="49" t="s">
        <v>730</v>
      </c>
      <c r="B111" s="277" t="str">
        <f>_xlfn.XLOOKUP(A111,'Base de Dados'!D:D,'Base de Dados'!B:B)</f>
        <v>TIMBRO SWISS SA</v>
      </c>
      <c r="C111" s="277" t="str">
        <f>_xlfn.XLOOKUP(PRECIFICAÇÃO[[#This Row],[INVOICE]],'Base de Dados'!D:D,'Base de Dados'!X:X)</f>
        <v>CONCLUÍDO</v>
      </c>
      <c r="D111" s="49">
        <v>373492</v>
      </c>
      <c r="E111" s="277" t="s">
        <v>946</v>
      </c>
      <c r="F111" s="278">
        <v>432</v>
      </c>
      <c r="G111" s="320">
        <v>18.22</v>
      </c>
      <c r="H111" s="279">
        <v>5.2005999999999997</v>
      </c>
      <c r="I111" s="280">
        <f t="shared" si="12"/>
        <v>94.754931999999982</v>
      </c>
      <c r="J111" s="281">
        <f t="shared" si="13"/>
        <v>40934.13062399999</v>
      </c>
      <c r="K111" s="282">
        <f>J111/_xlfn.XLOOKUP(A111,'Base de Dados'!D:D,'Base de Dados'!M:M)</f>
        <v>0.18699574943490083</v>
      </c>
      <c r="L111" s="281">
        <f>K111*_xlfn.XLOOKUP(A111,'Base de Dados'!D:D,'Base de Dados'!N:N)</f>
        <v>5808.6863638462119</v>
      </c>
      <c r="M111" s="283">
        <f t="shared" si="14"/>
        <v>46742.816987846199</v>
      </c>
      <c r="N111" s="284">
        <f t="shared" si="15"/>
        <v>108.20096524964399</v>
      </c>
      <c r="O111" s="285">
        <f t="shared" si="16"/>
        <v>0.42743574600000001</v>
      </c>
      <c r="P111" s="286">
        <f t="shared" si="22"/>
        <v>253</v>
      </c>
      <c r="Q111" s="285">
        <f t="shared" si="18"/>
        <v>0.57232820059429257</v>
      </c>
      <c r="R111" s="285">
        <v>0.52743574599999998</v>
      </c>
      <c r="S111" s="285">
        <f t="shared" si="19"/>
        <v>4.4892454594292586E-2</v>
      </c>
      <c r="T111" s="286">
        <f t="shared" si="23"/>
        <v>263</v>
      </c>
      <c r="U111" s="285">
        <f t="shared" si="21"/>
        <v>3.8022813688212927E-2</v>
      </c>
      <c r="V111" s="291">
        <v>107001003</v>
      </c>
      <c r="W111" s="285" t="s">
        <v>534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14.4" x14ac:dyDescent="0.3">
      <c r="A112" s="54" t="s">
        <v>306</v>
      </c>
      <c r="B112" s="244" t="str">
        <f>_xlfn.XLOOKUP(A112,'Base de Dados'!D:D,'Base de Dados'!B:B)</f>
        <v>TIMBRO SWISS SA</v>
      </c>
      <c r="C112" s="244" t="str">
        <f>_xlfn.XLOOKUP(PRECIFICAÇÃO[[#This Row],[INVOICE]],'Base de Dados'!D:D,'Base de Dados'!X:X)</f>
        <v>CONCLUÍDO</v>
      </c>
      <c r="D112" s="54">
        <v>267946</v>
      </c>
      <c r="E112" s="244" t="s">
        <v>31</v>
      </c>
      <c r="F112" s="245">
        <v>1668</v>
      </c>
      <c r="G112" s="319">
        <v>1.33</v>
      </c>
      <c r="H112" s="246">
        <v>5.1837999999999997</v>
      </c>
      <c r="I112" s="247">
        <f t="shared" si="12"/>
        <v>6.8944539999999996</v>
      </c>
      <c r="J112" s="248">
        <f t="shared" si="13"/>
        <v>11499.949272</v>
      </c>
      <c r="K112" s="249">
        <f>J112/_xlfn.XLOOKUP(A112,'Base de Dados'!D:D,'Base de Dados'!M:M)</f>
        <v>3.5184828161742496E-2</v>
      </c>
      <c r="L112" s="248">
        <f>K112*_xlfn.XLOOKUP(A112,'Base de Dados'!D:D,'Base de Dados'!N:N)</f>
        <v>950.25776506107661</v>
      </c>
      <c r="M112" s="250">
        <f t="shared" si="14"/>
        <v>12450.207037061076</v>
      </c>
      <c r="N112" s="251">
        <f t="shared" si="15"/>
        <v>7.4641528999167122</v>
      </c>
      <c r="O112" s="252">
        <f t="shared" si="16"/>
        <v>0.44510234400000004</v>
      </c>
      <c r="P112" s="253">
        <f t="shared" si="22"/>
        <v>17</v>
      </c>
      <c r="Q112" s="252">
        <f t="shared" si="18"/>
        <v>0.56093218235784048</v>
      </c>
      <c r="R112" s="252">
        <v>0.54510234400000002</v>
      </c>
      <c r="S112" s="252">
        <f t="shared" si="19"/>
        <v>1.5829838357840464E-2</v>
      </c>
      <c r="T112" s="253">
        <f t="shared" si="23"/>
        <v>27</v>
      </c>
      <c r="U112" s="252">
        <f t="shared" si="21"/>
        <v>0.37037037037037035</v>
      </c>
      <c r="V112" s="290">
        <v>127001001</v>
      </c>
      <c r="W112" s="252" t="s">
        <v>503</v>
      </c>
    </row>
    <row r="113" spans="1:42" ht="14.4" x14ac:dyDescent="0.3">
      <c r="A113" s="54" t="s">
        <v>306</v>
      </c>
      <c r="B113" s="244" t="str">
        <f>_xlfn.XLOOKUP(A113,'Base de Dados'!D:D,'Base de Dados'!B:B)</f>
        <v>TIMBRO SWISS SA</v>
      </c>
      <c r="C113" s="244" t="str">
        <f>_xlfn.XLOOKUP(PRECIFICAÇÃO[[#This Row],[INVOICE]],'Base de Dados'!D:D,'Base de Dados'!X:X)</f>
        <v>CONCLUÍDO</v>
      </c>
      <c r="D113" s="54">
        <v>267870</v>
      </c>
      <c r="E113" s="244" t="s">
        <v>18</v>
      </c>
      <c r="F113" s="245">
        <v>5016</v>
      </c>
      <c r="G113" s="319">
        <v>0.95</v>
      </c>
      <c r="H113" s="246">
        <v>5.1837999999999997</v>
      </c>
      <c r="I113" s="247">
        <f t="shared" si="12"/>
        <v>4.9246099999999995</v>
      </c>
      <c r="J113" s="248">
        <f t="shared" si="13"/>
        <v>24701.843759999996</v>
      </c>
      <c r="K113" s="249">
        <f>J113/_xlfn.XLOOKUP(A113,'Base de Dados'!D:D,'Base de Dados'!M:M)</f>
        <v>7.5576866246702776E-2</v>
      </c>
      <c r="L113" s="248">
        <f>K113*_xlfn.XLOOKUP(A113,'Base de Dados'!D:D,'Base de Dados'!N:N)</f>
        <v>2041.1497728444497</v>
      </c>
      <c r="M113" s="250">
        <f t="shared" si="14"/>
        <v>26742.993532844444</v>
      </c>
      <c r="N113" s="251">
        <f t="shared" si="15"/>
        <v>5.3315377856547936</v>
      </c>
      <c r="O113" s="252">
        <f t="shared" si="16"/>
        <v>0.40920539999999994</v>
      </c>
      <c r="P113" s="253">
        <f t="shared" si="22"/>
        <v>13</v>
      </c>
      <c r="Q113" s="252">
        <f t="shared" si="18"/>
        <v>0.58988170879578505</v>
      </c>
      <c r="R113" s="252">
        <v>0.50920539999999992</v>
      </c>
      <c r="S113" s="252">
        <f t="shared" si="19"/>
        <v>8.0676308795785134E-2</v>
      </c>
      <c r="T113" s="253">
        <f t="shared" si="23"/>
        <v>23</v>
      </c>
      <c r="U113" s="252">
        <f t="shared" si="21"/>
        <v>0.43478260869565216</v>
      </c>
      <c r="V113" s="290">
        <v>127001014</v>
      </c>
      <c r="W113" s="252" t="s">
        <v>500</v>
      </c>
    </row>
    <row r="114" spans="1:42" s="276" customFormat="1" ht="14.4" x14ac:dyDescent="0.3">
      <c r="A114" s="49" t="s">
        <v>306</v>
      </c>
      <c r="B114" s="277" t="str">
        <f>_xlfn.XLOOKUP(A114,'Base de Dados'!D:D,'Base de Dados'!B:B)</f>
        <v>TIMBRO SWISS SA</v>
      </c>
      <c r="C114" s="277" t="str">
        <f>_xlfn.XLOOKUP(PRECIFICAÇÃO[[#This Row],[INVOICE]],'Base de Dados'!D:D,'Base de Dados'!X:X)</f>
        <v>CONCLUÍDO</v>
      </c>
      <c r="D114" s="49">
        <v>267936</v>
      </c>
      <c r="E114" s="277" t="s">
        <v>21</v>
      </c>
      <c r="F114" s="278">
        <v>1512</v>
      </c>
      <c r="G114" s="320">
        <v>1.34</v>
      </c>
      <c r="H114" s="279">
        <v>5.1837999999999997</v>
      </c>
      <c r="I114" s="280">
        <f t="shared" si="12"/>
        <v>6.9462919999999997</v>
      </c>
      <c r="J114" s="281">
        <f t="shared" si="13"/>
        <v>10502.793503999999</v>
      </c>
      <c r="K114" s="282">
        <f>J114/_xlfn.XLOOKUP(A114,'Base de Dados'!D:D,'Base de Dados'!M:M)</f>
        <v>3.2133966499857211E-2</v>
      </c>
      <c r="L114" s="281">
        <f>K114*_xlfn.XLOOKUP(A114,'Base de Dados'!D:D,'Base de Dados'!N:N)</f>
        <v>867.86131364154357</v>
      </c>
      <c r="M114" s="283">
        <f t="shared" si="14"/>
        <v>11370.654817641544</v>
      </c>
      <c r="N114" s="284">
        <f t="shared" si="15"/>
        <v>7.5202743502920262</v>
      </c>
      <c r="O114" s="285">
        <f t="shared" si="16"/>
        <v>0.40920539999999994</v>
      </c>
      <c r="P114" s="286">
        <f t="shared" si="22"/>
        <v>18</v>
      </c>
      <c r="Q114" s="285">
        <f t="shared" si="18"/>
        <v>0.58220698053933184</v>
      </c>
      <c r="R114" s="285">
        <v>0.50920539999999992</v>
      </c>
      <c r="S114" s="285">
        <f t="shared" si="19"/>
        <v>7.3001580539331923E-2</v>
      </c>
      <c r="T114" s="286">
        <f t="shared" si="23"/>
        <v>28</v>
      </c>
      <c r="U114" s="285">
        <f t="shared" si="21"/>
        <v>0.35714285714285715</v>
      </c>
      <c r="V114" s="291">
        <v>127001014</v>
      </c>
      <c r="W114" s="285" t="s">
        <v>500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14.4" x14ac:dyDescent="0.3">
      <c r="A115" s="54" t="s">
        <v>306</v>
      </c>
      <c r="B115" s="244" t="str">
        <f>_xlfn.XLOOKUP(A115,'Base de Dados'!D:D,'Base de Dados'!B:B)</f>
        <v>TIMBRO SWISS SA</v>
      </c>
      <c r="C115" s="244" t="str">
        <f>_xlfn.XLOOKUP(PRECIFICAÇÃO[[#This Row],[INVOICE]],'Base de Dados'!D:D,'Base de Dados'!X:X)</f>
        <v>CONCLUÍDO</v>
      </c>
      <c r="D115" s="54">
        <v>268133</v>
      </c>
      <c r="E115" s="244" t="s">
        <v>34</v>
      </c>
      <c r="F115" s="245">
        <v>3504</v>
      </c>
      <c r="G115" s="319">
        <v>1.28</v>
      </c>
      <c r="H115" s="246">
        <v>5.1837999999999997</v>
      </c>
      <c r="I115" s="247">
        <f t="shared" si="12"/>
        <v>6.6352639999999994</v>
      </c>
      <c r="J115" s="248">
        <f t="shared" si="13"/>
        <v>23249.965055999997</v>
      </c>
      <c r="K115" s="249">
        <f>J115/_xlfn.XLOOKUP(A115,'Base de Dados'!D:D,'Base de Dados'!M:M)</f>
        <v>7.1134750763957769E-2</v>
      </c>
      <c r="L115" s="248">
        <f>K115*_xlfn.XLOOKUP(A115,'Base de Dados'!D:D,'Base de Dados'!N:N)</f>
        <v>1921.1788947326656</v>
      </c>
      <c r="M115" s="250">
        <f t="shared" si="14"/>
        <v>25171.143950732661</v>
      </c>
      <c r="N115" s="251">
        <f t="shared" si="15"/>
        <v>7.183545648040143</v>
      </c>
      <c r="O115" s="252">
        <f t="shared" si="16"/>
        <v>0.40920539999999994</v>
      </c>
      <c r="P115" s="253">
        <f t="shared" si="22"/>
        <v>18</v>
      </c>
      <c r="Q115" s="252">
        <f t="shared" si="18"/>
        <v>0.60091413066443655</v>
      </c>
      <c r="R115" s="252">
        <v>0.50920539999999992</v>
      </c>
      <c r="S115" s="252">
        <f t="shared" si="19"/>
        <v>9.1708730664436633E-2</v>
      </c>
      <c r="T115" s="253">
        <f t="shared" si="23"/>
        <v>28</v>
      </c>
      <c r="U115" s="252">
        <f t="shared" si="21"/>
        <v>0.35714285714285715</v>
      </c>
      <c r="V115" s="290">
        <v>127001014</v>
      </c>
      <c r="W115" s="252" t="s">
        <v>500</v>
      </c>
    </row>
    <row r="116" spans="1:42" s="276" customFormat="1" ht="14.4" x14ac:dyDescent="0.3">
      <c r="A116" s="49" t="s">
        <v>306</v>
      </c>
      <c r="B116" s="277" t="str">
        <f>_xlfn.XLOOKUP(A116,'Base de Dados'!D:D,'Base de Dados'!B:B)</f>
        <v>TIMBRO SWISS SA</v>
      </c>
      <c r="C116" s="277" t="str">
        <f>_xlfn.XLOOKUP(PRECIFICAÇÃO[[#This Row],[INVOICE]],'Base de Dados'!D:D,'Base de Dados'!X:X)</f>
        <v>CONCLUÍDO</v>
      </c>
      <c r="D116" s="49">
        <v>267945</v>
      </c>
      <c r="E116" s="277" t="s">
        <v>30</v>
      </c>
      <c r="F116" s="278">
        <v>3480</v>
      </c>
      <c r="G116" s="320">
        <v>3.01</v>
      </c>
      <c r="H116" s="279">
        <v>5.1837999999999997</v>
      </c>
      <c r="I116" s="280">
        <f t="shared" si="12"/>
        <v>15.603237999999997</v>
      </c>
      <c r="J116" s="281">
        <f t="shared" si="13"/>
        <v>54299.26823999999</v>
      </c>
      <c r="K116" s="282">
        <f>J116/_xlfn.XLOOKUP(A116,'Base de Dados'!D:D,'Base de Dados'!M:M)</f>
        <v>0.16613207390266144</v>
      </c>
      <c r="L116" s="281">
        <f>K116*_xlfn.XLOOKUP(A116,'Base de Dados'!D:D,'Base de Dados'!N:N)</f>
        <v>4486.8285991335188</v>
      </c>
      <c r="M116" s="283">
        <f t="shared" si="14"/>
        <v>58786.096839133512</v>
      </c>
      <c r="N116" s="284">
        <f t="shared" si="15"/>
        <v>16.8925565629694</v>
      </c>
      <c r="O116" s="285">
        <f t="shared" si="16"/>
        <v>0.42527551200000002</v>
      </c>
      <c r="P116" s="286">
        <f t="shared" si="22"/>
        <v>40</v>
      </c>
      <c r="Q116" s="285">
        <f t="shared" si="18"/>
        <v>0.57768608592576498</v>
      </c>
      <c r="R116" s="285">
        <v>0.525275512</v>
      </c>
      <c r="S116" s="285">
        <f t="shared" si="19"/>
        <v>5.2410573925764981E-2</v>
      </c>
      <c r="T116" s="286">
        <f t="shared" si="23"/>
        <v>50</v>
      </c>
      <c r="U116" s="285">
        <f t="shared" si="21"/>
        <v>0.2</v>
      </c>
      <c r="V116" s="291">
        <v>127001002</v>
      </c>
      <c r="W116" s="285" t="s">
        <v>501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14.4" x14ac:dyDescent="0.3">
      <c r="A117" s="54" t="s">
        <v>306</v>
      </c>
      <c r="B117" s="244" t="str">
        <f>_xlfn.XLOOKUP(A117,'Base de Dados'!D:D,'Base de Dados'!B:B)</f>
        <v>TIMBRO SWISS SA</v>
      </c>
      <c r="C117" s="244" t="str">
        <f>_xlfn.XLOOKUP(PRECIFICAÇÃO[[#This Row],[INVOICE]],'Base de Dados'!D:D,'Base de Dados'!X:X)</f>
        <v>CONCLUÍDO</v>
      </c>
      <c r="D117" s="54">
        <v>367983</v>
      </c>
      <c r="E117" s="244" t="s">
        <v>36</v>
      </c>
      <c r="F117" s="245">
        <v>2000</v>
      </c>
      <c r="G117" s="319">
        <v>3.57</v>
      </c>
      <c r="H117" s="246">
        <v>5.1837999999999997</v>
      </c>
      <c r="I117" s="247">
        <f t="shared" si="12"/>
        <v>18.506165999999997</v>
      </c>
      <c r="J117" s="248">
        <f t="shared" si="13"/>
        <v>37012.331999999995</v>
      </c>
      <c r="K117" s="249">
        <f>J117/_xlfn.XLOOKUP(A117,'Base de Dados'!D:D,'Base de Dados'!M:M)</f>
        <v>0.11324159006997772</v>
      </c>
      <c r="L117" s="248">
        <f>K117*_xlfn.XLOOKUP(A117,'Base de Dados'!D:D,'Base de Dados'!N:N)</f>
        <v>3058.38356797393</v>
      </c>
      <c r="M117" s="250">
        <f t="shared" si="14"/>
        <v>40070.715567973923</v>
      </c>
      <c r="N117" s="251">
        <f t="shared" si="15"/>
        <v>20.03535778398696</v>
      </c>
      <c r="O117" s="252">
        <f t="shared" si="16"/>
        <v>0.42527551200000002</v>
      </c>
      <c r="P117" s="253">
        <f t="shared" si="22"/>
        <v>47</v>
      </c>
      <c r="Q117" s="252">
        <f t="shared" si="18"/>
        <v>0.57371579183006471</v>
      </c>
      <c r="R117" s="252">
        <v>0.525275512</v>
      </c>
      <c r="S117" s="252">
        <f t="shared" si="19"/>
        <v>4.8440279830064714E-2</v>
      </c>
      <c r="T117" s="253">
        <f t="shared" si="23"/>
        <v>57</v>
      </c>
      <c r="U117" s="252">
        <f t="shared" si="21"/>
        <v>0.17543859649122806</v>
      </c>
      <c r="V117" s="290">
        <v>127001002</v>
      </c>
      <c r="W117" s="252" t="s">
        <v>501</v>
      </c>
    </row>
    <row r="118" spans="1:42" ht="14.4" x14ac:dyDescent="0.3">
      <c r="A118" s="54" t="s">
        <v>306</v>
      </c>
      <c r="B118" s="244" t="str">
        <f>_xlfn.XLOOKUP(A118,'Base de Dados'!D:D,'Base de Dados'!B:B)</f>
        <v>TIMBRO SWISS SA</v>
      </c>
      <c r="C118" s="244" t="str">
        <f>_xlfn.XLOOKUP(PRECIFICAÇÃO[[#This Row],[INVOICE]],'Base de Dados'!D:D,'Base de Dados'!X:X)</f>
        <v>CONCLUÍDO</v>
      </c>
      <c r="D118" s="54">
        <v>367984</v>
      </c>
      <c r="E118" s="244" t="s">
        <v>942</v>
      </c>
      <c r="F118" s="245">
        <v>2000</v>
      </c>
      <c r="G118" s="319">
        <v>2.93</v>
      </c>
      <c r="H118" s="246">
        <v>5.1837999999999997</v>
      </c>
      <c r="I118" s="247">
        <f t="shared" si="12"/>
        <v>15.188534000000001</v>
      </c>
      <c r="J118" s="248">
        <f t="shared" si="13"/>
        <v>30377.068000000003</v>
      </c>
      <c r="K118" s="249">
        <f>J118/_xlfn.XLOOKUP(A118,'Base de Dados'!D:D,'Base de Dados'!M:M)</f>
        <v>9.2940576724099389E-2</v>
      </c>
      <c r="L118" s="248">
        <f>K118*_xlfn.XLOOKUP(A118,'Base de Dados'!D:D,'Base de Dados'!N:N)</f>
        <v>2510.1019199337866</v>
      </c>
      <c r="M118" s="250">
        <f t="shared" si="14"/>
        <v>32887.169919933789</v>
      </c>
      <c r="N118" s="251">
        <f t="shared" si="15"/>
        <v>16.443584959966895</v>
      </c>
      <c r="O118" s="252">
        <f t="shared" si="16"/>
        <v>0.42527551200000002</v>
      </c>
      <c r="P118" s="253">
        <f t="shared" si="22"/>
        <v>39</v>
      </c>
      <c r="Q118" s="252">
        <f t="shared" si="18"/>
        <v>0.57836961641110529</v>
      </c>
      <c r="R118" s="252">
        <v>0.525275512</v>
      </c>
      <c r="S118" s="252">
        <f t="shared" si="19"/>
        <v>5.3094104411105292E-2</v>
      </c>
      <c r="T118" s="253">
        <f t="shared" si="23"/>
        <v>49</v>
      </c>
      <c r="U118" s="252">
        <f t="shared" si="21"/>
        <v>0.20408163265306123</v>
      </c>
      <c r="V118" s="290">
        <v>127001002</v>
      </c>
      <c r="W118" s="252" t="s">
        <v>501</v>
      </c>
    </row>
    <row r="119" spans="1:42" ht="14.4" x14ac:dyDescent="0.3">
      <c r="A119" s="54" t="s">
        <v>306</v>
      </c>
      <c r="B119" s="244" t="str">
        <f>_xlfn.XLOOKUP(A119,'Base de Dados'!D:D,'Base de Dados'!B:B)</f>
        <v>TIMBRO SWISS SA</v>
      </c>
      <c r="C119" s="244" t="str">
        <f>_xlfn.XLOOKUP(PRECIFICAÇÃO[[#This Row],[INVOICE]],'Base de Dados'!D:D,'Base de Dados'!X:X)</f>
        <v>CONCLUÍDO</v>
      </c>
      <c r="D119" s="54">
        <v>269686</v>
      </c>
      <c r="E119" s="244" t="s">
        <v>35</v>
      </c>
      <c r="F119" s="245">
        <v>24</v>
      </c>
      <c r="G119" s="319">
        <v>1.73</v>
      </c>
      <c r="H119" s="246">
        <v>5.1837999999999997</v>
      </c>
      <c r="I119" s="247">
        <f t="shared" si="12"/>
        <v>8.9679739999999999</v>
      </c>
      <c r="J119" s="248">
        <f t="shared" si="13"/>
        <v>215.23137600000001</v>
      </c>
      <c r="K119" s="249">
        <f>J119/_xlfn.XLOOKUP(A119,'Base de Dados'!D:D,'Base de Dados'!M:M)</f>
        <v>6.5851412040692934E-4</v>
      </c>
      <c r="L119" s="248">
        <f>K119*_xlfn.XLOOKUP(A119,'Base de Dados'!D:D,'Base de Dados'!N:N)</f>
        <v>17.784885958302183</v>
      </c>
      <c r="M119" s="250">
        <f t="shared" si="14"/>
        <v>233.01626195830221</v>
      </c>
      <c r="N119" s="251">
        <f t="shared" si="15"/>
        <v>9.7090109149292587</v>
      </c>
      <c r="O119" s="252">
        <f t="shared" si="16"/>
        <v>0.40920539999999994</v>
      </c>
      <c r="P119" s="253">
        <f t="shared" si="22"/>
        <v>24</v>
      </c>
      <c r="Q119" s="252">
        <f t="shared" si="18"/>
        <v>0.59545787854461418</v>
      </c>
      <c r="R119" s="252">
        <v>0.50920539999999992</v>
      </c>
      <c r="S119" s="252">
        <f t="shared" si="19"/>
        <v>8.6252478544614264E-2</v>
      </c>
      <c r="T119" s="253">
        <f t="shared" si="23"/>
        <v>34</v>
      </c>
      <c r="U119" s="252">
        <f t="shared" si="21"/>
        <v>0.29411764705882354</v>
      </c>
      <c r="V119" s="290">
        <v>127001014</v>
      </c>
      <c r="W119" s="252" t="s">
        <v>500</v>
      </c>
    </row>
    <row r="120" spans="1:42" ht="14.4" x14ac:dyDescent="0.3">
      <c r="A120" s="54" t="s">
        <v>306</v>
      </c>
      <c r="B120" s="244" t="str">
        <f>_xlfn.XLOOKUP(A120,'Base de Dados'!D:D,'Base de Dados'!B:B)</f>
        <v>TIMBRO SWISS SA</v>
      </c>
      <c r="C120" s="244" t="str">
        <f>_xlfn.XLOOKUP(PRECIFICAÇÃO[[#This Row],[INVOICE]],'Base de Dados'!D:D,'Base de Dados'!X:X)</f>
        <v>CONCLUÍDO</v>
      </c>
      <c r="D120" s="54">
        <v>267869</v>
      </c>
      <c r="E120" s="244" t="s">
        <v>17</v>
      </c>
      <c r="F120" s="245">
        <v>2520</v>
      </c>
      <c r="G120" s="319">
        <v>0.74</v>
      </c>
      <c r="H120" s="246">
        <v>5.1837999999999997</v>
      </c>
      <c r="I120" s="247">
        <f t="shared" si="12"/>
        <v>3.8360119999999998</v>
      </c>
      <c r="J120" s="248">
        <f t="shared" si="13"/>
        <v>9666.7502399999994</v>
      </c>
      <c r="K120" s="249">
        <f>J120/_xlfn.XLOOKUP(A120,'Base de Dados'!D:D,'Base de Dados'!M:M)</f>
        <v>2.9576038818276536E-2</v>
      </c>
      <c r="L120" s="248">
        <f>K120*_xlfn.XLOOKUP(A120,'Base de Dados'!D:D,'Base de Dados'!N:N)</f>
        <v>798.77782598848535</v>
      </c>
      <c r="M120" s="250">
        <f t="shared" si="14"/>
        <v>10465.528065988485</v>
      </c>
      <c r="N120" s="251">
        <f t="shared" si="15"/>
        <v>4.1529873277732081</v>
      </c>
      <c r="O120" s="252">
        <f t="shared" si="16"/>
        <v>0.40920539999999994</v>
      </c>
      <c r="P120" s="253">
        <f t="shared" si="22"/>
        <v>10</v>
      </c>
      <c r="Q120" s="252">
        <f t="shared" si="18"/>
        <v>0.58470126722267923</v>
      </c>
      <c r="R120" s="252">
        <v>0.50920539999999992</v>
      </c>
      <c r="S120" s="252">
        <f t="shared" si="19"/>
        <v>7.5495867222679314E-2</v>
      </c>
      <c r="T120" s="253">
        <f t="shared" si="23"/>
        <v>20</v>
      </c>
      <c r="U120" s="252">
        <f t="shared" si="21"/>
        <v>0.5</v>
      </c>
      <c r="V120" s="290">
        <v>127001014</v>
      </c>
      <c r="W120" s="252" t="s">
        <v>500</v>
      </c>
    </row>
    <row r="121" spans="1:42" ht="14.4" x14ac:dyDescent="0.3">
      <c r="A121" s="54" t="s">
        <v>306</v>
      </c>
      <c r="B121" s="244" t="str">
        <f>_xlfn.XLOOKUP(A121,'Base de Dados'!D:D,'Base de Dados'!B:B)</f>
        <v>TIMBRO SWISS SA</v>
      </c>
      <c r="C121" s="244" t="str">
        <f>_xlfn.XLOOKUP(PRECIFICAÇÃO[[#This Row],[INVOICE]],'Base de Dados'!D:D,'Base de Dados'!X:X)</f>
        <v>CONCLUÍDO</v>
      </c>
      <c r="D121" s="54">
        <v>267937</v>
      </c>
      <c r="E121" s="244" t="s">
        <v>22</v>
      </c>
      <c r="F121" s="245">
        <v>1512</v>
      </c>
      <c r="G121" s="319">
        <v>1.79</v>
      </c>
      <c r="H121" s="246">
        <v>5.1837999999999997</v>
      </c>
      <c r="I121" s="247">
        <f t="shared" si="12"/>
        <v>9.2790020000000002</v>
      </c>
      <c r="J121" s="248">
        <f t="shared" si="13"/>
        <v>14029.851024</v>
      </c>
      <c r="K121" s="249">
        <f>J121/_xlfn.XLOOKUP(A121,'Base de Dados'!D:D,'Base de Dados'!M:M)</f>
        <v>4.2925223906525679E-2</v>
      </c>
      <c r="L121" s="248">
        <f>K121*_xlfn.XLOOKUP(A121,'Base de Dados'!D:D,'Base de Dados'!N:N)</f>
        <v>1159.307277177883</v>
      </c>
      <c r="M121" s="250">
        <f t="shared" si="14"/>
        <v>15189.158301177882</v>
      </c>
      <c r="N121" s="251">
        <f t="shared" si="15"/>
        <v>10.045739617181139</v>
      </c>
      <c r="O121" s="252">
        <f t="shared" si="16"/>
        <v>0.40920539999999994</v>
      </c>
      <c r="P121" s="253">
        <f t="shared" si="22"/>
        <v>25</v>
      </c>
      <c r="Q121" s="252">
        <f t="shared" si="18"/>
        <v>0.59817041531275439</v>
      </c>
      <c r="R121" s="252">
        <v>0.50920539999999992</v>
      </c>
      <c r="S121" s="252">
        <f t="shared" si="19"/>
        <v>8.896501531275447E-2</v>
      </c>
      <c r="T121" s="253">
        <f t="shared" si="23"/>
        <v>35</v>
      </c>
      <c r="U121" s="252">
        <f t="shared" si="21"/>
        <v>0.2857142857142857</v>
      </c>
      <c r="V121" s="290">
        <v>127001014</v>
      </c>
      <c r="W121" s="252" t="s">
        <v>500</v>
      </c>
    </row>
    <row r="122" spans="1:42" ht="14.4" x14ac:dyDescent="0.3">
      <c r="A122" s="54" t="s">
        <v>306</v>
      </c>
      <c r="B122" s="244" t="str">
        <f>_xlfn.XLOOKUP(A122,'Base de Dados'!D:D,'Base de Dados'!B:B)</f>
        <v>TIMBRO SWISS SA</v>
      </c>
      <c r="C122" s="244" t="str">
        <f>_xlfn.XLOOKUP(PRECIFICAÇÃO[[#This Row],[INVOICE]],'Base de Dados'!D:D,'Base de Dados'!X:X)</f>
        <v>CONCLUÍDO</v>
      </c>
      <c r="D122" s="54">
        <v>268132</v>
      </c>
      <c r="E122" s="244" t="s">
        <v>33</v>
      </c>
      <c r="F122" s="245">
        <v>1500</v>
      </c>
      <c r="G122" s="319">
        <v>2.11</v>
      </c>
      <c r="H122" s="246">
        <v>5.1837999999999997</v>
      </c>
      <c r="I122" s="247">
        <f t="shared" si="12"/>
        <v>10.937817999999998</v>
      </c>
      <c r="J122" s="248">
        <f t="shared" si="13"/>
        <v>16406.726999999999</v>
      </c>
      <c r="K122" s="249">
        <f>J122/_xlfn.XLOOKUP(A122,'Base de Dados'!D:D,'Base de Dados'!M:M)</f>
        <v>5.0197427531019537E-2</v>
      </c>
      <c r="L122" s="248">
        <f>K122*_xlfn.XLOOKUP(A122,'Base de Dados'!D:D,'Base de Dados'!N:N)</f>
        <v>1355.7120437867632</v>
      </c>
      <c r="M122" s="250">
        <f t="shared" si="14"/>
        <v>17762.439043786762</v>
      </c>
      <c r="N122" s="251">
        <f t="shared" si="15"/>
        <v>11.841626029191175</v>
      </c>
      <c r="O122" s="252">
        <f t="shared" si="16"/>
        <v>0.40920539999999994</v>
      </c>
      <c r="P122" s="253">
        <f t="shared" si="22"/>
        <v>29</v>
      </c>
      <c r="Q122" s="252">
        <f t="shared" si="18"/>
        <v>0.59166806795892501</v>
      </c>
      <c r="R122" s="252">
        <v>0.50920539999999992</v>
      </c>
      <c r="S122" s="252">
        <f t="shared" si="19"/>
        <v>8.2462667958925095E-2</v>
      </c>
      <c r="T122" s="253">
        <f t="shared" si="23"/>
        <v>39</v>
      </c>
      <c r="U122" s="252">
        <f t="shared" si="21"/>
        <v>0.25641025641025639</v>
      </c>
      <c r="V122" s="290">
        <v>127001014</v>
      </c>
      <c r="W122" s="252" t="s">
        <v>500</v>
      </c>
    </row>
    <row r="123" spans="1:42" ht="14.4" x14ac:dyDescent="0.3">
      <c r="A123" s="54" t="s">
        <v>306</v>
      </c>
      <c r="B123" s="244" t="str">
        <f>_xlfn.XLOOKUP(A123,'Base de Dados'!D:D,'Base de Dados'!B:B)</f>
        <v>TIMBRO SWISS SA</v>
      </c>
      <c r="C123" s="244" t="str">
        <f>_xlfn.XLOOKUP(PRECIFICAÇÃO[[#This Row],[INVOICE]],'Base de Dados'!D:D,'Base de Dados'!X:X)</f>
        <v>CONCLUÍDO</v>
      </c>
      <c r="D123" s="54">
        <v>269686</v>
      </c>
      <c r="E123" s="244" t="s">
        <v>35</v>
      </c>
      <c r="F123" s="245">
        <v>3000</v>
      </c>
      <c r="G123" s="319">
        <v>1.73</v>
      </c>
      <c r="H123" s="246">
        <v>5.1837999999999997</v>
      </c>
      <c r="I123" s="247">
        <f t="shared" si="12"/>
        <v>8.9679739999999999</v>
      </c>
      <c r="J123" s="248">
        <f t="shared" si="13"/>
        <v>26903.921999999999</v>
      </c>
      <c r="K123" s="249">
        <f>J123/_xlfn.XLOOKUP(A123,'Base de Dados'!D:D,'Base de Dados'!M:M)</f>
        <v>8.231426505086617E-2</v>
      </c>
      <c r="L123" s="248">
        <f>K123*_xlfn.XLOOKUP(A123,'Base de Dados'!D:D,'Base de Dados'!N:N)</f>
        <v>2223.110744787773</v>
      </c>
      <c r="M123" s="250">
        <f t="shared" si="14"/>
        <v>29127.032744787772</v>
      </c>
      <c r="N123" s="251">
        <f t="shared" si="15"/>
        <v>9.7090109149292569</v>
      </c>
      <c r="O123" s="252">
        <f t="shared" si="16"/>
        <v>0.40920539999999994</v>
      </c>
      <c r="P123" s="253">
        <f t="shared" si="22"/>
        <v>24</v>
      </c>
      <c r="Q123" s="252">
        <f t="shared" si="18"/>
        <v>0.59545787854461429</v>
      </c>
      <c r="R123" s="252">
        <v>0.50920539999999992</v>
      </c>
      <c r="S123" s="252">
        <f t="shared" si="19"/>
        <v>8.6252478544614375E-2</v>
      </c>
      <c r="T123" s="253">
        <f t="shared" si="23"/>
        <v>34</v>
      </c>
      <c r="U123" s="252">
        <f t="shared" si="21"/>
        <v>0.29411764705882354</v>
      </c>
      <c r="V123" s="290">
        <v>127001014</v>
      </c>
      <c r="W123" s="252" t="s">
        <v>500</v>
      </c>
    </row>
    <row r="124" spans="1:42" ht="14.4" x14ac:dyDescent="0.3">
      <c r="A124" s="54" t="s">
        <v>306</v>
      </c>
      <c r="B124" s="244" t="str">
        <f>_xlfn.XLOOKUP(A124,'Base de Dados'!D:D,'Base de Dados'!B:B)</f>
        <v>TIMBRO SWISS SA</v>
      </c>
      <c r="C124" s="244" t="str">
        <f>_xlfn.XLOOKUP(PRECIFICAÇÃO[[#This Row],[INVOICE]],'Base de Dados'!D:D,'Base de Dados'!X:X)</f>
        <v>CONCLUÍDO</v>
      </c>
      <c r="D124" s="54">
        <v>367985</v>
      </c>
      <c r="E124" s="244" t="s">
        <v>38</v>
      </c>
      <c r="F124" s="245">
        <v>2000</v>
      </c>
      <c r="G124" s="319">
        <v>1.28</v>
      </c>
      <c r="H124" s="246">
        <v>5.1837999999999997</v>
      </c>
      <c r="I124" s="247">
        <f t="shared" si="12"/>
        <v>6.6352639999999994</v>
      </c>
      <c r="J124" s="248">
        <f t="shared" si="13"/>
        <v>13270.527999999998</v>
      </c>
      <c r="K124" s="249">
        <f>J124/_xlfn.XLOOKUP(A124,'Base de Dados'!D:D,'Base de Dados'!M:M)</f>
        <v>4.0602026691756721E-2</v>
      </c>
      <c r="L124" s="248">
        <f>K124*_xlfn.XLOOKUP(A124,'Base de Dados'!D:D,'Base de Dados'!N:N)</f>
        <v>1096.5632960802889</v>
      </c>
      <c r="M124" s="250">
        <f t="shared" si="14"/>
        <v>14367.091296080287</v>
      </c>
      <c r="N124" s="251">
        <f t="shared" si="15"/>
        <v>7.1835456480401438</v>
      </c>
      <c r="O124" s="252">
        <f t="shared" si="16"/>
        <v>0.45721011100000009</v>
      </c>
      <c r="P124" s="253">
        <f t="shared" si="22"/>
        <v>16</v>
      </c>
      <c r="Q124" s="252">
        <f t="shared" si="18"/>
        <v>0.55102839699749095</v>
      </c>
      <c r="R124" s="252">
        <v>0.55721011100000006</v>
      </c>
      <c r="S124" s="252">
        <f t="shared" si="19"/>
        <v>-6.1817140025091089E-3</v>
      </c>
      <c r="T124" s="253">
        <f t="shared" si="23"/>
        <v>26</v>
      </c>
      <c r="U124" s="252">
        <f t="shared" si="21"/>
        <v>0.38461538461538464</v>
      </c>
      <c r="V124" s="290">
        <v>127001027</v>
      </c>
      <c r="W124" s="252" t="s">
        <v>504</v>
      </c>
    </row>
    <row r="125" spans="1:42" ht="14.4" x14ac:dyDescent="0.3">
      <c r="A125" s="54" t="s">
        <v>306</v>
      </c>
      <c r="B125" s="244" t="str">
        <f>_xlfn.XLOOKUP(A125,'Base de Dados'!D:D,'Base de Dados'!B:B)</f>
        <v>TIMBRO SWISS SA</v>
      </c>
      <c r="C125" s="244" t="str">
        <f>_xlfn.XLOOKUP(PRECIFICAÇÃO[[#This Row],[INVOICE]],'Base de Dados'!D:D,'Base de Dados'!X:X)</f>
        <v>CONCLUÍDO</v>
      </c>
      <c r="D125" s="54">
        <v>367986</v>
      </c>
      <c r="E125" s="244" t="s">
        <v>39</v>
      </c>
      <c r="F125" s="245">
        <v>2000</v>
      </c>
      <c r="G125" s="319">
        <v>2.2400000000000002</v>
      </c>
      <c r="H125" s="246">
        <v>5.1837999999999997</v>
      </c>
      <c r="I125" s="247">
        <f t="shared" si="12"/>
        <v>11.611712000000001</v>
      </c>
      <c r="J125" s="248">
        <f t="shared" si="13"/>
        <v>23223.424000000003</v>
      </c>
      <c r="K125" s="249">
        <f>J125/_xlfn.XLOOKUP(A125,'Base de Dados'!D:D,'Base de Dados'!M:M)</f>
        <v>7.1053546710574275E-2</v>
      </c>
      <c r="L125" s="248">
        <f>K125*_xlfn.XLOOKUP(A125,'Base de Dados'!D:D,'Base de Dados'!N:N)</f>
        <v>1918.9857681405058</v>
      </c>
      <c r="M125" s="250">
        <f t="shared" si="14"/>
        <v>25142.409768140507</v>
      </c>
      <c r="N125" s="251">
        <f t="shared" si="15"/>
        <v>12.571204884070253</v>
      </c>
      <c r="O125" s="252">
        <f t="shared" si="16"/>
        <v>0.45721011100000009</v>
      </c>
      <c r="P125" s="253">
        <f t="shared" si="22"/>
        <v>27</v>
      </c>
      <c r="Q125" s="252">
        <f t="shared" si="18"/>
        <v>0.53439981910850909</v>
      </c>
      <c r="R125" s="252">
        <v>0.55721011100000006</v>
      </c>
      <c r="S125" s="252">
        <f t="shared" si="19"/>
        <v>-2.2810291891490975E-2</v>
      </c>
      <c r="T125" s="253">
        <f t="shared" si="23"/>
        <v>37</v>
      </c>
      <c r="U125" s="252">
        <f t="shared" si="21"/>
        <v>0.27027027027027029</v>
      </c>
      <c r="V125" s="290">
        <v>127001027</v>
      </c>
      <c r="W125" s="252" t="s">
        <v>504</v>
      </c>
    </row>
    <row r="126" spans="1:42" ht="14.4" x14ac:dyDescent="0.3">
      <c r="A126" s="54" t="s">
        <v>306</v>
      </c>
      <c r="B126" s="244" t="str">
        <f>_xlfn.XLOOKUP(A126,'Base de Dados'!D:D,'Base de Dados'!B:B)</f>
        <v>TIMBRO SWISS SA</v>
      </c>
      <c r="C126" s="244" t="str">
        <f>_xlfn.XLOOKUP(PRECIFICAÇÃO[[#This Row],[INVOICE]],'Base de Dados'!D:D,'Base de Dados'!X:X)</f>
        <v>CONCLUÍDO</v>
      </c>
      <c r="D126" s="54">
        <v>367987</v>
      </c>
      <c r="E126" s="244" t="s">
        <v>40</v>
      </c>
      <c r="F126" s="245">
        <v>2080</v>
      </c>
      <c r="G126" s="319">
        <v>2.92</v>
      </c>
      <c r="H126" s="246">
        <v>5.1837999999999997</v>
      </c>
      <c r="I126" s="247">
        <f t="shared" si="12"/>
        <v>15.136695999999999</v>
      </c>
      <c r="J126" s="248">
        <f t="shared" si="13"/>
        <v>31484.327679999999</v>
      </c>
      <c r="K126" s="249">
        <f>J126/_xlfn.XLOOKUP(A126,'Base de Dados'!D:D,'Base de Dados'!M:M)</f>
        <v>9.6328308326192824E-2</v>
      </c>
      <c r="L126" s="248">
        <f>K126*_xlfn.XLOOKUP(A126,'Base de Dados'!D:D,'Base de Dados'!N:N)</f>
        <v>2601.5964199504851</v>
      </c>
      <c r="M126" s="250">
        <f t="shared" si="14"/>
        <v>34085.924099950484</v>
      </c>
      <c r="N126" s="251">
        <f t="shared" si="15"/>
        <v>16.38746350959158</v>
      </c>
      <c r="O126" s="252">
        <f t="shared" si="16"/>
        <v>0.45721011100000009</v>
      </c>
      <c r="P126" s="253">
        <f t="shared" si="22"/>
        <v>36</v>
      </c>
      <c r="Q126" s="252">
        <f t="shared" si="18"/>
        <v>0.54479268028912275</v>
      </c>
      <c r="R126" s="252">
        <v>0.55721011100000006</v>
      </c>
      <c r="S126" s="252">
        <f t="shared" si="19"/>
        <v>-1.2417430710877309E-2</v>
      </c>
      <c r="T126" s="253">
        <f t="shared" si="23"/>
        <v>46</v>
      </c>
      <c r="U126" s="252">
        <f t="shared" si="21"/>
        <v>0.21739130434782608</v>
      </c>
      <c r="V126" s="290">
        <v>127001027</v>
      </c>
      <c r="W126" s="252" t="s">
        <v>504</v>
      </c>
    </row>
    <row r="127" spans="1:42" ht="14.4" x14ac:dyDescent="0.3">
      <c r="A127" s="54" t="s">
        <v>314</v>
      </c>
      <c r="B127" s="244" t="str">
        <f>_xlfn.XLOOKUP(A127,'Base de Dados'!D:D,'Base de Dados'!B:B)</f>
        <v>TIMBRO SWISS SA</v>
      </c>
      <c r="C127" s="244" t="str">
        <f>_xlfn.XLOOKUP(PRECIFICAÇÃO[[#This Row],[INVOICE]],'Base de Dados'!D:D,'Base de Dados'!X:X)</f>
        <v>CONCLUÍDO</v>
      </c>
      <c r="D127" s="54">
        <v>238722</v>
      </c>
      <c r="E127" s="244" t="s">
        <v>15</v>
      </c>
      <c r="F127" s="245">
        <v>3600</v>
      </c>
      <c r="G127" s="319">
        <v>4.5</v>
      </c>
      <c r="H127" s="246">
        <v>5.3764000000000003</v>
      </c>
      <c r="I127" s="247">
        <f t="shared" si="12"/>
        <v>24.193800000000003</v>
      </c>
      <c r="J127" s="248">
        <f t="shared" si="13"/>
        <v>87097.680000000008</v>
      </c>
      <c r="K127" s="249">
        <f>J127/_xlfn.XLOOKUP(A127,'Base de Dados'!D:D,'Base de Dados'!M:M)</f>
        <v>0.24235596979835836</v>
      </c>
      <c r="L127" s="248">
        <f>K127*_xlfn.XLOOKUP(A127,'Base de Dados'!D:D,'Base de Dados'!N:N)</f>
        <v>3515.6302392531743</v>
      </c>
      <c r="M127" s="250">
        <f t="shared" si="14"/>
        <v>90613.310239253187</v>
      </c>
      <c r="N127" s="251">
        <f t="shared" si="15"/>
        <v>25.170363955348108</v>
      </c>
      <c r="O127" s="252">
        <f t="shared" si="16"/>
        <v>0.41380769799999995</v>
      </c>
      <c r="P127" s="253">
        <f t="shared" si="22"/>
        <v>61</v>
      </c>
      <c r="Q127" s="252">
        <f t="shared" si="18"/>
        <v>0.58737108269921134</v>
      </c>
      <c r="R127" s="252">
        <v>0.51380769799999992</v>
      </c>
      <c r="S127" s="252">
        <f t="shared" si="19"/>
        <v>7.356338469921142E-2</v>
      </c>
      <c r="T127" s="253">
        <f t="shared" si="23"/>
        <v>71</v>
      </c>
      <c r="U127" s="252">
        <f t="shared" si="21"/>
        <v>0.14084507042253522</v>
      </c>
      <c r="V127" s="290">
        <v>111003005</v>
      </c>
      <c r="W127" s="252" t="s">
        <v>498</v>
      </c>
    </row>
    <row r="128" spans="1:42" ht="14.4" x14ac:dyDescent="0.3">
      <c r="A128" s="54" t="s">
        <v>314</v>
      </c>
      <c r="B128" s="244" t="str">
        <f>_xlfn.XLOOKUP(A128,'Base de Dados'!D:D,'Base de Dados'!B:B)</f>
        <v>TIMBRO SWISS SA</v>
      </c>
      <c r="C128" s="244" t="str">
        <f>_xlfn.XLOOKUP(PRECIFICAÇÃO[[#This Row],[INVOICE]],'Base de Dados'!D:D,'Base de Dados'!X:X)</f>
        <v>CONCLUÍDO</v>
      </c>
      <c r="D128" s="54">
        <v>238698</v>
      </c>
      <c r="E128" s="244" t="s">
        <v>11</v>
      </c>
      <c r="F128" s="245">
        <v>500</v>
      </c>
      <c r="G128" s="319">
        <v>37.81</v>
      </c>
      <c r="H128" s="246">
        <v>5.3764000000000003</v>
      </c>
      <c r="I128" s="247">
        <f t="shared" si="12"/>
        <v>203.28168400000001</v>
      </c>
      <c r="J128" s="248">
        <f t="shared" si="13"/>
        <v>101640.842</v>
      </c>
      <c r="K128" s="249">
        <f>J128/_xlfn.XLOOKUP(A128,'Base de Dados'!D:D,'Base de Dados'!M:M)</f>
        <v>0.28282343265666449</v>
      </c>
      <c r="L128" s="248">
        <f>K128*_xlfn.XLOOKUP(A128,'Base de Dados'!D:D,'Base de Dados'!N:N)</f>
        <v>4102.6536835235347</v>
      </c>
      <c r="M128" s="250">
        <f t="shared" si="14"/>
        <v>105743.49568352354</v>
      </c>
      <c r="N128" s="251">
        <f t="shared" si="15"/>
        <v>211.48699136704707</v>
      </c>
      <c r="O128" s="252">
        <f t="shared" si="16"/>
        <v>0.39270865200000005</v>
      </c>
      <c r="P128" s="253">
        <f t="shared" si="22"/>
        <v>539</v>
      </c>
      <c r="Q128" s="252">
        <f t="shared" si="18"/>
        <v>0.60763081379026518</v>
      </c>
      <c r="R128" s="252">
        <v>0.49270865200000002</v>
      </c>
      <c r="S128" s="252">
        <f t="shared" si="19"/>
        <v>0.11492216179026515</v>
      </c>
      <c r="T128" s="253">
        <f t="shared" si="23"/>
        <v>549</v>
      </c>
      <c r="U128" s="252">
        <f t="shared" si="21"/>
        <v>1.8214936247723135E-2</v>
      </c>
      <c r="V128" s="290">
        <v>111001012</v>
      </c>
      <c r="W128" s="252" t="s">
        <v>493</v>
      </c>
    </row>
    <row r="129" spans="1:42" ht="14.4" x14ac:dyDescent="0.3">
      <c r="A129" s="54" t="s">
        <v>314</v>
      </c>
      <c r="B129" s="244" t="str">
        <f>_xlfn.XLOOKUP(A129,'Base de Dados'!D:D,'Base de Dados'!B:B)</f>
        <v>TIMBRO SWISS SA</v>
      </c>
      <c r="C129" s="244" t="str">
        <f>_xlfn.XLOOKUP(PRECIFICAÇÃO[[#This Row],[INVOICE]],'Base de Dados'!D:D,'Base de Dados'!X:X)</f>
        <v>CONCLUÍDO</v>
      </c>
      <c r="D129" s="54">
        <v>238721</v>
      </c>
      <c r="E129" s="244" t="s">
        <v>14</v>
      </c>
      <c r="F129" s="245">
        <v>2004</v>
      </c>
      <c r="G129" s="319">
        <v>10.95</v>
      </c>
      <c r="H129" s="246">
        <v>5.3764000000000003</v>
      </c>
      <c r="I129" s="247">
        <f t="shared" si="12"/>
        <v>58.871580000000002</v>
      </c>
      <c r="J129" s="248">
        <f t="shared" si="13"/>
        <v>117978.64632</v>
      </c>
      <c r="K129" s="249">
        <f>J129/_xlfn.XLOOKUP(A129,'Base de Dados'!D:D,'Base de Dados'!M:M)</f>
        <v>0.32828462531242075</v>
      </c>
      <c r="L129" s="248">
        <f>K129*_xlfn.XLOOKUP(A129,'Base de Dados'!D:D,'Base de Dados'!N:N)</f>
        <v>4762.1164718594937</v>
      </c>
      <c r="M129" s="250">
        <f t="shared" si="14"/>
        <v>122740.7627918595</v>
      </c>
      <c r="N129" s="251">
        <f t="shared" si="15"/>
        <v>61.247885624680386</v>
      </c>
      <c r="O129" s="252">
        <f t="shared" si="16"/>
        <v>0.42527551200000002</v>
      </c>
      <c r="P129" s="253">
        <f t="shared" si="22"/>
        <v>144</v>
      </c>
      <c r="Q129" s="252">
        <f t="shared" si="18"/>
        <v>0.57466746093971954</v>
      </c>
      <c r="R129" s="252">
        <v>0.525275512</v>
      </c>
      <c r="S129" s="252">
        <f t="shared" si="19"/>
        <v>4.9391948939719543E-2</v>
      </c>
      <c r="T129" s="253">
        <f t="shared" si="23"/>
        <v>154</v>
      </c>
      <c r="U129" s="252">
        <f t="shared" si="21"/>
        <v>6.4935064935064929E-2</v>
      </c>
      <c r="V129" s="290">
        <v>111001013</v>
      </c>
      <c r="W129" s="252" t="s">
        <v>497</v>
      </c>
    </row>
    <row r="130" spans="1:42" ht="14.4" x14ac:dyDescent="0.3">
      <c r="A130" s="54" t="s">
        <v>318</v>
      </c>
      <c r="B130" s="244" t="str">
        <f>_xlfn.XLOOKUP(A130,'Base de Dados'!D:D,'Base de Dados'!B:B)</f>
        <v>TIMBRO SWISS SA</v>
      </c>
      <c r="C130" s="244" t="str">
        <f>_xlfn.XLOOKUP(PRECIFICAÇÃO[[#This Row],[INVOICE]],'Base de Dados'!D:D,'Base de Dados'!X:X)</f>
        <v>CONCLUÍDO</v>
      </c>
      <c r="D130" s="54">
        <v>267939</v>
      </c>
      <c r="E130" s="244" t="s">
        <v>24</v>
      </c>
      <c r="F130" s="245">
        <v>2400</v>
      </c>
      <c r="G130" s="319">
        <v>2.1</v>
      </c>
      <c r="H130" s="246">
        <v>5.2287999999999997</v>
      </c>
      <c r="I130" s="247">
        <f t="shared" ref="I130:I193" si="24">H130*G130</f>
        <v>10.98048</v>
      </c>
      <c r="J130" s="248">
        <f t="shared" ref="J130:J193" si="25">I130*F130</f>
        <v>26353.152000000002</v>
      </c>
      <c r="K130" s="249">
        <f>J130/_xlfn.XLOOKUP(A130,'Base de Dados'!D:D,'Base de Dados'!M:M)</f>
        <v>0.10033365039035784</v>
      </c>
      <c r="L130" s="248">
        <f>K130*_xlfn.XLOOKUP(A130,'Base de Dados'!D:D,'Base de Dados'!N:N)</f>
        <v>1206.6365596705371</v>
      </c>
      <c r="M130" s="250">
        <f t="shared" ref="M130:M193" si="26">J130+L130</f>
        <v>27559.788559670538</v>
      </c>
      <c r="N130" s="251">
        <f t="shared" ref="N130:N193" si="27">M130/F130</f>
        <v>11.483245233196058</v>
      </c>
      <c r="O130" s="252">
        <f t="shared" ref="O130:O193" si="28">R130-0.1</f>
        <v>0.42527551200000002</v>
      </c>
      <c r="P130" s="253">
        <f t="shared" ref="P130:P161" si="29">ROUND(N130/O130,0)</f>
        <v>27</v>
      </c>
      <c r="Q130" s="252">
        <f t="shared" ref="Q130:Q193" si="30">(P130-N130)/P130</f>
        <v>0.5746946209927386</v>
      </c>
      <c r="R130" s="252">
        <v>0.525275512</v>
      </c>
      <c r="S130" s="252">
        <f t="shared" ref="S130:S193" si="31">Q130-R130</f>
        <v>4.9419108992738603E-2</v>
      </c>
      <c r="T130" s="253">
        <f t="shared" ref="T130:T161" si="32">P130+10</f>
        <v>37</v>
      </c>
      <c r="U130" s="252">
        <f t="shared" ref="U130:U193" si="33">(T130-P130)/T130</f>
        <v>0.27027027027027029</v>
      </c>
      <c r="V130" s="290">
        <v>127001002</v>
      </c>
      <c r="W130" s="252" t="s">
        <v>501</v>
      </c>
    </row>
    <row r="131" spans="1:42" ht="14.4" x14ac:dyDescent="0.3">
      <c r="A131" s="54" t="s">
        <v>318</v>
      </c>
      <c r="B131" s="244" t="str">
        <f>_xlfn.XLOOKUP(A131,'Base de Dados'!D:D,'Base de Dados'!B:B)</f>
        <v>TIMBRO SWISS SA</v>
      </c>
      <c r="C131" s="244" t="str">
        <f>_xlfn.XLOOKUP(PRECIFICAÇÃO[[#This Row],[INVOICE]],'Base de Dados'!D:D,'Base de Dados'!X:X)</f>
        <v>CONCLUÍDO</v>
      </c>
      <c r="D131" s="54">
        <v>267943</v>
      </c>
      <c r="E131" s="244" t="s">
        <v>28</v>
      </c>
      <c r="F131" s="245">
        <v>1800</v>
      </c>
      <c r="G131" s="319">
        <v>1.95</v>
      </c>
      <c r="H131" s="246">
        <v>5.2287999999999997</v>
      </c>
      <c r="I131" s="247">
        <f t="shared" si="24"/>
        <v>10.196159999999999</v>
      </c>
      <c r="J131" s="248">
        <f t="shared" si="25"/>
        <v>18353.088</v>
      </c>
      <c r="K131" s="249">
        <f>J131/_xlfn.XLOOKUP(A131,'Base de Dados'!D:D,'Base de Dados'!M:M)</f>
        <v>6.9875220807570623E-2</v>
      </c>
      <c r="L131" s="248">
        <f>K131*_xlfn.XLOOKUP(A131,'Base de Dados'!D:D,'Base de Dados'!N:N)</f>
        <v>840.33617548483812</v>
      </c>
      <c r="M131" s="250">
        <f t="shared" si="26"/>
        <v>19193.424175484837</v>
      </c>
      <c r="N131" s="251">
        <f t="shared" si="27"/>
        <v>10.663013430824909</v>
      </c>
      <c r="O131" s="252">
        <f t="shared" si="28"/>
        <v>0.42527551200000002</v>
      </c>
      <c r="P131" s="253">
        <f t="shared" si="29"/>
        <v>25</v>
      </c>
      <c r="Q131" s="252">
        <f t="shared" si="30"/>
        <v>0.57347946276700368</v>
      </c>
      <c r="R131" s="252">
        <v>0.525275512</v>
      </c>
      <c r="S131" s="252">
        <f t="shared" si="31"/>
        <v>4.8203950767003678E-2</v>
      </c>
      <c r="T131" s="253">
        <f t="shared" si="32"/>
        <v>35</v>
      </c>
      <c r="U131" s="252">
        <f t="shared" si="33"/>
        <v>0.2857142857142857</v>
      </c>
      <c r="V131" s="290">
        <v>127001002</v>
      </c>
      <c r="W131" s="252" t="s">
        <v>501</v>
      </c>
    </row>
    <row r="132" spans="1:42" s="276" customFormat="1" ht="14.4" x14ac:dyDescent="0.3">
      <c r="A132" s="49" t="s">
        <v>318</v>
      </c>
      <c r="B132" s="277" t="str">
        <f>_xlfn.XLOOKUP(A132,'Base de Dados'!D:D,'Base de Dados'!B:B)</f>
        <v>TIMBRO SWISS SA</v>
      </c>
      <c r="C132" s="277" t="str">
        <f>_xlfn.XLOOKUP(PRECIFICAÇÃO[[#This Row],[INVOICE]],'Base de Dados'!D:D,'Base de Dados'!X:X)</f>
        <v>CONCLUÍDO</v>
      </c>
      <c r="D132" s="49">
        <v>267931</v>
      </c>
      <c r="E132" s="277" t="s">
        <v>19</v>
      </c>
      <c r="F132" s="278">
        <v>1656</v>
      </c>
      <c r="G132" s="320">
        <v>2.99</v>
      </c>
      <c r="H132" s="279">
        <v>5.2287999999999997</v>
      </c>
      <c r="I132" s="280">
        <f t="shared" si="24"/>
        <v>15.634112</v>
      </c>
      <c r="J132" s="281">
        <f t="shared" si="25"/>
        <v>25890.089472</v>
      </c>
      <c r="K132" s="282">
        <f>J132/_xlfn.XLOOKUP(A132,'Base de Dados'!D:D,'Base de Dados'!M:M)</f>
        <v>9.8570644819212974E-2</v>
      </c>
      <c r="L132" s="281">
        <f>K132*_xlfn.XLOOKUP(A132,'Base de Dados'!D:D,'Base de Dados'!N:N)</f>
        <v>1185.4342315506119</v>
      </c>
      <c r="M132" s="283">
        <f t="shared" si="26"/>
        <v>27075.523703550611</v>
      </c>
      <c r="N132" s="284">
        <f t="shared" si="27"/>
        <v>16.34995392726486</v>
      </c>
      <c r="O132" s="285">
        <f t="shared" si="28"/>
        <v>0.40920539999999994</v>
      </c>
      <c r="P132" s="286">
        <f t="shared" si="29"/>
        <v>40</v>
      </c>
      <c r="Q132" s="285">
        <f t="shared" si="30"/>
        <v>0.59125115181837851</v>
      </c>
      <c r="R132" s="285">
        <v>0.50920539999999992</v>
      </c>
      <c r="S132" s="285">
        <f t="shared" si="31"/>
        <v>8.2045751818378587E-2</v>
      </c>
      <c r="T132" s="286">
        <f t="shared" si="32"/>
        <v>50</v>
      </c>
      <c r="U132" s="285">
        <f t="shared" si="33"/>
        <v>0.2</v>
      </c>
      <c r="V132" s="291">
        <v>127001014</v>
      </c>
      <c r="W132" s="285" t="s">
        <v>500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1:42" ht="14.4" x14ac:dyDescent="0.3">
      <c r="A133" s="54" t="s">
        <v>318</v>
      </c>
      <c r="B133" s="244" t="str">
        <f>_xlfn.XLOOKUP(A133,'Base de Dados'!D:D,'Base de Dados'!B:B)</f>
        <v>TIMBRO SWISS SA</v>
      </c>
      <c r="C133" s="244" t="str">
        <f>_xlfn.XLOOKUP(PRECIFICAÇÃO[[#This Row],[INVOICE]],'Base de Dados'!D:D,'Base de Dados'!X:X)</f>
        <v>CONCLUÍDO</v>
      </c>
      <c r="D133" s="54">
        <v>267938</v>
      </c>
      <c r="E133" s="244" t="s">
        <v>23</v>
      </c>
      <c r="F133" s="245">
        <v>1800</v>
      </c>
      <c r="G133" s="319">
        <v>2.15</v>
      </c>
      <c r="H133" s="246">
        <v>5.2287999999999997</v>
      </c>
      <c r="I133" s="247">
        <f t="shared" si="24"/>
        <v>11.241919999999999</v>
      </c>
      <c r="J133" s="248">
        <f t="shared" si="25"/>
        <v>20235.455999999998</v>
      </c>
      <c r="K133" s="249">
        <f>J133/_xlfn.XLOOKUP(A133,'Base de Dados'!D:D,'Base de Dados'!M:M)</f>
        <v>7.7041910121167609E-2</v>
      </c>
      <c r="L133" s="248">
        <f>K133*_xlfn.XLOOKUP(A133,'Base de Dados'!D:D,'Base de Dados'!N:N)</f>
        <v>926.52450117559067</v>
      </c>
      <c r="M133" s="250">
        <f t="shared" si="26"/>
        <v>21161.980501175589</v>
      </c>
      <c r="N133" s="251">
        <f t="shared" si="27"/>
        <v>11.756655833986438</v>
      </c>
      <c r="O133" s="252">
        <f t="shared" si="28"/>
        <v>0.40920539999999994</v>
      </c>
      <c r="P133" s="253">
        <f t="shared" si="29"/>
        <v>29</v>
      </c>
      <c r="Q133" s="252">
        <f t="shared" si="30"/>
        <v>0.59459807469012294</v>
      </c>
      <c r="R133" s="252">
        <v>0.50920539999999992</v>
      </c>
      <c r="S133" s="252">
        <f t="shared" si="31"/>
        <v>8.5392674690123016E-2</v>
      </c>
      <c r="T133" s="253">
        <f t="shared" si="32"/>
        <v>39</v>
      </c>
      <c r="U133" s="252">
        <f t="shared" si="33"/>
        <v>0.25641025641025639</v>
      </c>
      <c r="V133" s="290">
        <v>127001014</v>
      </c>
      <c r="W133" s="252" t="s">
        <v>500</v>
      </c>
    </row>
    <row r="134" spans="1:42" ht="14.4" x14ac:dyDescent="0.3">
      <c r="A134" s="49" t="s">
        <v>318</v>
      </c>
      <c r="B134" s="277" t="str">
        <f>_xlfn.XLOOKUP(A134,'Base de Dados'!D:D,'Base de Dados'!B:B)</f>
        <v>TIMBRO SWISS SA</v>
      </c>
      <c r="C134" s="277" t="str">
        <f>_xlfn.XLOOKUP(PRECIFICAÇÃO[[#This Row],[INVOICE]],'Base de Dados'!D:D,'Base de Dados'!X:X)</f>
        <v>CONCLUÍDO</v>
      </c>
      <c r="D134" s="49">
        <v>267940</v>
      </c>
      <c r="E134" s="277" t="s">
        <v>25</v>
      </c>
      <c r="F134" s="278">
        <v>2304</v>
      </c>
      <c r="G134" s="320">
        <v>2.21</v>
      </c>
      <c r="H134" s="279">
        <v>5.2287999999999997</v>
      </c>
      <c r="I134" s="280">
        <f t="shared" si="24"/>
        <v>11.555648</v>
      </c>
      <c r="J134" s="281">
        <f t="shared" si="25"/>
        <v>26624.212992000001</v>
      </c>
      <c r="K134" s="282">
        <f>J134/_xlfn.XLOOKUP(A134,'Base de Dados'!D:D,'Base de Dados'!M:M)</f>
        <v>0.1013656536515158</v>
      </c>
      <c r="L134" s="281">
        <f>K134*_xlfn.XLOOKUP(A134,'Base de Dados'!D:D,'Base de Dados'!N:N)</f>
        <v>1219.0476785700052</v>
      </c>
      <c r="M134" s="283">
        <f t="shared" si="26"/>
        <v>27843.260670570005</v>
      </c>
      <c r="N134" s="284">
        <f t="shared" si="27"/>
        <v>12.084748554934897</v>
      </c>
      <c r="O134" s="285">
        <f t="shared" si="28"/>
        <v>0.42527551200000002</v>
      </c>
      <c r="P134" s="286">
        <f t="shared" si="29"/>
        <v>28</v>
      </c>
      <c r="Q134" s="285">
        <f t="shared" si="30"/>
        <v>0.56840183732375371</v>
      </c>
      <c r="R134" s="285">
        <v>0.525275512</v>
      </c>
      <c r="S134" s="285">
        <f t="shared" si="31"/>
        <v>4.3126325323753711E-2</v>
      </c>
      <c r="T134" s="286">
        <f t="shared" si="32"/>
        <v>38</v>
      </c>
      <c r="U134" s="285">
        <f t="shared" si="33"/>
        <v>0.26315789473684209</v>
      </c>
      <c r="V134" s="290">
        <v>127001002</v>
      </c>
      <c r="W134" s="252" t="s">
        <v>501</v>
      </c>
    </row>
    <row r="135" spans="1:42" ht="15.75" customHeight="1" x14ac:dyDescent="0.3">
      <c r="A135" s="54" t="s">
        <v>318</v>
      </c>
      <c r="B135" s="244" t="str">
        <f>_xlfn.XLOOKUP(A135,'Base de Dados'!D:D,'Base de Dados'!B:B)</f>
        <v>TIMBRO SWISS SA</v>
      </c>
      <c r="C135" s="244" t="str">
        <f>_xlfn.XLOOKUP(PRECIFICAÇÃO[[#This Row],[INVOICE]],'Base de Dados'!D:D,'Base de Dados'!X:X)</f>
        <v>CONCLUÍDO</v>
      </c>
      <c r="D135" s="54">
        <v>267932</v>
      </c>
      <c r="E135" s="244" t="s">
        <v>20</v>
      </c>
      <c r="F135" s="245">
        <v>2424</v>
      </c>
      <c r="G135" s="319">
        <v>2.38</v>
      </c>
      <c r="H135" s="246">
        <v>5.2287999999999997</v>
      </c>
      <c r="I135" s="247">
        <f t="shared" si="24"/>
        <v>12.444543999999999</v>
      </c>
      <c r="J135" s="248">
        <f t="shared" si="25"/>
        <v>30165.574655999997</v>
      </c>
      <c r="K135" s="249">
        <f>J135/_xlfn.XLOOKUP(A135,'Base de Dados'!D:D,'Base de Dados'!M:M)</f>
        <v>0.11484858514682958</v>
      </c>
      <c r="L135" s="248">
        <f>K135*_xlfn.XLOOKUP(A135,'Base de Dados'!D:D,'Base de Dados'!N:N)</f>
        <v>1381.1966486362078</v>
      </c>
      <c r="M135" s="250">
        <f t="shared" si="26"/>
        <v>31546.771304636204</v>
      </c>
      <c r="N135" s="251">
        <f t="shared" si="27"/>
        <v>13.014344597622197</v>
      </c>
      <c r="O135" s="252">
        <f t="shared" si="28"/>
        <v>0.40920539999999994</v>
      </c>
      <c r="P135" s="253">
        <f t="shared" si="29"/>
        <v>32</v>
      </c>
      <c r="Q135" s="252">
        <f t="shared" si="30"/>
        <v>0.5933017313243063</v>
      </c>
      <c r="R135" s="252">
        <v>0.50920539999999992</v>
      </c>
      <c r="S135" s="252">
        <f t="shared" si="31"/>
        <v>8.4096331324306384E-2</v>
      </c>
      <c r="T135" s="253">
        <f t="shared" si="32"/>
        <v>42</v>
      </c>
      <c r="U135" s="252">
        <f t="shared" si="33"/>
        <v>0.23809523809523808</v>
      </c>
      <c r="V135" s="290">
        <v>127001014</v>
      </c>
      <c r="W135" s="252" t="s">
        <v>500</v>
      </c>
    </row>
    <row r="136" spans="1:42" ht="14.4" x14ac:dyDescent="0.3">
      <c r="A136" s="49" t="s">
        <v>318</v>
      </c>
      <c r="B136" s="277" t="str">
        <f>_xlfn.XLOOKUP(A136,'Base de Dados'!D:D,'Base de Dados'!B:B)</f>
        <v>TIMBRO SWISS SA</v>
      </c>
      <c r="C136" s="277" t="str">
        <f>_xlfn.XLOOKUP(PRECIFICAÇÃO[[#This Row],[INVOICE]],'Base de Dados'!D:D,'Base de Dados'!X:X)</f>
        <v>CONCLUÍDO</v>
      </c>
      <c r="D136" s="49">
        <v>373758</v>
      </c>
      <c r="E136" s="277" t="s">
        <v>947</v>
      </c>
      <c r="F136" s="278">
        <v>10000</v>
      </c>
      <c r="G136" s="320">
        <v>2.2000000000000002</v>
      </c>
      <c r="H136" s="279">
        <v>5.2287999999999997</v>
      </c>
      <c r="I136" s="280">
        <f t="shared" si="24"/>
        <v>11.503360000000001</v>
      </c>
      <c r="J136" s="281">
        <f t="shared" si="25"/>
        <v>115033.60000000001</v>
      </c>
      <c r="K136" s="282">
        <f>J136/_xlfn.XLOOKUP(A136,'Base de Dados'!D:D,'Base de Dados'!M:M)</f>
        <v>0.43796434694203817</v>
      </c>
      <c r="L136" s="281">
        <f>K136*_xlfn.XLOOKUP(A136,'Base de Dados'!D:D,'Base de Dados'!N:N)</f>
        <v>5267.064347768217</v>
      </c>
      <c r="M136" s="283">
        <f t="shared" si="26"/>
        <v>120300.66434776822</v>
      </c>
      <c r="N136" s="284">
        <f t="shared" si="27"/>
        <v>12.030066434776822</v>
      </c>
      <c r="O136" s="285">
        <f t="shared" si="28"/>
        <v>0.37093717599999998</v>
      </c>
      <c r="P136" s="286">
        <f t="shared" si="29"/>
        <v>32</v>
      </c>
      <c r="Q136" s="285">
        <f t="shared" si="30"/>
        <v>0.62406042391322436</v>
      </c>
      <c r="R136" s="285">
        <v>0.47093717599999996</v>
      </c>
      <c r="S136" s="285">
        <f t="shared" si="31"/>
        <v>0.1531232479132244</v>
      </c>
      <c r="T136" s="286">
        <f t="shared" si="32"/>
        <v>42</v>
      </c>
      <c r="U136" s="285">
        <f t="shared" si="33"/>
        <v>0.23809523809523808</v>
      </c>
      <c r="V136" s="290">
        <v>130001013</v>
      </c>
      <c r="W136" s="252" t="s">
        <v>532</v>
      </c>
    </row>
    <row r="137" spans="1:42" ht="14.4" x14ac:dyDescent="0.3">
      <c r="A137" s="54" t="s">
        <v>351</v>
      </c>
      <c r="B137" s="244" t="str">
        <f>_xlfn.XLOOKUP(A137,'Base de Dados'!D:D,'Base de Dados'!B:B)</f>
        <v>TIMBRO SWISS SA</v>
      </c>
      <c r="C137" s="244" t="str">
        <f>_xlfn.XLOOKUP(PRECIFICAÇÃO[[#This Row],[INVOICE]],'Base de Dados'!D:D,'Base de Dados'!X:X)</f>
        <v>CONCLUÍDO</v>
      </c>
      <c r="D137" s="54">
        <v>267947</v>
      </c>
      <c r="E137" s="244" t="s">
        <v>32</v>
      </c>
      <c r="F137" s="245">
        <v>1608</v>
      </c>
      <c r="G137" s="319">
        <v>1.94</v>
      </c>
      <c r="H137" s="246">
        <v>5.2869999999999999</v>
      </c>
      <c r="I137" s="247">
        <f t="shared" si="24"/>
        <v>10.256779999999999</v>
      </c>
      <c r="J137" s="248">
        <f t="shared" si="25"/>
        <v>16492.902239999999</v>
      </c>
      <c r="K137" s="249">
        <f>J137/_xlfn.XLOOKUP(A137,'Base de Dados'!D:D,'Base de Dados'!M:M)</f>
        <v>4.9639374981396034E-2</v>
      </c>
      <c r="L137" s="248">
        <f>K137*_xlfn.XLOOKUP(A137,'Base de Dados'!D:D,'Base de Dados'!N:N)</f>
        <v>1202.5153481055684</v>
      </c>
      <c r="M137" s="250">
        <f t="shared" si="26"/>
        <v>17695.417588105567</v>
      </c>
      <c r="N137" s="251">
        <f t="shared" si="27"/>
        <v>11.004612927926347</v>
      </c>
      <c r="O137" s="252">
        <f t="shared" si="28"/>
        <v>0.44510234400000004</v>
      </c>
      <c r="P137" s="253">
        <f t="shared" si="29"/>
        <v>25</v>
      </c>
      <c r="Q137" s="252">
        <f t="shared" si="30"/>
        <v>0.55981548288294614</v>
      </c>
      <c r="R137" s="252">
        <v>0.54510234400000002</v>
      </c>
      <c r="S137" s="252">
        <f t="shared" si="31"/>
        <v>1.471313888294612E-2</v>
      </c>
      <c r="T137" s="253">
        <f t="shared" si="32"/>
        <v>35</v>
      </c>
      <c r="U137" s="252">
        <f t="shared" si="33"/>
        <v>0.2857142857142857</v>
      </c>
      <c r="V137" s="290">
        <v>127001001</v>
      </c>
      <c r="W137" s="252" t="s">
        <v>503</v>
      </c>
    </row>
    <row r="138" spans="1:42" ht="14.4" x14ac:dyDescent="0.3">
      <c r="A138" s="49" t="s">
        <v>351</v>
      </c>
      <c r="B138" s="277" t="str">
        <f>_xlfn.XLOOKUP(A138,'Base de Dados'!D:D,'Base de Dados'!B:B)</f>
        <v>TIMBRO SWISS SA</v>
      </c>
      <c r="C138" s="277" t="str">
        <f>_xlfn.XLOOKUP(PRECIFICAÇÃO[[#This Row],[INVOICE]],'Base de Dados'!D:D,'Base de Dados'!X:X)</f>
        <v>CONCLUÍDO</v>
      </c>
      <c r="D138" s="49">
        <v>267946</v>
      </c>
      <c r="E138" s="277" t="s">
        <v>31</v>
      </c>
      <c r="F138" s="278">
        <v>1608</v>
      </c>
      <c r="G138" s="320">
        <v>1.33</v>
      </c>
      <c r="H138" s="279">
        <v>5.2869999999999999</v>
      </c>
      <c r="I138" s="280">
        <f t="shared" si="24"/>
        <v>7.0317100000000003</v>
      </c>
      <c r="J138" s="281">
        <f t="shared" si="25"/>
        <v>11306.989680000001</v>
      </c>
      <c r="K138" s="282">
        <f>J138/_xlfn.XLOOKUP(A138,'Base de Dados'!D:D,'Base de Dados'!M:M)</f>
        <v>3.4031117899616874E-2</v>
      </c>
      <c r="L138" s="281">
        <f>K138*_xlfn.XLOOKUP(A138,'Base de Dados'!D:D,'Base de Dados'!N:N)</f>
        <v>824.40485205175571</v>
      </c>
      <c r="M138" s="283">
        <f t="shared" si="26"/>
        <v>12131.394532051756</v>
      </c>
      <c r="N138" s="284">
        <f t="shared" si="27"/>
        <v>7.5443995846093008</v>
      </c>
      <c r="O138" s="285">
        <f t="shared" si="28"/>
        <v>0.44510234400000004</v>
      </c>
      <c r="P138" s="286">
        <f t="shared" si="29"/>
        <v>17</v>
      </c>
      <c r="Q138" s="285">
        <f t="shared" si="30"/>
        <v>0.5562117891406293</v>
      </c>
      <c r="R138" s="285">
        <v>0.54510234400000002</v>
      </c>
      <c r="S138" s="285">
        <f t="shared" si="31"/>
        <v>1.1109445140629282E-2</v>
      </c>
      <c r="T138" s="286">
        <f t="shared" si="32"/>
        <v>27</v>
      </c>
      <c r="U138" s="285">
        <f t="shared" si="33"/>
        <v>0.37037037037037035</v>
      </c>
      <c r="V138" s="290">
        <v>127001001</v>
      </c>
      <c r="W138" s="252" t="s">
        <v>503</v>
      </c>
    </row>
    <row r="139" spans="1:42" ht="14.4" x14ac:dyDescent="0.3">
      <c r="A139" s="54" t="s">
        <v>351</v>
      </c>
      <c r="B139" s="244" t="str">
        <f>_xlfn.XLOOKUP(A139,'Base de Dados'!D:D,'Base de Dados'!B:B)</f>
        <v>TIMBRO SWISS SA</v>
      </c>
      <c r="C139" s="244" t="str">
        <f>_xlfn.XLOOKUP(PRECIFICAÇÃO[[#This Row],[INVOICE]],'Base de Dados'!D:D,'Base de Dados'!X:X)</f>
        <v>CONCLUÍDO</v>
      </c>
      <c r="D139" s="54">
        <v>267945</v>
      </c>
      <c r="E139" s="244" t="s">
        <v>30</v>
      </c>
      <c r="F139" s="245">
        <v>3804</v>
      </c>
      <c r="G139" s="319">
        <v>3.01</v>
      </c>
      <c r="H139" s="246">
        <v>5.2869999999999999</v>
      </c>
      <c r="I139" s="247">
        <f t="shared" si="24"/>
        <v>15.913869999999999</v>
      </c>
      <c r="J139" s="248">
        <f t="shared" si="25"/>
        <v>60536.36148</v>
      </c>
      <c r="K139" s="249">
        <f>J139/_xlfn.XLOOKUP(A139,'Base de Dados'!D:D,'Base de Dados'!M:M)</f>
        <v>0.18219880914755598</v>
      </c>
      <c r="L139" s="248">
        <f>K139*_xlfn.XLOOKUP(A139,'Base de Dados'!D:D,'Base de Dados'!N:N)</f>
        <v>4413.7716175638179</v>
      </c>
      <c r="M139" s="250">
        <f t="shared" si="26"/>
        <v>64950.133097563819</v>
      </c>
      <c r="N139" s="251">
        <f t="shared" si="27"/>
        <v>17.074167480957893</v>
      </c>
      <c r="O139" s="252">
        <f t="shared" si="28"/>
        <v>0.42527551200000002</v>
      </c>
      <c r="P139" s="253">
        <f t="shared" si="29"/>
        <v>40</v>
      </c>
      <c r="Q139" s="252">
        <f t="shared" si="30"/>
        <v>0.57314581297605272</v>
      </c>
      <c r="R139" s="252">
        <v>0.525275512</v>
      </c>
      <c r="S139" s="252">
        <f t="shared" si="31"/>
        <v>4.7870300976052715E-2</v>
      </c>
      <c r="T139" s="253">
        <f t="shared" si="32"/>
        <v>50</v>
      </c>
      <c r="U139" s="252">
        <f t="shared" si="33"/>
        <v>0.2</v>
      </c>
      <c r="V139" s="290">
        <v>127001002</v>
      </c>
      <c r="W139" s="252" t="s">
        <v>501</v>
      </c>
    </row>
    <row r="140" spans="1:42" ht="14.4" x14ac:dyDescent="0.3">
      <c r="A140" s="54" t="s">
        <v>351</v>
      </c>
      <c r="B140" s="244" t="str">
        <f>_xlfn.XLOOKUP(A140,'Base de Dados'!D:D,'Base de Dados'!B:B)</f>
        <v>TIMBRO SWISS SA</v>
      </c>
      <c r="C140" s="244" t="str">
        <f>_xlfn.XLOOKUP(PRECIFICAÇÃO[[#This Row],[INVOICE]],'Base de Dados'!D:D,'Base de Dados'!X:X)</f>
        <v>CONCLUÍDO</v>
      </c>
      <c r="D140" s="54">
        <v>367986</v>
      </c>
      <c r="E140" s="244" t="s">
        <v>39</v>
      </c>
      <c r="F140" s="245">
        <v>1880</v>
      </c>
      <c r="G140" s="319">
        <v>2.2400000000000002</v>
      </c>
      <c r="H140" s="246">
        <v>5.2869999999999999</v>
      </c>
      <c r="I140" s="247">
        <f t="shared" si="24"/>
        <v>11.842880000000001</v>
      </c>
      <c r="J140" s="248">
        <f t="shared" si="25"/>
        <v>22264.614400000002</v>
      </c>
      <c r="K140" s="249">
        <f>J140/_xlfn.XLOOKUP(A140,'Base de Dados'!D:D,'Base de Dados'!M:M)</f>
        <v>6.7010737524252129E-2</v>
      </c>
      <c r="L140" s="248">
        <f>K140*_xlfn.XLOOKUP(A140,'Base de Dados'!D:D,'Base de Dados'!N:N)</f>
        <v>1623.3371268471335</v>
      </c>
      <c r="M140" s="250">
        <f t="shared" si="26"/>
        <v>23887.951526847137</v>
      </c>
      <c r="N140" s="251">
        <f t="shared" si="27"/>
        <v>12.706357195131456</v>
      </c>
      <c r="O140" s="252">
        <f t="shared" si="28"/>
        <v>0.45721011100000009</v>
      </c>
      <c r="P140" s="253">
        <f t="shared" si="29"/>
        <v>28</v>
      </c>
      <c r="Q140" s="252">
        <f t="shared" si="30"/>
        <v>0.54620152874530514</v>
      </c>
      <c r="R140" s="252">
        <v>0.55721011100000006</v>
      </c>
      <c r="S140" s="252">
        <f t="shared" si="31"/>
        <v>-1.1008582254694921E-2</v>
      </c>
      <c r="T140" s="253">
        <f t="shared" si="32"/>
        <v>38</v>
      </c>
      <c r="U140" s="252">
        <f t="shared" si="33"/>
        <v>0.26315789473684209</v>
      </c>
      <c r="V140" s="290">
        <v>127001027</v>
      </c>
      <c r="W140" s="252" t="s">
        <v>504</v>
      </c>
    </row>
    <row r="141" spans="1:42" ht="14.4" x14ac:dyDescent="0.3">
      <c r="A141" s="54" t="s">
        <v>351</v>
      </c>
      <c r="B141" s="244" t="str">
        <f>_xlfn.XLOOKUP(A141,'Base de Dados'!D:D,'Base de Dados'!B:B)</f>
        <v>TIMBRO SWISS SA</v>
      </c>
      <c r="C141" s="244" t="str">
        <f>_xlfn.XLOOKUP(PRECIFICAÇÃO[[#This Row],[INVOICE]],'Base de Dados'!D:D,'Base de Dados'!X:X)</f>
        <v>CONCLUÍDO</v>
      </c>
      <c r="D141" s="54">
        <v>367984</v>
      </c>
      <c r="E141" s="244" t="s">
        <v>942</v>
      </c>
      <c r="F141" s="245">
        <v>2000</v>
      </c>
      <c r="G141" s="319">
        <v>2.93</v>
      </c>
      <c r="H141" s="246">
        <v>5.2869999999999999</v>
      </c>
      <c r="I141" s="247">
        <f t="shared" si="24"/>
        <v>15.490910000000001</v>
      </c>
      <c r="J141" s="248">
        <f t="shared" si="25"/>
        <v>30981.820000000003</v>
      </c>
      <c r="K141" s="249">
        <f>J141/_xlfn.XLOOKUP(A141,'Base de Dados'!D:D,'Base de Dados'!M:M)</f>
        <v>9.3247274385476225E-2</v>
      </c>
      <c r="L141" s="248">
        <f>K141*_xlfn.XLOOKUP(A141,'Base de Dados'!D:D,'Base de Dados'!N:N)</f>
        <v>2258.9180194063929</v>
      </c>
      <c r="M141" s="250">
        <f t="shared" si="26"/>
        <v>33240.738019406395</v>
      </c>
      <c r="N141" s="251">
        <f t="shared" si="27"/>
        <v>16.620369009703197</v>
      </c>
      <c r="O141" s="252">
        <f t="shared" si="28"/>
        <v>0.42527551200000002</v>
      </c>
      <c r="P141" s="253">
        <f t="shared" si="29"/>
        <v>39</v>
      </c>
      <c r="Q141" s="252">
        <f t="shared" si="30"/>
        <v>0.57383669205889243</v>
      </c>
      <c r="R141" s="252">
        <v>0.525275512</v>
      </c>
      <c r="S141" s="252">
        <f t="shared" si="31"/>
        <v>4.8561180058892428E-2</v>
      </c>
      <c r="T141" s="253">
        <f t="shared" si="32"/>
        <v>49</v>
      </c>
      <c r="U141" s="252">
        <f t="shared" si="33"/>
        <v>0.20408163265306123</v>
      </c>
      <c r="V141" s="290">
        <v>127001002</v>
      </c>
      <c r="W141" s="252" t="s">
        <v>501</v>
      </c>
    </row>
    <row r="142" spans="1:42" ht="14.4" x14ac:dyDescent="0.3">
      <c r="A142" s="54" t="s">
        <v>351</v>
      </c>
      <c r="B142" s="244" t="str">
        <f>_xlfn.XLOOKUP(A142,'Base de Dados'!D:D,'Base de Dados'!B:B)</f>
        <v>TIMBRO SWISS SA</v>
      </c>
      <c r="C142" s="244" t="str">
        <f>_xlfn.XLOOKUP(PRECIFICAÇÃO[[#This Row],[INVOICE]],'Base de Dados'!D:D,'Base de Dados'!X:X)</f>
        <v>CONCLUÍDO</v>
      </c>
      <c r="D142" s="54">
        <v>367983</v>
      </c>
      <c r="E142" s="244" t="s">
        <v>36</v>
      </c>
      <c r="F142" s="245">
        <v>1680</v>
      </c>
      <c r="G142" s="319">
        <v>3.57</v>
      </c>
      <c r="H142" s="246">
        <v>5.2869999999999999</v>
      </c>
      <c r="I142" s="247">
        <f t="shared" si="24"/>
        <v>18.874589999999998</v>
      </c>
      <c r="J142" s="248">
        <f t="shared" si="25"/>
        <v>31709.311199999996</v>
      </c>
      <c r="K142" s="249">
        <f>J142/_xlfn.XLOOKUP(A142,'Base de Dados'!D:D,'Base de Dados'!M:M)</f>
        <v>9.5436834958077144E-2</v>
      </c>
      <c r="L142" s="248">
        <f>K142*_xlfn.XLOOKUP(A142,'Base de Dados'!D:D,'Base de Dados'!N:N)</f>
        <v>2311.9601899644676</v>
      </c>
      <c r="M142" s="250">
        <f t="shared" si="26"/>
        <v>34021.271389964466</v>
      </c>
      <c r="N142" s="251">
        <f t="shared" si="27"/>
        <v>20.250756779740755</v>
      </c>
      <c r="O142" s="252">
        <f t="shared" si="28"/>
        <v>0.42527551200000002</v>
      </c>
      <c r="P142" s="253">
        <f t="shared" si="29"/>
        <v>48</v>
      </c>
      <c r="Q142" s="252">
        <f t="shared" si="30"/>
        <v>0.57810923375540091</v>
      </c>
      <c r="R142" s="252">
        <v>0.525275512</v>
      </c>
      <c r="S142" s="252">
        <f t="shared" si="31"/>
        <v>5.2833721755400909E-2</v>
      </c>
      <c r="T142" s="253">
        <f t="shared" si="32"/>
        <v>58</v>
      </c>
      <c r="U142" s="252">
        <f t="shared" si="33"/>
        <v>0.17241379310344829</v>
      </c>
      <c r="V142" s="290">
        <v>127001002</v>
      </c>
      <c r="W142" s="252" t="s">
        <v>501</v>
      </c>
    </row>
    <row r="143" spans="1:42" ht="14.4" x14ac:dyDescent="0.3">
      <c r="A143" s="54" t="s">
        <v>351</v>
      </c>
      <c r="B143" s="244" t="str">
        <f>_xlfn.XLOOKUP(A143,'Base de Dados'!D:D,'Base de Dados'!B:B)</f>
        <v>TIMBRO SWISS SA</v>
      </c>
      <c r="C143" s="244" t="str">
        <f>_xlfn.XLOOKUP(PRECIFICAÇÃO[[#This Row],[INVOICE]],'Base de Dados'!D:D,'Base de Dados'!X:X)</f>
        <v>CONCLUÍDO</v>
      </c>
      <c r="D143" s="54">
        <v>268132</v>
      </c>
      <c r="E143" s="244" t="s">
        <v>33</v>
      </c>
      <c r="F143" s="245">
        <v>3084</v>
      </c>
      <c r="G143" s="319">
        <v>2.11</v>
      </c>
      <c r="H143" s="246">
        <v>5.2869999999999999</v>
      </c>
      <c r="I143" s="247">
        <f t="shared" si="24"/>
        <v>11.155569999999999</v>
      </c>
      <c r="J143" s="248">
        <f t="shared" si="25"/>
        <v>34403.777879999994</v>
      </c>
      <c r="K143" s="249">
        <f>J143/_xlfn.XLOOKUP(A143,'Base de Dados'!D:D,'Base de Dados'!M:M)</f>
        <v>0.10354648357886453</v>
      </c>
      <c r="L143" s="248">
        <f>K143*_xlfn.XLOOKUP(A143,'Base de Dados'!D:D,'Base de Dados'!N:N)</f>
        <v>2508.4166710925006</v>
      </c>
      <c r="M143" s="250">
        <f t="shared" si="26"/>
        <v>36912.194551092492</v>
      </c>
      <c r="N143" s="251">
        <f t="shared" si="27"/>
        <v>11.968934679342572</v>
      </c>
      <c r="O143" s="252">
        <f t="shared" si="28"/>
        <v>0.40920539999999994</v>
      </c>
      <c r="P143" s="253">
        <f t="shared" si="29"/>
        <v>29</v>
      </c>
      <c r="Q143" s="252">
        <f t="shared" si="30"/>
        <v>0.58727811450542844</v>
      </c>
      <c r="R143" s="252">
        <v>0.50920539999999992</v>
      </c>
      <c r="S143" s="252">
        <f t="shared" si="31"/>
        <v>7.807271450542852E-2</v>
      </c>
      <c r="T143" s="253">
        <f t="shared" si="32"/>
        <v>39</v>
      </c>
      <c r="U143" s="252">
        <f t="shared" si="33"/>
        <v>0.25641025641025639</v>
      </c>
      <c r="V143" s="290">
        <v>127001014</v>
      </c>
      <c r="W143" s="252" t="s">
        <v>500</v>
      </c>
    </row>
    <row r="144" spans="1:42" ht="14.4" x14ac:dyDescent="0.3">
      <c r="A144" s="49" t="s">
        <v>351</v>
      </c>
      <c r="B144" s="277" t="str">
        <f>_xlfn.XLOOKUP(A144,'Base de Dados'!D:D,'Base de Dados'!B:B)</f>
        <v>TIMBRO SWISS SA</v>
      </c>
      <c r="C144" s="277" t="str">
        <f>_xlfn.XLOOKUP(PRECIFICAÇÃO[[#This Row],[INVOICE]],'Base de Dados'!D:D,'Base de Dados'!X:X)</f>
        <v>CONCLUÍDO</v>
      </c>
      <c r="D144" s="49">
        <v>267936</v>
      </c>
      <c r="E144" s="277" t="s">
        <v>21</v>
      </c>
      <c r="F144" s="278">
        <v>1800</v>
      </c>
      <c r="G144" s="320">
        <v>1.34</v>
      </c>
      <c r="H144" s="279">
        <v>5.2869999999999999</v>
      </c>
      <c r="I144" s="280">
        <f t="shared" si="24"/>
        <v>7.0845799999999999</v>
      </c>
      <c r="J144" s="281">
        <f t="shared" si="25"/>
        <v>12752.244000000001</v>
      </c>
      <c r="K144" s="282">
        <f>J144/_xlfn.XLOOKUP(A144,'Base de Dados'!D:D,'Base de Dados'!M:M)</f>
        <v>3.8380960037161883E-2</v>
      </c>
      <c r="L144" s="281">
        <f>K144*_xlfn.XLOOKUP(A144,'Base de Dados'!D:D,'Base de Dados'!N:N)</f>
        <v>929.77990832904766</v>
      </c>
      <c r="M144" s="283">
        <f t="shared" si="26"/>
        <v>13682.023908329049</v>
      </c>
      <c r="N144" s="284">
        <f t="shared" si="27"/>
        <v>7.6011243935161383</v>
      </c>
      <c r="O144" s="285">
        <f t="shared" si="28"/>
        <v>0.40920539999999994</v>
      </c>
      <c r="P144" s="286">
        <f t="shared" si="29"/>
        <v>19</v>
      </c>
      <c r="Q144" s="285">
        <f t="shared" si="30"/>
        <v>0.59994082139388749</v>
      </c>
      <c r="R144" s="285">
        <v>0.50920539999999992</v>
      </c>
      <c r="S144" s="285">
        <f t="shared" si="31"/>
        <v>9.0735421393887572E-2</v>
      </c>
      <c r="T144" s="286">
        <f t="shared" si="32"/>
        <v>29</v>
      </c>
      <c r="U144" s="285">
        <f t="shared" si="33"/>
        <v>0.34482758620689657</v>
      </c>
      <c r="V144" s="290">
        <v>127001014</v>
      </c>
      <c r="W144" s="252" t="s">
        <v>500</v>
      </c>
    </row>
    <row r="145" spans="1:23" ht="14.4" x14ac:dyDescent="0.3">
      <c r="A145" s="54" t="s">
        <v>351</v>
      </c>
      <c r="B145" s="244" t="str">
        <f>_xlfn.XLOOKUP(A145,'Base de Dados'!D:D,'Base de Dados'!B:B)</f>
        <v>TIMBRO SWISS SA</v>
      </c>
      <c r="C145" s="244" t="str">
        <f>_xlfn.XLOOKUP(PRECIFICAÇÃO[[#This Row],[INVOICE]],'Base de Dados'!D:D,'Base de Dados'!X:X)</f>
        <v>CONCLUÍDO</v>
      </c>
      <c r="D145" s="54">
        <v>267944</v>
      </c>
      <c r="E145" s="244" t="s">
        <v>29</v>
      </c>
      <c r="F145" s="245">
        <v>1920</v>
      </c>
      <c r="G145" s="319">
        <v>2.6</v>
      </c>
      <c r="H145" s="246">
        <v>5.2869999999999999</v>
      </c>
      <c r="I145" s="247">
        <f t="shared" si="24"/>
        <v>13.7462</v>
      </c>
      <c r="J145" s="248">
        <f t="shared" si="25"/>
        <v>26392.704000000002</v>
      </c>
      <c r="K145" s="249">
        <f>J145/_xlfn.XLOOKUP(A145,'Base de Dados'!D:D,'Base de Dados'!M:M)</f>
        <v>7.9435220773429571E-2</v>
      </c>
      <c r="L145" s="248">
        <f>K145*_xlfn.XLOOKUP(A145,'Base de Dados'!D:D,'Base de Dados'!N:N)</f>
        <v>1924.3206062929544</v>
      </c>
      <c r="M145" s="250">
        <f t="shared" si="26"/>
        <v>28317.024606292955</v>
      </c>
      <c r="N145" s="251">
        <f t="shared" si="27"/>
        <v>14.74845031577758</v>
      </c>
      <c r="O145" s="252">
        <f t="shared" si="28"/>
        <v>0.44079731899999997</v>
      </c>
      <c r="P145" s="253">
        <f t="shared" si="29"/>
        <v>33</v>
      </c>
      <c r="Q145" s="252">
        <f t="shared" si="30"/>
        <v>0.55307726315825512</v>
      </c>
      <c r="R145" s="252">
        <v>0.54079731899999994</v>
      </c>
      <c r="S145" s="252">
        <f t="shared" si="31"/>
        <v>1.2279944158255174E-2</v>
      </c>
      <c r="T145" s="253">
        <f t="shared" si="32"/>
        <v>43</v>
      </c>
      <c r="U145" s="252">
        <f t="shared" si="33"/>
        <v>0.23255813953488372</v>
      </c>
      <c r="V145" s="290">
        <v>127001006</v>
      </c>
      <c r="W145" s="252" t="s">
        <v>502</v>
      </c>
    </row>
    <row r="146" spans="1:23" ht="14.4" x14ac:dyDescent="0.3">
      <c r="A146" s="54" t="s">
        <v>351</v>
      </c>
      <c r="B146" s="244" t="str">
        <f>_xlfn.XLOOKUP(A146,'Base de Dados'!D:D,'Base de Dados'!B:B)</f>
        <v>TIMBRO SWISS SA</v>
      </c>
      <c r="C146" s="244" t="str">
        <f>_xlfn.XLOOKUP(PRECIFICAÇÃO[[#This Row],[INVOICE]],'Base de Dados'!D:D,'Base de Dados'!X:X)</f>
        <v>CONCLUÍDO</v>
      </c>
      <c r="D146" s="54">
        <v>267943</v>
      </c>
      <c r="E146" s="244" t="s">
        <v>28</v>
      </c>
      <c r="F146" s="245">
        <v>1920</v>
      </c>
      <c r="G146" s="319">
        <v>1.95</v>
      </c>
      <c r="H146" s="246">
        <v>5.2869999999999999</v>
      </c>
      <c r="I146" s="247">
        <f t="shared" si="24"/>
        <v>10.30965</v>
      </c>
      <c r="J146" s="248">
        <f t="shared" si="25"/>
        <v>19794.527999999998</v>
      </c>
      <c r="K146" s="249">
        <f>J146/_xlfn.XLOOKUP(A146,'Base de Dados'!D:D,'Base de Dados'!M:M)</f>
        <v>5.9576415580072171E-2</v>
      </c>
      <c r="L146" s="248">
        <f>K146*_xlfn.XLOOKUP(A146,'Base de Dados'!D:D,'Base de Dados'!N:N)</f>
        <v>1443.2404547197157</v>
      </c>
      <c r="M146" s="250">
        <f t="shared" si="26"/>
        <v>21237.768454719713</v>
      </c>
      <c r="N146" s="251">
        <f t="shared" si="27"/>
        <v>11.061337736833185</v>
      </c>
      <c r="O146" s="252">
        <f t="shared" si="28"/>
        <v>0.44079731899999997</v>
      </c>
      <c r="P146" s="253">
        <f t="shared" si="29"/>
        <v>25</v>
      </c>
      <c r="Q146" s="252">
        <f t="shared" si="30"/>
        <v>0.5575464905266726</v>
      </c>
      <c r="R146" s="252">
        <v>0.54079731899999994</v>
      </c>
      <c r="S146" s="252">
        <f t="shared" si="31"/>
        <v>1.6749171526672657E-2</v>
      </c>
      <c r="T146" s="253">
        <f t="shared" si="32"/>
        <v>35</v>
      </c>
      <c r="U146" s="252">
        <f t="shared" si="33"/>
        <v>0.2857142857142857</v>
      </c>
      <c r="V146" s="290">
        <v>127001006</v>
      </c>
      <c r="W146" s="252" t="s">
        <v>502</v>
      </c>
    </row>
    <row r="147" spans="1:23" ht="14.4" x14ac:dyDescent="0.3">
      <c r="A147" s="54" t="s">
        <v>351</v>
      </c>
      <c r="B147" s="244" t="str">
        <f>_xlfn.XLOOKUP(A147,'Base de Dados'!D:D,'Base de Dados'!B:B)</f>
        <v>TIMBRO SWISS SA</v>
      </c>
      <c r="C147" s="244" t="str">
        <f>_xlfn.XLOOKUP(PRECIFICAÇÃO[[#This Row],[INVOICE]],'Base de Dados'!D:D,'Base de Dados'!X:X)</f>
        <v>CONCLUÍDO</v>
      </c>
      <c r="D147" s="54">
        <v>267942</v>
      </c>
      <c r="E147" s="244" t="s">
        <v>27</v>
      </c>
      <c r="F147" s="245">
        <v>1920</v>
      </c>
      <c r="G147" s="319">
        <v>1.46</v>
      </c>
      <c r="H147" s="246">
        <v>5.2869999999999999</v>
      </c>
      <c r="I147" s="247">
        <f t="shared" si="24"/>
        <v>7.7190199999999995</v>
      </c>
      <c r="J147" s="248">
        <f t="shared" si="25"/>
        <v>14820.518399999999</v>
      </c>
      <c r="K147" s="249">
        <f>J147/_xlfn.XLOOKUP(A147,'Base de Dados'!D:D,'Base de Dados'!M:M)</f>
        <v>4.460593166507968E-2</v>
      </c>
      <c r="L147" s="248">
        <f>K147*_xlfn.XLOOKUP(A147,'Base de Dados'!D:D,'Base de Dados'!N:N)</f>
        <v>1080.5800327645052</v>
      </c>
      <c r="M147" s="250">
        <f t="shared" si="26"/>
        <v>15901.098432764504</v>
      </c>
      <c r="N147" s="251">
        <f t="shared" si="27"/>
        <v>8.2818221003981787</v>
      </c>
      <c r="O147" s="252">
        <f t="shared" si="28"/>
        <v>0.44079731899999997</v>
      </c>
      <c r="P147" s="253">
        <f t="shared" si="29"/>
        <v>19</v>
      </c>
      <c r="Q147" s="252">
        <f t="shared" si="30"/>
        <v>0.56411462629483267</v>
      </c>
      <c r="R147" s="252">
        <v>0.54079731899999994</v>
      </c>
      <c r="S147" s="252">
        <f t="shared" si="31"/>
        <v>2.3317307294832723E-2</v>
      </c>
      <c r="T147" s="253">
        <f t="shared" si="32"/>
        <v>29</v>
      </c>
      <c r="U147" s="252">
        <f t="shared" si="33"/>
        <v>0.34482758620689657</v>
      </c>
      <c r="V147" s="290">
        <v>127001006</v>
      </c>
      <c r="W147" s="252" t="s">
        <v>502</v>
      </c>
    </row>
    <row r="148" spans="1:23" ht="14.4" x14ac:dyDescent="0.3">
      <c r="A148" s="54" t="s">
        <v>351</v>
      </c>
      <c r="B148" s="244" t="str">
        <f>_xlfn.XLOOKUP(A148,'Base de Dados'!D:D,'Base de Dados'!B:B)</f>
        <v>TIMBRO SWISS SA</v>
      </c>
      <c r="C148" s="244" t="str">
        <f>_xlfn.XLOOKUP(PRECIFICAÇÃO[[#This Row],[INVOICE]],'Base de Dados'!D:D,'Base de Dados'!X:X)</f>
        <v>CONCLUÍDO</v>
      </c>
      <c r="D148" s="54">
        <v>267941</v>
      </c>
      <c r="E148" s="244" t="s">
        <v>26</v>
      </c>
      <c r="F148" s="245">
        <v>1224</v>
      </c>
      <c r="G148" s="319">
        <v>1.53</v>
      </c>
      <c r="H148" s="246">
        <v>5.2869999999999999</v>
      </c>
      <c r="I148" s="247">
        <f t="shared" si="24"/>
        <v>8.0891099999999998</v>
      </c>
      <c r="J148" s="248">
        <f t="shared" si="25"/>
        <v>9901.0706399999999</v>
      </c>
      <c r="K148" s="249">
        <f>J148/_xlfn.XLOOKUP(A148,'Base de Dados'!D:D,'Base de Dados'!M:M)</f>
        <v>2.9799664793032254E-2</v>
      </c>
      <c r="L148" s="248">
        <f>K148*_xlfn.XLOOKUP(A148,'Base de Dados'!D:D,'Base de Dados'!N:N)</f>
        <v>721.89777360115011</v>
      </c>
      <c r="M148" s="250">
        <f t="shared" si="26"/>
        <v>10622.968413601149</v>
      </c>
      <c r="N148" s="251">
        <f t="shared" si="27"/>
        <v>8.6788957627460377</v>
      </c>
      <c r="O148" s="252">
        <f t="shared" si="28"/>
        <v>0.42527551200000002</v>
      </c>
      <c r="P148" s="253">
        <f t="shared" si="29"/>
        <v>20</v>
      </c>
      <c r="Q148" s="252">
        <f t="shared" si="30"/>
        <v>0.56605521186269814</v>
      </c>
      <c r="R148" s="252">
        <v>0.525275512</v>
      </c>
      <c r="S148" s="252">
        <f t="shared" si="31"/>
        <v>4.0779699862698138E-2</v>
      </c>
      <c r="T148" s="253">
        <f t="shared" si="32"/>
        <v>30</v>
      </c>
      <c r="U148" s="252">
        <f t="shared" si="33"/>
        <v>0.33333333333333331</v>
      </c>
      <c r="V148" s="290">
        <v>127001002</v>
      </c>
      <c r="W148" s="252" t="s">
        <v>501</v>
      </c>
    </row>
    <row r="149" spans="1:23" ht="14.4" x14ac:dyDescent="0.3">
      <c r="A149" s="54" t="s">
        <v>351</v>
      </c>
      <c r="B149" s="244" t="str">
        <f>_xlfn.XLOOKUP(A149,'Base de Dados'!D:D,'Base de Dados'!B:B)</f>
        <v>TIMBRO SWISS SA</v>
      </c>
      <c r="C149" s="244" t="str">
        <f>_xlfn.XLOOKUP(PRECIFICAÇÃO[[#This Row],[INVOICE]],'Base de Dados'!D:D,'Base de Dados'!X:X)</f>
        <v>CONCLUÍDO</v>
      </c>
      <c r="D149" s="54">
        <v>267940</v>
      </c>
      <c r="E149" s="244" t="s">
        <v>25</v>
      </c>
      <c r="F149" s="245">
        <v>1110</v>
      </c>
      <c r="G149" s="319">
        <v>2.21</v>
      </c>
      <c r="H149" s="246">
        <v>5.2869999999999999</v>
      </c>
      <c r="I149" s="247">
        <f t="shared" si="24"/>
        <v>11.68427</v>
      </c>
      <c r="J149" s="248">
        <f t="shared" si="25"/>
        <v>12969.539699999999</v>
      </c>
      <c r="K149" s="249">
        <f>J149/_xlfn.XLOOKUP(A149,'Base de Dados'!D:D,'Base de Dados'!M:M)</f>
        <v>3.9034963958193121E-2</v>
      </c>
      <c r="L149" s="248">
        <f>K149*_xlfn.XLOOKUP(A149,'Base de Dados'!D:D,'Base de Dados'!N:N)</f>
        <v>945.62317293614706</v>
      </c>
      <c r="M149" s="250">
        <f t="shared" si="26"/>
        <v>13915.162872936147</v>
      </c>
      <c r="N149" s="251">
        <f t="shared" si="27"/>
        <v>12.536182768410944</v>
      </c>
      <c r="O149" s="252">
        <f t="shared" si="28"/>
        <v>0.42527551200000002</v>
      </c>
      <c r="P149" s="253">
        <f t="shared" si="29"/>
        <v>29</v>
      </c>
      <c r="Q149" s="252">
        <f t="shared" si="30"/>
        <v>0.56771783557203637</v>
      </c>
      <c r="R149" s="252">
        <v>0.525275512</v>
      </c>
      <c r="S149" s="252">
        <f t="shared" si="31"/>
        <v>4.2442323572036367E-2</v>
      </c>
      <c r="T149" s="253">
        <f t="shared" si="32"/>
        <v>39</v>
      </c>
      <c r="U149" s="252">
        <f t="shared" si="33"/>
        <v>0.25641025641025639</v>
      </c>
      <c r="V149" s="290">
        <v>127001002</v>
      </c>
      <c r="W149" s="252" t="s">
        <v>501</v>
      </c>
    </row>
    <row r="150" spans="1:23" ht="14.4" x14ac:dyDescent="0.3">
      <c r="A150" s="54" t="s">
        <v>351</v>
      </c>
      <c r="B150" s="244" t="str">
        <f>_xlfn.XLOOKUP(A150,'Base de Dados'!D:D,'Base de Dados'!B:B)</f>
        <v>TIMBRO SWISS SA</v>
      </c>
      <c r="C150" s="244" t="str">
        <f>_xlfn.XLOOKUP(PRECIFICAÇÃO[[#This Row],[INVOICE]],'Base de Dados'!D:D,'Base de Dados'!X:X)</f>
        <v>CONCLUÍDO</v>
      </c>
      <c r="D150" s="54">
        <v>267939</v>
      </c>
      <c r="E150" s="244" t="s">
        <v>24</v>
      </c>
      <c r="F150" s="245">
        <v>1164</v>
      </c>
      <c r="G150" s="319">
        <v>2.1</v>
      </c>
      <c r="H150" s="246">
        <v>5.2869999999999999</v>
      </c>
      <c r="I150" s="247">
        <f t="shared" si="24"/>
        <v>11.1027</v>
      </c>
      <c r="J150" s="248">
        <f t="shared" si="25"/>
        <v>12923.542800000001</v>
      </c>
      <c r="K150" s="249">
        <f>J150/_xlfn.XLOOKUP(A150,'Base de Dados'!D:D,'Base de Dados'!M:M)</f>
        <v>3.8896525171989431E-2</v>
      </c>
      <c r="L150" s="248">
        <f>K150*_xlfn.XLOOKUP(A150,'Base de Dados'!D:D,'Base de Dados'!N:N)</f>
        <v>942.26948918719904</v>
      </c>
      <c r="M150" s="250">
        <f t="shared" si="26"/>
        <v>13865.812289187201</v>
      </c>
      <c r="N150" s="251">
        <f t="shared" si="27"/>
        <v>11.91220987043574</v>
      </c>
      <c r="O150" s="252">
        <f t="shared" si="28"/>
        <v>0.42527551200000002</v>
      </c>
      <c r="P150" s="253">
        <f t="shared" si="29"/>
        <v>28</v>
      </c>
      <c r="Q150" s="252">
        <f t="shared" si="30"/>
        <v>0.57456393319872368</v>
      </c>
      <c r="R150" s="252">
        <v>0.525275512</v>
      </c>
      <c r="S150" s="252">
        <f t="shared" si="31"/>
        <v>4.9288421198723675E-2</v>
      </c>
      <c r="T150" s="253">
        <f t="shared" si="32"/>
        <v>38</v>
      </c>
      <c r="U150" s="252">
        <f t="shared" si="33"/>
        <v>0.26315789473684209</v>
      </c>
      <c r="V150" s="290">
        <v>127001002</v>
      </c>
      <c r="W150" s="252" t="s">
        <v>501</v>
      </c>
    </row>
    <row r="151" spans="1:23" ht="14.4" x14ac:dyDescent="0.3">
      <c r="A151" s="54" t="s">
        <v>351</v>
      </c>
      <c r="B151" s="244" t="str">
        <f>_xlfn.XLOOKUP(A151,'Base de Dados'!D:D,'Base de Dados'!B:B)</f>
        <v>TIMBRO SWISS SA</v>
      </c>
      <c r="C151" s="244" t="str">
        <f>_xlfn.XLOOKUP(PRECIFICAÇÃO[[#This Row],[INVOICE]],'Base de Dados'!D:D,'Base de Dados'!X:X)</f>
        <v>CONCLUÍDO</v>
      </c>
      <c r="D151" s="54">
        <v>267938</v>
      </c>
      <c r="E151" s="244" t="s">
        <v>23</v>
      </c>
      <c r="F151" s="245">
        <v>1320</v>
      </c>
      <c r="G151" s="319">
        <v>2.15</v>
      </c>
      <c r="H151" s="246">
        <v>5.2869999999999999</v>
      </c>
      <c r="I151" s="247">
        <f t="shared" si="24"/>
        <v>11.367049999999999</v>
      </c>
      <c r="J151" s="248">
        <f t="shared" si="25"/>
        <v>15004.505999999999</v>
      </c>
      <c r="K151" s="249">
        <f>J151/_xlfn.XLOOKUP(A151,'Base de Dados'!D:D,'Base de Dados'!M:M)</f>
        <v>4.5159686809894455E-2</v>
      </c>
      <c r="L151" s="248">
        <f>K151*_xlfn.XLOOKUP(A151,'Base de Dados'!D:D,'Base de Dados'!N:N)</f>
        <v>1093.9947677602975</v>
      </c>
      <c r="M151" s="250">
        <f t="shared" si="26"/>
        <v>16098.500767760297</v>
      </c>
      <c r="N151" s="251">
        <f t="shared" si="27"/>
        <v>12.195833914969922</v>
      </c>
      <c r="O151" s="252">
        <f t="shared" si="28"/>
        <v>0.40920539999999994</v>
      </c>
      <c r="P151" s="253">
        <f t="shared" si="29"/>
        <v>30</v>
      </c>
      <c r="Q151" s="252">
        <f t="shared" si="30"/>
        <v>0.59347220283433588</v>
      </c>
      <c r="R151" s="252">
        <v>0.50920539999999992</v>
      </c>
      <c r="S151" s="252">
        <f t="shared" si="31"/>
        <v>8.4266802834335963E-2</v>
      </c>
      <c r="T151" s="253">
        <f t="shared" si="32"/>
        <v>40</v>
      </c>
      <c r="U151" s="252">
        <f t="shared" si="33"/>
        <v>0.25</v>
      </c>
      <c r="V151" s="290">
        <v>127001014</v>
      </c>
      <c r="W151" s="252" t="s">
        <v>500</v>
      </c>
    </row>
    <row r="152" spans="1:23" ht="14.4" x14ac:dyDescent="0.3">
      <c r="A152" s="54" t="s">
        <v>355</v>
      </c>
      <c r="B152" s="244" t="str">
        <f>_xlfn.XLOOKUP(A152,'Base de Dados'!D:D,'Base de Dados'!B:B)</f>
        <v>TIMBRO SWISS SA</v>
      </c>
      <c r="C152" s="244" t="str">
        <f>_xlfn.XLOOKUP(PRECIFICAÇÃO[[#This Row],[INVOICE]],'Base de Dados'!D:D,'Base de Dados'!X:X)</f>
        <v>CONCLUÍDO</v>
      </c>
      <c r="D152" s="54">
        <v>267869</v>
      </c>
      <c r="E152" s="244" t="s">
        <v>17</v>
      </c>
      <c r="F152" s="245">
        <v>1980</v>
      </c>
      <c r="G152" s="319">
        <v>0.74</v>
      </c>
      <c r="H152" s="246">
        <v>5.1596000000000002</v>
      </c>
      <c r="I152" s="247">
        <f t="shared" si="24"/>
        <v>3.8181039999999999</v>
      </c>
      <c r="J152" s="248">
        <f t="shared" si="25"/>
        <v>7559.8459199999998</v>
      </c>
      <c r="K152" s="249">
        <f>J152/_xlfn.XLOOKUP(A152,'Base de Dados'!D:D,'Base de Dados'!M:M)</f>
        <v>4.4861337189429785E-2</v>
      </c>
      <c r="L152" s="248">
        <f>K152*_xlfn.XLOOKUP(A152,'Base de Dados'!D:D,'Base de Dados'!N:N)</f>
        <v>539.54864821738772</v>
      </c>
      <c r="M152" s="250">
        <f t="shared" si="26"/>
        <v>8099.3945682173871</v>
      </c>
      <c r="N152" s="251">
        <f t="shared" si="27"/>
        <v>4.0906033172815084</v>
      </c>
      <c r="O152" s="252">
        <f t="shared" si="28"/>
        <v>0.40920539999999994</v>
      </c>
      <c r="P152" s="253">
        <f t="shared" si="29"/>
        <v>10</v>
      </c>
      <c r="Q152" s="252">
        <f t="shared" si="30"/>
        <v>0.59093966827184918</v>
      </c>
      <c r="R152" s="252">
        <v>0.50920539999999992</v>
      </c>
      <c r="S152" s="252">
        <f t="shared" si="31"/>
        <v>8.1734268271849264E-2</v>
      </c>
      <c r="T152" s="253">
        <f t="shared" si="32"/>
        <v>20</v>
      </c>
      <c r="U152" s="252">
        <f t="shared" si="33"/>
        <v>0.5</v>
      </c>
      <c r="V152" s="290">
        <v>127001014</v>
      </c>
      <c r="W152" s="252" t="s">
        <v>500</v>
      </c>
    </row>
    <row r="153" spans="1:23" ht="14.4" x14ac:dyDescent="0.3">
      <c r="A153" s="54" t="s">
        <v>355</v>
      </c>
      <c r="B153" s="244" t="str">
        <f>_xlfn.XLOOKUP(A153,'Base de Dados'!D:D,'Base de Dados'!B:B)</f>
        <v>TIMBRO SWISS SA</v>
      </c>
      <c r="C153" s="244" t="str">
        <f>_xlfn.XLOOKUP(PRECIFICAÇÃO[[#This Row],[INVOICE]],'Base de Dados'!D:D,'Base de Dados'!X:X)</f>
        <v>CONCLUÍDO</v>
      </c>
      <c r="D153" s="54">
        <v>267870</v>
      </c>
      <c r="E153" s="244" t="s">
        <v>18</v>
      </c>
      <c r="F153" s="245">
        <v>5136</v>
      </c>
      <c r="G153" s="319">
        <v>0.95</v>
      </c>
      <c r="H153" s="246">
        <v>5.1596000000000002</v>
      </c>
      <c r="I153" s="247">
        <f t="shared" si="24"/>
        <v>4.9016200000000003</v>
      </c>
      <c r="J153" s="248">
        <f t="shared" si="25"/>
        <v>25174.72032</v>
      </c>
      <c r="K153" s="249">
        <f>J153/_xlfn.XLOOKUP(A153,'Base de Dados'!D:D,'Base de Dados'!M:M)</f>
        <v>0.14939082474383417</v>
      </c>
      <c r="L153" s="248">
        <f>K153*_xlfn.XLOOKUP(A153,'Base de Dados'!D:D,'Base de Dados'!N:N)</f>
        <v>1796.7279309188359</v>
      </c>
      <c r="M153" s="250">
        <f t="shared" si="26"/>
        <v>26971.448250918835</v>
      </c>
      <c r="N153" s="251">
        <f t="shared" si="27"/>
        <v>5.2514502046181528</v>
      </c>
      <c r="O153" s="252">
        <f t="shared" si="28"/>
        <v>0.40920539999999994</v>
      </c>
      <c r="P153" s="253">
        <f t="shared" si="29"/>
        <v>13</v>
      </c>
      <c r="Q153" s="252">
        <f t="shared" si="30"/>
        <v>0.59604229195244973</v>
      </c>
      <c r="R153" s="252">
        <v>0.50920539999999992</v>
      </c>
      <c r="S153" s="252">
        <f t="shared" si="31"/>
        <v>8.6836891952449813E-2</v>
      </c>
      <c r="T153" s="253">
        <f t="shared" si="32"/>
        <v>23</v>
      </c>
      <c r="U153" s="252">
        <f t="shared" si="33"/>
        <v>0.43478260869565216</v>
      </c>
      <c r="V153" s="290">
        <v>127001014</v>
      </c>
      <c r="W153" s="252" t="s">
        <v>500</v>
      </c>
    </row>
    <row r="154" spans="1:23" ht="14.4" x14ac:dyDescent="0.3">
      <c r="A154" s="49" t="s">
        <v>355</v>
      </c>
      <c r="B154" s="277" t="str">
        <f>_xlfn.XLOOKUP(A154,'Base de Dados'!D:D,'Base de Dados'!B:B)</f>
        <v>TIMBRO SWISS SA</v>
      </c>
      <c r="C154" s="277" t="str">
        <f>_xlfn.XLOOKUP(PRECIFICAÇÃO[[#This Row],[INVOICE]],'Base de Dados'!D:D,'Base de Dados'!X:X)</f>
        <v>CONCLUÍDO</v>
      </c>
      <c r="D154" s="49">
        <v>267931</v>
      </c>
      <c r="E154" s="277" t="s">
        <v>19</v>
      </c>
      <c r="F154" s="278">
        <v>720</v>
      </c>
      <c r="G154" s="320">
        <v>2.99</v>
      </c>
      <c r="H154" s="279">
        <v>5.1596000000000002</v>
      </c>
      <c r="I154" s="280">
        <f t="shared" si="24"/>
        <v>15.427204000000001</v>
      </c>
      <c r="J154" s="281">
        <f t="shared" si="25"/>
        <v>11107.586880000001</v>
      </c>
      <c r="K154" s="282">
        <f>J154/_xlfn.XLOOKUP(A154,'Base de Dados'!D:D,'Base de Dados'!M:M)</f>
        <v>6.591420058790913E-2</v>
      </c>
      <c r="L154" s="281">
        <f>K154*_xlfn.XLOOKUP(A154,'Base de Dados'!D:D,'Base de Dados'!N:N)</f>
        <v>792.75206789680078</v>
      </c>
      <c r="M154" s="283">
        <f t="shared" si="26"/>
        <v>11900.338947896802</v>
      </c>
      <c r="N154" s="284">
        <f t="shared" si="27"/>
        <v>16.528248538745558</v>
      </c>
      <c r="O154" s="285">
        <f t="shared" si="28"/>
        <v>0.40920539999999994</v>
      </c>
      <c r="P154" s="286">
        <f t="shared" si="29"/>
        <v>40</v>
      </c>
      <c r="Q154" s="285">
        <f t="shared" si="30"/>
        <v>0.58679378653136105</v>
      </c>
      <c r="R154" s="285">
        <v>0.50920539999999992</v>
      </c>
      <c r="S154" s="285">
        <f t="shared" si="31"/>
        <v>7.7588386531361131E-2</v>
      </c>
      <c r="T154" s="286">
        <f t="shared" si="32"/>
        <v>50</v>
      </c>
      <c r="U154" s="285">
        <f t="shared" si="33"/>
        <v>0.2</v>
      </c>
      <c r="V154" s="290">
        <v>127001014</v>
      </c>
      <c r="W154" s="252" t="s">
        <v>500</v>
      </c>
    </row>
    <row r="155" spans="1:23" ht="14.4" x14ac:dyDescent="0.3">
      <c r="A155" s="54" t="s">
        <v>355</v>
      </c>
      <c r="B155" s="244" t="str">
        <f>_xlfn.XLOOKUP(A155,'Base de Dados'!D:D,'Base de Dados'!B:B)</f>
        <v>TIMBRO SWISS SA</v>
      </c>
      <c r="C155" s="244" t="str">
        <f>_xlfn.XLOOKUP(PRECIFICAÇÃO[[#This Row],[INVOICE]],'Base de Dados'!D:D,'Base de Dados'!X:X)</f>
        <v>CONCLUÍDO</v>
      </c>
      <c r="D155" s="54">
        <v>267932</v>
      </c>
      <c r="E155" s="244" t="s">
        <v>20</v>
      </c>
      <c r="F155" s="245">
        <v>840</v>
      </c>
      <c r="G155" s="319">
        <v>2.38</v>
      </c>
      <c r="H155" s="246">
        <v>5.1596000000000002</v>
      </c>
      <c r="I155" s="247">
        <f t="shared" si="24"/>
        <v>12.279847999999999</v>
      </c>
      <c r="J155" s="248">
        <f t="shared" si="25"/>
        <v>10315.072319999999</v>
      </c>
      <c r="K155" s="249">
        <f>J155/_xlfn.XLOOKUP(A155,'Base de Dados'!D:D,'Base de Dados'!M:M)</f>
        <v>6.1211292184758417E-2</v>
      </c>
      <c r="L155" s="248">
        <f>K155*_xlfn.XLOOKUP(A155,'Base de Dados'!D:D,'Base de Dados'!N:N)</f>
        <v>736.19004744485505</v>
      </c>
      <c r="M155" s="250">
        <f t="shared" si="26"/>
        <v>11051.262367444855</v>
      </c>
      <c r="N155" s="251">
        <f t="shared" si="27"/>
        <v>13.156264723148636</v>
      </c>
      <c r="O155" s="252">
        <f t="shared" si="28"/>
        <v>0.40920539999999994</v>
      </c>
      <c r="P155" s="253">
        <f t="shared" si="29"/>
        <v>32</v>
      </c>
      <c r="Q155" s="252">
        <f t="shared" si="30"/>
        <v>0.58886672740160506</v>
      </c>
      <c r="R155" s="252">
        <v>0.50920539999999992</v>
      </c>
      <c r="S155" s="252">
        <f t="shared" si="31"/>
        <v>7.9661327401605142E-2</v>
      </c>
      <c r="T155" s="253">
        <f t="shared" si="32"/>
        <v>42</v>
      </c>
      <c r="U155" s="252">
        <f t="shared" si="33"/>
        <v>0.23809523809523808</v>
      </c>
      <c r="V155" s="290">
        <v>127001014</v>
      </c>
      <c r="W155" s="252" t="s">
        <v>500</v>
      </c>
    </row>
    <row r="156" spans="1:23" ht="14.4" x14ac:dyDescent="0.3">
      <c r="A156" s="49" t="s">
        <v>355</v>
      </c>
      <c r="B156" s="277" t="str">
        <f>_xlfn.XLOOKUP(A156,'Base de Dados'!D:D,'Base de Dados'!B:B)</f>
        <v>TIMBRO SWISS SA</v>
      </c>
      <c r="C156" s="277" t="str">
        <f>_xlfn.XLOOKUP(PRECIFICAÇÃO[[#This Row],[INVOICE]],'Base de Dados'!D:D,'Base de Dados'!X:X)</f>
        <v>CONCLUÍDO</v>
      </c>
      <c r="D156" s="49">
        <v>267937</v>
      </c>
      <c r="E156" s="277" t="s">
        <v>22</v>
      </c>
      <c r="F156" s="278">
        <v>1680</v>
      </c>
      <c r="G156" s="320">
        <v>1.79</v>
      </c>
      <c r="H156" s="279">
        <v>5.1596000000000002</v>
      </c>
      <c r="I156" s="280">
        <f t="shared" si="24"/>
        <v>9.2356840000000009</v>
      </c>
      <c r="J156" s="281">
        <f t="shared" si="25"/>
        <v>15515.949120000001</v>
      </c>
      <c r="K156" s="282">
        <f>J156/_xlfn.XLOOKUP(A156,'Base de Dados'!D:D,'Base de Dados'!M:M)</f>
        <v>9.2074128580434941E-2</v>
      </c>
      <c r="L156" s="281">
        <f>K156*_xlfn.XLOOKUP(A156,'Base de Dados'!D:D,'Base de Dados'!N:N)</f>
        <v>1107.3783066607484</v>
      </c>
      <c r="M156" s="283">
        <f t="shared" si="26"/>
        <v>16623.327426660748</v>
      </c>
      <c r="N156" s="284">
        <f t="shared" si="27"/>
        <v>9.8948377539647314</v>
      </c>
      <c r="O156" s="285">
        <f t="shared" si="28"/>
        <v>0.40920539999999994</v>
      </c>
      <c r="P156" s="286">
        <f t="shared" si="29"/>
        <v>24</v>
      </c>
      <c r="Q156" s="285">
        <f t="shared" si="30"/>
        <v>0.58771509358480289</v>
      </c>
      <c r="R156" s="285">
        <v>0.50920539999999992</v>
      </c>
      <c r="S156" s="285">
        <f t="shared" si="31"/>
        <v>7.8509693584802975E-2</v>
      </c>
      <c r="T156" s="286">
        <f t="shared" si="32"/>
        <v>34</v>
      </c>
      <c r="U156" s="285">
        <f t="shared" si="33"/>
        <v>0.29411764705882354</v>
      </c>
      <c r="V156" s="290">
        <v>127001014</v>
      </c>
      <c r="W156" s="252" t="s">
        <v>500</v>
      </c>
    </row>
    <row r="157" spans="1:23" ht="14.4" x14ac:dyDescent="0.3">
      <c r="A157" s="54" t="s">
        <v>355</v>
      </c>
      <c r="B157" s="244" t="str">
        <f>_xlfn.XLOOKUP(A157,'Base de Dados'!D:D,'Base de Dados'!B:B)</f>
        <v>TIMBRO SWISS SA</v>
      </c>
      <c r="C157" s="244" t="str">
        <f>_xlfn.XLOOKUP(PRECIFICAÇÃO[[#This Row],[INVOICE]],'Base de Dados'!D:D,'Base de Dados'!X:X)</f>
        <v>CONCLUÍDO</v>
      </c>
      <c r="D157" s="54">
        <v>268132</v>
      </c>
      <c r="E157" s="244" t="s">
        <v>33</v>
      </c>
      <c r="F157" s="245">
        <v>756</v>
      </c>
      <c r="G157" s="319">
        <v>3.94</v>
      </c>
      <c r="H157" s="246">
        <v>5.1596000000000002</v>
      </c>
      <c r="I157" s="247">
        <f t="shared" si="24"/>
        <v>20.328824000000001</v>
      </c>
      <c r="J157" s="248">
        <f t="shared" si="25"/>
        <v>15368.590944000001</v>
      </c>
      <c r="K157" s="249">
        <f>J157/_xlfn.XLOOKUP(A157,'Base de Dados'!D:D,'Base de Dados'!M:M)</f>
        <v>9.1199681549224101E-2</v>
      </c>
      <c r="L157" s="248">
        <f>K157*_xlfn.XLOOKUP(A157,'Base de Dados'!D:D,'Base de Dados'!N:N)</f>
        <v>1096.8613059829647</v>
      </c>
      <c r="M157" s="250">
        <f t="shared" si="26"/>
        <v>16465.452249982965</v>
      </c>
      <c r="N157" s="251">
        <f t="shared" si="27"/>
        <v>21.77969874336371</v>
      </c>
      <c r="O157" s="252">
        <f t="shared" si="28"/>
        <v>0.40920539999999994</v>
      </c>
      <c r="P157" s="253">
        <f t="shared" si="29"/>
        <v>53</v>
      </c>
      <c r="Q157" s="252">
        <f t="shared" si="30"/>
        <v>0.58906228786106207</v>
      </c>
      <c r="R157" s="252">
        <v>0.50920539999999992</v>
      </c>
      <c r="S157" s="252">
        <f t="shared" si="31"/>
        <v>7.9856887861062154E-2</v>
      </c>
      <c r="T157" s="253">
        <f t="shared" si="32"/>
        <v>63</v>
      </c>
      <c r="U157" s="252">
        <f t="shared" si="33"/>
        <v>0.15873015873015872</v>
      </c>
      <c r="V157" s="290">
        <v>127001014</v>
      </c>
      <c r="W157" s="252" t="s">
        <v>500</v>
      </c>
    </row>
    <row r="158" spans="1:23" ht="14.4" x14ac:dyDescent="0.3">
      <c r="A158" s="54" t="s">
        <v>355</v>
      </c>
      <c r="B158" s="244" t="str">
        <f>_xlfn.XLOOKUP(A158,'Base de Dados'!D:D,'Base de Dados'!B:B)</f>
        <v>TIMBRO SWISS SA</v>
      </c>
      <c r="C158" s="244" t="str">
        <f>_xlfn.XLOOKUP(PRECIFICAÇÃO[[#This Row],[INVOICE]],'Base de Dados'!D:D,'Base de Dados'!X:X)</f>
        <v>CONCLUÍDO</v>
      </c>
      <c r="D158" s="54">
        <v>268133</v>
      </c>
      <c r="E158" s="244" t="s">
        <v>34</v>
      </c>
      <c r="F158" s="245">
        <v>4200</v>
      </c>
      <c r="G158" s="319">
        <v>1.28</v>
      </c>
      <c r="H158" s="246">
        <v>5.1596000000000002</v>
      </c>
      <c r="I158" s="247">
        <f t="shared" si="24"/>
        <v>6.6042880000000004</v>
      </c>
      <c r="J158" s="248">
        <f t="shared" si="25"/>
        <v>27738.009600000001</v>
      </c>
      <c r="K158" s="249">
        <f>J158/_xlfn.XLOOKUP(A158,'Base de Dados'!D:D,'Base de Dados'!M:M)</f>
        <v>0.16460179411027476</v>
      </c>
      <c r="L158" s="248">
        <f>K158*_xlfn.XLOOKUP(A158,'Base de Dados'!D:D,'Base de Dados'!N:N)</f>
        <v>1979.670715818098</v>
      </c>
      <c r="M158" s="250">
        <f t="shared" si="26"/>
        <v>29717.680315818099</v>
      </c>
      <c r="N158" s="251">
        <f t="shared" si="27"/>
        <v>7.0756381704328808</v>
      </c>
      <c r="O158" s="252">
        <f t="shared" si="28"/>
        <v>0.40920539999999994</v>
      </c>
      <c r="P158" s="253">
        <f t="shared" si="29"/>
        <v>17</v>
      </c>
      <c r="Q158" s="252">
        <f t="shared" si="30"/>
        <v>0.58378598997453635</v>
      </c>
      <c r="R158" s="252">
        <v>0.50920539999999992</v>
      </c>
      <c r="S158" s="252">
        <f t="shared" si="31"/>
        <v>7.4580589974536426E-2</v>
      </c>
      <c r="T158" s="253">
        <f t="shared" si="32"/>
        <v>27</v>
      </c>
      <c r="U158" s="252">
        <f t="shared" si="33"/>
        <v>0.37037037037037035</v>
      </c>
      <c r="V158" s="290">
        <v>127001014</v>
      </c>
      <c r="W158" s="252" t="s">
        <v>500</v>
      </c>
    </row>
    <row r="159" spans="1:23" ht="14.4" x14ac:dyDescent="0.3">
      <c r="A159" s="54" t="s">
        <v>355</v>
      </c>
      <c r="B159" s="244" t="str">
        <f>_xlfn.XLOOKUP(A159,'Base de Dados'!D:D,'Base de Dados'!B:B)</f>
        <v>TIMBRO SWISS SA</v>
      </c>
      <c r="C159" s="244" t="str">
        <f>_xlfn.XLOOKUP(PRECIFICAÇÃO[[#This Row],[INVOICE]],'Base de Dados'!D:D,'Base de Dados'!X:X)</f>
        <v>CONCLUÍDO</v>
      </c>
      <c r="D159" s="54">
        <v>269686</v>
      </c>
      <c r="E159" s="244" t="s">
        <v>35</v>
      </c>
      <c r="F159" s="245">
        <v>1680</v>
      </c>
      <c r="G159" s="319">
        <v>1.73</v>
      </c>
      <c r="H159" s="246">
        <v>5.1596000000000002</v>
      </c>
      <c r="I159" s="247">
        <f t="shared" si="24"/>
        <v>8.926108000000001</v>
      </c>
      <c r="J159" s="248">
        <f t="shared" si="25"/>
        <v>14995.861440000002</v>
      </c>
      <c r="K159" s="249">
        <f>J159/_xlfn.XLOOKUP(A159,'Base de Dados'!D:D,'Base de Dados'!M:M)</f>
        <v>8.8987844940867297E-2</v>
      </c>
      <c r="L159" s="248">
        <f>K159*_xlfn.XLOOKUP(A159,'Base de Dados'!D:D,'Base de Dados'!N:N)</f>
        <v>1070.2594807391592</v>
      </c>
      <c r="M159" s="250">
        <f t="shared" si="26"/>
        <v>16066.120920739162</v>
      </c>
      <c r="N159" s="251">
        <f t="shared" si="27"/>
        <v>9.5631672147256914</v>
      </c>
      <c r="O159" s="252">
        <f t="shared" si="28"/>
        <v>0.40920539999999994</v>
      </c>
      <c r="P159" s="253">
        <f t="shared" si="29"/>
        <v>23</v>
      </c>
      <c r="Q159" s="252">
        <f t="shared" si="30"/>
        <v>0.58421012109888293</v>
      </c>
      <c r="R159" s="252">
        <v>0.50920539999999992</v>
      </c>
      <c r="S159" s="252">
        <f t="shared" si="31"/>
        <v>7.5004721098883009E-2</v>
      </c>
      <c r="T159" s="253">
        <f t="shared" si="32"/>
        <v>33</v>
      </c>
      <c r="U159" s="252">
        <f t="shared" si="33"/>
        <v>0.30303030303030304</v>
      </c>
      <c r="V159" s="290">
        <v>127001014</v>
      </c>
      <c r="W159" s="252" t="s">
        <v>500</v>
      </c>
    </row>
    <row r="160" spans="1:23" ht="14.4" x14ac:dyDescent="0.3">
      <c r="A160" s="54" t="s">
        <v>355</v>
      </c>
      <c r="B160" s="244" t="str">
        <f>_xlfn.XLOOKUP(A160,'Base de Dados'!D:D,'Base de Dados'!B:B)</f>
        <v>TIMBRO SWISS SA</v>
      </c>
      <c r="C160" s="244" t="str">
        <f>_xlfn.XLOOKUP(PRECIFICAÇÃO[[#This Row],[INVOICE]],'Base de Dados'!D:D,'Base de Dados'!X:X)</f>
        <v>CONCLUÍDO</v>
      </c>
      <c r="D160" s="54">
        <v>367985</v>
      </c>
      <c r="E160" s="244" t="s">
        <v>38</v>
      </c>
      <c r="F160" s="245">
        <v>1880</v>
      </c>
      <c r="G160" s="319">
        <v>1.28</v>
      </c>
      <c r="H160" s="246">
        <v>5.1596000000000002</v>
      </c>
      <c r="I160" s="247">
        <f t="shared" si="24"/>
        <v>6.6042880000000004</v>
      </c>
      <c r="J160" s="248">
        <f t="shared" si="25"/>
        <v>12416.061440000001</v>
      </c>
      <c r="K160" s="249">
        <f>J160/_xlfn.XLOOKUP(A160,'Base de Dados'!D:D,'Base de Dados'!M:M)</f>
        <v>7.3678898316027752E-2</v>
      </c>
      <c r="L160" s="248">
        <f>K160*_xlfn.XLOOKUP(A160,'Base de Dados'!D:D,'Base de Dados'!N:N)</f>
        <v>886.13832041381534</v>
      </c>
      <c r="M160" s="250">
        <f t="shared" si="26"/>
        <v>13302.199760413816</v>
      </c>
      <c r="N160" s="251">
        <f t="shared" si="27"/>
        <v>7.0756381704328808</v>
      </c>
      <c r="O160" s="252">
        <f t="shared" si="28"/>
        <v>0.45721011100000009</v>
      </c>
      <c r="P160" s="253">
        <f t="shared" si="29"/>
        <v>15</v>
      </c>
      <c r="Q160" s="252">
        <f t="shared" si="30"/>
        <v>0.52829078863780798</v>
      </c>
      <c r="R160" s="252">
        <v>0.55721011100000006</v>
      </c>
      <c r="S160" s="252">
        <f t="shared" si="31"/>
        <v>-2.8919322362192079E-2</v>
      </c>
      <c r="T160" s="253">
        <f t="shared" si="32"/>
        <v>25</v>
      </c>
      <c r="U160" s="252">
        <f t="shared" si="33"/>
        <v>0.4</v>
      </c>
      <c r="V160" s="290">
        <v>127001027</v>
      </c>
      <c r="W160" s="252" t="s">
        <v>504</v>
      </c>
    </row>
    <row r="161" spans="1:23" ht="14.4" x14ac:dyDescent="0.3">
      <c r="A161" s="49" t="s">
        <v>355</v>
      </c>
      <c r="B161" s="277" t="str">
        <f>_xlfn.XLOOKUP(A161,'Base de Dados'!D:D,'Base de Dados'!B:B)</f>
        <v>TIMBRO SWISS SA</v>
      </c>
      <c r="C161" s="277" t="str">
        <f>_xlfn.XLOOKUP(PRECIFICAÇÃO[[#This Row],[INVOICE]],'Base de Dados'!D:D,'Base de Dados'!X:X)</f>
        <v>CONCLUÍDO</v>
      </c>
      <c r="D161" s="49">
        <v>367987</v>
      </c>
      <c r="E161" s="277" t="s">
        <v>40</v>
      </c>
      <c r="F161" s="278">
        <v>1880</v>
      </c>
      <c r="G161" s="320">
        <v>2.92</v>
      </c>
      <c r="H161" s="279">
        <v>5.1596000000000002</v>
      </c>
      <c r="I161" s="280">
        <f t="shared" si="24"/>
        <v>15.066032</v>
      </c>
      <c r="J161" s="281">
        <f t="shared" si="25"/>
        <v>28324.140159999999</v>
      </c>
      <c r="K161" s="282">
        <f>J161/_xlfn.XLOOKUP(A161,'Base de Dados'!D:D,'Base de Dados'!M:M)</f>
        <v>0.16807998678343827</v>
      </c>
      <c r="L161" s="281">
        <f>K161*_xlfn.XLOOKUP(A161,'Base de Dados'!D:D,'Base de Dados'!N:N)</f>
        <v>2021.5030434440157</v>
      </c>
      <c r="M161" s="283">
        <f t="shared" si="26"/>
        <v>30345.643203444015</v>
      </c>
      <c r="N161" s="284">
        <f t="shared" si="27"/>
        <v>16.141299576300007</v>
      </c>
      <c r="O161" s="285">
        <f t="shared" si="28"/>
        <v>0.45721011100000009</v>
      </c>
      <c r="P161" s="286">
        <f t="shared" si="29"/>
        <v>35</v>
      </c>
      <c r="Q161" s="285">
        <f t="shared" si="30"/>
        <v>0.53882001210571406</v>
      </c>
      <c r="R161" s="285">
        <v>0.55721011100000006</v>
      </c>
      <c r="S161" s="285">
        <f t="shared" si="31"/>
        <v>-1.8390098894286E-2</v>
      </c>
      <c r="T161" s="286">
        <f t="shared" si="32"/>
        <v>45</v>
      </c>
      <c r="U161" s="285">
        <f t="shared" si="33"/>
        <v>0.22222222222222221</v>
      </c>
      <c r="V161" s="290">
        <v>127001027</v>
      </c>
      <c r="W161" s="252" t="s">
        <v>504</v>
      </c>
    </row>
    <row r="162" spans="1:23" ht="14.4" x14ac:dyDescent="0.3">
      <c r="A162" s="54" t="s">
        <v>322</v>
      </c>
      <c r="B162" s="244" t="str">
        <f>_xlfn.XLOOKUP(A162,'Base de Dados'!D:D,'Base de Dados'!B:B)</f>
        <v>TIMBRO SWISS SA</v>
      </c>
      <c r="C162" s="244" t="str">
        <f>_xlfn.XLOOKUP(PRECIFICAÇÃO[[#This Row],[INVOICE]],'Base de Dados'!D:D,'Base de Dados'!X:X)</f>
        <v>CONCLUÍDO</v>
      </c>
      <c r="D162" s="54">
        <v>358237</v>
      </c>
      <c r="E162" s="244" t="s">
        <v>948</v>
      </c>
      <c r="F162" s="245">
        <v>815</v>
      </c>
      <c r="G162" s="319">
        <v>42.75</v>
      </c>
      <c r="H162" s="246">
        <v>5.258</v>
      </c>
      <c r="I162" s="247">
        <f t="shared" si="24"/>
        <v>224.77950000000001</v>
      </c>
      <c r="J162" s="248">
        <f t="shared" si="25"/>
        <v>183195.29250000001</v>
      </c>
      <c r="K162" s="249">
        <f>J162/_xlfn.XLOOKUP(A162,'Base de Dados'!D:D,'Base de Dados'!M:M)</f>
        <v>0.2650473466009915</v>
      </c>
      <c r="L162" s="248">
        <f>K162*_xlfn.XLOOKUP(A162,'Base de Dados'!D:D,'Base de Dados'!N:N)</f>
        <v>20486.198541891798</v>
      </c>
      <c r="M162" s="250">
        <f t="shared" si="26"/>
        <v>203681.4910418918</v>
      </c>
      <c r="N162" s="251">
        <f t="shared" si="27"/>
        <v>249.91593992870159</v>
      </c>
      <c r="O162" s="252">
        <f t="shared" si="28"/>
        <v>0.38095638600000004</v>
      </c>
      <c r="P162" s="253">
        <f t="shared" ref="P162:P179" si="34">ROUND(N162/O162,0)</f>
        <v>656</v>
      </c>
      <c r="Q162" s="252">
        <f t="shared" si="30"/>
        <v>0.61903057937697925</v>
      </c>
      <c r="R162" s="252">
        <v>0.48095638600000001</v>
      </c>
      <c r="S162" s="252">
        <f t="shared" si="31"/>
        <v>0.13807419337697924</v>
      </c>
      <c r="T162" s="253">
        <f t="shared" ref="T162:T179" si="35">P162+10</f>
        <v>666</v>
      </c>
      <c r="U162" s="252">
        <f t="shared" si="33"/>
        <v>1.5015015015015015E-2</v>
      </c>
      <c r="V162" s="290">
        <v>117001001</v>
      </c>
      <c r="W162" s="252" t="s">
        <v>530</v>
      </c>
    </row>
    <row r="163" spans="1:23" ht="14.4" x14ac:dyDescent="0.3">
      <c r="A163" s="54" t="s">
        <v>322</v>
      </c>
      <c r="B163" s="244" t="str">
        <f>_xlfn.XLOOKUP(A163,'Base de Dados'!D:D,'Base de Dados'!B:B)</f>
        <v>TIMBRO SWISS SA</v>
      </c>
      <c r="C163" s="244" t="str">
        <f>_xlfn.XLOOKUP(PRECIFICAÇÃO[[#This Row],[INVOICE]],'Base de Dados'!D:D,'Base de Dados'!X:X)</f>
        <v>CONCLUÍDO</v>
      </c>
      <c r="D163" s="54">
        <v>358235</v>
      </c>
      <c r="E163" s="244" t="s">
        <v>949</v>
      </c>
      <c r="F163" s="245">
        <v>630</v>
      </c>
      <c r="G163" s="319">
        <v>47.71</v>
      </c>
      <c r="H163" s="246">
        <v>5.258</v>
      </c>
      <c r="I163" s="247">
        <f t="shared" si="24"/>
        <v>250.85918000000001</v>
      </c>
      <c r="J163" s="248">
        <f t="shared" si="25"/>
        <v>158041.28340000001</v>
      </c>
      <c r="K163" s="249">
        <f>J163/_xlfn.XLOOKUP(A163,'Base de Dados'!D:D,'Base de Dados'!M:M)</f>
        <v>0.22865447166763483</v>
      </c>
      <c r="L163" s="248">
        <f>K163*_xlfn.XLOOKUP(A163,'Base de Dados'!D:D,'Base de Dados'!N:N)</f>
        <v>17673.298616817832</v>
      </c>
      <c r="M163" s="250">
        <f t="shared" si="26"/>
        <v>175714.58201681785</v>
      </c>
      <c r="N163" s="251">
        <f t="shared" si="27"/>
        <v>278.91203494732991</v>
      </c>
      <c r="O163" s="252">
        <f t="shared" si="28"/>
        <v>0.38095638600000004</v>
      </c>
      <c r="P163" s="253">
        <f t="shared" si="34"/>
        <v>732</v>
      </c>
      <c r="Q163" s="252">
        <f t="shared" si="30"/>
        <v>0.61897262985337442</v>
      </c>
      <c r="R163" s="252">
        <v>0.48095638600000001</v>
      </c>
      <c r="S163" s="252">
        <f t="shared" si="31"/>
        <v>0.13801624385337441</v>
      </c>
      <c r="T163" s="253">
        <f t="shared" si="35"/>
        <v>742</v>
      </c>
      <c r="U163" s="252">
        <f t="shared" si="33"/>
        <v>1.3477088948787063E-2</v>
      </c>
      <c r="V163" s="290">
        <v>117001001</v>
      </c>
      <c r="W163" s="252" t="s">
        <v>530</v>
      </c>
    </row>
    <row r="164" spans="1:23" ht="14.4" x14ac:dyDescent="0.3">
      <c r="A164" s="54" t="s">
        <v>322</v>
      </c>
      <c r="B164" s="244" t="str">
        <f>_xlfn.XLOOKUP(A164,'Base de Dados'!D:D,'Base de Dados'!B:B)</f>
        <v>TIMBRO SWISS SA</v>
      </c>
      <c r="C164" s="244" t="str">
        <f>_xlfn.XLOOKUP(PRECIFICAÇÃO[[#This Row],[INVOICE]],'Base de Dados'!D:D,'Base de Dados'!X:X)</f>
        <v>CONCLUÍDO</v>
      </c>
      <c r="D164" s="54">
        <v>358235</v>
      </c>
      <c r="E164" s="244" t="s">
        <v>949</v>
      </c>
      <c r="F164" s="245">
        <v>630</v>
      </c>
      <c r="G164" s="319">
        <v>47.71</v>
      </c>
      <c r="H164" s="246">
        <v>5.258</v>
      </c>
      <c r="I164" s="247">
        <f t="shared" si="24"/>
        <v>250.85918000000001</v>
      </c>
      <c r="J164" s="248">
        <f t="shared" si="25"/>
        <v>158041.28340000001</v>
      </c>
      <c r="K164" s="249">
        <f>J164/_xlfn.XLOOKUP(A164,'Base de Dados'!D:D,'Base de Dados'!M:M)</f>
        <v>0.22865447166763483</v>
      </c>
      <c r="L164" s="248">
        <f>K164*_xlfn.XLOOKUP(A164,'Base de Dados'!D:D,'Base de Dados'!N:N)</f>
        <v>17673.298616817832</v>
      </c>
      <c r="M164" s="250">
        <f t="shared" si="26"/>
        <v>175714.58201681785</v>
      </c>
      <c r="N164" s="251">
        <f t="shared" si="27"/>
        <v>278.91203494732991</v>
      </c>
      <c r="O164" s="252">
        <f t="shared" si="28"/>
        <v>0.38095638600000004</v>
      </c>
      <c r="P164" s="253">
        <f t="shared" si="34"/>
        <v>732</v>
      </c>
      <c r="Q164" s="252">
        <f t="shared" si="30"/>
        <v>0.61897262985337442</v>
      </c>
      <c r="R164" s="252">
        <v>0.48095638600000001</v>
      </c>
      <c r="S164" s="252">
        <f t="shared" si="31"/>
        <v>0.13801624385337441</v>
      </c>
      <c r="T164" s="253">
        <f t="shared" si="35"/>
        <v>742</v>
      </c>
      <c r="U164" s="252">
        <f t="shared" si="33"/>
        <v>1.3477088948787063E-2</v>
      </c>
      <c r="V164" s="290">
        <v>117001001</v>
      </c>
      <c r="W164" s="252" t="s">
        <v>530</v>
      </c>
    </row>
    <row r="165" spans="1:23" ht="14.4" x14ac:dyDescent="0.3">
      <c r="A165" s="54" t="s">
        <v>322</v>
      </c>
      <c r="B165" s="244" t="str">
        <f>_xlfn.XLOOKUP(A165,'Base de Dados'!D:D,'Base de Dados'!B:B)</f>
        <v>TIMBRO SWISS SA</v>
      </c>
      <c r="C165" s="244" t="str">
        <f>_xlfn.XLOOKUP(PRECIFICAÇÃO[[#This Row],[INVOICE]],'Base de Dados'!D:D,'Base de Dados'!X:X)</f>
        <v>CONCLUÍDO</v>
      </c>
      <c r="D165" s="54">
        <v>358236</v>
      </c>
      <c r="E165" s="244" t="s">
        <v>950</v>
      </c>
      <c r="F165" s="245">
        <v>630</v>
      </c>
      <c r="G165" s="319">
        <v>47.71</v>
      </c>
      <c r="H165" s="246">
        <v>5.258</v>
      </c>
      <c r="I165" s="247">
        <f t="shared" si="24"/>
        <v>250.85918000000001</v>
      </c>
      <c r="J165" s="248">
        <f t="shared" si="25"/>
        <v>158041.28340000001</v>
      </c>
      <c r="K165" s="249">
        <f>J165/_xlfn.XLOOKUP(A165,'Base de Dados'!D:D,'Base de Dados'!M:M)</f>
        <v>0.22865447166763483</v>
      </c>
      <c r="L165" s="248">
        <f>K165*_xlfn.XLOOKUP(A165,'Base de Dados'!D:D,'Base de Dados'!N:N)</f>
        <v>17673.298616817832</v>
      </c>
      <c r="M165" s="250">
        <f t="shared" si="26"/>
        <v>175714.58201681785</v>
      </c>
      <c r="N165" s="251">
        <f t="shared" si="27"/>
        <v>278.91203494732991</v>
      </c>
      <c r="O165" s="252">
        <f t="shared" si="28"/>
        <v>0.38095638600000004</v>
      </c>
      <c r="P165" s="253">
        <f t="shared" si="34"/>
        <v>732</v>
      </c>
      <c r="Q165" s="252">
        <f t="shared" si="30"/>
        <v>0.61897262985337442</v>
      </c>
      <c r="R165" s="252">
        <v>0.48095638600000001</v>
      </c>
      <c r="S165" s="252">
        <f t="shared" si="31"/>
        <v>0.13801624385337441</v>
      </c>
      <c r="T165" s="253">
        <f t="shared" si="35"/>
        <v>742</v>
      </c>
      <c r="U165" s="252">
        <f t="shared" si="33"/>
        <v>1.3477088948787063E-2</v>
      </c>
      <c r="V165" s="290">
        <v>117001001</v>
      </c>
      <c r="W165" s="252" t="s">
        <v>530</v>
      </c>
    </row>
    <row r="166" spans="1:23" ht="14.4" x14ac:dyDescent="0.3">
      <c r="A166" s="54" t="s">
        <v>322</v>
      </c>
      <c r="B166" s="244" t="str">
        <f>_xlfn.XLOOKUP(A166,'Base de Dados'!D:D,'Base de Dados'!B:B)</f>
        <v>TIMBRO SWISS SA</v>
      </c>
      <c r="C166" s="244" t="str">
        <f>_xlfn.XLOOKUP(PRECIFICAÇÃO[[#This Row],[INVOICE]],'Base de Dados'!D:D,'Base de Dados'!X:X)</f>
        <v>CONCLUÍDO</v>
      </c>
      <c r="D166" s="54">
        <v>358236</v>
      </c>
      <c r="E166" s="244" t="s">
        <v>950</v>
      </c>
      <c r="F166" s="245">
        <v>630</v>
      </c>
      <c r="G166" s="319">
        <v>47.71</v>
      </c>
      <c r="H166" s="246">
        <v>5.258</v>
      </c>
      <c r="I166" s="247">
        <f t="shared" si="24"/>
        <v>250.85918000000001</v>
      </c>
      <c r="J166" s="248">
        <f t="shared" si="25"/>
        <v>158041.28340000001</v>
      </c>
      <c r="K166" s="249">
        <f>J166/_xlfn.XLOOKUP(A166,'Base de Dados'!D:D,'Base de Dados'!M:M)</f>
        <v>0.22865447166763483</v>
      </c>
      <c r="L166" s="248">
        <f>K166*_xlfn.XLOOKUP(A166,'Base de Dados'!D:D,'Base de Dados'!N:N)</f>
        <v>17673.298616817832</v>
      </c>
      <c r="M166" s="250">
        <f t="shared" si="26"/>
        <v>175714.58201681785</v>
      </c>
      <c r="N166" s="251">
        <f t="shared" si="27"/>
        <v>278.91203494732991</v>
      </c>
      <c r="O166" s="252">
        <f t="shared" si="28"/>
        <v>0.38095638600000004</v>
      </c>
      <c r="P166" s="253">
        <f t="shared" si="34"/>
        <v>732</v>
      </c>
      <c r="Q166" s="252">
        <f t="shared" si="30"/>
        <v>0.61897262985337442</v>
      </c>
      <c r="R166" s="252">
        <v>0.48095638600000001</v>
      </c>
      <c r="S166" s="252">
        <f t="shared" si="31"/>
        <v>0.13801624385337441</v>
      </c>
      <c r="T166" s="253">
        <f t="shared" si="35"/>
        <v>742</v>
      </c>
      <c r="U166" s="252">
        <f t="shared" si="33"/>
        <v>1.3477088948787063E-2</v>
      </c>
      <c r="V166" s="290">
        <v>117001001</v>
      </c>
      <c r="W166" s="252" t="s">
        <v>530</v>
      </c>
    </row>
    <row r="167" spans="1:23" ht="14.4" x14ac:dyDescent="0.3">
      <c r="A167" s="54" t="s">
        <v>322</v>
      </c>
      <c r="B167" s="244" t="str">
        <f>_xlfn.XLOOKUP(A167,'Base de Dados'!D:D,'Base de Dados'!B:B)</f>
        <v>TIMBRO SWISS SA</v>
      </c>
      <c r="C167" s="244" t="str">
        <f>_xlfn.XLOOKUP(PRECIFICAÇÃO[[#This Row],[INVOICE]],'Base de Dados'!D:D,'Base de Dados'!X:X)</f>
        <v>CONCLUÍDO</v>
      </c>
      <c r="D167" s="54">
        <v>358236</v>
      </c>
      <c r="E167" s="244" t="s">
        <v>950</v>
      </c>
      <c r="F167" s="245">
        <v>440</v>
      </c>
      <c r="G167" s="319">
        <v>47.71</v>
      </c>
      <c r="H167" s="246">
        <v>5.258</v>
      </c>
      <c r="I167" s="247">
        <f t="shared" si="24"/>
        <v>250.85918000000001</v>
      </c>
      <c r="J167" s="248">
        <f t="shared" si="25"/>
        <v>110378.0392</v>
      </c>
      <c r="K167" s="249">
        <f>J167/_xlfn.XLOOKUP(A167,'Base de Dados'!D:D,'Base de Dados'!M:M)</f>
        <v>0.15969518656152273</v>
      </c>
      <c r="L167" s="248">
        <f>K167*_xlfn.XLOOKUP(A167,'Base de Dados'!D:D,'Base de Dados'!N:N)</f>
        <v>12343.256176825153</v>
      </c>
      <c r="M167" s="250">
        <f t="shared" si="26"/>
        <v>122721.29537682515</v>
      </c>
      <c r="N167" s="251">
        <f t="shared" si="27"/>
        <v>278.91203494732986</v>
      </c>
      <c r="O167" s="252">
        <f t="shared" si="28"/>
        <v>0.38095638600000004</v>
      </c>
      <c r="P167" s="253">
        <f t="shared" si="34"/>
        <v>732</v>
      </c>
      <c r="Q167" s="252">
        <f t="shared" si="30"/>
        <v>0.61897262985337453</v>
      </c>
      <c r="R167" s="252">
        <v>0.48095638600000001</v>
      </c>
      <c r="S167" s="252">
        <f t="shared" si="31"/>
        <v>0.13801624385337452</v>
      </c>
      <c r="T167" s="253">
        <f t="shared" si="35"/>
        <v>742</v>
      </c>
      <c r="U167" s="252">
        <f t="shared" si="33"/>
        <v>1.3477088948787063E-2</v>
      </c>
      <c r="V167" s="290">
        <v>117001001</v>
      </c>
      <c r="W167" s="252" t="s">
        <v>530</v>
      </c>
    </row>
    <row r="168" spans="1:23" ht="14.4" x14ac:dyDescent="0.3">
      <c r="A168" s="54" t="s">
        <v>322</v>
      </c>
      <c r="B168" s="244" t="str">
        <f>_xlfn.XLOOKUP(A168,'Base de Dados'!D:D,'Base de Dados'!B:B)</f>
        <v>TIMBRO SWISS SA</v>
      </c>
      <c r="C168" s="244" t="str">
        <f>_xlfn.XLOOKUP(PRECIFICAÇÃO[[#This Row],[INVOICE]],'Base de Dados'!D:D,'Base de Dados'!X:X)</f>
        <v>CONCLUÍDO</v>
      </c>
      <c r="D168" s="54">
        <v>358235</v>
      </c>
      <c r="E168" s="244" t="s">
        <v>949</v>
      </c>
      <c r="F168" s="245">
        <v>190</v>
      </c>
      <c r="G168" s="319">
        <v>47.71</v>
      </c>
      <c r="H168" s="246">
        <v>5.258</v>
      </c>
      <c r="I168" s="247">
        <f t="shared" si="24"/>
        <v>250.85918000000001</v>
      </c>
      <c r="J168" s="248">
        <f t="shared" si="25"/>
        <v>47663.244200000001</v>
      </c>
      <c r="K168" s="249">
        <f>J168/_xlfn.XLOOKUP(A168,'Base de Dados'!D:D,'Base de Dados'!M:M)</f>
        <v>6.8959285106112087E-2</v>
      </c>
      <c r="L168" s="248">
        <f>K168*_xlfn.XLOOKUP(A168,'Base de Dados'!D:D,'Base de Dados'!N:N)</f>
        <v>5330.0424399926796</v>
      </c>
      <c r="M168" s="250">
        <f t="shared" si="26"/>
        <v>52993.286639992679</v>
      </c>
      <c r="N168" s="251">
        <f t="shared" si="27"/>
        <v>278.91203494732991</v>
      </c>
      <c r="O168" s="252">
        <f t="shared" si="28"/>
        <v>0.38095638600000004</v>
      </c>
      <c r="P168" s="253">
        <f t="shared" si="34"/>
        <v>732</v>
      </c>
      <c r="Q168" s="252">
        <f t="shared" si="30"/>
        <v>0.61897262985337442</v>
      </c>
      <c r="R168" s="252">
        <v>0.48095638600000001</v>
      </c>
      <c r="S168" s="252">
        <f t="shared" si="31"/>
        <v>0.13801624385337441</v>
      </c>
      <c r="T168" s="253">
        <f t="shared" si="35"/>
        <v>742</v>
      </c>
      <c r="U168" s="252">
        <f t="shared" si="33"/>
        <v>1.3477088948787063E-2</v>
      </c>
      <c r="V168" s="290">
        <v>117001001</v>
      </c>
      <c r="W168" s="252" t="s">
        <v>530</v>
      </c>
    </row>
    <row r="169" spans="1:23" ht="14.4" x14ac:dyDescent="0.3">
      <c r="A169" s="49" t="s">
        <v>322</v>
      </c>
      <c r="B169" s="277" t="str">
        <f>_xlfn.XLOOKUP(A169,'Base de Dados'!D:D,'Base de Dados'!B:B)</f>
        <v>TIMBRO SWISS SA</v>
      </c>
      <c r="C169" s="277" t="str">
        <f>_xlfn.XLOOKUP(PRECIFICAÇÃO[[#This Row],[INVOICE]],'Base de Dados'!D:D,'Base de Dados'!X:X)</f>
        <v>CONCLUÍDO</v>
      </c>
      <c r="D169" s="49">
        <v>358234</v>
      </c>
      <c r="E169" s="277" t="s">
        <v>951</v>
      </c>
      <c r="F169" s="278">
        <v>1480</v>
      </c>
      <c r="G169" s="320">
        <v>39.65</v>
      </c>
      <c r="H169" s="279">
        <v>5.258</v>
      </c>
      <c r="I169" s="280">
        <f t="shared" si="24"/>
        <v>208.47969999999998</v>
      </c>
      <c r="J169" s="281">
        <f t="shared" si="25"/>
        <v>308549.95599999995</v>
      </c>
      <c r="K169" s="282">
        <f>J169/_xlfn.XLOOKUP(A169,'Base de Dados'!D:D,'Base de Dados'!M:M)</f>
        <v>0.44641074568907202</v>
      </c>
      <c r="L169" s="281">
        <f>K169*_xlfn.XLOOKUP(A169,'Base de Dados'!D:D,'Base de Dados'!N:N)</f>
        <v>34504.24720224717</v>
      </c>
      <c r="M169" s="283">
        <f t="shared" si="26"/>
        <v>343054.2032022471</v>
      </c>
      <c r="N169" s="284">
        <f t="shared" si="27"/>
        <v>231.79338054205886</v>
      </c>
      <c r="O169" s="285">
        <f t="shared" si="28"/>
        <v>0.37134446700000001</v>
      </c>
      <c r="P169" s="286">
        <f t="shared" si="34"/>
        <v>624</v>
      </c>
      <c r="Q169" s="285">
        <f t="shared" si="30"/>
        <v>0.62853624913131589</v>
      </c>
      <c r="R169" s="285">
        <v>0.47134446699999999</v>
      </c>
      <c r="S169" s="285">
        <f t="shared" si="31"/>
        <v>0.1571917821313159</v>
      </c>
      <c r="T169" s="286">
        <f t="shared" si="35"/>
        <v>634</v>
      </c>
      <c r="U169" s="285">
        <f t="shared" si="33"/>
        <v>1.5772870662460567E-2</v>
      </c>
      <c r="V169" s="290">
        <v>117001002</v>
      </c>
      <c r="W169" s="252" t="s">
        <v>529</v>
      </c>
    </row>
    <row r="170" spans="1:23" ht="14.4" x14ac:dyDescent="0.3">
      <c r="A170" s="54" t="s">
        <v>322</v>
      </c>
      <c r="B170" s="244" t="str">
        <f>_xlfn.XLOOKUP(A170,'Base de Dados'!D:D,'Base de Dados'!B:B)</f>
        <v>TIMBRO SWISS SA</v>
      </c>
      <c r="C170" s="244" t="str">
        <f>_xlfn.XLOOKUP(PRECIFICAÇÃO[[#This Row],[INVOICE]],'Base de Dados'!D:D,'Base de Dados'!X:X)</f>
        <v>CONCLUÍDO</v>
      </c>
      <c r="D170" s="54">
        <v>382678</v>
      </c>
      <c r="E170" s="244" t="s">
        <v>627</v>
      </c>
      <c r="F170" s="245">
        <v>150</v>
      </c>
      <c r="G170" s="319">
        <v>0.82</v>
      </c>
      <c r="H170" s="246">
        <v>5.258</v>
      </c>
      <c r="I170" s="247">
        <f t="shared" si="24"/>
        <v>4.3115600000000001</v>
      </c>
      <c r="J170" s="248">
        <f t="shared" si="25"/>
        <v>646.73400000000004</v>
      </c>
      <c r="K170" s="249">
        <f>J170/_xlfn.XLOOKUP(A170,'Base de Dados'!D:D,'Base de Dados'!M:M)</f>
        <v>9.3569615418281362E-4</v>
      </c>
      <c r="L170" s="248">
        <f>K170*_xlfn.XLOOKUP(A170,'Base de Dados'!D:D,'Base de Dados'!N:N)</f>
        <v>72.322388566790551</v>
      </c>
      <c r="M170" s="250">
        <f t="shared" si="26"/>
        <v>719.05638856679059</v>
      </c>
      <c r="N170" s="251">
        <f t="shared" si="27"/>
        <v>4.7937092571119369</v>
      </c>
      <c r="O170" s="252">
        <f t="shared" si="28"/>
        <v>0.38095638600000004</v>
      </c>
      <c r="P170" s="253">
        <f t="shared" si="34"/>
        <v>13</v>
      </c>
      <c r="Q170" s="252">
        <f t="shared" si="30"/>
        <v>0.63125313406831252</v>
      </c>
      <c r="R170" s="252">
        <v>0.48095638600000001</v>
      </c>
      <c r="S170" s="252">
        <f t="shared" si="31"/>
        <v>0.1502967480683125</v>
      </c>
      <c r="T170" s="253">
        <f t="shared" si="35"/>
        <v>23</v>
      </c>
      <c r="U170" s="252">
        <f t="shared" si="33"/>
        <v>0.43478260869565216</v>
      </c>
      <c r="V170" s="290">
        <v>117001001</v>
      </c>
      <c r="W170" s="252" t="s">
        <v>530</v>
      </c>
    </row>
    <row r="171" spans="1:23" ht="14.4" x14ac:dyDescent="0.3">
      <c r="A171" s="54" t="s">
        <v>340</v>
      </c>
      <c r="B171" s="244" t="str">
        <f>_xlfn.XLOOKUP(A171,'Base de Dados'!D:D,'Base de Dados'!B:B)</f>
        <v>TIMBRO SWISS SA</v>
      </c>
      <c r="C171" s="244" t="str">
        <f>_xlfn.XLOOKUP(PRECIFICAÇÃO[[#This Row],[INVOICE]],'Base de Dados'!D:D,'Base de Dados'!X:X)</f>
        <v>CONCLUÍDO</v>
      </c>
      <c r="D171" s="54">
        <v>238698</v>
      </c>
      <c r="E171" s="244" t="s">
        <v>11</v>
      </c>
      <c r="F171" s="245">
        <v>1112</v>
      </c>
      <c r="G171" s="319">
        <v>37.81</v>
      </c>
      <c r="H171" s="246">
        <v>5.2869999999999999</v>
      </c>
      <c r="I171" s="247">
        <f t="shared" si="24"/>
        <v>199.90147000000002</v>
      </c>
      <c r="J171" s="248">
        <f t="shared" si="25"/>
        <v>222290.43464000002</v>
      </c>
      <c r="K171" s="249">
        <f>J171/_xlfn.XLOOKUP(A171,'Base de Dados'!D:D,'Base de Dados'!M:M)</f>
        <v>1.0000000208735933</v>
      </c>
      <c r="L171" s="248">
        <f>K171*_xlfn.XLOOKUP(A171,'Base de Dados'!D:D,'Base de Dados'!N:N)</f>
        <v>12551.500261994906</v>
      </c>
      <c r="M171" s="250">
        <f t="shared" si="26"/>
        <v>234841.93490199491</v>
      </c>
      <c r="N171" s="251">
        <f t="shared" si="27"/>
        <v>211.18879037949182</v>
      </c>
      <c r="O171" s="252">
        <f t="shared" si="28"/>
        <v>0.39270865200000005</v>
      </c>
      <c r="P171" s="253">
        <f t="shared" si="34"/>
        <v>538</v>
      </c>
      <c r="Q171" s="252">
        <f t="shared" si="30"/>
        <v>0.60745577996376987</v>
      </c>
      <c r="R171" s="252">
        <v>0.49270865200000002</v>
      </c>
      <c r="S171" s="252">
        <f t="shared" si="31"/>
        <v>0.11474712796376985</v>
      </c>
      <c r="T171" s="253">
        <f t="shared" si="35"/>
        <v>548</v>
      </c>
      <c r="U171" s="252">
        <f t="shared" si="33"/>
        <v>1.824817518248175E-2</v>
      </c>
      <c r="V171" s="290">
        <v>111001012</v>
      </c>
      <c r="W171" s="252" t="s">
        <v>493</v>
      </c>
    </row>
    <row r="172" spans="1:23" ht="14.4" x14ac:dyDescent="0.3">
      <c r="A172" s="54" t="s">
        <v>751</v>
      </c>
      <c r="B172" s="244" t="str">
        <f>_xlfn.XLOOKUP(A172,'Base de Dados'!D:D,'Base de Dados'!B:B)</f>
        <v>TIMBRO SWISS SA</v>
      </c>
      <c r="C172" s="244" t="str">
        <f>_xlfn.XLOOKUP(PRECIFICAÇÃO[[#This Row],[INVOICE]],'Base de Dados'!D:D,'Base de Dados'!X:X)</f>
        <v>CONCLUÍDO</v>
      </c>
      <c r="D172" s="54">
        <v>358229</v>
      </c>
      <c r="E172" s="244" t="s">
        <v>900</v>
      </c>
      <c r="F172" s="245">
        <v>575</v>
      </c>
      <c r="G172" s="319">
        <v>43.32</v>
      </c>
      <c r="H172" s="246">
        <v>5.1681999999999997</v>
      </c>
      <c r="I172" s="247">
        <f t="shared" si="24"/>
        <v>223.88642399999998</v>
      </c>
      <c r="J172" s="248">
        <f t="shared" si="25"/>
        <v>128734.69379999999</v>
      </c>
      <c r="K172" s="249">
        <f>J172/_xlfn.XLOOKUP(A172,'Base de Dados'!D:D,'Base de Dados'!M:M)</f>
        <v>0.87834552155637713</v>
      </c>
      <c r="L172" s="248">
        <f>K172*_xlfn.XLOOKUP(A172,'Base de Dados'!D:D,'Base de Dados'!N:N)</f>
        <v>10541.911733174855</v>
      </c>
      <c r="M172" s="250">
        <f t="shared" si="26"/>
        <v>139276.60553317485</v>
      </c>
      <c r="N172" s="251">
        <f t="shared" si="27"/>
        <v>242.22018353595627</v>
      </c>
      <c r="O172" s="252">
        <f t="shared" si="28"/>
        <v>0.35806810700000002</v>
      </c>
      <c r="P172" s="253">
        <f t="shared" si="34"/>
        <v>676</v>
      </c>
      <c r="Q172" s="252">
        <f t="shared" si="30"/>
        <v>0.64168611902965045</v>
      </c>
      <c r="R172" s="252">
        <v>0.458068107</v>
      </c>
      <c r="S172" s="252">
        <f t="shared" si="31"/>
        <v>0.18361801202965045</v>
      </c>
      <c r="T172" s="253">
        <f t="shared" si="35"/>
        <v>686</v>
      </c>
      <c r="U172" s="252">
        <f t="shared" si="33"/>
        <v>1.4577259475218658E-2</v>
      </c>
      <c r="V172" s="290">
        <v>117006005</v>
      </c>
      <c r="W172" s="252" t="s">
        <v>528</v>
      </c>
    </row>
    <row r="173" spans="1:23" ht="14.4" x14ac:dyDescent="0.3">
      <c r="A173" s="54" t="s">
        <v>756</v>
      </c>
      <c r="B173" s="244" t="str">
        <f>_xlfn.XLOOKUP(A173,'Base de Dados'!D:D,'Base de Dados'!B:B)</f>
        <v>TIMBRO SWISS SA</v>
      </c>
      <c r="C173" s="244" t="str">
        <f>_xlfn.XLOOKUP(PRECIFICAÇÃO[[#This Row],[INVOICE]],'Base de Dados'!D:D,'Base de Dados'!X:X)</f>
        <v>CONCLUÍDO</v>
      </c>
      <c r="D173" s="54">
        <v>373493</v>
      </c>
      <c r="E173" s="244" t="s">
        <v>909</v>
      </c>
      <c r="F173" s="245">
        <v>414</v>
      </c>
      <c r="G173" s="319">
        <v>3.4</v>
      </c>
      <c r="H173" s="246">
        <v>5.2005999999999997</v>
      </c>
      <c r="I173" s="247">
        <f t="shared" si="24"/>
        <v>17.682039999999997</v>
      </c>
      <c r="J173" s="248">
        <f t="shared" si="25"/>
        <v>7320.3645599999991</v>
      </c>
      <c r="K173" s="249">
        <f>J173/_xlfn.XLOOKUP(A173,'Base de Dados'!D:D,'Base de Dados'!M:M)</f>
        <v>0.10335712584359993</v>
      </c>
      <c r="L173" s="248">
        <f>K173*_xlfn.XLOOKUP(A173,'Base de Dados'!D:D,'Base de Dados'!N:N)</f>
        <v>12945.523421903747</v>
      </c>
      <c r="M173" s="250">
        <f t="shared" si="26"/>
        <v>20265.887981903747</v>
      </c>
      <c r="N173" s="251">
        <f t="shared" si="27"/>
        <v>48.951420246144316</v>
      </c>
      <c r="O173" s="252">
        <f t="shared" si="28"/>
        <v>0.43768192699999997</v>
      </c>
      <c r="P173" s="253">
        <f t="shared" si="34"/>
        <v>112</v>
      </c>
      <c r="Q173" s="252">
        <f t="shared" si="30"/>
        <v>0.56293374780228289</v>
      </c>
      <c r="R173" s="252">
        <v>0.53768192699999995</v>
      </c>
      <c r="S173" s="252">
        <f t="shared" si="31"/>
        <v>2.5251820802282943E-2</v>
      </c>
      <c r="T173" s="253">
        <f t="shared" si="35"/>
        <v>122</v>
      </c>
      <c r="U173" s="252">
        <f t="shared" si="33"/>
        <v>8.1967213114754092E-2</v>
      </c>
      <c r="V173" s="290">
        <v>107001004</v>
      </c>
      <c r="W173" s="252" t="s">
        <v>563</v>
      </c>
    </row>
    <row r="174" spans="1:23" ht="14.4" x14ac:dyDescent="0.3">
      <c r="A174" s="54" t="s">
        <v>756</v>
      </c>
      <c r="B174" s="244" t="str">
        <f>_xlfn.XLOOKUP(A174,'Base de Dados'!D:D,'Base de Dados'!B:B)</f>
        <v>TIMBRO SWISS SA</v>
      </c>
      <c r="C174" s="244" t="str">
        <f>_xlfn.XLOOKUP(PRECIFICAÇÃO[[#This Row],[INVOICE]],'Base de Dados'!D:D,'Base de Dados'!X:X)</f>
        <v>CONCLUÍDO</v>
      </c>
      <c r="D174" s="54">
        <v>373494</v>
      </c>
      <c r="E174" s="244" t="s">
        <v>910</v>
      </c>
      <c r="F174" s="245">
        <v>414</v>
      </c>
      <c r="G174" s="319">
        <v>3.4</v>
      </c>
      <c r="H174" s="246">
        <v>5.2005999999999997</v>
      </c>
      <c r="I174" s="247">
        <f t="shared" si="24"/>
        <v>17.682039999999997</v>
      </c>
      <c r="J174" s="248">
        <f t="shared" si="25"/>
        <v>7320.3645599999991</v>
      </c>
      <c r="K174" s="249">
        <f>J174/_xlfn.XLOOKUP(A174,'Base de Dados'!D:D,'Base de Dados'!M:M)</f>
        <v>0.10335712584359993</v>
      </c>
      <c r="L174" s="248">
        <f>K174*_xlfn.XLOOKUP(A174,'Base de Dados'!D:D,'Base de Dados'!N:N)</f>
        <v>12945.523421903747</v>
      </c>
      <c r="M174" s="250">
        <f t="shared" si="26"/>
        <v>20265.887981903747</v>
      </c>
      <c r="N174" s="251">
        <f t="shared" si="27"/>
        <v>48.951420246144316</v>
      </c>
      <c r="O174" s="252">
        <f t="shared" si="28"/>
        <v>0.43768192699999997</v>
      </c>
      <c r="P174" s="253">
        <f t="shared" si="34"/>
        <v>112</v>
      </c>
      <c r="Q174" s="252">
        <f t="shared" si="30"/>
        <v>0.56293374780228289</v>
      </c>
      <c r="R174" s="252">
        <v>0.53768192699999995</v>
      </c>
      <c r="S174" s="252">
        <f t="shared" si="31"/>
        <v>2.5251820802282943E-2</v>
      </c>
      <c r="T174" s="253">
        <f t="shared" si="35"/>
        <v>122</v>
      </c>
      <c r="U174" s="252">
        <f t="shared" si="33"/>
        <v>8.1967213114754092E-2</v>
      </c>
      <c r="V174" s="290">
        <v>107001004</v>
      </c>
      <c r="W174" s="252" t="s">
        <v>563</v>
      </c>
    </row>
    <row r="175" spans="1:23" ht="14.4" x14ac:dyDescent="0.3">
      <c r="A175" s="49" t="s">
        <v>756</v>
      </c>
      <c r="B175" s="277" t="str">
        <f>_xlfn.XLOOKUP(A175,'Base de Dados'!D:D,'Base de Dados'!B:B)</f>
        <v>TIMBRO SWISS SA</v>
      </c>
      <c r="C175" s="277" t="str">
        <f>_xlfn.XLOOKUP(PRECIFICAÇÃO[[#This Row],[INVOICE]],'Base de Dados'!D:D,'Base de Dados'!X:X)</f>
        <v>CONCLUÍDO</v>
      </c>
      <c r="D175" s="49">
        <v>373495</v>
      </c>
      <c r="E175" s="277" t="s">
        <v>911</v>
      </c>
      <c r="F175" s="278">
        <v>414</v>
      </c>
      <c r="G175" s="320">
        <v>3.4</v>
      </c>
      <c r="H175" s="279">
        <v>5.2005999999999997</v>
      </c>
      <c r="I175" s="280">
        <f t="shared" si="24"/>
        <v>17.682039999999997</v>
      </c>
      <c r="J175" s="281">
        <f t="shared" si="25"/>
        <v>7320.3645599999991</v>
      </c>
      <c r="K175" s="282">
        <f>J175/_xlfn.XLOOKUP(A175,'Base de Dados'!D:D,'Base de Dados'!M:M)</f>
        <v>0.10335712584359993</v>
      </c>
      <c r="L175" s="281">
        <f>K175*_xlfn.XLOOKUP(A175,'Base de Dados'!D:D,'Base de Dados'!N:N)</f>
        <v>12945.523421903747</v>
      </c>
      <c r="M175" s="283">
        <f t="shared" si="26"/>
        <v>20265.887981903747</v>
      </c>
      <c r="N175" s="284">
        <f t="shared" si="27"/>
        <v>48.951420246144316</v>
      </c>
      <c r="O175" s="285">
        <f t="shared" si="28"/>
        <v>0.43768192699999997</v>
      </c>
      <c r="P175" s="286">
        <f t="shared" si="34"/>
        <v>112</v>
      </c>
      <c r="Q175" s="285">
        <f t="shared" si="30"/>
        <v>0.56293374780228289</v>
      </c>
      <c r="R175" s="285">
        <v>0.53768192699999995</v>
      </c>
      <c r="S175" s="285">
        <f t="shared" si="31"/>
        <v>2.5251820802282943E-2</v>
      </c>
      <c r="T175" s="286">
        <f t="shared" si="35"/>
        <v>122</v>
      </c>
      <c r="U175" s="285">
        <f t="shared" si="33"/>
        <v>8.1967213114754092E-2</v>
      </c>
      <c r="V175" s="290">
        <v>107001004</v>
      </c>
      <c r="W175" s="252" t="s">
        <v>563</v>
      </c>
    </row>
    <row r="176" spans="1:23" ht="14.4" x14ac:dyDescent="0.3">
      <c r="A176" s="194" t="s">
        <v>756</v>
      </c>
      <c r="B176" s="244" t="str">
        <f>_xlfn.XLOOKUP(A176,'Base de Dados'!D:D,'Base de Dados'!B:B)</f>
        <v>TIMBRO SWISS SA</v>
      </c>
      <c r="C176" s="275" t="str">
        <f>_xlfn.XLOOKUP(PRECIFICAÇÃO[[#This Row],[INVOICE]],'Base de Dados'!D:D,'Base de Dados'!X:X)</f>
        <v>CONCLUÍDO</v>
      </c>
      <c r="D176" s="54">
        <v>373499</v>
      </c>
      <c r="E176" s="244" t="s">
        <v>915</v>
      </c>
      <c r="F176" s="245">
        <v>400</v>
      </c>
      <c r="G176" s="319">
        <v>7.83</v>
      </c>
      <c r="H176" s="246">
        <v>5.2005999999999997</v>
      </c>
      <c r="I176" s="247">
        <f t="shared" si="24"/>
        <v>40.720697999999999</v>
      </c>
      <c r="J176" s="248">
        <f t="shared" si="25"/>
        <v>16288.279199999999</v>
      </c>
      <c r="K176" s="249">
        <f>J176/_xlfn.XLOOKUP(A176,'Base de Dados'!D:D,'Base de Dados'!M:M)</f>
        <v>0.22997621351389244</v>
      </c>
      <c r="L176" s="248">
        <f>K176*_xlfn.XLOOKUP(A176,'Base de Dados'!D:D,'Base de Dados'!N:N)</f>
        <v>28804.617332624704</v>
      </c>
      <c r="M176" s="250">
        <f t="shared" si="26"/>
        <v>45092.896532624705</v>
      </c>
      <c r="N176" s="251">
        <f t="shared" si="27"/>
        <v>112.73224133156177</v>
      </c>
      <c r="O176" s="252">
        <f t="shared" si="28"/>
        <v>0.43768192699999997</v>
      </c>
      <c r="P176" s="253">
        <f t="shared" si="34"/>
        <v>258</v>
      </c>
      <c r="Q176" s="252">
        <f t="shared" si="30"/>
        <v>0.56305332817224119</v>
      </c>
      <c r="R176" s="252">
        <v>0.53768192699999995</v>
      </c>
      <c r="S176" s="252">
        <f t="shared" si="31"/>
        <v>2.5371401172241237E-2</v>
      </c>
      <c r="T176" s="253">
        <f t="shared" si="35"/>
        <v>268</v>
      </c>
      <c r="U176" s="252">
        <f t="shared" si="33"/>
        <v>3.7313432835820892E-2</v>
      </c>
      <c r="V176" s="290">
        <v>107001004</v>
      </c>
      <c r="W176" s="252" t="s">
        <v>563</v>
      </c>
    </row>
    <row r="177" spans="1:23" ht="14.4" x14ac:dyDescent="0.3">
      <c r="A177" s="194" t="s">
        <v>756</v>
      </c>
      <c r="B177" s="244" t="str">
        <f>_xlfn.XLOOKUP(A177,'Base de Dados'!D:D,'Base de Dados'!B:B)</f>
        <v>TIMBRO SWISS SA</v>
      </c>
      <c r="C177" s="275" t="str">
        <f>_xlfn.XLOOKUP(PRECIFICAÇÃO[[#This Row],[INVOICE]],'Base de Dados'!D:D,'Base de Dados'!X:X)</f>
        <v>CONCLUÍDO</v>
      </c>
      <c r="D177" s="54">
        <v>373500</v>
      </c>
      <c r="E177" s="244" t="s">
        <v>916</v>
      </c>
      <c r="F177" s="245">
        <v>400</v>
      </c>
      <c r="G177" s="319">
        <v>7.83</v>
      </c>
      <c r="H177" s="246">
        <v>5.2005999999999997</v>
      </c>
      <c r="I177" s="247">
        <f t="shared" si="24"/>
        <v>40.720697999999999</v>
      </c>
      <c r="J177" s="248">
        <f t="shared" si="25"/>
        <v>16288.279199999999</v>
      </c>
      <c r="K177" s="249">
        <f>J177/_xlfn.XLOOKUP(A177,'Base de Dados'!D:D,'Base de Dados'!M:M)</f>
        <v>0.22997621351389244</v>
      </c>
      <c r="L177" s="248">
        <f>K177*_xlfn.XLOOKUP(A177,'Base de Dados'!D:D,'Base de Dados'!N:N)</f>
        <v>28804.617332624704</v>
      </c>
      <c r="M177" s="250">
        <f t="shared" si="26"/>
        <v>45092.896532624705</v>
      </c>
      <c r="N177" s="251">
        <f t="shared" si="27"/>
        <v>112.73224133156177</v>
      </c>
      <c r="O177" s="252">
        <f t="shared" si="28"/>
        <v>0.43768192699999997</v>
      </c>
      <c r="P177" s="253">
        <f t="shared" si="34"/>
        <v>258</v>
      </c>
      <c r="Q177" s="252">
        <f t="shared" si="30"/>
        <v>0.56305332817224119</v>
      </c>
      <c r="R177" s="252">
        <v>0.53768192699999995</v>
      </c>
      <c r="S177" s="252">
        <f t="shared" si="31"/>
        <v>2.5371401172241237E-2</v>
      </c>
      <c r="T177" s="253">
        <f t="shared" si="35"/>
        <v>268</v>
      </c>
      <c r="U177" s="252">
        <f t="shared" si="33"/>
        <v>3.7313432835820892E-2</v>
      </c>
      <c r="V177" s="290">
        <v>107001004</v>
      </c>
      <c r="W177" s="252" t="s">
        <v>563</v>
      </c>
    </row>
    <row r="178" spans="1:23" ht="14.4" x14ac:dyDescent="0.3">
      <c r="A178" s="194" t="s">
        <v>756</v>
      </c>
      <c r="B178" s="244" t="str">
        <f>_xlfn.XLOOKUP(A178,'Base de Dados'!D:D,'Base de Dados'!B:B)</f>
        <v>TIMBRO SWISS SA</v>
      </c>
      <c r="C178" s="275" t="str">
        <f>_xlfn.XLOOKUP(PRECIFICAÇÃO[[#This Row],[INVOICE]],'Base de Dados'!D:D,'Base de Dados'!X:X)</f>
        <v>CONCLUÍDO</v>
      </c>
      <c r="D178" s="54">
        <v>373501</v>
      </c>
      <c r="E178" s="244" t="s">
        <v>917</v>
      </c>
      <c r="F178" s="245">
        <v>400</v>
      </c>
      <c r="G178" s="319">
        <v>7.83</v>
      </c>
      <c r="H178" s="246">
        <v>5.2005999999999997</v>
      </c>
      <c r="I178" s="247">
        <f t="shared" si="24"/>
        <v>40.720697999999999</v>
      </c>
      <c r="J178" s="248">
        <f t="shared" si="25"/>
        <v>16288.279199999999</v>
      </c>
      <c r="K178" s="249">
        <f>J178/_xlfn.XLOOKUP(A178,'Base de Dados'!D:D,'Base de Dados'!M:M)</f>
        <v>0.22997621351389244</v>
      </c>
      <c r="L178" s="248">
        <f>K178*_xlfn.XLOOKUP(A178,'Base de Dados'!D:D,'Base de Dados'!N:N)</f>
        <v>28804.617332624704</v>
      </c>
      <c r="M178" s="250">
        <f t="shared" si="26"/>
        <v>45092.896532624705</v>
      </c>
      <c r="N178" s="251">
        <f t="shared" si="27"/>
        <v>112.73224133156177</v>
      </c>
      <c r="O178" s="252">
        <f t="shared" si="28"/>
        <v>0.43768192699999997</v>
      </c>
      <c r="P178" s="253">
        <f t="shared" si="34"/>
        <v>258</v>
      </c>
      <c r="Q178" s="252">
        <f t="shared" si="30"/>
        <v>0.56305332817224119</v>
      </c>
      <c r="R178" s="252">
        <v>0.53768192699999995</v>
      </c>
      <c r="S178" s="252">
        <f t="shared" si="31"/>
        <v>2.5371401172241237E-2</v>
      </c>
      <c r="T178" s="253">
        <f t="shared" si="35"/>
        <v>268</v>
      </c>
      <c r="U178" s="252">
        <f t="shared" si="33"/>
        <v>3.7313432835820892E-2</v>
      </c>
      <c r="V178" s="290">
        <v>107001004</v>
      </c>
      <c r="W178" s="252" t="s">
        <v>563</v>
      </c>
    </row>
    <row r="179" spans="1:23" ht="14.4" x14ac:dyDescent="0.3">
      <c r="A179" s="194" t="s">
        <v>369</v>
      </c>
      <c r="B179" s="244" t="str">
        <f>_xlfn.XLOOKUP(A179,'Base de Dados'!D:D,'Base de Dados'!B:B)</f>
        <v>TIMBRO SWISS SA</v>
      </c>
      <c r="C179" s="275" t="str">
        <f>_xlfn.XLOOKUP(PRECIFICAÇÃO[[#This Row],[INVOICE]],'Base de Dados'!D:D,'Base de Dados'!X:X)</f>
        <v>CONCLUÍDO</v>
      </c>
      <c r="D179" s="54">
        <v>238697</v>
      </c>
      <c r="E179" s="244" t="s">
        <v>899</v>
      </c>
      <c r="F179" s="245">
        <v>2112</v>
      </c>
      <c r="G179" s="319">
        <v>17.079999999999998</v>
      </c>
      <c r="H179" s="246">
        <v>4.9809000000000001</v>
      </c>
      <c r="I179" s="247">
        <f t="shared" si="24"/>
        <v>85.073771999999991</v>
      </c>
      <c r="J179" s="248">
        <f t="shared" si="25"/>
        <v>179675.80646399999</v>
      </c>
      <c r="K179" s="249">
        <f>J179/_xlfn.XLOOKUP(A179,'Base de Dados'!D:D,'Base de Dados'!M:M)</f>
        <v>0.99999998032011095</v>
      </c>
      <c r="L179" s="248">
        <f>K179*_xlfn.XLOOKUP(A179,'Base de Dados'!D:D,'Base de Dados'!N:N)</f>
        <v>14599.019712692907</v>
      </c>
      <c r="M179" s="250">
        <f t="shared" si="26"/>
        <v>194274.82617669291</v>
      </c>
      <c r="N179" s="251">
        <f t="shared" si="27"/>
        <v>91.986186636691713</v>
      </c>
      <c r="O179" s="252">
        <f t="shared" si="28"/>
        <v>0.39270865200000005</v>
      </c>
      <c r="P179" s="253">
        <f t="shared" si="34"/>
        <v>234</v>
      </c>
      <c r="Q179" s="252">
        <f t="shared" si="30"/>
        <v>0.60689663830473628</v>
      </c>
      <c r="R179" s="252">
        <v>0.49270865200000002</v>
      </c>
      <c r="S179" s="252">
        <f t="shared" si="31"/>
        <v>0.11418798630473626</v>
      </c>
      <c r="T179" s="253">
        <f t="shared" si="35"/>
        <v>244</v>
      </c>
      <c r="U179" s="252">
        <f t="shared" si="33"/>
        <v>4.0983606557377046E-2</v>
      </c>
      <c r="V179" s="290">
        <v>111001012</v>
      </c>
      <c r="W179" s="252" t="s">
        <v>493</v>
      </c>
    </row>
    <row r="180" spans="1:23" ht="14.4" x14ac:dyDescent="0.3">
      <c r="A180" s="49" t="s">
        <v>388</v>
      </c>
      <c r="B180" s="277" t="str">
        <f>_xlfn.XLOOKUP(A180,'Base de Dados'!D:D,'Base de Dados'!B:B)</f>
        <v>TIMBRO SWISS SA</v>
      </c>
      <c r="C180" s="277" t="str">
        <f>_xlfn.XLOOKUP(PRECIFICAÇÃO[[#This Row],[INVOICE]],'Base de Dados'!D:D,'Base de Dados'!X:X)</f>
        <v>CONCLUÍDO</v>
      </c>
      <c r="D180" s="49">
        <v>272953</v>
      </c>
      <c r="E180" s="277" t="s">
        <v>952</v>
      </c>
      <c r="F180" s="278">
        <v>4008</v>
      </c>
      <c r="G180" s="320">
        <v>5.79</v>
      </c>
      <c r="H180" s="279">
        <v>5.1176000000000004</v>
      </c>
      <c r="I180" s="280">
        <f t="shared" si="24"/>
        <v>29.630904000000001</v>
      </c>
      <c r="J180" s="281">
        <f t="shared" si="25"/>
        <v>118760.66323200001</v>
      </c>
      <c r="K180" s="282">
        <f>J180/_xlfn.XLOOKUP(A180,'Base de Dados'!D:D,'Base de Dados'!M:M)</f>
        <v>0.17291623484368765</v>
      </c>
      <c r="L180" s="281">
        <f>K180*_xlfn.XLOOKUP(A180,'Base de Dados'!D:D,'Base de Dados'!N:N)</f>
        <v>4966.1490772236639</v>
      </c>
      <c r="M180" s="283">
        <f t="shared" si="26"/>
        <v>123726.81230922366</v>
      </c>
      <c r="N180" s="284">
        <f t="shared" si="27"/>
        <v>30.869963151003908</v>
      </c>
      <c r="O180" s="285">
        <f t="shared" si="28"/>
        <v>0.39018382800000007</v>
      </c>
      <c r="P180" s="286">
        <v>99</v>
      </c>
      <c r="Q180" s="285">
        <f t="shared" si="30"/>
        <v>0.68818219039389994</v>
      </c>
      <c r="R180" s="285">
        <v>0.49018382800000004</v>
      </c>
      <c r="S180" s="285">
        <f t="shared" si="31"/>
        <v>0.1979983623938999</v>
      </c>
      <c r="T180" s="286">
        <v>0</v>
      </c>
      <c r="U180" s="285" t="e">
        <f t="shared" si="33"/>
        <v>#DIV/0!</v>
      </c>
      <c r="V180" s="290">
        <v>111001019</v>
      </c>
      <c r="W180" s="252" t="s">
        <v>525</v>
      </c>
    </row>
    <row r="181" spans="1:23" ht="14.4" x14ac:dyDescent="0.3">
      <c r="A181" s="194" t="s">
        <v>388</v>
      </c>
      <c r="B181" s="244" t="str">
        <f>_xlfn.XLOOKUP(A181,'Base de Dados'!D:D,'Base de Dados'!B:B)</f>
        <v>TIMBRO SWISS SA</v>
      </c>
      <c r="C181" s="275" t="str">
        <f>_xlfn.XLOOKUP(PRECIFICAÇÃO[[#This Row],[INVOICE]],'Base de Dados'!D:D,'Base de Dados'!X:X)</f>
        <v>CONCLUÍDO</v>
      </c>
      <c r="D181" s="54">
        <v>272958</v>
      </c>
      <c r="E181" s="244" t="s">
        <v>953</v>
      </c>
      <c r="F181" s="245">
        <v>3000</v>
      </c>
      <c r="G181" s="319">
        <v>6.46</v>
      </c>
      <c r="H181" s="246">
        <v>5.1176000000000004</v>
      </c>
      <c r="I181" s="247">
        <f t="shared" si="24"/>
        <v>33.059696000000002</v>
      </c>
      <c r="J181" s="248">
        <f t="shared" si="25"/>
        <v>99179.088000000003</v>
      </c>
      <c r="K181" s="249">
        <f>J181/_xlfn.XLOOKUP(A181,'Base de Dados'!D:D,'Base de Dados'!M:M)</f>
        <v>0.14440534437475078</v>
      </c>
      <c r="L181" s="248">
        <f>K181*_xlfn.XLOOKUP(A181,'Base de Dados'!D:D,'Base de Dados'!N:N)</f>
        <v>4147.3171582825116</v>
      </c>
      <c r="M181" s="250">
        <f t="shared" si="26"/>
        <v>103326.40515828252</v>
      </c>
      <c r="N181" s="251">
        <f t="shared" si="27"/>
        <v>34.44213505276084</v>
      </c>
      <c r="O181" s="252">
        <f t="shared" si="28"/>
        <v>0.4095632990000001</v>
      </c>
      <c r="P181" s="253">
        <v>149</v>
      </c>
      <c r="Q181" s="252">
        <f t="shared" si="30"/>
        <v>0.76884473118952457</v>
      </c>
      <c r="R181" s="252">
        <v>0.50956329900000008</v>
      </c>
      <c r="S181" s="252">
        <f t="shared" si="31"/>
        <v>0.25928143218952449</v>
      </c>
      <c r="T181" s="253">
        <v>0</v>
      </c>
      <c r="U181" s="252" t="e">
        <f t="shared" si="33"/>
        <v>#DIV/0!</v>
      </c>
      <c r="V181" s="290">
        <v>110001009</v>
      </c>
      <c r="W181" s="252" t="s">
        <v>512</v>
      </c>
    </row>
    <row r="182" spans="1:23" ht="14.4" x14ac:dyDescent="0.3">
      <c r="A182" s="194" t="s">
        <v>388</v>
      </c>
      <c r="B182" s="244" t="str">
        <f>_xlfn.XLOOKUP(A182,'Base de Dados'!D:D,'Base de Dados'!B:B)</f>
        <v>TIMBRO SWISS SA</v>
      </c>
      <c r="C182" s="275" t="str">
        <f>_xlfn.XLOOKUP(PRECIFICAÇÃO[[#This Row],[INVOICE]],'Base de Dados'!D:D,'Base de Dados'!X:X)</f>
        <v>CONCLUÍDO</v>
      </c>
      <c r="D182" s="54">
        <v>272956</v>
      </c>
      <c r="E182" s="244" t="s">
        <v>954</v>
      </c>
      <c r="F182" s="245">
        <v>2016</v>
      </c>
      <c r="G182" s="319">
        <v>4.6900000000000004</v>
      </c>
      <c r="H182" s="246">
        <v>5.1176000000000004</v>
      </c>
      <c r="I182" s="247">
        <f t="shared" si="24"/>
        <v>24.001544000000003</v>
      </c>
      <c r="J182" s="248">
        <f t="shared" si="25"/>
        <v>48387.112704000006</v>
      </c>
      <c r="K182" s="249">
        <f>J182/_xlfn.XLOOKUP(A182,'Base de Dados'!D:D,'Base de Dados'!M:M)</f>
        <v>7.0451925040095134E-2</v>
      </c>
      <c r="L182" s="248">
        <f>K182*_xlfn.XLOOKUP(A182,'Base de Dados'!D:D,'Base de Dados'!N:N)</f>
        <v>2023.3771735937812</v>
      </c>
      <c r="M182" s="250">
        <f t="shared" si="26"/>
        <v>50410.489877593791</v>
      </c>
      <c r="N182" s="251">
        <f t="shared" si="27"/>
        <v>25.005203312298509</v>
      </c>
      <c r="O182" s="252">
        <f t="shared" si="28"/>
        <v>0.40088862400000003</v>
      </c>
      <c r="P182" s="253">
        <v>109</v>
      </c>
      <c r="Q182" s="252">
        <f t="shared" si="30"/>
        <v>0.77059446502478435</v>
      </c>
      <c r="R182" s="252">
        <v>0.500888624</v>
      </c>
      <c r="S182" s="252">
        <f t="shared" si="31"/>
        <v>0.26970584102478434</v>
      </c>
      <c r="T182" s="253">
        <v>0</v>
      </c>
      <c r="U182" s="252" t="e">
        <f t="shared" si="33"/>
        <v>#DIV/0!</v>
      </c>
      <c r="V182" s="290">
        <v>110001004</v>
      </c>
      <c r="W182" s="252" t="s">
        <v>513</v>
      </c>
    </row>
    <row r="183" spans="1:23" ht="14.4" x14ac:dyDescent="0.3">
      <c r="A183" s="194" t="s">
        <v>388</v>
      </c>
      <c r="B183" s="244" t="str">
        <f>_xlfn.XLOOKUP(A183,'Base de Dados'!D:D,'Base de Dados'!B:B)</f>
        <v>TIMBRO SWISS SA</v>
      </c>
      <c r="C183" s="275" t="str">
        <f>_xlfn.XLOOKUP(PRECIFICAÇÃO[[#This Row],[INVOICE]],'Base de Dados'!D:D,'Base de Dados'!X:X)</f>
        <v>CONCLUÍDO</v>
      </c>
      <c r="D183" s="54">
        <v>272957</v>
      </c>
      <c r="E183" s="244" t="s">
        <v>955</v>
      </c>
      <c r="F183" s="245">
        <v>3240</v>
      </c>
      <c r="G183" s="319">
        <v>6.08</v>
      </c>
      <c r="H183" s="246">
        <v>5.1176000000000004</v>
      </c>
      <c r="I183" s="247">
        <f t="shared" si="24"/>
        <v>31.115008000000003</v>
      </c>
      <c r="J183" s="248">
        <f t="shared" si="25"/>
        <v>100812.62592000001</v>
      </c>
      <c r="K183" s="249">
        <f>J183/_xlfn.XLOOKUP(A183,'Base de Dados'!D:D,'Base de Dados'!M:M)</f>
        <v>0.14678378534092315</v>
      </c>
      <c r="L183" s="248">
        <f>K183*_xlfn.XLOOKUP(A183,'Base de Dados'!D:D,'Base de Dados'!N:N)</f>
        <v>4215.6259114777531</v>
      </c>
      <c r="M183" s="250">
        <f t="shared" si="26"/>
        <v>105028.25183147776</v>
      </c>
      <c r="N183" s="251">
        <f t="shared" si="27"/>
        <v>32.416127108480786</v>
      </c>
      <c r="O183" s="252">
        <f t="shared" si="28"/>
        <v>0.40088862400000003</v>
      </c>
      <c r="P183" s="253">
        <v>149</v>
      </c>
      <c r="Q183" s="252">
        <f t="shared" si="30"/>
        <v>0.78244209994308189</v>
      </c>
      <c r="R183" s="252">
        <v>0.500888624</v>
      </c>
      <c r="S183" s="252">
        <f t="shared" si="31"/>
        <v>0.28155347594308189</v>
      </c>
      <c r="T183" s="253">
        <v>0</v>
      </c>
      <c r="U183" s="252" t="e">
        <f t="shared" si="33"/>
        <v>#DIV/0!</v>
      </c>
      <c r="V183" s="290">
        <v>110001004</v>
      </c>
      <c r="W183" s="252" t="s">
        <v>513</v>
      </c>
    </row>
    <row r="184" spans="1:23" ht="14.4" x14ac:dyDescent="0.3">
      <c r="A184" s="194" t="s">
        <v>388</v>
      </c>
      <c r="B184" s="244" t="str">
        <f>_xlfn.XLOOKUP(A184,'Base de Dados'!D:D,'Base de Dados'!B:B)</f>
        <v>TIMBRO SWISS SA</v>
      </c>
      <c r="C184" s="275" t="str">
        <f>_xlfn.XLOOKUP(PRECIFICAÇÃO[[#This Row],[INVOICE]],'Base de Dados'!D:D,'Base de Dados'!X:X)</f>
        <v>CONCLUÍDO</v>
      </c>
      <c r="D184" s="54">
        <v>238722</v>
      </c>
      <c r="E184" s="244" t="s">
        <v>15</v>
      </c>
      <c r="F184" s="245">
        <v>2892</v>
      </c>
      <c r="G184" s="319">
        <v>4.5</v>
      </c>
      <c r="H184" s="246">
        <v>5.1176000000000004</v>
      </c>
      <c r="I184" s="247">
        <f t="shared" si="24"/>
        <v>23.029200000000003</v>
      </c>
      <c r="J184" s="248">
        <f t="shared" si="25"/>
        <v>66600.446400000015</v>
      </c>
      <c r="K184" s="249">
        <f>J184/_xlfn.XLOOKUP(A184,'Base de Dados'!D:D,'Base de Dados'!M:M)</f>
        <v>9.6970647662177861E-2</v>
      </c>
      <c r="L184" s="248">
        <f>K184*_xlfn.XLOOKUP(A184,'Base de Dados'!D:D,'Base de Dados'!N:N)</f>
        <v>2784.9940917383183</v>
      </c>
      <c r="M184" s="250">
        <f t="shared" si="26"/>
        <v>69385.440491738336</v>
      </c>
      <c r="N184" s="251">
        <f t="shared" si="27"/>
        <v>23.992199340158486</v>
      </c>
      <c r="O184" s="252">
        <f t="shared" si="28"/>
        <v>0.41380769799999995</v>
      </c>
      <c r="P184" s="253">
        <v>79</v>
      </c>
      <c r="Q184" s="252">
        <f t="shared" si="30"/>
        <v>0.69630127417520904</v>
      </c>
      <c r="R184" s="252">
        <v>0.51380769799999992</v>
      </c>
      <c r="S184" s="252">
        <f t="shared" si="31"/>
        <v>0.18249357617520912</v>
      </c>
      <c r="T184" s="253">
        <v>0</v>
      </c>
      <c r="U184" s="252" t="e">
        <f t="shared" si="33"/>
        <v>#DIV/0!</v>
      </c>
      <c r="V184" s="290">
        <v>111003005</v>
      </c>
      <c r="W184" s="252" t="s">
        <v>498</v>
      </c>
    </row>
    <row r="185" spans="1:23" ht="14.4" x14ac:dyDescent="0.3">
      <c r="A185" s="194" t="s">
        <v>388</v>
      </c>
      <c r="B185" s="244" t="str">
        <f>_xlfn.XLOOKUP(A185,'Base de Dados'!D:D,'Base de Dados'!B:B)</f>
        <v>TIMBRO SWISS SA</v>
      </c>
      <c r="C185" s="275" t="str">
        <f>_xlfn.XLOOKUP(PRECIFICAÇÃO[[#This Row],[INVOICE]],'Base de Dados'!D:D,'Base de Dados'!X:X)</f>
        <v>CONCLUÍDO</v>
      </c>
      <c r="D185" s="54">
        <v>238697</v>
      </c>
      <c r="E185" s="244" t="s">
        <v>899</v>
      </c>
      <c r="F185" s="245">
        <v>1628</v>
      </c>
      <c r="G185" s="319">
        <v>17.079999999999998</v>
      </c>
      <c r="H185" s="246">
        <v>5.1176000000000004</v>
      </c>
      <c r="I185" s="247">
        <f t="shared" si="24"/>
        <v>87.408608000000001</v>
      </c>
      <c r="J185" s="248">
        <f t="shared" si="25"/>
        <v>142301.21382400001</v>
      </c>
      <c r="K185" s="249">
        <f>J185/_xlfn.XLOOKUP(A185,'Base de Dados'!D:D,'Base de Dados'!M:M)</f>
        <v>0.20719141707775904</v>
      </c>
      <c r="L185" s="248">
        <f>K185*_xlfn.XLOOKUP(A185,'Base de Dados'!D:D,'Base de Dados'!N:N)</f>
        <v>5950.5312827307271</v>
      </c>
      <c r="M185" s="250">
        <f t="shared" si="26"/>
        <v>148251.74510673073</v>
      </c>
      <c r="N185" s="251">
        <f t="shared" si="27"/>
        <v>91.06372549553484</v>
      </c>
      <c r="O185" s="252">
        <f t="shared" si="28"/>
        <v>0.39270865200000005</v>
      </c>
      <c r="P185" s="253">
        <v>299</v>
      </c>
      <c r="Q185" s="252">
        <f t="shared" si="30"/>
        <v>0.69543904516543531</v>
      </c>
      <c r="R185" s="252">
        <v>0.49270865200000002</v>
      </c>
      <c r="S185" s="252">
        <f t="shared" si="31"/>
        <v>0.20273039316543529</v>
      </c>
      <c r="T185" s="253">
        <v>0</v>
      </c>
      <c r="U185" s="252" t="e">
        <f t="shared" si="33"/>
        <v>#DIV/0!</v>
      </c>
      <c r="V185" s="290">
        <v>111001012</v>
      </c>
      <c r="W185" s="252" t="s">
        <v>493</v>
      </c>
    </row>
    <row r="186" spans="1:23" ht="14.4" x14ac:dyDescent="0.3">
      <c r="A186" s="194" t="s">
        <v>388</v>
      </c>
      <c r="B186" s="244" t="str">
        <f>_xlfn.XLOOKUP(A186,'Base de Dados'!D:D,'Base de Dados'!B:B)</f>
        <v>TIMBRO SWISS SA</v>
      </c>
      <c r="C186" s="275" t="str">
        <f>_xlfn.XLOOKUP(PRECIFICAÇÃO[[#This Row],[INVOICE]],'Base de Dados'!D:D,'Base de Dados'!X:X)</f>
        <v>CONCLUÍDO</v>
      </c>
      <c r="D186" s="54">
        <v>238700</v>
      </c>
      <c r="E186" s="244" t="s">
        <v>13</v>
      </c>
      <c r="F186" s="245">
        <v>3804</v>
      </c>
      <c r="G186" s="319">
        <v>5.69</v>
      </c>
      <c r="H186" s="246">
        <v>5.1176000000000004</v>
      </c>
      <c r="I186" s="247">
        <f t="shared" si="24"/>
        <v>29.119144000000006</v>
      </c>
      <c r="J186" s="248">
        <f t="shared" si="25"/>
        <v>110769.22377600003</v>
      </c>
      <c r="K186" s="249">
        <f>J186/_xlfn.XLOOKUP(A186,'Base de Dados'!D:D,'Base de Dados'!M:M)</f>
        <v>0.16128065127496549</v>
      </c>
      <c r="L186" s="248">
        <f>K186*_xlfn.XLOOKUP(A186,'Base de Dados'!D:D,'Base de Dados'!N:N)</f>
        <v>4631.9754661974712</v>
      </c>
      <c r="M186" s="250">
        <f t="shared" si="26"/>
        <v>115401.1992421975</v>
      </c>
      <c r="N186" s="251">
        <f t="shared" si="27"/>
        <v>30.33680316566706</v>
      </c>
      <c r="O186" s="252">
        <f t="shared" si="28"/>
        <v>0.39291766500000003</v>
      </c>
      <c r="P186" s="253">
        <v>77</v>
      </c>
      <c r="Q186" s="252">
        <f t="shared" si="30"/>
        <v>0.60601554330302509</v>
      </c>
      <c r="R186" s="252">
        <v>0.492917665</v>
      </c>
      <c r="S186" s="252">
        <f t="shared" si="31"/>
        <v>0.11309787830302509</v>
      </c>
      <c r="T186" s="253">
        <v>0</v>
      </c>
      <c r="U186" s="252" t="e">
        <f t="shared" si="33"/>
        <v>#DIV/0!</v>
      </c>
      <c r="V186" s="290">
        <v>111001020</v>
      </c>
      <c r="W186" s="252" t="s">
        <v>496</v>
      </c>
    </row>
    <row r="187" spans="1:23" ht="14.4" x14ac:dyDescent="0.3">
      <c r="A187" s="194" t="s">
        <v>358</v>
      </c>
      <c r="B187" s="244" t="str">
        <f>_xlfn.XLOOKUP(A187,'Base de Dados'!D:D,'Base de Dados'!B:B)</f>
        <v>TIMBRO SWISS SA</v>
      </c>
      <c r="C187" s="275" t="str">
        <f>_xlfn.XLOOKUP(PRECIFICAÇÃO[[#This Row],[INVOICE]],'Base de Dados'!D:D,'Base de Dados'!X:X)</f>
        <v>CONCLUÍDO</v>
      </c>
      <c r="D187" s="54">
        <v>358232</v>
      </c>
      <c r="E187" s="244" t="s">
        <v>956</v>
      </c>
      <c r="F187" s="245">
        <v>1282</v>
      </c>
      <c r="G187" s="319">
        <v>30.83</v>
      </c>
      <c r="H187" s="246">
        <v>5.1654999999999998</v>
      </c>
      <c r="I187" s="247">
        <f t="shared" si="24"/>
        <v>159.252365</v>
      </c>
      <c r="J187" s="248">
        <f t="shared" si="25"/>
        <v>204161.53193</v>
      </c>
      <c r="K187" s="249">
        <f>J187/_xlfn.XLOOKUP(A187,'Base de Dados'!D:D,'Base de Dados'!M:M)</f>
        <v>1.000000009453299</v>
      </c>
      <c r="L187" s="248">
        <f>K187*_xlfn.XLOOKUP(A187,'Base de Dados'!D:D,'Base de Dados'!N:N)</f>
        <v>20723.990195910075</v>
      </c>
      <c r="M187" s="250">
        <f t="shared" si="26"/>
        <v>224885.52212591007</v>
      </c>
      <c r="N187" s="251">
        <f t="shared" si="27"/>
        <v>175.41772396716854</v>
      </c>
      <c r="O187" s="252">
        <f t="shared" si="28"/>
        <v>0.38095638600000004</v>
      </c>
      <c r="P187" s="253">
        <f t="shared" ref="P187:P218" si="36">ROUND(N187/O187,0)</f>
        <v>460</v>
      </c>
      <c r="Q187" s="252">
        <f t="shared" si="30"/>
        <v>0.61865712181050325</v>
      </c>
      <c r="R187" s="252">
        <v>0.48095638600000001</v>
      </c>
      <c r="S187" s="252">
        <f t="shared" si="31"/>
        <v>0.13770073581050324</v>
      </c>
      <c r="T187" s="253">
        <f>P187+10</f>
        <v>470</v>
      </c>
      <c r="U187" s="252">
        <f t="shared" si="33"/>
        <v>2.1276595744680851E-2</v>
      </c>
      <c r="V187" s="290">
        <v>117001006</v>
      </c>
      <c r="W187" s="252" t="s">
        <v>526</v>
      </c>
    </row>
    <row r="188" spans="1:23" ht="14.4" x14ac:dyDescent="0.3">
      <c r="A188" s="194" t="s">
        <v>403</v>
      </c>
      <c r="B188" s="244" t="str">
        <f>_xlfn.XLOOKUP(A188,'Base de Dados'!D:D,'Base de Dados'!B:B)</f>
        <v>TIMBRO SWISS SA</v>
      </c>
      <c r="C188" s="275" t="str">
        <f>_xlfn.XLOOKUP(PRECIFICAÇÃO[[#This Row],[INVOICE]],'Base de Dados'!D:D,'Base de Dados'!X:X)</f>
        <v>EM TRÂNSITO</v>
      </c>
      <c r="D188" s="54">
        <v>373481</v>
      </c>
      <c r="E188" s="244" t="s">
        <v>908</v>
      </c>
      <c r="F188" s="245">
        <v>300</v>
      </c>
      <c r="G188" s="319">
        <v>8.25</v>
      </c>
      <c r="H188" s="246">
        <v>5.1176000000000004</v>
      </c>
      <c r="I188" s="247">
        <f t="shared" si="24"/>
        <v>42.220200000000006</v>
      </c>
      <c r="J188" s="248">
        <f t="shared" si="25"/>
        <v>12666.060000000001</v>
      </c>
      <c r="K188" s="249" t="e">
        <f>J188/_xlfn.XLOOKUP(A188,'Base de Dados'!D:D,'Base de Dados'!M:M)</f>
        <v>#DIV/0!</v>
      </c>
      <c r="L188" s="248" t="e">
        <f>K188*_xlfn.XLOOKUP(A188,'Base de Dados'!D:D,'Base de Dados'!N:N)</f>
        <v>#DIV/0!</v>
      </c>
      <c r="M188" s="250" t="e">
        <f t="shared" si="26"/>
        <v>#DIV/0!</v>
      </c>
      <c r="N188" s="251" t="e">
        <f t="shared" si="27"/>
        <v>#DIV/0!</v>
      </c>
      <c r="O188" s="252">
        <f t="shared" si="28"/>
        <v>0.42743574600000001</v>
      </c>
      <c r="P188" s="253" t="e">
        <f>ROUND(N188/O188,0)</f>
        <v>#DIV/0!</v>
      </c>
      <c r="Q188" s="252" t="e">
        <f t="shared" si="30"/>
        <v>#DIV/0!</v>
      </c>
      <c r="R188" s="252">
        <v>0.52743574599999998</v>
      </c>
      <c r="S188" s="252" t="e">
        <f t="shared" si="31"/>
        <v>#DIV/0!</v>
      </c>
      <c r="T188" s="253" t="e">
        <f>P188+10</f>
        <v>#DIV/0!</v>
      </c>
      <c r="U188" s="252" t="e">
        <f t="shared" si="33"/>
        <v>#DIV/0!</v>
      </c>
      <c r="V188" s="290">
        <v>107001003</v>
      </c>
      <c r="W188" s="252" t="s">
        <v>534</v>
      </c>
    </row>
    <row r="189" spans="1:23" ht="14.4" x14ac:dyDescent="0.3">
      <c r="A189" s="194" t="s">
        <v>403</v>
      </c>
      <c r="B189" s="244" t="str">
        <f>_xlfn.XLOOKUP(A189,'Base de Dados'!D:D,'Base de Dados'!B:B)</f>
        <v>TIMBRO SWISS SA</v>
      </c>
      <c r="C189" s="275" t="str">
        <f>_xlfn.XLOOKUP(PRECIFICAÇÃO[[#This Row],[INVOICE]],'Base de Dados'!D:D,'Base de Dados'!X:X)</f>
        <v>EM TRÂNSITO</v>
      </c>
      <c r="D189" s="54">
        <v>373482</v>
      </c>
      <c r="E189" s="244" t="s">
        <v>901</v>
      </c>
      <c r="F189" s="245">
        <v>300</v>
      </c>
      <c r="G189" s="319">
        <v>8.25</v>
      </c>
      <c r="H189" s="246">
        <v>5.1176000000000004</v>
      </c>
      <c r="I189" s="247">
        <f t="shared" si="24"/>
        <v>42.220200000000006</v>
      </c>
      <c r="J189" s="248">
        <f t="shared" si="25"/>
        <v>12666.060000000001</v>
      </c>
      <c r="K189" s="249" t="e">
        <f>J189/_xlfn.XLOOKUP(A189,'Base de Dados'!D:D,'Base de Dados'!M:M)</f>
        <v>#DIV/0!</v>
      </c>
      <c r="L189" s="248"/>
      <c r="M189" s="250">
        <f t="shared" si="26"/>
        <v>12666.060000000001</v>
      </c>
      <c r="N189" s="251">
        <f t="shared" si="27"/>
        <v>42.220200000000006</v>
      </c>
      <c r="O189" s="252">
        <f t="shared" si="28"/>
        <v>0.42743574600000001</v>
      </c>
      <c r="P189" s="253">
        <f t="shared" si="36"/>
        <v>99</v>
      </c>
      <c r="Q189" s="252">
        <f t="shared" si="30"/>
        <v>0.57353333333333323</v>
      </c>
      <c r="R189" s="252">
        <v>0.52743574599999998</v>
      </c>
      <c r="S189" s="252">
        <f t="shared" si="31"/>
        <v>4.6097587333333245E-2</v>
      </c>
      <c r="T189" s="253"/>
      <c r="U189" s="252" t="e">
        <f t="shared" si="33"/>
        <v>#DIV/0!</v>
      </c>
      <c r="V189" s="290">
        <v>107001003</v>
      </c>
      <c r="W189" s="252" t="s">
        <v>534</v>
      </c>
    </row>
    <row r="190" spans="1:23" ht="14.4" x14ac:dyDescent="0.3">
      <c r="A190" s="194" t="s">
        <v>403</v>
      </c>
      <c r="B190" s="244" t="str">
        <f>_xlfn.XLOOKUP(A190,'Base de Dados'!D:D,'Base de Dados'!B:B)</f>
        <v>TIMBRO SWISS SA</v>
      </c>
      <c r="C190" s="275" t="str">
        <f>_xlfn.XLOOKUP(PRECIFICAÇÃO[[#This Row],[INVOICE]],'Base de Dados'!D:D,'Base de Dados'!X:X)</f>
        <v>EM TRÂNSITO</v>
      </c>
      <c r="D190" s="54">
        <v>387143</v>
      </c>
      <c r="E190" s="244" t="s">
        <v>957</v>
      </c>
      <c r="F190" s="245">
        <v>300</v>
      </c>
      <c r="G190" s="319">
        <v>8.25</v>
      </c>
      <c r="H190" s="246">
        <v>5.1176000000000004</v>
      </c>
      <c r="I190" s="247">
        <f t="shared" si="24"/>
        <v>42.220200000000006</v>
      </c>
      <c r="J190" s="248">
        <f t="shared" si="25"/>
        <v>12666.060000000001</v>
      </c>
      <c r="K190" s="249" t="e">
        <f>J190/_xlfn.XLOOKUP(A190,'Base de Dados'!D:D,'Base de Dados'!M:M)</f>
        <v>#DIV/0!</v>
      </c>
      <c r="L190" s="248" t="e">
        <f>K190*_xlfn.XLOOKUP(A190,'Base de Dados'!D:D,'Base de Dados'!N:N)</f>
        <v>#DIV/0!</v>
      </c>
      <c r="M190" s="250" t="e">
        <f t="shared" si="26"/>
        <v>#DIV/0!</v>
      </c>
      <c r="N190" s="251" t="e">
        <f t="shared" si="27"/>
        <v>#DIV/0!</v>
      </c>
      <c r="O190" s="252">
        <f t="shared" si="28"/>
        <v>0.42743574600000001</v>
      </c>
      <c r="P190" s="253" t="e">
        <f t="shared" si="36"/>
        <v>#DIV/0!</v>
      </c>
      <c r="Q190" s="252" t="e">
        <f t="shared" si="30"/>
        <v>#DIV/0!</v>
      </c>
      <c r="R190" s="252">
        <v>0.52743574599999998</v>
      </c>
      <c r="S190" s="252" t="e">
        <f t="shared" si="31"/>
        <v>#DIV/0!</v>
      </c>
      <c r="T190" s="253"/>
      <c r="U190" s="252" t="e">
        <f t="shared" si="33"/>
        <v>#DIV/0!</v>
      </c>
      <c r="V190" s="290">
        <v>107001003</v>
      </c>
      <c r="W190" s="252" t="s">
        <v>534</v>
      </c>
    </row>
    <row r="191" spans="1:23" ht="14.4" x14ac:dyDescent="0.3">
      <c r="A191" s="194" t="s">
        <v>403</v>
      </c>
      <c r="B191" s="244" t="str">
        <f>_xlfn.XLOOKUP(A191,'Base de Dados'!D:D,'Base de Dados'!B:B)</f>
        <v>TIMBRO SWISS SA</v>
      </c>
      <c r="C191" s="275" t="str">
        <f>_xlfn.XLOOKUP(PRECIFICAÇÃO[[#This Row],[INVOICE]],'Base de Dados'!D:D,'Base de Dados'!X:X)</f>
        <v>EM TRÂNSITO</v>
      </c>
      <c r="D191" s="54">
        <v>373484</v>
      </c>
      <c r="E191" s="244" t="s">
        <v>903</v>
      </c>
      <c r="F191" s="245">
        <v>372</v>
      </c>
      <c r="G191" s="319">
        <v>14.26</v>
      </c>
      <c r="H191" s="246">
        <v>5.1176000000000004</v>
      </c>
      <c r="I191" s="247">
        <f t="shared" si="24"/>
        <v>72.976976000000008</v>
      </c>
      <c r="J191" s="248">
        <f t="shared" si="25"/>
        <v>27147.435072000004</v>
      </c>
      <c r="K191" s="249" t="e">
        <f>J191/_xlfn.XLOOKUP(A191,'Base de Dados'!D:D,'Base de Dados'!M:M)</f>
        <v>#DIV/0!</v>
      </c>
      <c r="L191" s="248" t="e">
        <f>K191*_xlfn.XLOOKUP(A191,'Base de Dados'!D:D,'Base de Dados'!N:N)</f>
        <v>#DIV/0!</v>
      </c>
      <c r="M191" s="250" t="e">
        <f t="shared" si="26"/>
        <v>#DIV/0!</v>
      </c>
      <c r="N191" s="251" t="e">
        <f t="shared" si="27"/>
        <v>#DIV/0!</v>
      </c>
      <c r="O191" s="252">
        <f t="shared" si="28"/>
        <v>0.42743574600000001</v>
      </c>
      <c r="P191" s="253" t="e">
        <f t="shared" si="36"/>
        <v>#DIV/0!</v>
      </c>
      <c r="Q191" s="252" t="e">
        <f t="shared" si="30"/>
        <v>#DIV/0!</v>
      </c>
      <c r="R191" s="252">
        <v>0.52743574599999998</v>
      </c>
      <c r="S191" s="252" t="e">
        <f t="shared" si="31"/>
        <v>#DIV/0!</v>
      </c>
      <c r="T191" s="253"/>
      <c r="U191" s="252" t="e">
        <f t="shared" si="33"/>
        <v>#DIV/0!</v>
      </c>
      <c r="V191" s="290">
        <v>107001003</v>
      </c>
      <c r="W191" s="252" t="s">
        <v>534</v>
      </c>
    </row>
    <row r="192" spans="1:23" ht="14.4" x14ac:dyDescent="0.3">
      <c r="A192" s="194" t="s">
        <v>403</v>
      </c>
      <c r="B192" s="244" t="str">
        <f>_xlfn.XLOOKUP(A192,'Base de Dados'!D:D,'Base de Dados'!B:B)</f>
        <v>TIMBRO SWISS SA</v>
      </c>
      <c r="C192" s="275" t="str">
        <f>_xlfn.XLOOKUP(PRECIFICAÇÃO[[#This Row],[INVOICE]],'Base de Dados'!D:D,'Base de Dados'!X:X)</f>
        <v>EM TRÂNSITO</v>
      </c>
      <c r="D192" s="54">
        <v>373485</v>
      </c>
      <c r="E192" s="244" t="s">
        <v>904</v>
      </c>
      <c r="F192" s="245">
        <v>372</v>
      </c>
      <c r="G192" s="319">
        <v>14.26</v>
      </c>
      <c r="H192" s="246">
        <v>5.1176000000000004</v>
      </c>
      <c r="I192" s="247">
        <f t="shared" si="24"/>
        <v>72.976976000000008</v>
      </c>
      <c r="J192" s="248">
        <f t="shared" si="25"/>
        <v>27147.435072000004</v>
      </c>
      <c r="K192" s="249" t="e">
        <f>J192/_xlfn.XLOOKUP(A192,'Base de Dados'!D:D,'Base de Dados'!M:M)</f>
        <v>#DIV/0!</v>
      </c>
      <c r="L192" s="248" t="e">
        <f>K192*_xlfn.XLOOKUP(A192,'Base de Dados'!D:D,'Base de Dados'!N:N)</f>
        <v>#DIV/0!</v>
      </c>
      <c r="M192" s="250" t="e">
        <f t="shared" si="26"/>
        <v>#DIV/0!</v>
      </c>
      <c r="N192" s="251" t="e">
        <f t="shared" si="27"/>
        <v>#DIV/0!</v>
      </c>
      <c r="O192" s="252">
        <f t="shared" si="28"/>
        <v>0.42743574600000001</v>
      </c>
      <c r="P192" s="253" t="e">
        <f t="shared" si="36"/>
        <v>#DIV/0!</v>
      </c>
      <c r="Q192" s="252" t="e">
        <f t="shared" si="30"/>
        <v>#DIV/0!</v>
      </c>
      <c r="R192" s="252">
        <v>0.52743574599999998</v>
      </c>
      <c r="S192" s="252" t="e">
        <f t="shared" si="31"/>
        <v>#DIV/0!</v>
      </c>
      <c r="T192" s="253"/>
      <c r="U192" s="252" t="e">
        <f t="shared" si="33"/>
        <v>#DIV/0!</v>
      </c>
      <c r="V192" s="290">
        <v>107001003</v>
      </c>
      <c r="W192" s="252" t="s">
        <v>534</v>
      </c>
    </row>
    <row r="193" spans="1:23" ht="14.4" x14ac:dyDescent="0.3">
      <c r="A193" s="194" t="s">
        <v>403</v>
      </c>
      <c r="B193" s="244" t="str">
        <f>_xlfn.XLOOKUP(A193,'Base de Dados'!D:D,'Base de Dados'!B:B)</f>
        <v>TIMBRO SWISS SA</v>
      </c>
      <c r="C193" s="275" t="str">
        <f>_xlfn.XLOOKUP(PRECIFICAÇÃO[[#This Row],[INVOICE]],'Base de Dados'!D:D,'Base de Dados'!X:X)</f>
        <v>EM TRÂNSITO</v>
      </c>
      <c r="D193" s="54">
        <v>373486</v>
      </c>
      <c r="E193" s="244" t="s">
        <v>905</v>
      </c>
      <c r="F193" s="245">
        <v>372</v>
      </c>
      <c r="G193" s="319">
        <v>14.26</v>
      </c>
      <c r="H193" s="246">
        <v>5.1176000000000004</v>
      </c>
      <c r="I193" s="247">
        <f t="shared" si="24"/>
        <v>72.976976000000008</v>
      </c>
      <c r="J193" s="248">
        <f t="shared" si="25"/>
        <v>27147.435072000004</v>
      </c>
      <c r="K193" s="249" t="e">
        <f>J193/_xlfn.XLOOKUP(A193,'Base de Dados'!D:D,'Base de Dados'!M:M)</f>
        <v>#DIV/0!</v>
      </c>
      <c r="L193" s="248" t="e">
        <f>K193*_xlfn.XLOOKUP(A193,'Base de Dados'!D:D,'Base de Dados'!N:N)</f>
        <v>#DIV/0!</v>
      </c>
      <c r="M193" s="250" t="e">
        <f t="shared" si="26"/>
        <v>#DIV/0!</v>
      </c>
      <c r="N193" s="251" t="e">
        <f t="shared" si="27"/>
        <v>#DIV/0!</v>
      </c>
      <c r="O193" s="252">
        <f t="shared" si="28"/>
        <v>0.42743574600000001</v>
      </c>
      <c r="P193" s="253" t="e">
        <f t="shared" si="36"/>
        <v>#DIV/0!</v>
      </c>
      <c r="Q193" s="252" t="e">
        <f t="shared" si="30"/>
        <v>#DIV/0!</v>
      </c>
      <c r="R193" s="252">
        <v>0.52743574599999998</v>
      </c>
      <c r="S193" s="252" t="e">
        <f t="shared" si="31"/>
        <v>#DIV/0!</v>
      </c>
      <c r="T193" s="253"/>
      <c r="U193" s="252" t="e">
        <f t="shared" si="33"/>
        <v>#DIV/0!</v>
      </c>
      <c r="V193" s="290">
        <v>107001003</v>
      </c>
      <c r="W193" s="252" t="s">
        <v>534</v>
      </c>
    </row>
    <row r="194" spans="1:23" ht="14.4" x14ac:dyDescent="0.3">
      <c r="A194" s="194" t="s">
        <v>403</v>
      </c>
      <c r="B194" s="244" t="str">
        <f>_xlfn.XLOOKUP(A194,'Base de Dados'!D:D,'Base de Dados'!B:B)</f>
        <v>TIMBRO SWISS SA</v>
      </c>
      <c r="C194" s="275" t="str">
        <f>_xlfn.XLOOKUP(PRECIFICAÇÃO[[#This Row],[INVOICE]],'Base de Dados'!D:D,'Base de Dados'!X:X)</f>
        <v>EM TRÂNSITO</v>
      </c>
      <c r="D194" s="54">
        <v>387144</v>
      </c>
      <c r="E194" s="244" t="s">
        <v>958</v>
      </c>
      <c r="F194" s="245">
        <v>372</v>
      </c>
      <c r="G194" s="319">
        <v>15.24</v>
      </c>
      <c r="H194" s="246">
        <v>5.1176000000000004</v>
      </c>
      <c r="I194" s="247">
        <f t="shared" ref="I194:I257" si="37">H194*G194</f>
        <v>77.992224000000007</v>
      </c>
      <c r="J194" s="248">
        <f t="shared" ref="J194:J257" si="38">I194*F194</f>
        <v>29013.107328000002</v>
      </c>
      <c r="K194" s="249" t="e">
        <f>J194/_xlfn.XLOOKUP(A194,'Base de Dados'!D:D,'Base de Dados'!M:M)</f>
        <v>#DIV/0!</v>
      </c>
      <c r="L194" s="248" t="e">
        <f>K194*_xlfn.XLOOKUP(A194,'Base de Dados'!D:D,'Base de Dados'!N:N)</f>
        <v>#DIV/0!</v>
      </c>
      <c r="M194" s="250" t="e">
        <f t="shared" ref="M194:M253" si="39">J194+L194</f>
        <v>#DIV/0!</v>
      </c>
      <c r="N194" s="251" t="e">
        <f t="shared" ref="N194:N257" si="40">M194/F194</f>
        <v>#DIV/0!</v>
      </c>
      <c r="O194" s="252">
        <f t="shared" ref="O194:O253" si="41">R194-0.1</f>
        <v>0.42743574600000001</v>
      </c>
      <c r="P194" s="253" t="e">
        <f t="shared" si="36"/>
        <v>#DIV/0!</v>
      </c>
      <c r="Q194" s="252" t="e">
        <f t="shared" ref="Q194:Q253" si="42">(P194-N194)/P194</f>
        <v>#DIV/0!</v>
      </c>
      <c r="R194" s="252">
        <v>0.52743574599999998</v>
      </c>
      <c r="S194" s="252" t="e">
        <f t="shared" ref="S194:S253" si="43">Q194-R194</f>
        <v>#DIV/0!</v>
      </c>
      <c r="T194" s="253"/>
      <c r="U194" s="252" t="e">
        <f t="shared" ref="U194:U253" si="44">(T194-P194)/T194</f>
        <v>#DIV/0!</v>
      </c>
      <c r="V194" s="290">
        <v>107001003</v>
      </c>
      <c r="W194" s="252" t="s">
        <v>534</v>
      </c>
    </row>
    <row r="195" spans="1:23" ht="14.4" x14ac:dyDescent="0.3">
      <c r="A195" s="194" t="s">
        <v>403</v>
      </c>
      <c r="B195" s="244" t="str">
        <f>_xlfn.XLOOKUP(A195,'Base de Dados'!D:D,'Base de Dados'!B:B)</f>
        <v>TIMBRO SWISS SA</v>
      </c>
      <c r="C195" s="275" t="str">
        <f>_xlfn.XLOOKUP(PRECIFICAÇÃO[[#This Row],[INVOICE]],'Base de Dados'!D:D,'Base de Dados'!X:X)</f>
        <v>EM TRÂNSITO</v>
      </c>
      <c r="D195" s="54">
        <v>373487</v>
      </c>
      <c r="E195" s="244" t="s">
        <v>906</v>
      </c>
      <c r="F195" s="245">
        <v>380</v>
      </c>
      <c r="G195" s="319">
        <v>15.51</v>
      </c>
      <c r="H195" s="246">
        <v>5.1176000000000004</v>
      </c>
      <c r="I195" s="247">
        <f t="shared" si="37"/>
        <v>79.373975999999999</v>
      </c>
      <c r="J195" s="248">
        <f t="shared" si="38"/>
        <v>30162.11088</v>
      </c>
      <c r="K195" s="249" t="e">
        <f>J195/_xlfn.XLOOKUP(A195,'Base de Dados'!D:D,'Base de Dados'!M:M)</f>
        <v>#DIV/0!</v>
      </c>
      <c r="L195" s="248" t="e">
        <f>K195*_xlfn.XLOOKUP(A195,'Base de Dados'!D:D,'Base de Dados'!N:N)</f>
        <v>#DIV/0!</v>
      </c>
      <c r="M195" s="250" t="e">
        <f t="shared" si="39"/>
        <v>#DIV/0!</v>
      </c>
      <c r="N195" s="251" t="e">
        <f t="shared" si="40"/>
        <v>#DIV/0!</v>
      </c>
      <c r="O195" s="252">
        <f t="shared" si="41"/>
        <v>0.42743574600000001</v>
      </c>
      <c r="P195" s="253" t="e">
        <f t="shared" si="36"/>
        <v>#DIV/0!</v>
      </c>
      <c r="Q195" s="252" t="e">
        <f t="shared" si="42"/>
        <v>#DIV/0!</v>
      </c>
      <c r="R195" s="252">
        <v>0.52743574599999998</v>
      </c>
      <c r="S195" s="252" t="e">
        <f t="shared" si="43"/>
        <v>#DIV/0!</v>
      </c>
      <c r="T195" s="253"/>
      <c r="U195" s="252" t="e">
        <f t="shared" si="44"/>
        <v>#DIV/0!</v>
      </c>
      <c r="V195" s="290">
        <v>107001003</v>
      </c>
      <c r="W195" s="252" t="s">
        <v>534</v>
      </c>
    </row>
    <row r="196" spans="1:23" ht="14.4" x14ac:dyDescent="0.3">
      <c r="A196" s="194" t="s">
        <v>403</v>
      </c>
      <c r="B196" s="244" t="str">
        <f>_xlfn.XLOOKUP(A196,'Base de Dados'!D:D,'Base de Dados'!B:B)</f>
        <v>TIMBRO SWISS SA</v>
      </c>
      <c r="C196" s="275" t="str">
        <f>_xlfn.XLOOKUP(PRECIFICAÇÃO[[#This Row],[INVOICE]],'Base de Dados'!D:D,'Base de Dados'!X:X)</f>
        <v>EM TRÂNSITO</v>
      </c>
      <c r="D196" s="54">
        <v>373488</v>
      </c>
      <c r="E196" s="244" t="s">
        <v>943</v>
      </c>
      <c r="F196" s="245">
        <v>380</v>
      </c>
      <c r="G196" s="319">
        <v>15.51</v>
      </c>
      <c r="H196" s="246">
        <v>5.1176000000000004</v>
      </c>
      <c r="I196" s="247">
        <f t="shared" si="37"/>
        <v>79.373975999999999</v>
      </c>
      <c r="J196" s="248">
        <f t="shared" si="38"/>
        <v>30162.11088</v>
      </c>
      <c r="K196" s="249" t="e">
        <f>J196/_xlfn.XLOOKUP(A196,'Base de Dados'!D:D,'Base de Dados'!M:M)</f>
        <v>#DIV/0!</v>
      </c>
      <c r="L196" s="248" t="e">
        <f>K196*_xlfn.XLOOKUP(A196,'Base de Dados'!D:D,'Base de Dados'!N:N)</f>
        <v>#DIV/0!</v>
      </c>
      <c r="M196" s="250" t="e">
        <f t="shared" si="39"/>
        <v>#DIV/0!</v>
      </c>
      <c r="N196" s="251" t="e">
        <f t="shared" si="40"/>
        <v>#DIV/0!</v>
      </c>
      <c r="O196" s="252">
        <f t="shared" si="41"/>
        <v>0.42743574600000001</v>
      </c>
      <c r="P196" s="253" t="e">
        <f t="shared" si="36"/>
        <v>#DIV/0!</v>
      </c>
      <c r="Q196" s="252" t="e">
        <f t="shared" si="42"/>
        <v>#DIV/0!</v>
      </c>
      <c r="R196" s="252">
        <v>0.52743574599999998</v>
      </c>
      <c r="S196" s="252" t="e">
        <f t="shared" si="43"/>
        <v>#DIV/0!</v>
      </c>
      <c r="T196" s="253"/>
      <c r="U196" s="252" t="e">
        <f t="shared" si="44"/>
        <v>#DIV/0!</v>
      </c>
      <c r="V196" s="290">
        <v>107001003</v>
      </c>
      <c r="W196" s="252" t="s">
        <v>534</v>
      </c>
    </row>
    <row r="197" spans="1:23" ht="14.4" x14ac:dyDescent="0.3">
      <c r="A197" s="194" t="s">
        <v>403</v>
      </c>
      <c r="B197" s="244" t="str">
        <f>_xlfn.XLOOKUP(A197,'Base de Dados'!D:D,'Base de Dados'!B:B)</f>
        <v>TIMBRO SWISS SA</v>
      </c>
      <c r="C197" s="275" t="str">
        <f>_xlfn.XLOOKUP(PRECIFICAÇÃO[[#This Row],[INVOICE]],'Base de Dados'!D:D,'Base de Dados'!X:X)</f>
        <v>EM TRÂNSITO</v>
      </c>
      <c r="D197" s="54">
        <v>373489</v>
      </c>
      <c r="E197" s="244" t="s">
        <v>944</v>
      </c>
      <c r="F197" s="245">
        <v>380</v>
      </c>
      <c r="G197" s="319">
        <v>15.51</v>
      </c>
      <c r="H197" s="246">
        <v>5.1176000000000004</v>
      </c>
      <c r="I197" s="247">
        <f t="shared" si="37"/>
        <v>79.373975999999999</v>
      </c>
      <c r="J197" s="248">
        <f t="shared" si="38"/>
        <v>30162.11088</v>
      </c>
      <c r="K197" s="249" t="e">
        <f>J197/_xlfn.XLOOKUP(A197,'Base de Dados'!D:D,'Base de Dados'!M:M)</f>
        <v>#DIV/0!</v>
      </c>
      <c r="L197" s="248" t="e">
        <f>K197*_xlfn.XLOOKUP(A197,'Base de Dados'!D:D,'Base de Dados'!N:N)</f>
        <v>#DIV/0!</v>
      </c>
      <c r="M197" s="250" t="e">
        <f t="shared" si="39"/>
        <v>#DIV/0!</v>
      </c>
      <c r="N197" s="251" t="e">
        <f t="shared" si="40"/>
        <v>#DIV/0!</v>
      </c>
      <c r="O197" s="252">
        <f t="shared" si="41"/>
        <v>0.42743574600000001</v>
      </c>
      <c r="P197" s="253" t="e">
        <f t="shared" si="36"/>
        <v>#DIV/0!</v>
      </c>
      <c r="Q197" s="252" t="e">
        <f t="shared" si="42"/>
        <v>#DIV/0!</v>
      </c>
      <c r="R197" s="252">
        <v>0.52743574599999998</v>
      </c>
      <c r="S197" s="252" t="e">
        <f t="shared" si="43"/>
        <v>#DIV/0!</v>
      </c>
      <c r="T197" s="253"/>
      <c r="U197" s="252" t="e">
        <f t="shared" si="44"/>
        <v>#DIV/0!</v>
      </c>
      <c r="V197" s="290">
        <v>107001003</v>
      </c>
      <c r="W197" s="252" t="s">
        <v>534</v>
      </c>
    </row>
    <row r="198" spans="1:23" ht="14.4" x14ac:dyDescent="0.3">
      <c r="A198" s="194" t="s">
        <v>403</v>
      </c>
      <c r="B198" s="244" t="str">
        <f>_xlfn.XLOOKUP(A198,'Base de Dados'!D:D,'Base de Dados'!B:B)</f>
        <v>TIMBRO SWISS SA</v>
      </c>
      <c r="C198" s="275" t="str">
        <f>_xlfn.XLOOKUP(PRECIFICAÇÃO[[#This Row],[INVOICE]],'Base de Dados'!D:D,'Base de Dados'!X:X)</f>
        <v>EM TRÂNSITO</v>
      </c>
      <c r="D198" s="54">
        <v>387145</v>
      </c>
      <c r="E198" s="244" t="s">
        <v>959</v>
      </c>
      <c r="F198" s="245">
        <v>380</v>
      </c>
      <c r="G198" s="319">
        <v>15.84</v>
      </c>
      <c r="H198" s="246">
        <v>5.1176000000000004</v>
      </c>
      <c r="I198" s="247">
        <f t="shared" si="37"/>
        <v>81.062784000000008</v>
      </c>
      <c r="J198" s="248">
        <f t="shared" si="38"/>
        <v>30803.857920000002</v>
      </c>
      <c r="K198" s="249" t="e">
        <f>J198/_xlfn.XLOOKUP(A198,'Base de Dados'!D:D,'Base de Dados'!M:M)</f>
        <v>#DIV/0!</v>
      </c>
      <c r="L198" s="248" t="e">
        <f>K198*_xlfn.XLOOKUP(A198,'Base de Dados'!D:D,'Base de Dados'!N:N)</f>
        <v>#DIV/0!</v>
      </c>
      <c r="M198" s="250" t="e">
        <f t="shared" si="39"/>
        <v>#DIV/0!</v>
      </c>
      <c r="N198" s="251" t="e">
        <f t="shared" si="40"/>
        <v>#DIV/0!</v>
      </c>
      <c r="O198" s="252">
        <f t="shared" si="41"/>
        <v>0.42743574600000001</v>
      </c>
      <c r="P198" s="253" t="e">
        <f t="shared" si="36"/>
        <v>#DIV/0!</v>
      </c>
      <c r="Q198" s="252" t="e">
        <f t="shared" si="42"/>
        <v>#DIV/0!</v>
      </c>
      <c r="R198" s="252">
        <v>0.52743574599999998</v>
      </c>
      <c r="S198" s="252" t="e">
        <f t="shared" si="43"/>
        <v>#DIV/0!</v>
      </c>
      <c r="T198" s="253"/>
      <c r="U198" s="252" t="e">
        <f t="shared" si="44"/>
        <v>#DIV/0!</v>
      </c>
      <c r="V198" s="290">
        <v>107001003</v>
      </c>
      <c r="W198" s="252" t="s">
        <v>534</v>
      </c>
    </row>
    <row r="199" spans="1:23" ht="14.4" x14ac:dyDescent="0.3">
      <c r="A199" s="194" t="s">
        <v>403</v>
      </c>
      <c r="B199" s="244" t="str">
        <f>_xlfn.XLOOKUP(A199,'Base de Dados'!D:D,'Base de Dados'!B:B)</f>
        <v>TIMBRO SWISS SA</v>
      </c>
      <c r="C199" s="275" t="str">
        <f>_xlfn.XLOOKUP(PRECIFICAÇÃO[[#This Row],[INVOICE]],'Base de Dados'!D:D,'Base de Dados'!X:X)</f>
        <v>EM TRÂNSITO</v>
      </c>
      <c r="D199" s="54">
        <v>373490</v>
      </c>
      <c r="E199" s="244" t="s">
        <v>907</v>
      </c>
      <c r="F199" s="245">
        <v>352</v>
      </c>
      <c r="G199" s="319">
        <v>18.23</v>
      </c>
      <c r="H199" s="246">
        <v>5.1176000000000004</v>
      </c>
      <c r="I199" s="247">
        <f t="shared" si="37"/>
        <v>93.293848000000011</v>
      </c>
      <c r="J199" s="248">
        <f t="shared" si="38"/>
        <v>32839.434496000002</v>
      </c>
      <c r="K199" s="249" t="e">
        <f>J199/_xlfn.XLOOKUP(A199,'Base de Dados'!D:D,'Base de Dados'!M:M)</f>
        <v>#DIV/0!</v>
      </c>
      <c r="L199" s="248" t="e">
        <f>K199*_xlfn.XLOOKUP(A199,'Base de Dados'!D:D,'Base de Dados'!N:N)</f>
        <v>#DIV/0!</v>
      </c>
      <c r="M199" s="250" t="e">
        <f t="shared" si="39"/>
        <v>#DIV/0!</v>
      </c>
      <c r="N199" s="251" t="e">
        <f t="shared" si="40"/>
        <v>#DIV/0!</v>
      </c>
      <c r="O199" s="252">
        <f t="shared" si="41"/>
        <v>0.42743574600000001</v>
      </c>
      <c r="P199" s="253" t="e">
        <f t="shared" si="36"/>
        <v>#DIV/0!</v>
      </c>
      <c r="Q199" s="252" t="e">
        <f t="shared" si="42"/>
        <v>#DIV/0!</v>
      </c>
      <c r="R199" s="252">
        <v>0.52743574599999998</v>
      </c>
      <c r="S199" s="252" t="e">
        <f t="shared" si="43"/>
        <v>#DIV/0!</v>
      </c>
      <c r="T199" s="253"/>
      <c r="U199" s="252" t="e">
        <f t="shared" si="44"/>
        <v>#DIV/0!</v>
      </c>
      <c r="V199" s="290">
        <v>107001003</v>
      </c>
      <c r="W199" s="252" t="s">
        <v>534</v>
      </c>
    </row>
    <row r="200" spans="1:23" ht="14.4" x14ac:dyDescent="0.3">
      <c r="A200" s="194" t="s">
        <v>403</v>
      </c>
      <c r="B200" s="244" t="str">
        <f>_xlfn.XLOOKUP(A200,'Base de Dados'!D:D,'Base de Dados'!B:B)</f>
        <v>TIMBRO SWISS SA</v>
      </c>
      <c r="C200" s="275" t="str">
        <f>_xlfn.XLOOKUP(PRECIFICAÇÃO[[#This Row],[INVOICE]],'Base de Dados'!D:D,'Base de Dados'!X:X)</f>
        <v>EM TRÂNSITO</v>
      </c>
      <c r="D200" s="54">
        <v>373491</v>
      </c>
      <c r="E200" s="244" t="s">
        <v>945</v>
      </c>
      <c r="F200" s="245">
        <v>352</v>
      </c>
      <c r="G200" s="319">
        <v>18.23</v>
      </c>
      <c r="H200" s="246">
        <v>5.1176000000000004</v>
      </c>
      <c r="I200" s="247">
        <f t="shared" si="37"/>
        <v>93.293848000000011</v>
      </c>
      <c r="J200" s="248">
        <f t="shared" si="38"/>
        <v>32839.434496000002</v>
      </c>
      <c r="K200" s="249" t="e">
        <f>J200/_xlfn.XLOOKUP(A200,'Base de Dados'!D:D,'Base de Dados'!M:M)</f>
        <v>#DIV/0!</v>
      </c>
      <c r="L200" s="248" t="e">
        <f>K200*_xlfn.XLOOKUP(A200,'Base de Dados'!D:D,'Base de Dados'!N:N)</f>
        <v>#DIV/0!</v>
      </c>
      <c r="M200" s="250" t="e">
        <f t="shared" si="39"/>
        <v>#DIV/0!</v>
      </c>
      <c r="N200" s="251" t="e">
        <f t="shared" si="40"/>
        <v>#DIV/0!</v>
      </c>
      <c r="O200" s="252">
        <f t="shared" si="41"/>
        <v>0.42743574600000001</v>
      </c>
      <c r="P200" s="253" t="e">
        <f t="shared" si="36"/>
        <v>#DIV/0!</v>
      </c>
      <c r="Q200" s="252" t="e">
        <f t="shared" si="42"/>
        <v>#DIV/0!</v>
      </c>
      <c r="R200" s="252">
        <v>0.52743574599999998</v>
      </c>
      <c r="S200" s="252" t="e">
        <f t="shared" si="43"/>
        <v>#DIV/0!</v>
      </c>
      <c r="T200" s="253"/>
      <c r="U200" s="252" t="e">
        <f t="shared" si="44"/>
        <v>#DIV/0!</v>
      </c>
      <c r="V200" s="290">
        <v>107001003</v>
      </c>
      <c r="W200" s="252" t="s">
        <v>534</v>
      </c>
    </row>
    <row r="201" spans="1:23" ht="14.4" x14ac:dyDescent="0.3">
      <c r="A201" s="194" t="s">
        <v>403</v>
      </c>
      <c r="B201" s="244" t="str">
        <f>_xlfn.XLOOKUP(A201,'Base de Dados'!D:D,'Base de Dados'!B:B)</f>
        <v>TIMBRO SWISS SA</v>
      </c>
      <c r="C201" s="275" t="str">
        <f>_xlfn.XLOOKUP(PRECIFICAÇÃO[[#This Row],[INVOICE]],'Base de Dados'!D:D,'Base de Dados'!X:X)</f>
        <v>EM TRÂNSITO</v>
      </c>
      <c r="D201" s="54">
        <v>373492</v>
      </c>
      <c r="E201" s="244" t="s">
        <v>946</v>
      </c>
      <c r="F201" s="245">
        <v>352</v>
      </c>
      <c r="G201" s="319">
        <v>18.23</v>
      </c>
      <c r="H201" s="246">
        <v>5.1176000000000004</v>
      </c>
      <c r="I201" s="247">
        <f t="shared" si="37"/>
        <v>93.293848000000011</v>
      </c>
      <c r="J201" s="248">
        <f t="shared" si="38"/>
        <v>32839.434496000002</v>
      </c>
      <c r="K201" s="249" t="e">
        <f>J201/_xlfn.XLOOKUP(A201,'Base de Dados'!D:D,'Base de Dados'!M:M)</f>
        <v>#DIV/0!</v>
      </c>
      <c r="L201" s="248" t="e">
        <f>K201*_xlfn.XLOOKUP(A201,'Base de Dados'!D:D,'Base de Dados'!N:N)</f>
        <v>#DIV/0!</v>
      </c>
      <c r="M201" s="250" t="e">
        <f t="shared" si="39"/>
        <v>#DIV/0!</v>
      </c>
      <c r="N201" s="251" t="e">
        <f t="shared" si="40"/>
        <v>#DIV/0!</v>
      </c>
      <c r="O201" s="252">
        <f t="shared" si="41"/>
        <v>0.42743574600000001</v>
      </c>
      <c r="P201" s="253" t="e">
        <f t="shared" si="36"/>
        <v>#DIV/0!</v>
      </c>
      <c r="Q201" s="252" t="e">
        <f t="shared" si="42"/>
        <v>#DIV/0!</v>
      </c>
      <c r="R201" s="252">
        <v>0.52743574599999998</v>
      </c>
      <c r="S201" s="252" t="e">
        <f t="shared" si="43"/>
        <v>#DIV/0!</v>
      </c>
      <c r="T201" s="253"/>
      <c r="U201" s="252" t="e">
        <f t="shared" si="44"/>
        <v>#DIV/0!</v>
      </c>
      <c r="V201" s="290">
        <v>107001003</v>
      </c>
      <c r="W201" s="252" t="s">
        <v>534</v>
      </c>
    </row>
    <row r="202" spans="1:23" ht="14.4" x14ac:dyDescent="0.3">
      <c r="A202" s="194" t="s">
        <v>403</v>
      </c>
      <c r="B202" s="244" t="str">
        <f>_xlfn.XLOOKUP(A202,'Base de Dados'!D:D,'Base de Dados'!B:B)</f>
        <v>TIMBRO SWISS SA</v>
      </c>
      <c r="C202" s="275" t="str">
        <f>_xlfn.XLOOKUP(PRECIFICAÇÃO[[#This Row],[INVOICE]],'Base de Dados'!D:D,'Base de Dados'!X:X)</f>
        <v>EM TRÂNSITO</v>
      </c>
      <c r="D202" s="54">
        <v>387146</v>
      </c>
      <c r="E202" s="244" t="s">
        <v>960</v>
      </c>
      <c r="F202" s="245">
        <v>352</v>
      </c>
      <c r="G202" s="319">
        <v>18.940000000000001</v>
      </c>
      <c r="H202" s="246">
        <v>5.1176000000000004</v>
      </c>
      <c r="I202" s="247">
        <f t="shared" si="37"/>
        <v>96.927344000000019</v>
      </c>
      <c r="J202" s="248">
        <f t="shared" si="38"/>
        <v>34118.425088000004</v>
      </c>
      <c r="K202" s="249" t="e">
        <f>J202/_xlfn.XLOOKUP(A202,'Base de Dados'!D:D,'Base de Dados'!M:M)</f>
        <v>#DIV/0!</v>
      </c>
      <c r="L202" s="248" t="e">
        <f>K202*_xlfn.XLOOKUP(A202,'Base de Dados'!D:D,'Base de Dados'!N:N)</f>
        <v>#DIV/0!</v>
      </c>
      <c r="M202" s="250" t="e">
        <f t="shared" si="39"/>
        <v>#DIV/0!</v>
      </c>
      <c r="N202" s="251" t="e">
        <f t="shared" si="40"/>
        <v>#DIV/0!</v>
      </c>
      <c r="O202" s="252">
        <f t="shared" si="41"/>
        <v>0.42743574600000001</v>
      </c>
      <c r="P202" s="253" t="e">
        <f t="shared" si="36"/>
        <v>#DIV/0!</v>
      </c>
      <c r="Q202" s="252" t="e">
        <f t="shared" si="42"/>
        <v>#DIV/0!</v>
      </c>
      <c r="R202" s="252">
        <v>0.52743574599999998</v>
      </c>
      <c r="S202" s="252" t="e">
        <f t="shared" si="43"/>
        <v>#DIV/0!</v>
      </c>
      <c r="T202" s="253"/>
      <c r="U202" s="252" t="e">
        <f t="shared" si="44"/>
        <v>#DIV/0!</v>
      </c>
      <c r="V202" s="290">
        <v>107001003</v>
      </c>
      <c r="W202" s="252" t="s">
        <v>534</v>
      </c>
    </row>
    <row r="203" spans="1:23" ht="14.4" x14ac:dyDescent="0.3">
      <c r="A203" s="194" t="s">
        <v>408</v>
      </c>
      <c r="B203" s="244" t="str">
        <f>_xlfn.XLOOKUP(A203,'Base de Dados'!D:D,'Base de Dados'!B:B)</f>
        <v>TIMBRO SWISS SA</v>
      </c>
      <c r="C203" s="275" t="str">
        <f>_xlfn.XLOOKUP(PRECIFICAÇÃO[[#This Row],[INVOICE]],'Base de Dados'!D:D,'Base de Dados'!X:X)</f>
        <v>EM PRODUÇÃO</v>
      </c>
      <c r="D203" s="54">
        <v>389371</v>
      </c>
      <c r="E203" s="244" t="s">
        <v>629</v>
      </c>
      <c r="F203" s="245">
        <v>1760</v>
      </c>
      <c r="G203" s="319">
        <v>32</v>
      </c>
      <c r="H203" s="246">
        <v>5.1176000000000004</v>
      </c>
      <c r="I203" s="247">
        <f t="shared" si="37"/>
        <v>163.76320000000001</v>
      </c>
      <c r="J203" s="248">
        <f t="shared" si="38"/>
        <v>288223.23200000002</v>
      </c>
      <c r="K203" s="249" t="e">
        <f>J203/_xlfn.XLOOKUP(A203,'Base de Dados'!D:D,'Base de Dados'!M:M)</f>
        <v>#DIV/0!</v>
      </c>
      <c r="L203" s="248" t="e">
        <f>K203*_xlfn.XLOOKUP(A203,'Base de Dados'!D:D,'Base de Dados'!N:N)</f>
        <v>#DIV/0!</v>
      </c>
      <c r="M203" s="250" t="e">
        <f t="shared" si="39"/>
        <v>#DIV/0!</v>
      </c>
      <c r="N203" s="251" t="e">
        <f t="shared" si="40"/>
        <v>#DIV/0!</v>
      </c>
      <c r="O203" s="252">
        <f t="shared" si="41"/>
        <v>0.41421423099999999</v>
      </c>
      <c r="P203" s="253" t="e">
        <f t="shared" si="36"/>
        <v>#DIV/0!</v>
      </c>
      <c r="Q203" s="252" t="e">
        <f t="shared" si="42"/>
        <v>#DIV/0!</v>
      </c>
      <c r="R203" s="252">
        <v>0.51421423099999997</v>
      </c>
      <c r="S203" s="252" t="e">
        <f t="shared" si="43"/>
        <v>#DIV/0!</v>
      </c>
      <c r="T203" s="253"/>
      <c r="U203" s="252" t="e">
        <f t="shared" si="44"/>
        <v>#DIV/0!</v>
      </c>
      <c r="V203" s="290">
        <v>111001004</v>
      </c>
      <c r="W203" s="252" t="s">
        <v>628</v>
      </c>
    </row>
    <row r="204" spans="1:23" ht="14.4" x14ac:dyDescent="0.3">
      <c r="A204" s="194" t="s">
        <v>415</v>
      </c>
      <c r="B204" s="244" t="str">
        <f>_xlfn.XLOOKUP(A204,'Base de Dados'!D:D,'Base de Dados'!B:B)</f>
        <v>TIMBRO SWISS SA</v>
      </c>
      <c r="C204" s="275" t="str">
        <f>_xlfn.XLOOKUP(PRECIFICAÇÃO[[#This Row],[INVOICE]],'Base de Dados'!D:D,'Base de Dados'!X:X)</f>
        <v>EM PRODUÇÃO</v>
      </c>
      <c r="D204" s="54">
        <v>390002</v>
      </c>
      <c r="E204" s="244" t="s">
        <v>630</v>
      </c>
      <c r="F204" s="245">
        <v>2004</v>
      </c>
      <c r="G204" s="319">
        <v>23.23</v>
      </c>
      <c r="H204" s="246">
        <v>5.1176000000000004</v>
      </c>
      <c r="I204" s="247">
        <f t="shared" si="37"/>
        <v>118.88184800000001</v>
      </c>
      <c r="J204" s="248">
        <f t="shared" si="38"/>
        <v>238239.22339200001</v>
      </c>
      <c r="K204" s="249" t="e">
        <f>J204/_xlfn.XLOOKUP(A204,'Base de Dados'!D:D,'Base de Dados'!M:M)</f>
        <v>#DIV/0!</v>
      </c>
      <c r="L204" s="248" t="e">
        <f>K204*_xlfn.XLOOKUP(A204,'Base de Dados'!D:D,'Base de Dados'!N:N)</f>
        <v>#DIV/0!</v>
      </c>
      <c r="M204" s="250" t="e">
        <f t="shared" si="39"/>
        <v>#DIV/0!</v>
      </c>
      <c r="N204" s="251" t="e">
        <f t="shared" si="40"/>
        <v>#DIV/0!</v>
      </c>
      <c r="O204" s="252">
        <f t="shared" si="41"/>
        <v>0.4095632990000001</v>
      </c>
      <c r="P204" s="253" t="e">
        <f t="shared" si="36"/>
        <v>#DIV/0!</v>
      </c>
      <c r="Q204" s="252" t="e">
        <f t="shared" si="42"/>
        <v>#DIV/0!</v>
      </c>
      <c r="R204" s="252">
        <v>0.50956329900000008</v>
      </c>
      <c r="S204" s="252" t="e">
        <f t="shared" si="43"/>
        <v>#DIV/0!</v>
      </c>
      <c r="T204" s="253"/>
      <c r="U204" s="252" t="e">
        <f t="shared" si="44"/>
        <v>#DIV/0!</v>
      </c>
      <c r="V204" s="290">
        <v>110001009</v>
      </c>
      <c r="W204" s="252" t="s">
        <v>512</v>
      </c>
    </row>
    <row r="205" spans="1:23" ht="14.4" x14ac:dyDescent="0.3">
      <c r="A205" s="194" t="s">
        <v>427</v>
      </c>
      <c r="B205" s="244" t="str">
        <f>_xlfn.XLOOKUP(A205,'Base de Dados'!D:D,'Base de Dados'!B:B)</f>
        <v>TIMBRO SWISS SA</v>
      </c>
      <c r="C205" s="275" t="str">
        <f>_xlfn.XLOOKUP(PRECIFICAÇÃO[[#This Row],[INVOICE]],'Base de Dados'!D:D,'Base de Dados'!X:X)</f>
        <v>CONCLUÍDO</v>
      </c>
      <c r="D205" s="54">
        <v>387147</v>
      </c>
      <c r="E205" s="244" t="s">
        <v>961</v>
      </c>
      <c r="F205" s="245">
        <v>500</v>
      </c>
      <c r="G205" s="319">
        <v>40.71</v>
      </c>
      <c r="H205" s="246">
        <v>5.1176000000000004</v>
      </c>
      <c r="I205" s="247">
        <f t="shared" si="37"/>
        <v>208.33749600000002</v>
      </c>
      <c r="J205" s="248">
        <f t="shared" si="38"/>
        <v>104168.74800000001</v>
      </c>
      <c r="K205" s="249" t="e">
        <f>J205/_xlfn.XLOOKUP(A205,'Base de Dados'!D:D,'Base de Dados'!M:M)</f>
        <v>#DIV/0!</v>
      </c>
      <c r="L205" s="248" t="e">
        <f>K205*_xlfn.XLOOKUP(A205,'Base de Dados'!D:D,'Base de Dados'!N:N)</f>
        <v>#DIV/0!</v>
      </c>
      <c r="M205" s="250" t="e">
        <f t="shared" si="39"/>
        <v>#DIV/0!</v>
      </c>
      <c r="N205" s="251" t="e">
        <f t="shared" si="40"/>
        <v>#DIV/0!</v>
      </c>
      <c r="O205" s="252">
        <f t="shared" si="41"/>
        <v>0.38095638600000004</v>
      </c>
      <c r="P205" s="253" t="e">
        <f t="shared" si="36"/>
        <v>#DIV/0!</v>
      </c>
      <c r="Q205" s="252" t="e">
        <f t="shared" si="42"/>
        <v>#DIV/0!</v>
      </c>
      <c r="R205" s="252">
        <v>0.48095638600000001</v>
      </c>
      <c r="S205" s="252" t="e">
        <f t="shared" si="43"/>
        <v>#DIV/0!</v>
      </c>
      <c r="T205" s="253"/>
      <c r="U205" s="252" t="e">
        <f t="shared" si="44"/>
        <v>#DIV/0!</v>
      </c>
      <c r="V205" s="290">
        <v>117001006</v>
      </c>
      <c r="W205" s="252" t="s">
        <v>526</v>
      </c>
    </row>
    <row r="206" spans="1:23" ht="14.4" x14ac:dyDescent="0.3">
      <c r="A206" s="194" t="s">
        <v>431</v>
      </c>
      <c r="B206" s="244" t="str">
        <f>_xlfn.XLOOKUP(A206,'Base de Dados'!D:D,'Base de Dados'!B:B)</f>
        <v>TIMBRO SWISS SA</v>
      </c>
      <c r="C206" s="275" t="str">
        <f>_xlfn.XLOOKUP(PRECIFICAÇÃO[[#This Row],[INVOICE]],'Base de Dados'!D:D,'Base de Dados'!X:X)</f>
        <v>CONCLUÍDO</v>
      </c>
      <c r="D206" s="54">
        <v>238698</v>
      </c>
      <c r="E206" s="244" t="s">
        <v>11</v>
      </c>
      <c r="F206" s="245">
        <v>1112</v>
      </c>
      <c r="G206" s="319">
        <v>37.81</v>
      </c>
      <c r="H206" s="246">
        <v>5.1176000000000004</v>
      </c>
      <c r="I206" s="247">
        <f t="shared" si="37"/>
        <v>193.49645600000002</v>
      </c>
      <c r="J206" s="248">
        <f t="shared" si="38"/>
        <v>215168.05907200003</v>
      </c>
      <c r="K206" s="249" t="e">
        <f>J206/_xlfn.XLOOKUP(A206,'Base de Dados'!D:D,'Base de Dados'!M:M)</f>
        <v>#DIV/0!</v>
      </c>
      <c r="L206" s="248" t="e">
        <f>K206*_xlfn.XLOOKUP(A206,'Base de Dados'!D:D,'Base de Dados'!N:N)</f>
        <v>#DIV/0!</v>
      </c>
      <c r="M206" s="250" t="e">
        <f t="shared" si="39"/>
        <v>#DIV/0!</v>
      </c>
      <c r="N206" s="251" t="e">
        <f t="shared" si="40"/>
        <v>#DIV/0!</v>
      </c>
      <c r="O206" s="252">
        <f t="shared" si="41"/>
        <v>0.39270865200000005</v>
      </c>
      <c r="P206" s="253" t="e">
        <f t="shared" si="36"/>
        <v>#DIV/0!</v>
      </c>
      <c r="Q206" s="252" t="e">
        <f t="shared" si="42"/>
        <v>#DIV/0!</v>
      </c>
      <c r="R206" s="252">
        <v>0.49270865200000002</v>
      </c>
      <c r="S206" s="252" t="e">
        <f t="shared" si="43"/>
        <v>#DIV/0!</v>
      </c>
      <c r="T206" s="253"/>
      <c r="U206" s="252" t="e">
        <f t="shared" si="44"/>
        <v>#DIV/0!</v>
      </c>
      <c r="V206" s="290">
        <v>111001012</v>
      </c>
      <c r="W206" s="252" t="s">
        <v>493</v>
      </c>
    </row>
    <row r="207" spans="1:23" ht="14.4" x14ac:dyDescent="0.3">
      <c r="A207" s="194" t="s">
        <v>434</v>
      </c>
      <c r="B207" s="244" t="str">
        <f>_xlfn.XLOOKUP(A207,'Base de Dados'!D:D,'Base de Dados'!B:B)</f>
        <v>TIMBRO SWISS SA</v>
      </c>
      <c r="C207" s="275" t="str">
        <f>_xlfn.XLOOKUP(PRECIFICAÇÃO[[#This Row],[INVOICE]],'Base de Dados'!D:D,'Base de Dados'!X:X)</f>
        <v>CONCLUÍDO</v>
      </c>
      <c r="D207" s="54">
        <v>238721</v>
      </c>
      <c r="E207" s="244" t="s">
        <v>14</v>
      </c>
      <c r="F207" s="245">
        <v>1920</v>
      </c>
      <c r="G207" s="319">
        <v>10.95</v>
      </c>
      <c r="H207" s="246">
        <v>5.1176000000000004</v>
      </c>
      <c r="I207" s="247">
        <f t="shared" si="37"/>
        <v>56.03772</v>
      </c>
      <c r="J207" s="248">
        <f t="shared" si="38"/>
        <v>107592.4224</v>
      </c>
      <c r="K207" s="249" t="e">
        <f>J207/_xlfn.XLOOKUP(A207,'Base de Dados'!D:D,'Base de Dados'!M:M)</f>
        <v>#DIV/0!</v>
      </c>
      <c r="L207" s="248" t="e">
        <f>K207*_xlfn.XLOOKUP(A207,'Base de Dados'!D:D,'Base de Dados'!N:N)</f>
        <v>#DIV/0!</v>
      </c>
      <c r="M207" s="250" t="e">
        <f t="shared" si="39"/>
        <v>#DIV/0!</v>
      </c>
      <c r="N207" s="251" t="e">
        <f t="shared" si="40"/>
        <v>#DIV/0!</v>
      </c>
      <c r="O207" s="252">
        <f t="shared" si="41"/>
        <v>0.37835474300000005</v>
      </c>
      <c r="P207" s="253" t="e">
        <f t="shared" si="36"/>
        <v>#DIV/0!</v>
      </c>
      <c r="Q207" s="252" t="e">
        <f t="shared" si="42"/>
        <v>#DIV/0!</v>
      </c>
      <c r="R207" s="252">
        <v>0.47835474300000003</v>
      </c>
      <c r="S207" s="252" t="e">
        <f t="shared" si="43"/>
        <v>#DIV/0!</v>
      </c>
      <c r="T207" s="253"/>
      <c r="U207" s="252" t="e">
        <f t="shared" si="44"/>
        <v>#DIV/0!</v>
      </c>
      <c r="V207" s="290">
        <v>111001013</v>
      </c>
      <c r="W207" s="252" t="s">
        <v>497</v>
      </c>
    </row>
    <row r="208" spans="1:23" ht="14.4" x14ac:dyDescent="0.3">
      <c r="A208" s="194" t="s">
        <v>434</v>
      </c>
      <c r="B208" s="244" t="str">
        <f>_xlfn.XLOOKUP(A208,'Base de Dados'!D:D,'Base de Dados'!B:B)</f>
        <v>TIMBRO SWISS SA</v>
      </c>
      <c r="C208" s="275" t="str">
        <f>_xlfn.XLOOKUP(PRECIFICAÇÃO[[#This Row],[INVOICE]],'Base de Dados'!D:D,'Base de Dados'!X:X)</f>
        <v>CONCLUÍDO</v>
      </c>
      <c r="D208" s="54">
        <v>272959</v>
      </c>
      <c r="E208" s="244" t="s">
        <v>962</v>
      </c>
      <c r="F208" s="245">
        <v>2004</v>
      </c>
      <c r="G208" s="319">
        <v>7.03</v>
      </c>
      <c r="H208" s="246">
        <v>5.1176000000000004</v>
      </c>
      <c r="I208" s="247">
        <f t="shared" si="37"/>
        <v>35.976728000000001</v>
      </c>
      <c r="J208" s="248">
        <f t="shared" si="38"/>
        <v>72097.362911999997</v>
      </c>
      <c r="K208" s="249" t="e">
        <f>J208/_xlfn.XLOOKUP(A208,'Base de Dados'!D:D,'Base de Dados'!M:M)</f>
        <v>#DIV/0!</v>
      </c>
      <c r="L208" s="248" t="e">
        <f>K208*_xlfn.XLOOKUP(A208,'Base de Dados'!D:D,'Base de Dados'!N:N)</f>
        <v>#DIV/0!</v>
      </c>
      <c r="M208" s="250" t="e">
        <f t="shared" si="39"/>
        <v>#DIV/0!</v>
      </c>
      <c r="N208" s="251" t="e">
        <f t="shared" si="40"/>
        <v>#DIV/0!</v>
      </c>
      <c r="O208" s="252">
        <f t="shared" si="41"/>
        <v>0.428403965</v>
      </c>
      <c r="P208" s="253" t="e">
        <f t="shared" si="36"/>
        <v>#DIV/0!</v>
      </c>
      <c r="Q208" s="252" t="e">
        <f t="shared" si="42"/>
        <v>#DIV/0!</v>
      </c>
      <c r="R208" s="252">
        <v>0.52840396499999998</v>
      </c>
      <c r="S208" s="252" t="e">
        <f t="shared" si="43"/>
        <v>#DIV/0!</v>
      </c>
      <c r="T208" s="253"/>
      <c r="U208" s="252" t="e">
        <f t="shared" si="44"/>
        <v>#DIV/0!</v>
      </c>
      <c r="V208" s="290">
        <v>110001006</v>
      </c>
      <c r="W208" s="252" t="s">
        <v>963</v>
      </c>
    </row>
    <row r="209" spans="1:23" ht="14.4" x14ac:dyDescent="0.3">
      <c r="A209" s="194" t="s">
        <v>434</v>
      </c>
      <c r="B209" s="244" t="str">
        <f>_xlfn.XLOOKUP(A209,'Base de Dados'!D:D,'Base de Dados'!B:B)</f>
        <v>TIMBRO SWISS SA</v>
      </c>
      <c r="C209" s="275" t="str">
        <f>_xlfn.XLOOKUP(PRECIFICAÇÃO[[#This Row],[INVOICE]],'Base de Dados'!D:D,'Base de Dados'!X:X)</f>
        <v>CONCLUÍDO</v>
      </c>
      <c r="D209" s="54">
        <v>272957</v>
      </c>
      <c r="E209" s="244" t="s">
        <v>955</v>
      </c>
      <c r="F209" s="245">
        <v>1920</v>
      </c>
      <c r="G209" s="319">
        <v>6.08</v>
      </c>
      <c r="H209" s="246">
        <v>5.1176000000000004</v>
      </c>
      <c r="I209" s="247">
        <f t="shared" si="37"/>
        <v>31.115008000000003</v>
      </c>
      <c r="J209" s="248">
        <f t="shared" si="38"/>
        <v>59740.815360000008</v>
      </c>
      <c r="K209" s="249" t="e">
        <f>J209/_xlfn.XLOOKUP(A209,'Base de Dados'!D:D,'Base de Dados'!M:M)</f>
        <v>#DIV/0!</v>
      </c>
      <c r="L209" s="248" t="e">
        <f>K209*_xlfn.XLOOKUP(A209,'Base de Dados'!D:D,'Base de Dados'!N:N)</f>
        <v>#DIV/0!</v>
      </c>
      <c r="M209" s="250" t="e">
        <f t="shared" si="39"/>
        <v>#DIV/0!</v>
      </c>
      <c r="N209" s="251" t="e">
        <f t="shared" si="40"/>
        <v>#DIV/0!</v>
      </c>
      <c r="O209" s="252">
        <f t="shared" si="41"/>
        <v>0.40088862400000003</v>
      </c>
      <c r="P209" s="253" t="e">
        <f t="shared" si="36"/>
        <v>#DIV/0!</v>
      </c>
      <c r="Q209" s="252" t="e">
        <f t="shared" si="42"/>
        <v>#DIV/0!</v>
      </c>
      <c r="R209" s="252">
        <v>0.500888624</v>
      </c>
      <c r="S209" s="252" t="e">
        <f t="shared" si="43"/>
        <v>#DIV/0!</v>
      </c>
      <c r="T209" s="253"/>
      <c r="U209" s="252" t="e">
        <f t="shared" si="44"/>
        <v>#DIV/0!</v>
      </c>
      <c r="V209" s="290">
        <v>110001004</v>
      </c>
      <c r="W209" s="252" t="s">
        <v>513</v>
      </c>
    </row>
    <row r="210" spans="1:23" ht="14.4" x14ac:dyDescent="0.3">
      <c r="A210" s="194" t="s">
        <v>434</v>
      </c>
      <c r="B210" s="244" t="str">
        <f>_xlfn.XLOOKUP(A210,'Base de Dados'!D:D,'Base de Dados'!B:B)</f>
        <v>TIMBRO SWISS SA</v>
      </c>
      <c r="C210" s="275" t="str">
        <f>_xlfn.XLOOKUP(PRECIFICAÇÃO[[#This Row],[INVOICE]],'Base de Dados'!D:D,'Base de Dados'!X:X)</f>
        <v>CONCLUÍDO</v>
      </c>
      <c r="D210" s="54">
        <v>238700</v>
      </c>
      <c r="E210" s="244" t="s">
        <v>13</v>
      </c>
      <c r="F210" s="245">
        <v>3000</v>
      </c>
      <c r="G210" s="319">
        <v>5.69</v>
      </c>
      <c r="H210" s="246">
        <v>5.1176000000000004</v>
      </c>
      <c r="I210" s="247">
        <f t="shared" si="37"/>
        <v>29.119144000000006</v>
      </c>
      <c r="J210" s="248">
        <f t="shared" si="38"/>
        <v>87357.432000000015</v>
      </c>
      <c r="K210" s="249" t="e">
        <f>J210/_xlfn.XLOOKUP(A210,'Base de Dados'!D:D,'Base de Dados'!M:M)</f>
        <v>#DIV/0!</v>
      </c>
      <c r="L210" s="248" t="e">
        <f>K210*_xlfn.XLOOKUP(A210,'Base de Dados'!D:D,'Base de Dados'!N:N)</f>
        <v>#DIV/0!</v>
      </c>
      <c r="M210" s="250" t="e">
        <f t="shared" si="39"/>
        <v>#DIV/0!</v>
      </c>
      <c r="N210" s="251" t="e">
        <f t="shared" si="40"/>
        <v>#DIV/0!</v>
      </c>
      <c r="O210" s="252">
        <f t="shared" si="41"/>
        <v>0.39291766500000003</v>
      </c>
      <c r="P210" s="253" t="e">
        <f t="shared" si="36"/>
        <v>#DIV/0!</v>
      </c>
      <c r="Q210" s="252" t="e">
        <f t="shared" si="42"/>
        <v>#DIV/0!</v>
      </c>
      <c r="R210" s="252">
        <v>0.492917665</v>
      </c>
      <c r="S210" s="252" t="e">
        <f t="shared" si="43"/>
        <v>#DIV/0!</v>
      </c>
      <c r="T210" s="253"/>
      <c r="U210" s="252" t="e">
        <f t="shared" si="44"/>
        <v>#DIV/0!</v>
      </c>
      <c r="V210" s="290">
        <v>111001020</v>
      </c>
      <c r="W210" s="252" t="s">
        <v>496</v>
      </c>
    </row>
    <row r="211" spans="1:23" ht="14.4" x14ac:dyDescent="0.3">
      <c r="A211" s="194" t="s">
        <v>434</v>
      </c>
      <c r="B211" s="244" t="str">
        <f>_xlfn.XLOOKUP(A211,'Base de Dados'!D:D,'Base de Dados'!B:B)</f>
        <v>TIMBRO SWISS SA</v>
      </c>
      <c r="C211" s="275" t="str">
        <f>_xlfn.XLOOKUP(PRECIFICAÇÃO[[#This Row],[INVOICE]],'Base de Dados'!D:D,'Base de Dados'!X:X)</f>
        <v>CONCLUÍDO</v>
      </c>
      <c r="D211" s="54">
        <v>272951</v>
      </c>
      <c r="E211" s="244" t="s">
        <v>964</v>
      </c>
      <c r="F211" s="245">
        <v>1200</v>
      </c>
      <c r="G211" s="319">
        <v>12.41</v>
      </c>
      <c r="H211" s="246">
        <v>5.1176000000000004</v>
      </c>
      <c r="I211" s="247">
        <f t="shared" si="37"/>
        <v>63.509416000000009</v>
      </c>
      <c r="J211" s="248">
        <f t="shared" si="38"/>
        <v>76211.299200000009</v>
      </c>
      <c r="K211" s="249" t="e">
        <f>J211/_xlfn.XLOOKUP(A211,'Base de Dados'!D:D,'Base de Dados'!M:M)</f>
        <v>#DIV/0!</v>
      </c>
      <c r="L211" s="248" t="e">
        <f>K211*_xlfn.XLOOKUP(A211,'Base de Dados'!D:D,'Base de Dados'!N:N)</f>
        <v>#DIV/0!</v>
      </c>
      <c r="M211" s="250" t="e">
        <f t="shared" si="39"/>
        <v>#DIV/0!</v>
      </c>
      <c r="N211" s="251" t="e">
        <f t="shared" si="40"/>
        <v>#DIV/0!</v>
      </c>
      <c r="O211" s="252">
        <f t="shared" si="41"/>
        <v>0.423927002</v>
      </c>
      <c r="P211" s="253" t="e">
        <f t="shared" si="36"/>
        <v>#DIV/0!</v>
      </c>
      <c r="Q211" s="252" t="e">
        <f t="shared" si="42"/>
        <v>#DIV/0!</v>
      </c>
      <c r="R211" s="252">
        <v>0.52392700199999998</v>
      </c>
      <c r="S211" s="252" t="e">
        <f t="shared" si="43"/>
        <v>#DIV/0!</v>
      </c>
      <c r="T211" s="253"/>
      <c r="U211" s="252" t="e">
        <f t="shared" si="44"/>
        <v>#DIV/0!</v>
      </c>
      <c r="V211" s="290">
        <v>111001010</v>
      </c>
      <c r="W211" s="252" t="s">
        <v>519</v>
      </c>
    </row>
    <row r="212" spans="1:23" ht="14.4" x14ac:dyDescent="0.3">
      <c r="A212" s="194" t="s">
        <v>440</v>
      </c>
      <c r="B212" s="244" t="str">
        <f>_xlfn.XLOOKUP(A212,'Base de Dados'!D:D,'Base de Dados'!B:B)</f>
        <v>TIMBRO SWISS SA</v>
      </c>
      <c r="C212" s="275" t="str">
        <f>_xlfn.XLOOKUP(PRECIFICAÇÃO[[#This Row],[INVOICE]],'Base de Dados'!D:D,'Base de Dados'!X:X)</f>
        <v>EM TRÂNSITO</v>
      </c>
      <c r="D212" s="54">
        <v>238698</v>
      </c>
      <c r="E212" s="244" t="s">
        <v>11</v>
      </c>
      <c r="F212" s="245">
        <v>1150</v>
      </c>
      <c r="G212" s="319">
        <v>37.81</v>
      </c>
      <c r="H212" s="246">
        <v>5.1176000000000004</v>
      </c>
      <c r="I212" s="247">
        <f t="shared" si="37"/>
        <v>193.49645600000002</v>
      </c>
      <c r="J212" s="248">
        <f t="shared" si="38"/>
        <v>222520.92440000002</v>
      </c>
      <c r="K212" s="249" t="e">
        <f>J212/_xlfn.XLOOKUP(A212,'Base de Dados'!D:D,'Base de Dados'!M:M)</f>
        <v>#DIV/0!</v>
      </c>
      <c r="L212" s="248" t="e">
        <f>K212*_xlfn.XLOOKUP(A212,'Base de Dados'!D:D,'Base de Dados'!N:N)</f>
        <v>#DIV/0!</v>
      </c>
      <c r="M212" s="250" t="e">
        <f t="shared" si="39"/>
        <v>#DIV/0!</v>
      </c>
      <c r="N212" s="251" t="e">
        <f t="shared" si="40"/>
        <v>#DIV/0!</v>
      </c>
      <c r="O212" s="252">
        <f t="shared" si="41"/>
        <v>0.39270865200000005</v>
      </c>
      <c r="P212" s="253" t="e">
        <f t="shared" si="36"/>
        <v>#DIV/0!</v>
      </c>
      <c r="Q212" s="252" t="e">
        <f t="shared" si="42"/>
        <v>#DIV/0!</v>
      </c>
      <c r="R212" s="252">
        <v>0.49270865200000002</v>
      </c>
      <c r="S212" s="252" t="e">
        <f t="shared" si="43"/>
        <v>#DIV/0!</v>
      </c>
      <c r="T212" s="253"/>
      <c r="U212" s="252" t="e">
        <f t="shared" si="44"/>
        <v>#DIV/0!</v>
      </c>
      <c r="V212" s="290">
        <v>111001012</v>
      </c>
      <c r="W212" s="252" t="s">
        <v>493</v>
      </c>
    </row>
    <row r="213" spans="1:23" ht="14.4" x14ac:dyDescent="0.3">
      <c r="A213" s="194" t="s">
        <v>440</v>
      </c>
      <c r="B213" s="244" t="str">
        <f>_xlfn.XLOOKUP(A213,'Base de Dados'!D:D,'Base de Dados'!B:B)</f>
        <v>TIMBRO SWISS SA</v>
      </c>
      <c r="C213" s="275" t="str">
        <f>_xlfn.XLOOKUP(PRECIFICAÇÃO[[#This Row],[INVOICE]],'Base de Dados'!D:D,'Base de Dados'!X:X)</f>
        <v>EM TRÂNSITO</v>
      </c>
      <c r="D213" s="54">
        <v>272959</v>
      </c>
      <c r="E213" s="244" t="s">
        <v>962</v>
      </c>
      <c r="F213" s="245">
        <v>2400</v>
      </c>
      <c r="G213" s="319">
        <v>7.03</v>
      </c>
      <c r="H213" s="246">
        <v>5.1176000000000004</v>
      </c>
      <c r="I213" s="247">
        <f t="shared" si="37"/>
        <v>35.976728000000001</v>
      </c>
      <c r="J213" s="248">
        <f t="shared" si="38"/>
        <v>86344.147200000007</v>
      </c>
      <c r="K213" s="249" t="e">
        <f>J213/_xlfn.XLOOKUP(A213,'Base de Dados'!D:D,'Base de Dados'!M:M)</f>
        <v>#DIV/0!</v>
      </c>
      <c r="L213" s="248" t="e">
        <f>K213*_xlfn.XLOOKUP(A213,'Base de Dados'!D:D,'Base de Dados'!N:N)</f>
        <v>#DIV/0!</v>
      </c>
      <c r="M213" s="250" t="e">
        <f t="shared" si="39"/>
        <v>#DIV/0!</v>
      </c>
      <c r="N213" s="251" t="e">
        <f t="shared" si="40"/>
        <v>#DIV/0!</v>
      </c>
      <c r="O213" s="252">
        <f t="shared" si="41"/>
        <v>0.428403965</v>
      </c>
      <c r="P213" s="253" t="e">
        <f t="shared" si="36"/>
        <v>#DIV/0!</v>
      </c>
      <c r="Q213" s="252" t="e">
        <f t="shared" si="42"/>
        <v>#DIV/0!</v>
      </c>
      <c r="R213" s="252">
        <v>0.52840396499999998</v>
      </c>
      <c r="S213" s="252" t="e">
        <f t="shared" si="43"/>
        <v>#DIV/0!</v>
      </c>
      <c r="T213" s="253"/>
      <c r="U213" s="252" t="e">
        <f t="shared" si="44"/>
        <v>#DIV/0!</v>
      </c>
      <c r="V213" s="290">
        <v>110001006</v>
      </c>
      <c r="W213" s="252" t="s">
        <v>963</v>
      </c>
    </row>
    <row r="214" spans="1:23" ht="14.4" x14ac:dyDescent="0.3">
      <c r="A214" s="194" t="s">
        <v>440</v>
      </c>
      <c r="B214" s="244" t="str">
        <f>_xlfn.XLOOKUP(A214,'Base de Dados'!D:D,'Base de Dados'!B:B)</f>
        <v>TIMBRO SWISS SA</v>
      </c>
      <c r="C214" s="275" t="str">
        <f>_xlfn.XLOOKUP(PRECIFICAÇÃO[[#This Row],[INVOICE]],'Base de Dados'!D:D,'Base de Dados'!X:X)</f>
        <v>EM TRÂNSITO</v>
      </c>
      <c r="D214" s="54">
        <v>394251</v>
      </c>
      <c r="E214" s="244" t="s">
        <v>965</v>
      </c>
      <c r="F214" s="245">
        <v>2400</v>
      </c>
      <c r="G214" s="319">
        <v>6.46</v>
      </c>
      <c r="H214" s="246">
        <v>5.1176000000000004</v>
      </c>
      <c r="I214" s="247">
        <f t="shared" si="37"/>
        <v>33.059696000000002</v>
      </c>
      <c r="J214" s="248">
        <f t="shared" si="38"/>
        <v>79343.270400000009</v>
      </c>
      <c r="K214" s="249" t="e">
        <f>J214/_xlfn.XLOOKUP(A214,'Base de Dados'!D:D,'Base de Dados'!M:M)</f>
        <v>#DIV/0!</v>
      </c>
      <c r="L214" s="248" t="e">
        <f>K214*_xlfn.XLOOKUP(A214,'Base de Dados'!D:D,'Base de Dados'!N:N)</f>
        <v>#DIV/0!</v>
      </c>
      <c r="M214" s="250" t="e">
        <f t="shared" si="39"/>
        <v>#DIV/0!</v>
      </c>
      <c r="N214" s="251" t="e">
        <f t="shared" si="40"/>
        <v>#DIV/0!</v>
      </c>
      <c r="O214" s="252">
        <f t="shared" si="41"/>
        <v>0.4095632990000001</v>
      </c>
      <c r="P214" s="253" t="e">
        <f t="shared" si="36"/>
        <v>#DIV/0!</v>
      </c>
      <c r="Q214" s="252" t="e">
        <f t="shared" si="42"/>
        <v>#DIV/0!</v>
      </c>
      <c r="R214" s="252">
        <v>0.50956329900000008</v>
      </c>
      <c r="S214" s="252" t="e">
        <f t="shared" si="43"/>
        <v>#DIV/0!</v>
      </c>
      <c r="T214" s="253"/>
      <c r="U214" s="252" t="e">
        <f t="shared" si="44"/>
        <v>#DIV/0!</v>
      </c>
      <c r="V214" s="290">
        <v>110001009</v>
      </c>
      <c r="W214" s="252" t="s">
        <v>512</v>
      </c>
    </row>
    <row r="215" spans="1:23" ht="14.4" x14ac:dyDescent="0.3">
      <c r="A215" s="194" t="s">
        <v>440</v>
      </c>
      <c r="B215" s="244" t="str">
        <f>_xlfn.XLOOKUP(A215,'Base de Dados'!D:D,'Base de Dados'!B:B)</f>
        <v>TIMBRO SWISS SA</v>
      </c>
      <c r="C215" s="275" t="str">
        <f>_xlfn.XLOOKUP(PRECIFICAÇÃO[[#This Row],[INVOICE]],'Base de Dados'!D:D,'Base de Dados'!X:X)</f>
        <v>EM TRÂNSITO</v>
      </c>
      <c r="D215" s="54">
        <v>394252</v>
      </c>
      <c r="E215" s="244" t="s">
        <v>966</v>
      </c>
      <c r="F215" s="245">
        <v>2400</v>
      </c>
      <c r="G215" s="319">
        <v>7.03</v>
      </c>
      <c r="H215" s="246">
        <v>5.1176000000000004</v>
      </c>
      <c r="I215" s="247">
        <f t="shared" si="37"/>
        <v>35.976728000000001</v>
      </c>
      <c r="J215" s="248">
        <f t="shared" si="38"/>
        <v>86344.147200000007</v>
      </c>
      <c r="K215" s="249" t="e">
        <f>J215/_xlfn.XLOOKUP(A215,'Base de Dados'!D:D,'Base de Dados'!M:M)</f>
        <v>#DIV/0!</v>
      </c>
      <c r="L215" s="248" t="e">
        <f>K215*_xlfn.XLOOKUP(A215,'Base de Dados'!D:D,'Base de Dados'!N:N)</f>
        <v>#DIV/0!</v>
      </c>
      <c r="M215" s="250" t="e">
        <f t="shared" si="39"/>
        <v>#DIV/0!</v>
      </c>
      <c r="N215" s="251" t="e">
        <f t="shared" si="40"/>
        <v>#DIV/0!</v>
      </c>
      <c r="O215" s="252">
        <f t="shared" si="41"/>
        <v>0.428403965</v>
      </c>
      <c r="P215" s="253" t="e">
        <f t="shared" si="36"/>
        <v>#DIV/0!</v>
      </c>
      <c r="Q215" s="252" t="e">
        <f t="shared" si="42"/>
        <v>#DIV/0!</v>
      </c>
      <c r="R215" s="252">
        <v>0.52840396499999998</v>
      </c>
      <c r="S215" s="252" t="e">
        <f t="shared" si="43"/>
        <v>#DIV/0!</v>
      </c>
      <c r="T215" s="253"/>
      <c r="U215" s="252" t="e">
        <f t="shared" si="44"/>
        <v>#DIV/0!</v>
      </c>
      <c r="V215" s="290">
        <v>110001006</v>
      </c>
      <c r="W215" s="252" t="s">
        <v>963</v>
      </c>
    </row>
    <row r="216" spans="1:23" ht="14.4" x14ac:dyDescent="0.3">
      <c r="A216" s="194" t="s">
        <v>440</v>
      </c>
      <c r="B216" s="244" t="str">
        <f>_xlfn.XLOOKUP(A216,'Base de Dados'!D:D,'Base de Dados'!B:B)</f>
        <v>TIMBRO SWISS SA</v>
      </c>
      <c r="C216" s="275" t="str">
        <f>_xlfn.XLOOKUP(PRECIFICAÇÃO[[#This Row],[INVOICE]],'Base de Dados'!D:D,'Base de Dados'!X:X)</f>
        <v>EM TRÂNSITO</v>
      </c>
      <c r="D216" s="54">
        <v>394254</v>
      </c>
      <c r="E216" s="244" t="s">
        <v>967</v>
      </c>
      <c r="F216" s="245">
        <v>2400</v>
      </c>
      <c r="G216" s="319">
        <v>6.08</v>
      </c>
      <c r="H216" s="246">
        <v>5.1176000000000004</v>
      </c>
      <c r="I216" s="247">
        <f t="shared" si="37"/>
        <v>31.115008000000003</v>
      </c>
      <c r="J216" s="248">
        <f t="shared" si="38"/>
        <v>74676.01920000001</v>
      </c>
      <c r="K216" s="249" t="e">
        <f>J216/_xlfn.XLOOKUP(A216,'Base de Dados'!D:D,'Base de Dados'!M:M)</f>
        <v>#DIV/0!</v>
      </c>
      <c r="L216" s="248" t="e">
        <f>K216*_xlfn.XLOOKUP(A216,'Base de Dados'!D:D,'Base de Dados'!N:N)</f>
        <v>#DIV/0!</v>
      </c>
      <c r="M216" s="250" t="e">
        <f t="shared" si="39"/>
        <v>#DIV/0!</v>
      </c>
      <c r="N216" s="251" t="e">
        <f t="shared" si="40"/>
        <v>#DIV/0!</v>
      </c>
      <c r="O216" s="252">
        <f t="shared" si="41"/>
        <v>0.40088862400000003</v>
      </c>
      <c r="P216" s="253" t="e">
        <f t="shared" si="36"/>
        <v>#DIV/0!</v>
      </c>
      <c r="Q216" s="252" t="e">
        <f t="shared" si="42"/>
        <v>#DIV/0!</v>
      </c>
      <c r="R216" s="252">
        <v>0.500888624</v>
      </c>
      <c r="S216" s="252" t="e">
        <f t="shared" si="43"/>
        <v>#DIV/0!</v>
      </c>
      <c r="T216" s="253"/>
      <c r="U216" s="252" t="e">
        <f t="shared" si="44"/>
        <v>#DIV/0!</v>
      </c>
      <c r="V216" s="290">
        <v>110001004</v>
      </c>
      <c r="W216" s="252" t="s">
        <v>513</v>
      </c>
    </row>
    <row r="217" spans="1:23" ht="14.4" x14ac:dyDescent="0.3">
      <c r="A217" s="194" t="s">
        <v>440</v>
      </c>
      <c r="B217" s="244" t="str">
        <f>_xlfn.XLOOKUP(A217,'Base de Dados'!D:D,'Base de Dados'!B:B)</f>
        <v>TIMBRO SWISS SA</v>
      </c>
      <c r="C217" s="275" t="str">
        <f>_xlfn.XLOOKUP(PRECIFICAÇÃO[[#This Row],[INVOICE]],'Base de Dados'!D:D,'Base de Dados'!X:X)</f>
        <v>EM TRÂNSITO</v>
      </c>
      <c r="D217" s="54">
        <v>394253</v>
      </c>
      <c r="E217" s="244" t="s">
        <v>968</v>
      </c>
      <c r="F217" s="245">
        <v>2400</v>
      </c>
      <c r="G217" s="319">
        <v>4.6900000000000004</v>
      </c>
      <c r="H217" s="246">
        <v>5.1176000000000004</v>
      </c>
      <c r="I217" s="247">
        <f t="shared" si="37"/>
        <v>24.001544000000003</v>
      </c>
      <c r="J217" s="248">
        <f t="shared" si="38"/>
        <v>57603.705600000008</v>
      </c>
      <c r="K217" s="249" t="e">
        <f>J217/_xlfn.XLOOKUP(A217,'Base de Dados'!D:D,'Base de Dados'!M:M)</f>
        <v>#DIV/0!</v>
      </c>
      <c r="L217" s="248" t="e">
        <f>K217*_xlfn.XLOOKUP(A217,'Base de Dados'!D:D,'Base de Dados'!N:N)</f>
        <v>#DIV/0!</v>
      </c>
      <c r="M217" s="250" t="e">
        <f t="shared" si="39"/>
        <v>#DIV/0!</v>
      </c>
      <c r="N217" s="251" t="e">
        <f t="shared" si="40"/>
        <v>#DIV/0!</v>
      </c>
      <c r="O217" s="252">
        <f t="shared" si="41"/>
        <v>0.40088862400000003</v>
      </c>
      <c r="P217" s="253" t="e">
        <f t="shared" si="36"/>
        <v>#DIV/0!</v>
      </c>
      <c r="Q217" s="252" t="e">
        <f t="shared" si="42"/>
        <v>#DIV/0!</v>
      </c>
      <c r="R217" s="252">
        <v>0.500888624</v>
      </c>
      <c r="S217" s="252" t="e">
        <f t="shared" si="43"/>
        <v>#DIV/0!</v>
      </c>
      <c r="T217" s="253"/>
      <c r="U217" s="252" t="e">
        <f t="shared" si="44"/>
        <v>#DIV/0!</v>
      </c>
      <c r="V217" s="290">
        <v>110001004</v>
      </c>
      <c r="W217" s="252" t="s">
        <v>513</v>
      </c>
    </row>
    <row r="218" spans="1:23" ht="14.4" x14ac:dyDescent="0.3">
      <c r="A218" s="194" t="s">
        <v>440</v>
      </c>
      <c r="B218" s="244" t="str">
        <f>_xlfn.XLOOKUP(A218,'Base de Dados'!D:D,'Base de Dados'!B:B)</f>
        <v>TIMBRO SWISS SA</v>
      </c>
      <c r="C218" s="275" t="str">
        <f>_xlfn.XLOOKUP(PRECIFICAÇÃO[[#This Row],[INVOICE]],'Base de Dados'!D:D,'Base de Dados'!X:X)</f>
        <v>EM TRÂNSITO</v>
      </c>
      <c r="D218" s="54">
        <v>383492</v>
      </c>
      <c r="E218" s="244" t="s">
        <v>930</v>
      </c>
      <c r="F218" s="245">
        <v>1254</v>
      </c>
      <c r="G218" s="319">
        <v>1.9</v>
      </c>
      <c r="H218" s="246">
        <v>5.1176000000000004</v>
      </c>
      <c r="I218" s="247">
        <f t="shared" si="37"/>
        <v>9.7234400000000001</v>
      </c>
      <c r="J218" s="248">
        <f t="shared" si="38"/>
        <v>12193.19376</v>
      </c>
      <c r="K218" s="249" t="e">
        <f>J218/_xlfn.XLOOKUP(A218,'Base de Dados'!D:D,'Base de Dados'!M:M)</f>
        <v>#DIV/0!</v>
      </c>
      <c r="L218" s="248" t="e">
        <f>K218*_xlfn.XLOOKUP(A218,'Base de Dados'!D:D,'Base de Dados'!N:N)</f>
        <v>#DIV/0!</v>
      </c>
      <c r="M218" s="250" t="e">
        <f t="shared" si="39"/>
        <v>#DIV/0!</v>
      </c>
      <c r="N218" s="251" t="e">
        <f t="shared" si="40"/>
        <v>#DIV/0!</v>
      </c>
      <c r="O218" s="252">
        <f t="shared" si="41"/>
        <v>0.43667821100000004</v>
      </c>
      <c r="P218" s="253" t="e">
        <f t="shared" si="36"/>
        <v>#DIV/0!</v>
      </c>
      <c r="Q218" s="252" t="e">
        <f t="shared" si="42"/>
        <v>#DIV/0!</v>
      </c>
      <c r="R218" s="252">
        <v>0.53667821100000002</v>
      </c>
      <c r="S218" s="252" t="e">
        <f t="shared" si="43"/>
        <v>#DIV/0!</v>
      </c>
      <c r="T218" s="253"/>
      <c r="U218" s="252" t="e">
        <f t="shared" si="44"/>
        <v>#DIV/0!</v>
      </c>
      <c r="V218" s="290">
        <v>127001003</v>
      </c>
      <c r="W218" s="252" t="s">
        <v>505</v>
      </c>
    </row>
    <row r="219" spans="1:23" ht="14.4" x14ac:dyDescent="0.3">
      <c r="A219" s="194" t="s">
        <v>440</v>
      </c>
      <c r="B219" s="244" t="str">
        <f>_xlfn.XLOOKUP(A219,'Base de Dados'!D:D,'Base de Dados'!B:B)</f>
        <v>TIMBRO SWISS SA</v>
      </c>
      <c r="C219" s="275" t="str">
        <f>_xlfn.XLOOKUP(PRECIFICAÇÃO[[#This Row],[INVOICE]],'Base de Dados'!D:D,'Base de Dados'!X:X)</f>
        <v>EM TRÂNSITO</v>
      </c>
      <c r="D219" s="54">
        <v>383494</v>
      </c>
      <c r="E219" s="244" t="s">
        <v>932</v>
      </c>
      <c r="F219" s="245">
        <v>420</v>
      </c>
      <c r="G219" s="319">
        <v>3.41</v>
      </c>
      <c r="H219" s="246">
        <v>5.1176000000000004</v>
      </c>
      <c r="I219" s="247">
        <f t="shared" si="37"/>
        <v>17.451016000000003</v>
      </c>
      <c r="J219" s="248">
        <f t="shared" si="38"/>
        <v>7329.4267200000013</v>
      </c>
      <c r="K219" s="249" t="e">
        <f>J219/_xlfn.XLOOKUP(A219,'Base de Dados'!D:D,'Base de Dados'!M:M)</f>
        <v>#DIV/0!</v>
      </c>
      <c r="L219" s="248" t="e">
        <f>K219*_xlfn.XLOOKUP(A219,'Base de Dados'!D:D,'Base de Dados'!N:N)</f>
        <v>#DIV/0!</v>
      </c>
      <c r="M219" s="250" t="e">
        <f t="shared" si="39"/>
        <v>#DIV/0!</v>
      </c>
      <c r="N219" s="251" t="e">
        <f t="shared" si="40"/>
        <v>#DIV/0!</v>
      </c>
      <c r="O219" s="252">
        <f t="shared" si="41"/>
        <v>0.43667821100000004</v>
      </c>
      <c r="P219" s="253" t="e">
        <f t="shared" ref="P219:P250" si="45">ROUND(N219/O219,0)</f>
        <v>#DIV/0!</v>
      </c>
      <c r="Q219" s="252" t="e">
        <f t="shared" si="42"/>
        <v>#DIV/0!</v>
      </c>
      <c r="R219" s="252">
        <v>0.53667821100000002</v>
      </c>
      <c r="S219" s="252" t="e">
        <f t="shared" si="43"/>
        <v>#DIV/0!</v>
      </c>
      <c r="T219" s="253"/>
      <c r="U219" s="252" t="e">
        <f t="shared" si="44"/>
        <v>#DIV/0!</v>
      </c>
      <c r="V219" s="290">
        <v>127001003</v>
      </c>
      <c r="W219" s="252" t="s">
        <v>505</v>
      </c>
    </row>
    <row r="220" spans="1:23" ht="14.4" x14ac:dyDescent="0.3">
      <c r="A220" s="194" t="s">
        <v>440</v>
      </c>
      <c r="B220" s="244" t="str">
        <f>_xlfn.XLOOKUP(A220,'Base de Dados'!D:D,'Base de Dados'!B:B)</f>
        <v>TIMBRO SWISS SA</v>
      </c>
      <c r="C220" s="275" t="str">
        <f>_xlfn.XLOOKUP(PRECIFICAÇÃO[[#This Row],[INVOICE]],'Base de Dados'!D:D,'Base de Dados'!X:X)</f>
        <v>EM TRÂNSITO</v>
      </c>
      <c r="D220" s="54">
        <v>383497</v>
      </c>
      <c r="E220" s="244" t="s">
        <v>935</v>
      </c>
      <c r="F220" s="245">
        <v>870</v>
      </c>
      <c r="G220" s="319">
        <v>3.14</v>
      </c>
      <c r="H220" s="246">
        <v>5.1176000000000004</v>
      </c>
      <c r="I220" s="247">
        <f t="shared" si="37"/>
        <v>16.069264</v>
      </c>
      <c r="J220" s="248">
        <f t="shared" si="38"/>
        <v>13980.259680000001</v>
      </c>
      <c r="K220" s="249" t="e">
        <f>J220/_xlfn.XLOOKUP(A220,'Base de Dados'!D:D,'Base de Dados'!M:M)</f>
        <v>#DIV/0!</v>
      </c>
      <c r="L220" s="248" t="e">
        <f>K220*_xlfn.XLOOKUP(A220,'Base de Dados'!D:D,'Base de Dados'!N:N)</f>
        <v>#DIV/0!</v>
      </c>
      <c r="M220" s="250" t="e">
        <f t="shared" si="39"/>
        <v>#DIV/0!</v>
      </c>
      <c r="N220" s="251" t="e">
        <f t="shared" si="40"/>
        <v>#DIV/0!</v>
      </c>
      <c r="O220" s="252">
        <f t="shared" si="41"/>
        <v>0.43667821100000004</v>
      </c>
      <c r="P220" s="253" t="e">
        <f t="shared" si="45"/>
        <v>#DIV/0!</v>
      </c>
      <c r="Q220" s="252" t="e">
        <f t="shared" si="42"/>
        <v>#DIV/0!</v>
      </c>
      <c r="R220" s="252">
        <v>0.53667821100000002</v>
      </c>
      <c r="S220" s="252" t="e">
        <f t="shared" si="43"/>
        <v>#DIV/0!</v>
      </c>
      <c r="T220" s="253"/>
      <c r="U220" s="252" t="e">
        <f t="shared" si="44"/>
        <v>#DIV/0!</v>
      </c>
      <c r="V220" s="290">
        <v>127001003</v>
      </c>
      <c r="W220" s="252" t="s">
        <v>505</v>
      </c>
    </row>
    <row r="221" spans="1:23" ht="14.4" x14ac:dyDescent="0.3">
      <c r="A221" s="194" t="s">
        <v>438</v>
      </c>
      <c r="B221" s="244" t="str">
        <f>_xlfn.XLOOKUP(A221,'Base de Dados'!D:D,'Base de Dados'!B:B)</f>
        <v>TIMBRO SWISS SA</v>
      </c>
      <c r="C221" s="275" t="str">
        <f>_xlfn.XLOOKUP(PRECIFICAÇÃO[[#This Row],[INVOICE]],'Base de Dados'!D:D,'Base de Dados'!X:X)</f>
        <v>EM TRÂNSITO</v>
      </c>
      <c r="D221" s="54">
        <v>367984</v>
      </c>
      <c r="E221" s="244" t="s">
        <v>37</v>
      </c>
      <c r="F221" s="245">
        <v>2802</v>
      </c>
      <c r="G221" s="319">
        <v>2.93</v>
      </c>
      <c r="H221" s="246">
        <v>5.1176000000000004</v>
      </c>
      <c r="I221" s="247">
        <f t="shared" si="37"/>
        <v>14.994568000000003</v>
      </c>
      <c r="J221" s="248">
        <f t="shared" si="38"/>
        <v>42014.779536000009</v>
      </c>
      <c r="K221" s="249" t="e">
        <f>J221/_xlfn.XLOOKUP(A221,'Base de Dados'!D:D,'Base de Dados'!M:M)</f>
        <v>#DIV/0!</v>
      </c>
      <c r="L221" s="248" t="e">
        <f>K221*_xlfn.XLOOKUP(A221,'Base de Dados'!D:D,'Base de Dados'!N:N)</f>
        <v>#DIV/0!</v>
      </c>
      <c r="M221" s="250" t="e">
        <f t="shared" si="39"/>
        <v>#DIV/0!</v>
      </c>
      <c r="N221" s="251" t="e">
        <f t="shared" si="40"/>
        <v>#DIV/0!</v>
      </c>
      <c r="O221" s="252">
        <f t="shared" si="41"/>
        <v>0.42527551200000002</v>
      </c>
      <c r="P221" s="253" t="e">
        <f t="shared" si="45"/>
        <v>#DIV/0!</v>
      </c>
      <c r="Q221" s="252" t="e">
        <f t="shared" si="42"/>
        <v>#DIV/0!</v>
      </c>
      <c r="R221" s="252">
        <v>0.525275512</v>
      </c>
      <c r="S221" s="252" t="e">
        <f t="shared" si="43"/>
        <v>#DIV/0!</v>
      </c>
      <c r="T221" s="253"/>
      <c r="U221" s="252" t="e">
        <f t="shared" si="44"/>
        <v>#DIV/0!</v>
      </c>
      <c r="V221" s="290">
        <v>127001002</v>
      </c>
      <c r="W221" s="252" t="s">
        <v>501</v>
      </c>
    </row>
    <row r="222" spans="1:23" ht="14.4" x14ac:dyDescent="0.3">
      <c r="A222" s="194" t="s">
        <v>438</v>
      </c>
      <c r="B222" s="244" t="str">
        <f>_xlfn.XLOOKUP(A222,'Base de Dados'!D:D,'Base de Dados'!B:B)</f>
        <v>TIMBRO SWISS SA</v>
      </c>
      <c r="C222" s="275" t="str">
        <f>_xlfn.XLOOKUP(PRECIFICAÇÃO[[#This Row],[INVOICE]],'Base de Dados'!D:D,'Base de Dados'!X:X)</f>
        <v>EM TRÂNSITO</v>
      </c>
      <c r="D222" s="54">
        <v>367983</v>
      </c>
      <c r="E222" s="244" t="s">
        <v>36</v>
      </c>
      <c r="F222" s="245">
        <v>2802</v>
      </c>
      <c r="G222" s="319">
        <v>3.57</v>
      </c>
      <c r="H222" s="246">
        <v>5.1176000000000004</v>
      </c>
      <c r="I222" s="247">
        <f t="shared" si="37"/>
        <v>18.269832000000001</v>
      </c>
      <c r="J222" s="248">
        <f t="shared" si="38"/>
        <v>51192.069264000005</v>
      </c>
      <c r="K222" s="249" t="e">
        <f>J222/_xlfn.XLOOKUP(A222,'Base de Dados'!D:D,'Base de Dados'!M:M)</f>
        <v>#DIV/0!</v>
      </c>
      <c r="L222" s="248" t="e">
        <f>K222*_xlfn.XLOOKUP(A222,'Base de Dados'!D:D,'Base de Dados'!N:N)</f>
        <v>#DIV/0!</v>
      </c>
      <c r="M222" s="250" t="e">
        <f t="shared" si="39"/>
        <v>#DIV/0!</v>
      </c>
      <c r="N222" s="251" t="e">
        <f t="shared" si="40"/>
        <v>#DIV/0!</v>
      </c>
      <c r="O222" s="252">
        <f t="shared" si="41"/>
        <v>0.42527551200000002</v>
      </c>
      <c r="P222" s="253" t="e">
        <f t="shared" si="45"/>
        <v>#DIV/0!</v>
      </c>
      <c r="Q222" s="252" t="e">
        <f t="shared" si="42"/>
        <v>#DIV/0!</v>
      </c>
      <c r="R222" s="252">
        <v>0.525275512</v>
      </c>
      <c r="S222" s="252" t="e">
        <f t="shared" si="43"/>
        <v>#DIV/0!</v>
      </c>
      <c r="T222" s="253"/>
      <c r="U222" s="252" t="e">
        <f t="shared" si="44"/>
        <v>#DIV/0!</v>
      </c>
      <c r="V222" s="290">
        <v>127001002</v>
      </c>
      <c r="W222" s="252" t="s">
        <v>501</v>
      </c>
    </row>
    <row r="223" spans="1:23" ht="14.4" x14ac:dyDescent="0.3">
      <c r="A223" s="194" t="s">
        <v>438</v>
      </c>
      <c r="B223" s="244" t="str">
        <f>_xlfn.XLOOKUP(A223,'Base de Dados'!D:D,'Base de Dados'!B:B)</f>
        <v>TIMBRO SWISS SA</v>
      </c>
      <c r="C223" s="275" t="str">
        <f>_xlfn.XLOOKUP(PRECIFICAÇÃO[[#This Row],[INVOICE]],'Base de Dados'!D:D,'Base de Dados'!X:X)</f>
        <v>EM TRÂNSITO</v>
      </c>
      <c r="D223" s="54">
        <v>268132</v>
      </c>
      <c r="E223" s="244" t="s">
        <v>33</v>
      </c>
      <c r="F223" s="245">
        <v>2820</v>
      </c>
      <c r="G223" s="319">
        <v>2.11</v>
      </c>
      <c r="H223" s="246">
        <v>5.1176000000000004</v>
      </c>
      <c r="I223" s="247">
        <f t="shared" si="37"/>
        <v>10.798136</v>
      </c>
      <c r="J223" s="248">
        <f t="shared" si="38"/>
        <v>30450.74352</v>
      </c>
      <c r="K223" s="249" t="e">
        <f>J223/_xlfn.XLOOKUP(A223,'Base de Dados'!D:D,'Base de Dados'!M:M)</f>
        <v>#DIV/0!</v>
      </c>
      <c r="L223" s="248" t="e">
        <f>K223*_xlfn.XLOOKUP(A223,'Base de Dados'!D:D,'Base de Dados'!N:N)</f>
        <v>#DIV/0!</v>
      </c>
      <c r="M223" s="250" t="e">
        <f t="shared" si="39"/>
        <v>#DIV/0!</v>
      </c>
      <c r="N223" s="251" t="e">
        <f t="shared" si="40"/>
        <v>#DIV/0!</v>
      </c>
      <c r="O223" s="252">
        <f t="shared" si="41"/>
        <v>0.40920539999999994</v>
      </c>
      <c r="P223" s="253" t="e">
        <f t="shared" si="45"/>
        <v>#DIV/0!</v>
      </c>
      <c r="Q223" s="252" t="e">
        <f t="shared" si="42"/>
        <v>#DIV/0!</v>
      </c>
      <c r="R223" s="252">
        <v>0.50920539999999992</v>
      </c>
      <c r="S223" s="252" t="e">
        <f t="shared" si="43"/>
        <v>#DIV/0!</v>
      </c>
      <c r="T223" s="253"/>
      <c r="U223" s="252" t="e">
        <f t="shared" si="44"/>
        <v>#DIV/0!</v>
      </c>
      <c r="V223" s="290">
        <v>127001014</v>
      </c>
      <c r="W223" s="252" t="s">
        <v>500</v>
      </c>
    </row>
    <row r="224" spans="1:23" ht="14.4" x14ac:dyDescent="0.3">
      <c r="A224" s="194" t="s">
        <v>438</v>
      </c>
      <c r="B224" s="244" t="str">
        <f>_xlfn.XLOOKUP(A224,'Base de Dados'!D:D,'Base de Dados'!B:B)</f>
        <v>TIMBRO SWISS SA</v>
      </c>
      <c r="C224" s="275" t="str">
        <f>_xlfn.XLOOKUP(PRECIFICAÇÃO[[#This Row],[INVOICE]],'Base de Dados'!D:D,'Base de Dados'!X:X)</f>
        <v>EM TRÂNSITO</v>
      </c>
      <c r="D224" s="54">
        <v>267938</v>
      </c>
      <c r="E224" s="244" t="s">
        <v>23</v>
      </c>
      <c r="F224" s="245">
        <v>2820</v>
      </c>
      <c r="G224" s="319">
        <v>2.15</v>
      </c>
      <c r="H224" s="246">
        <v>5.1176000000000004</v>
      </c>
      <c r="I224" s="247">
        <f t="shared" si="37"/>
        <v>11.002840000000001</v>
      </c>
      <c r="J224" s="248">
        <f t="shared" si="38"/>
        <v>31028.008800000003</v>
      </c>
      <c r="K224" s="249" t="e">
        <f>J224/_xlfn.XLOOKUP(A224,'Base de Dados'!D:D,'Base de Dados'!M:M)</f>
        <v>#DIV/0!</v>
      </c>
      <c r="L224" s="248" t="e">
        <f>K224*_xlfn.XLOOKUP(A224,'Base de Dados'!D:D,'Base de Dados'!N:N)</f>
        <v>#DIV/0!</v>
      </c>
      <c r="M224" s="250" t="e">
        <f t="shared" si="39"/>
        <v>#DIV/0!</v>
      </c>
      <c r="N224" s="251" t="e">
        <f t="shared" si="40"/>
        <v>#DIV/0!</v>
      </c>
      <c r="O224" s="252">
        <f t="shared" si="41"/>
        <v>0.40920539999999994</v>
      </c>
      <c r="P224" s="253" t="e">
        <f t="shared" si="45"/>
        <v>#DIV/0!</v>
      </c>
      <c r="Q224" s="252" t="e">
        <f t="shared" si="42"/>
        <v>#DIV/0!</v>
      </c>
      <c r="R224" s="252">
        <v>0.50920539999999992</v>
      </c>
      <c r="S224" s="252" t="e">
        <f t="shared" si="43"/>
        <v>#DIV/0!</v>
      </c>
      <c r="T224" s="253"/>
      <c r="U224" s="252" t="e">
        <f t="shared" si="44"/>
        <v>#DIV/0!</v>
      </c>
      <c r="V224" s="290">
        <v>127001014</v>
      </c>
      <c r="W224" s="252" t="s">
        <v>500</v>
      </c>
    </row>
    <row r="225" spans="1:23" ht="14.4" x14ac:dyDescent="0.3">
      <c r="A225" s="194" t="s">
        <v>447</v>
      </c>
      <c r="B225" s="244" t="str">
        <f>_xlfn.XLOOKUP(A225,'Base de Dados'!D:D,'Base de Dados'!B:B)</f>
        <v>TIMBRO SWISS SA</v>
      </c>
      <c r="C225" s="275" t="str">
        <f>_xlfn.XLOOKUP(PRECIFICAÇÃO[[#This Row],[INVOICE]],'Base de Dados'!D:D,'Base de Dados'!X:X)</f>
        <v>EM TRÂNSITO</v>
      </c>
      <c r="D225" s="54">
        <v>267870</v>
      </c>
      <c r="E225" s="244" t="s">
        <v>929</v>
      </c>
      <c r="F225" s="245">
        <v>12960</v>
      </c>
      <c r="G225" s="319">
        <v>0.95</v>
      </c>
      <c r="H225" s="246">
        <v>5.1176000000000004</v>
      </c>
      <c r="I225" s="247">
        <f t="shared" si="37"/>
        <v>4.86172</v>
      </c>
      <c r="J225" s="248">
        <f t="shared" si="38"/>
        <v>63007.891199999998</v>
      </c>
      <c r="K225" s="249" t="e">
        <f>J225/_xlfn.XLOOKUP(A225,'Base de Dados'!D:D,'Base de Dados'!M:M)</f>
        <v>#DIV/0!</v>
      </c>
      <c r="L225" s="248" t="e">
        <f>K225*_xlfn.XLOOKUP(A225,'Base de Dados'!D:D,'Base de Dados'!N:N)</f>
        <v>#DIV/0!</v>
      </c>
      <c r="M225" s="250" t="e">
        <f t="shared" si="39"/>
        <v>#DIV/0!</v>
      </c>
      <c r="N225" s="251" t="e">
        <f t="shared" si="40"/>
        <v>#DIV/0!</v>
      </c>
      <c r="O225" s="252">
        <f t="shared" si="41"/>
        <v>0.40920539999999994</v>
      </c>
      <c r="P225" s="253" t="e">
        <f t="shared" si="45"/>
        <v>#DIV/0!</v>
      </c>
      <c r="Q225" s="252" t="e">
        <f t="shared" si="42"/>
        <v>#DIV/0!</v>
      </c>
      <c r="R225" s="252">
        <v>0.50920539999999992</v>
      </c>
      <c r="S225" s="252" t="e">
        <f t="shared" si="43"/>
        <v>#DIV/0!</v>
      </c>
      <c r="T225" s="253"/>
      <c r="U225" s="252" t="e">
        <f t="shared" si="44"/>
        <v>#DIV/0!</v>
      </c>
      <c r="V225" s="290">
        <v>127001014</v>
      </c>
      <c r="W225" s="252" t="s">
        <v>500</v>
      </c>
    </row>
    <row r="226" spans="1:23" ht="14.4" x14ac:dyDescent="0.3">
      <c r="A226" s="194" t="s">
        <v>447</v>
      </c>
      <c r="B226" s="244" t="str">
        <f>_xlfn.XLOOKUP(A226,'Base de Dados'!D:D,'Base de Dados'!B:B)</f>
        <v>TIMBRO SWISS SA</v>
      </c>
      <c r="C226" s="275" t="str">
        <f>_xlfn.XLOOKUP(PRECIFICAÇÃO[[#This Row],[INVOICE]],'Base de Dados'!D:D,'Base de Dados'!X:X)</f>
        <v>EM TRÂNSITO</v>
      </c>
      <c r="D226" s="54">
        <v>268133</v>
      </c>
      <c r="E226" s="244" t="s">
        <v>898</v>
      </c>
      <c r="F226" s="245">
        <v>4704</v>
      </c>
      <c r="G226" s="319">
        <v>1.28</v>
      </c>
      <c r="H226" s="246">
        <v>5.1176000000000004</v>
      </c>
      <c r="I226" s="247">
        <f t="shared" si="37"/>
        <v>6.5505280000000008</v>
      </c>
      <c r="J226" s="248">
        <f t="shared" si="38"/>
        <v>30813.683712000005</v>
      </c>
      <c r="K226" s="249" t="e">
        <f>J226/_xlfn.XLOOKUP(A226,'Base de Dados'!D:D,'Base de Dados'!M:M)</f>
        <v>#DIV/0!</v>
      </c>
      <c r="L226" s="248" t="e">
        <f>K226*_xlfn.XLOOKUP(A226,'Base de Dados'!D:D,'Base de Dados'!N:N)</f>
        <v>#DIV/0!</v>
      </c>
      <c r="M226" s="250" t="e">
        <f t="shared" si="39"/>
        <v>#DIV/0!</v>
      </c>
      <c r="N226" s="251" t="e">
        <f t="shared" si="40"/>
        <v>#DIV/0!</v>
      </c>
      <c r="O226" s="252">
        <f t="shared" si="41"/>
        <v>0.40920539999999994</v>
      </c>
      <c r="P226" s="253" t="e">
        <f t="shared" si="45"/>
        <v>#DIV/0!</v>
      </c>
      <c r="Q226" s="252" t="e">
        <f t="shared" si="42"/>
        <v>#DIV/0!</v>
      </c>
      <c r="R226" s="252">
        <v>0.50920539999999992</v>
      </c>
      <c r="S226" s="252" t="e">
        <f t="shared" si="43"/>
        <v>#DIV/0!</v>
      </c>
      <c r="T226" s="253"/>
      <c r="U226" s="252" t="e">
        <f t="shared" si="44"/>
        <v>#DIV/0!</v>
      </c>
      <c r="V226" s="290">
        <v>127001014</v>
      </c>
      <c r="W226" s="252" t="s">
        <v>500</v>
      </c>
    </row>
    <row r="227" spans="1:23" ht="14.4" x14ac:dyDescent="0.3">
      <c r="A227" s="194" t="s">
        <v>447</v>
      </c>
      <c r="B227" s="244" t="str">
        <f>_xlfn.XLOOKUP(A227,'Base de Dados'!D:D,'Base de Dados'!B:B)</f>
        <v>TIMBRO SWISS SA</v>
      </c>
      <c r="C227" s="275" t="str">
        <f>_xlfn.XLOOKUP(PRECIFICAÇÃO[[#This Row],[INVOICE]],'Base de Dados'!D:D,'Base de Dados'!X:X)</f>
        <v>EM TRÂNSITO</v>
      </c>
      <c r="D227" s="54">
        <v>367984</v>
      </c>
      <c r="E227" s="244" t="s">
        <v>37</v>
      </c>
      <c r="F227" s="245">
        <v>3588</v>
      </c>
      <c r="G227" s="319">
        <v>2.93</v>
      </c>
      <c r="H227" s="246">
        <v>5.1176000000000004</v>
      </c>
      <c r="I227" s="247">
        <f t="shared" si="37"/>
        <v>14.994568000000003</v>
      </c>
      <c r="J227" s="248">
        <f t="shared" si="38"/>
        <v>53800.509984000011</v>
      </c>
      <c r="K227" s="249" t="e">
        <f>J227/_xlfn.XLOOKUP(A227,'Base de Dados'!D:D,'Base de Dados'!M:M)</f>
        <v>#DIV/0!</v>
      </c>
      <c r="L227" s="248" t="e">
        <f>K227*_xlfn.XLOOKUP(A227,'Base de Dados'!D:D,'Base de Dados'!N:N)</f>
        <v>#DIV/0!</v>
      </c>
      <c r="M227" s="250" t="e">
        <f t="shared" si="39"/>
        <v>#DIV/0!</v>
      </c>
      <c r="N227" s="251" t="e">
        <f t="shared" si="40"/>
        <v>#DIV/0!</v>
      </c>
      <c r="O227" s="252">
        <f t="shared" si="41"/>
        <v>0.42527551200000002</v>
      </c>
      <c r="P227" s="253" t="e">
        <f t="shared" si="45"/>
        <v>#DIV/0!</v>
      </c>
      <c r="Q227" s="252" t="e">
        <f t="shared" si="42"/>
        <v>#DIV/0!</v>
      </c>
      <c r="R227" s="252">
        <v>0.525275512</v>
      </c>
      <c r="S227" s="252" t="e">
        <f t="shared" si="43"/>
        <v>#DIV/0!</v>
      </c>
      <c r="T227" s="253"/>
      <c r="U227" s="252" t="e">
        <f t="shared" si="44"/>
        <v>#DIV/0!</v>
      </c>
      <c r="V227" s="290">
        <v>127001002</v>
      </c>
      <c r="W227" s="252" t="s">
        <v>501</v>
      </c>
    </row>
    <row r="228" spans="1:23" ht="14.4" x14ac:dyDescent="0.3">
      <c r="A228" s="194" t="s">
        <v>447</v>
      </c>
      <c r="B228" s="244" t="str">
        <f>_xlfn.XLOOKUP(A228,'Base de Dados'!D:D,'Base de Dados'!B:B)</f>
        <v>TIMBRO SWISS SA</v>
      </c>
      <c r="C228" s="275" t="str">
        <f>_xlfn.XLOOKUP(PRECIFICAÇÃO[[#This Row],[INVOICE]],'Base de Dados'!D:D,'Base de Dados'!X:X)</f>
        <v>EM TRÂNSITO</v>
      </c>
      <c r="D228" s="54">
        <v>267936</v>
      </c>
      <c r="E228" s="244" t="s">
        <v>969</v>
      </c>
      <c r="F228" s="245">
        <v>1440</v>
      </c>
      <c r="G228" s="319">
        <v>1.34</v>
      </c>
      <c r="H228" s="246">
        <v>5.1176000000000004</v>
      </c>
      <c r="I228" s="247">
        <f t="shared" si="37"/>
        <v>6.857584000000001</v>
      </c>
      <c r="J228" s="248">
        <f t="shared" si="38"/>
        <v>9874.9209600000013</v>
      </c>
      <c r="K228" s="249" t="e">
        <f>J228/_xlfn.XLOOKUP(A228,'Base de Dados'!D:D,'Base de Dados'!M:M)</f>
        <v>#DIV/0!</v>
      </c>
      <c r="L228" s="248" t="e">
        <f>K228*_xlfn.XLOOKUP(A228,'Base de Dados'!D:D,'Base de Dados'!N:N)</f>
        <v>#DIV/0!</v>
      </c>
      <c r="M228" s="250" t="e">
        <f t="shared" si="39"/>
        <v>#DIV/0!</v>
      </c>
      <c r="N228" s="251" t="e">
        <f t="shared" si="40"/>
        <v>#DIV/0!</v>
      </c>
      <c r="O228" s="252">
        <f t="shared" si="41"/>
        <v>0.40920539999999994</v>
      </c>
      <c r="P228" s="253" t="e">
        <f t="shared" si="45"/>
        <v>#DIV/0!</v>
      </c>
      <c r="Q228" s="252" t="e">
        <f t="shared" si="42"/>
        <v>#DIV/0!</v>
      </c>
      <c r="R228" s="252">
        <v>0.50920539999999992</v>
      </c>
      <c r="S228" s="252" t="e">
        <f t="shared" si="43"/>
        <v>#DIV/0!</v>
      </c>
      <c r="T228" s="253"/>
      <c r="U228" s="252" t="e">
        <f t="shared" si="44"/>
        <v>#DIV/0!</v>
      </c>
      <c r="V228" s="290">
        <v>127001014</v>
      </c>
      <c r="W228" s="252" t="s">
        <v>500</v>
      </c>
    </row>
    <row r="229" spans="1:23" ht="14.4" x14ac:dyDescent="0.3">
      <c r="A229" s="194" t="s">
        <v>447</v>
      </c>
      <c r="B229" s="244" t="str">
        <f>_xlfn.XLOOKUP(A229,'Base de Dados'!D:D,'Base de Dados'!B:B)</f>
        <v>TIMBRO SWISS SA</v>
      </c>
      <c r="C229" s="275" t="str">
        <f>_xlfn.XLOOKUP(PRECIFICAÇÃO[[#This Row],[INVOICE]],'Base de Dados'!D:D,'Base de Dados'!X:X)</f>
        <v>EM TRÂNSITO</v>
      </c>
      <c r="D229" s="54">
        <v>367983</v>
      </c>
      <c r="E229" s="244" t="s">
        <v>970</v>
      </c>
      <c r="F229" s="245">
        <v>9030</v>
      </c>
      <c r="G229" s="319">
        <v>3.57</v>
      </c>
      <c r="H229" s="246">
        <v>5.1176000000000004</v>
      </c>
      <c r="I229" s="247">
        <f t="shared" si="37"/>
        <v>18.269832000000001</v>
      </c>
      <c r="J229" s="248">
        <f t="shared" si="38"/>
        <v>164976.58296</v>
      </c>
      <c r="K229" s="249" t="e">
        <f>J229/_xlfn.XLOOKUP(A229,'Base de Dados'!D:D,'Base de Dados'!M:M)</f>
        <v>#DIV/0!</v>
      </c>
      <c r="L229" s="248" t="e">
        <f>K229*_xlfn.XLOOKUP(A229,'Base de Dados'!D:D,'Base de Dados'!N:N)</f>
        <v>#DIV/0!</v>
      </c>
      <c r="M229" s="250" t="e">
        <f t="shared" si="39"/>
        <v>#DIV/0!</v>
      </c>
      <c r="N229" s="251" t="e">
        <f t="shared" si="40"/>
        <v>#DIV/0!</v>
      </c>
      <c r="O229" s="252">
        <f t="shared" si="41"/>
        <v>0.42527551200000002</v>
      </c>
      <c r="P229" s="253" t="e">
        <f t="shared" si="45"/>
        <v>#DIV/0!</v>
      </c>
      <c r="Q229" s="252" t="e">
        <f t="shared" si="42"/>
        <v>#DIV/0!</v>
      </c>
      <c r="R229" s="252">
        <v>0.525275512</v>
      </c>
      <c r="S229" s="252" t="e">
        <f t="shared" si="43"/>
        <v>#DIV/0!</v>
      </c>
      <c r="T229" s="253"/>
      <c r="U229" s="252" t="e">
        <f t="shared" si="44"/>
        <v>#DIV/0!</v>
      </c>
      <c r="V229" s="290">
        <v>127001002</v>
      </c>
      <c r="W229" s="252" t="s">
        <v>501</v>
      </c>
    </row>
    <row r="230" spans="1:23" ht="14.4" x14ac:dyDescent="0.3">
      <c r="A230" s="194" t="s">
        <v>447</v>
      </c>
      <c r="B230" s="244" t="str">
        <f>_xlfn.XLOOKUP(A230,'Base de Dados'!D:D,'Base de Dados'!B:B)</f>
        <v>TIMBRO SWISS SA</v>
      </c>
      <c r="C230" s="275" t="str">
        <f>_xlfn.XLOOKUP(PRECIFICAÇÃO[[#This Row],[INVOICE]],'Base de Dados'!D:D,'Base de Dados'!X:X)</f>
        <v>EM TRÂNSITO</v>
      </c>
      <c r="D230" s="54">
        <v>268132</v>
      </c>
      <c r="E230" s="244" t="s">
        <v>897</v>
      </c>
      <c r="F230" s="245">
        <v>7824</v>
      </c>
      <c r="G230" s="319">
        <v>2.11</v>
      </c>
      <c r="H230" s="246">
        <v>5.1176000000000004</v>
      </c>
      <c r="I230" s="247">
        <f t="shared" si="37"/>
        <v>10.798136</v>
      </c>
      <c r="J230" s="248">
        <f t="shared" si="38"/>
        <v>84484.616064000002</v>
      </c>
      <c r="K230" s="249" t="e">
        <f>J230/_xlfn.XLOOKUP(A230,'Base de Dados'!D:D,'Base de Dados'!M:M)</f>
        <v>#DIV/0!</v>
      </c>
      <c r="L230" s="248" t="e">
        <f>K230*_xlfn.XLOOKUP(A230,'Base de Dados'!D:D,'Base de Dados'!N:N)</f>
        <v>#DIV/0!</v>
      </c>
      <c r="M230" s="250" t="e">
        <f t="shared" si="39"/>
        <v>#DIV/0!</v>
      </c>
      <c r="N230" s="251" t="e">
        <f t="shared" si="40"/>
        <v>#DIV/0!</v>
      </c>
      <c r="O230" s="252">
        <f t="shared" si="41"/>
        <v>0.40920539999999994</v>
      </c>
      <c r="P230" s="253" t="e">
        <f t="shared" si="45"/>
        <v>#DIV/0!</v>
      </c>
      <c r="Q230" s="252" t="e">
        <f t="shared" si="42"/>
        <v>#DIV/0!</v>
      </c>
      <c r="R230" s="252">
        <v>0.50920539999999992</v>
      </c>
      <c r="S230" s="252" t="e">
        <f t="shared" si="43"/>
        <v>#DIV/0!</v>
      </c>
      <c r="T230" s="253"/>
      <c r="U230" s="252" t="e">
        <f t="shared" si="44"/>
        <v>#DIV/0!</v>
      </c>
      <c r="V230" s="290">
        <v>127001014</v>
      </c>
      <c r="W230" s="252" t="s">
        <v>500</v>
      </c>
    </row>
    <row r="231" spans="1:23" ht="14.4" x14ac:dyDescent="0.3">
      <c r="A231" s="194" t="s">
        <v>447</v>
      </c>
      <c r="B231" s="244" t="str">
        <f>_xlfn.XLOOKUP(A231,'Base de Dados'!D:D,'Base de Dados'!B:B)</f>
        <v>TIMBRO SWISS SA</v>
      </c>
      <c r="C231" s="275" t="str">
        <f>_xlfn.XLOOKUP(PRECIFICAÇÃO[[#This Row],[INVOICE]],'Base de Dados'!D:D,'Base de Dados'!X:X)</f>
        <v>EM TRÂNSITO</v>
      </c>
      <c r="D231" s="54">
        <v>267869</v>
      </c>
      <c r="E231" s="244" t="s">
        <v>892</v>
      </c>
      <c r="F231" s="245">
        <v>1008</v>
      </c>
      <c r="G231" s="319">
        <v>1.9</v>
      </c>
      <c r="H231" s="246">
        <v>5.1176000000000004</v>
      </c>
      <c r="I231" s="247">
        <f t="shared" si="37"/>
        <v>9.7234400000000001</v>
      </c>
      <c r="J231" s="248">
        <f t="shared" si="38"/>
        <v>9801.2275200000004</v>
      </c>
      <c r="K231" s="249" t="e">
        <f>J231/_xlfn.XLOOKUP(A231,'Base de Dados'!D:D,'Base de Dados'!M:M)</f>
        <v>#DIV/0!</v>
      </c>
      <c r="L231" s="248" t="e">
        <f>K231*_xlfn.XLOOKUP(A231,'Base de Dados'!D:D,'Base de Dados'!N:N)</f>
        <v>#DIV/0!</v>
      </c>
      <c r="M231" s="250" t="e">
        <f t="shared" si="39"/>
        <v>#DIV/0!</v>
      </c>
      <c r="N231" s="251" t="e">
        <f t="shared" si="40"/>
        <v>#DIV/0!</v>
      </c>
      <c r="O231" s="252">
        <f t="shared" si="41"/>
        <v>0.40920539999999994</v>
      </c>
      <c r="P231" s="253" t="e">
        <f t="shared" si="45"/>
        <v>#DIV/0!</v>
      </c>
      <c r="Q231" s="252" t="e">
        <f t="shared" si="42"/>
        <v>#DIV/0!</v>
      </c>
      <c r="R231" s="252">
        <v>0.50920539999999992</v>
      </c>
      <c r="S231" s="252" t="e">
        <f t="shared" si="43"/>
        <v>#DIV/0!</v>
      </c>
      <c r="T231" s="253"/>
      <c r="U231" s="252" t="e">
        <f t="shared" si="44"/>
        <v>#DIV/0!</v>
      </c>
      <c r="V231" s="290">
        <v>127001014</v>
      </c>
      <c r="W231" s="252" t="s">
        <v>500</v>
      </c>
    </row>
    <row r="232" spans="1:23" ht="14.4" x14ac:dyDescent="0.3">
      <c r="A232" s="194" t="s">
        <v>449</v>
      </c>
      <c r="B232" s="244" t="str">
        <f>_xlfn.XLOOKUP(A232,'Base de Dados'!D:D,'Base de Dados'!B:B)</f>
        <v>TIMBRO SWISS SA</v>
      </c>
      <c r="C232" s="275" t="str">
        <f>_xlfn.XLOOKUP(PRECIFICAÇÃO[[#This Row],[INVOICE]],'Base de Dados'!D:D,'Base de Dados'!X:X)</f>
        <v>EM TRÂNSITO</v>
      </c>
      <c r="D232" s="54">
        <v>358229</v>
      </c>
      <c r="E232" s="244" t="s">
        <v>900</v>
      </c>
      <c r="F232" s="245">
        <v>1160</v>
      </c>
      <c r="G232" s="319">
        <v>14.4</v>
      </c>
      <c r="H232" s="246">
        <v>5.1176000000000004</v>
      </c>
      <c r="I232" s="247">
        <f t="shared" si="37"/>
        <v>73.69344000000001</v>
      </c>
      <c r="J232" s="248">
        <f t="shared" si="38"/>
        <v>85484.390400000004</v>
      </c>
      <c r="K232" s="249" t="e">
        <f>J232/_xlfn.XLOOKUP(A232,'Base de Dados'!D:D,'Base de Dados'!M:M)</f>
        <v>#DIV/0!</v>
      </c>
      <c r="L232" s="248" t="e">
        <f>K232*_xlfn.XLOOKUP(A232,'Base de Dados'!D:D,'Base de Dados'!N:N)</f>
        <v>#DIV/0!</v>
      </c>
      <c r="M232" s="250" t="e">
        <f t="shared" si="39"/>
        <v>#DIV/0!</v>
      </c>
      <c r="N232" s="251" t="e">
        <f t="shared" si="40"/>
        <v>#DIV/0!</v>
      </c>
      <c r="O232" s="252">
        <f t="shared" si="41"/>
        <v>0.35806810700000002</v>
      </c>
      <c r="P232" s="253" t="e">
        <f t="shared" si="45"/>
        <v>#DIV/0!</v>
      </c>
      <c r="Q232" s="252" t="e">
        <f t="shared" si="42"/>
        <v>#DIV/0!</v>
      </c>
      <c r="R232" s="252">
        <v>0.458068107</v>
      </c>
      <c r="S232" s="252" t="e">
        <f t="shared" si="43"/>
        <v>#DIV/0!</v>
      </c>
      <c r="T232" s="253"/>
      <c r="U232" s="252" t="e">
        <f t="shared" si="44"/>
        <v>#DIV/0!</v>
      </c>
      <c r="V232" s="290">
        <v>117006005</v>
      </c>
      <c r="W232" s="252" t="s">
        <v>528</v>
      </c>
    </row>
    <row r="233" spans="1:23" ht="14.4" x14ac:dyDescent="0.3">
      <c r="A233" s="194" t="s">
        <v>457</v>
      </c>
      <c r="B233" s="244" t="str">
        <f>_xlfn.XLOOKUP(A233,'Base de Dados'!D:D,'Base de Dados'!B:B)</f>
        <v>TIMBRO SWISS SA</v>
      </c>
      <c r="C233" s="275" t="str">
        <f>_xlfn.XLOOKUP(PRECIFICAÇÃO[[#This Row],[INVOICE]],'Base de Dados'!D:D,'Base de Dados'!X:X)</f>
        <v>EM TRÂNSITO</v>
      </c>
      <c r="D233" s="54">
        <v>238697</v>
      </c>
      <c r="E233" s="244" t="s">
        <v>899</v>
      </c>
      <c r="F233" s="245">
        <v>1400</v>
      </c>
      <c r="G233" s="319">
        <v>17.079999999999998</v>
      </c>
      <c r="H233" s="246">
        <v>5.1176000000000004</v>
      </c>
      <c r="I233" s="247">
        <f t="shared" si="37"/>
        <v>87.408608000000001</v>
      </c>
      <c r="J233" s="248">
        <f t="shared" si="38"/>
        <v>122372.0512</v>
      </c>
      <c r="K233" s="249" t="e">
        <f>J233/_xlfn.XLOOKUP(A233,'Base de Dados'!D:D,'Base de Dados'!M:M)</f>
        <v>#DIV/0!</v>
      </c>
      <c r="L233" s="248" t="e">
        <f>K233*_xlfn.XLOOKUP(A233,'Base de Dados'!D:D,'Base de Dados'!N:N)</f>
        <v>#DIV/0!</v>
      </c>
      <c r="M233" s="250" t="e">
        <f t="shared" si="39"/>
        <v>#DIV/0!</v>
      </c>
      <c r="N233" s="251" t="e">
        <f t="shared" si="40"/>
        <v>#DIV/0!</v>
      </c>
      <c r="O233" s="252">
        <f t="shared" si="41"/>
        <v>0.39270865200000005</v>
      </c>
      <c r="P233" s="253" t="e">
        <f t="shared" si="45"/>
        <v>#DIV/0!</v>
      </c>
      <c r="Q233" s="252" t="e">
        <f t="shared" si="42"/>
        <v>#DIV/0!</v>
      </c>
      <c r="R233" s="252">
        <v>0.49270865200000002</v>
      </c>
      <c r="S233" s="252" t="e">
        <f t="shared" si="43"/>
        <v>#DIV/0!</v>
      </c>
      <c r="T233" s="253"/>
      <c r="U233" s="252" t="e">
        <f t="shared" si="44"/>
        <v>#DIV/0!</v>
      </c>
      <c r="V233" s="290">
        <v>111001012</v>
      </c>
      <c r="W233" s="252" t="s">
        <v>493</v>
      </c>
    </row>
    <row r="234" spans="1:23" ht="14.4" x14ac:dyDescent="0.3">
      <c r="A234" s="194" t="s">
        <v>457</v>
      </c>
      <c r="B234" s="244" t="str">
        <f>_xlfn.XLOOKUP(A234,'Base de Dados'!D:D,'Base de Dados'!B:B)</f>
        <v>TIMBRO SWISS SA</v>
      </c>
      <c r="C234" s="275" t="str">
        <f>_xlfn.XLOOKUP(PRECIFICAÇÃO[[#This Row],[INVOICE]],'Base de Dados'!D:D,'Base de Dados'!X:X)</f>
        <v>EM TRÂNSITO</v>
      </c>
      <c r="D234" s="54">
        <v>238721</v>
      </c>
      <c r="E234" s="244" t="s">
        <v>14</v>
      </c>
      <c r="F234" s="245">
        <v>2004</v>
      </c>
      <c r="G234" s="319">
        <v>10.95</v>
      </c>
      <c r="H234" s="246">
        <v>5.1176000000000004</v>
      </c>
      <c r="I234" s="247">
        <f t="shared" si="37"/>
        <v>56.03772</v>
      </c>
      <c r="J234" s="248">
        <f t="shared" si="38"/>
        <v>112299.59088</v>
      </c>
      <c r="K234" s="249" t="e">
        <f>J234/_xlfn.XLOOKUP(A234,'Base de Dados'!D:D,'Base de Dados'!M:M)</f>
        <v>#DIV/0!</v>
      </c>
      <c r="L234" s="248" t="e">
        <f>K234*_xlfn.XLOOKUP(A234,'Base de Dados'!D:D,'Base de Dados'!N:N)</f>
        <v>#DIV/0!</v>
      </c>
      <c r="M234" s="250" t="e">
        <f t="shared" si="39"/>
        <v>#DIV/0!</v>
      </c>
      <c r="N234" s="251" t="e">
        <f t="shared" si="40"/>
        <v>#DIV/0!</v>
      </c>
      <c r="O234" s="252">
        <f t="shared" si="41"/>
        <v>0.37835474300000005</v>
      </c>
      <c r="P234" s="253" t="e">
        <f t="shared" si="45"/>
        <v>#DIV/0!</v>
      </c>
      <c r="Q234" s="252" t="e">
        <f t="shared" si="42"/>
        <v>#DIV/0!</v>
      </c>
      <c r="R234" s="252">
        <v>0.47835474300000003</v>
      </c>
      <c r="S234" s="252" t="e">
        <f t="shared" si="43"/>
        <v>#DIV/0!</v>
      </c>
      <c r="T234" s="253"/>
      <c r="U234" s="252" t="e">
        <f t="shared" si="44"/>
        <v>#DIV/0!</v>
      </c>
      <c r="V234" s="290">
        <v>111001013</v>
      </c>
      <c r="W234" s="252" t="s">
        <v>497</v>
      </c>
    </row>
    <row r="235" spans="1:23" ht="14.4" x14ac:dyDescent="0.3">
      <c r="A235" s="194" t="s">
        <v>482</v>
      </c>
      <c r="B235" s="244" t="str">
        <f>_xlfn.XLOOKUP(A235,'Base de Dados'!D:D,'Base de Dados'!B:B)</f>
        <v>TIMBRO SWISS SA</v>
      </c>
      <c r="C235" s="275" t="str">
        <f>_xlfn.XLOOKUP(PRECIFICAÇÃO[[#This Row],[INVOICE]],'Base de Dados'!D:D,'Base de Dados'!X:X)</f>
        <v>EM PRODUÇÃO</v>
      </c>
      <c r="D235" s="54">
        <v>238723</v>
      </c>
      <c r="E235" s="244" t="s">
        <v>16</v>
      </c>
      <c r="F235" s="245">
        <v>2400</v>
      </c>
      <c r="G235" s="319">
        <v>5.65</v>
      </c>
      <c r="H235" s="246">
        <v>5.1176000000000004</v>
      </c>
      <c r="I235" s="247">
        <f t="shared" si="37"/>
        <v>28.914440000000003</v>
      </c>
      <c r="J235" s="248">
        <f t="shared" si="38"/>
        <v>69394.656000000003</v>
      </c>
      <c r="K235" s="249" t="e">
        <f>J235/_xlfn.XLOOKUP(A235,'Base de Dados'!D:D,'Base de Dados'!M:M)</f>
        <v>#DIV/0!</v>
      </c>
      <c r="L235" s="248" t="e">
        <f>K235*_xlfn.XLOOKUP(A235,'Base de Dados'!D:D,'Base de Dados'!N:N)</f>
        <v>#DIV/0!</v>
      </c>
      <c r="M235" s="250" t="e">
        <f t="shared" si="39"/>
        <v>#DIV/0!</v>
      </c>
      <c r="N235" s="251" t="e">
        <f t="shared" si="40"/>
        <v>#DIV/0!</v>
      </c>
      <c r="O235" s="252">
        <f t="shared" si="41"/>
        <v>0.41017661900000002</v>
      </c>
      <c r="P235" s="253" t="e">
        <f t="shared" si="45"/>
        <v>#DIV/0!</v>
      </c>
      <c r="Q235" s="252" t="e">
        <f t="shared" si="42"/>
        <v>#DIV/0!</v>
      </c>
      <c r="R235" s="252">
        <v>0.510176619</v>
      </c>
      <c r="S235" s="252" t="e">
        <f t="shared" si="43"/>
        <v>#DIV/0!</v>
      </c>
      <c r="T235" s="253"/>
      <c r="U235" s="252" t="e">
        <f t="shared" si="44"/>
        <v>#DIV/0!</v>
      </c>
      <c r="V235" s="290">
        <v>111003001</v>
      </c>
      <c r="W235" s="252" t="s">
        <v>499</v>
      </c>
    </row>
    <row r="236" spans="1:23" ht="14.4" x14ac:dyDescent="0.3">
      <c r="A236" s="194" t="s">
        <v>482</v>
      </c>
      <c r="B236" s="244" t="str">
        <f>_xlfn.XLOOKUP(A236,'Base de Dados'!D:D,'Base de Dados'!B:B)</f>
        <v>TIMBRO SWISS SA</v>
      </c>
      <c r="C236" s="275" t="str">
        <f>_xlfn.XLOOKUP(PRECIFICAÇÃO[[#This Row],[INVOICE]],'Base de Dados'!D:D,'Base de Dados'!X:X)</f>
        <v>EM PRODUÇÃO</v>
      </c>
      <c r="D236" s="54">
        <v>238722</v>
      </c>
      <c r="E236" s="244" t="s">
        <v>15</v>
      </c>
      <c r="F236" s="245">
        <v>2400</v>
      </c>
      <c r="G236" s="319">
        <v>4.5</v>
      </c>
      <c r="H236" s="246">
        <v>5.1176000000000004</v>
      </c>
      <c r="I236" s="247">
        <f t="shared" si="37"/>
        <v>23.029200000000003</v>
      </c>
      <c r="J236" s="248">
        <f t="shared" si="38"/>
        <v>55270.080000000009</v>
      </c>
      <c r="K236" s="249" t="e">
        <f>J236/_xlfn.XLOOKUP(A236,'Base de Dados'!D:D,'Base de Dados'!M:M)</f>
        <v>#DIV/0!</v>
      </c>
      <c r="L236" s="248" t="e">
        <f>K236*_xlfn.XLOOKUP(A236,'Base de Dados'!D:D,'Base de Dados'!N:N)</f>
        <v>#DIV/0!</v>
      </c>
      <c r="M236" s="250" t="e">
        <f t="shared" si="39"/>
        <v>#DIV/0!</v>
      </c>
      <c r="N236" s="251" t="e">
        <f t="shared" si="40"/>
        <v>#DIV/0!</v>
      </c>
      <c r="O236" s="252">
        <f t="shared" si="41"/>
        <v>0.41380769799999995</v>
      </c>
      <c r="P236" s="253" t="e">
        <f t="shared" si="45"/>
        <v>#DIV/0!</v>
      </c>
      <c r="Q236" s="252" t="e">
        <f t="shared" si="42"/>
        <v>#DIV/0!</v>
      </c>
      <c r="R236" s="252">
        <v>0.51380769799999992</v>
      </c>
      <c r="S236" s="252" t="e">
        <f t="shared" si="43"/>
        <v>#DIV/0!</v>
      </c>
      <c r="T236" s="253"/>
      <c r="U236" s="252" t="e">
        <f t="shared" si="44"/>
        <v>#DIV/0!</v>
      </c>
      <c r="V236" s="290">
        <v>111003005</v>
      </c>
      <c r="W236" s="252" t="s">
        <v>498</v>
      </c>
    </row>
    <row r="237" spans="1:23" ht="14.4" x14ac:dyDescent="0.3">
      <c r="A237" s="194" t="s">
        <v>482</v>
      </c>
      <c r="B237" s="244" t="str">
        <f>_xlfn.XLOOKUP(A237,'Base de Dados'!D:D,'Base de Dados'!B:B)</f>
        <v>TIMBRO SWISS SA</v>
      </c>
      <c r="C237" s="275" t="str">
        <f>_xlfn.XLOOKUP(PRECIFICAÇÃO[[#This Row],[INVOICE]],'Base de Dados'!D:D,'Base de Dados'!X:X)</f>
        <v>EM PRODUÇÃO</v>
      </c>
      <c r="D237" s="54">
        <v>272954</v>
      </c>
      <c r="E237" s="244" t="s">
        <v>971</v>
      </c>
      <c r="F237" s="245">
        <v>2400</v>
      </c>
      <c r="G237" s="319">
        <v>8.64</v>
      </c>
      <c r="H237" s="246">
        <v>5.1176000000000004</v>
      </c>
      <c r="I237" s="247">
        <f t="shared" si="37"/>
        <v>44.216064000000003</v>
      </c>
      <c r="J237" s="248">
        <f t="shared" si="38"/>
        <v>106118.55360000001</v>
      </c>
      <c r="K237" s="249" t="e">
        <f>J237/_xlfn.XLOOKUP(A237,'Base de Dados'!D:D,'Base de Dados'!M:M)</f>
        <v>#DIV/0!</v>
      </c>
      <c r="L237" s="248" t="e">
        <f>K237*_xlfn.XLOOKUP(A237,'Base de Dados'!D:D,'Base de Dados'!N:N)</f>
        <v>#DIV/0!</v>
      </c>
      <c r="M237" s="250" t="e">
        <f t="shared" si="39"/>
        <v>#DIV/0!</v>
      </c>
      <c r="N237" s="251" t="e">
        <f t="shared" si="40"/>
        <v>#DIV/0!</v>
      </c>
      <c r="O237" s="252">
        <f t="shared" si="41"/>
        <v>0.35371305799999997</v>
      </c>
      <c r="P237" s="253" t="e">
        <f t="shared" si="45"/>
        <v>#DIV/0!</v>
      </c>
      <c r="Q237" s="252" t="e">
        <f t="shared" si="42"/>
        <v>#DIV/0!</v>
      </c>
      <c r="R237" s="252">
        <v>0.45371305799999995</v>
      </c>
      <c r="S237" s="252" t="e">
        <f t="shared" si="43"/>
        <v>#DIV/0!</v>
      </c>
      <c r="T237" s="253"/>
      <c r="U237" s="252" t="e">
        <f t="shared" si="44"/>
        <v>#DIV/0!</v>
      </c>
      <c r="V237" s="290">
        <v>111003002</v>
      </c>
      <c r="W237" s="252" t="s">
        <v>972</v>
      </c>
    </row>
    <row r="238" spans="1:23" ht="14.4" x14ac:dyDescent="0.3">
      <c r="A238" s="194" t="s">
        <v>482</v>
      </c>
      <c r="B238" s="244" t="str">
        <f>_xlfn.XLOOKUP(A238,'Base de Dados'!D:D,'Base de Dados'!B:B)</f>
        <v>TIMBRO SWISS SA</v>
      </c>
      <c r="C238" s="275" t="str">
        <f>_xlfn.XLOOKUP(PRECIFICAÇÃO[[#This Row],[INVOICE]],'Base de Dados'!D:D,'Base de Dados'!X:X)</f>
        <v>EM PRODUÇÃO</v>
      </c>
      <c r="D238" s="54">
        <v>272951</v>
      </c>
      <c r="E238" s="244" t="s">
        <v>964</v>
      </c>
      <c r="F238" s="245">
        <v>2400</v>
      </c>
      <c r="G238" s="319">
        <v>12.41</v>
      </c>
      <c r="H238" s="246">
        <v>5.1176000000000004</v>
      </c>
      <c r="I238" s="247">
        <f t="shared" si="37"/>
        <v>63.509416000000009</v>
      </c>
      <c r="J238" s="248">
        <f t="shared" si="38"/>
        <v>152422.59840000002</v>
      </c>
      <c r="K238" s="249" t="e">
        <f>J238/_xlfn.XLOOKUP(A238,'Base de Dados'!D:D,'Base de Dados'!M:M)</f>
        <v>#DIV/0!</v>
      </c>
      <c r="L238" s="248" t="e">
        <f>K238*_xlfn.XLOOKUP(A238,'Base de Dados'!D:D,'Base de Dados'!N:N)</f>
        <v>#DIV/0!</v>
      </c>
      <c r="M238" s="250" t="e">
        <f t="shared" si="39"/>
        <v>#DIV/0!</v>
      </c>
      <c r="N238" s="251" t="e">
        <f t="shared" si="40"/>
        <v>#DIV/0!</v>
      </c>
      <c r="O238" s="252">
        <f t="shared" si="41"/>
        <v>0.423927002</v>
      </c>
      <c r="P238" s="253" t="e">
        <f t="shared" si="45"/>
        <v>#DIV/0!</v>
      </c>
      <c r="Q238" s="252" t="e">
        <f t="shared" si="42"/>
        <v>#DIV/0!</v>
      </c>
      <c r="R238" s="252">
        <v>0.52392700199999998</v>
      </c>
      <c r="S238" s="252" t="e">
        <f t="shared" si="43"/>
        <v>#DIV/0!</v>
      </c>
      <c r="T238" s="253"/>
      <c r="U238" s="252" t="e">
        <f t="shared" si="44"/>
        <v>#DIV/0!</v>
      </c>
      <c r="V238" s="290">
        <v>111001010</v>
      </c>
      <c r="W238" s="252" t="s">
        <v>519</v>
      </c>
    </row>
    <row r="239" spans="1:23" ht="14.4" x14ac:dyDescent="0.3">
      <c r="A239" s="194" t="s">
        <v>484</v>
      </c>
      <c r="B239" s="244" t="str">
        <f>_xlfn.XLOOKUP(A239,'Base de Dados'!D:D,'Base de Dados'!B:B)</f>
        <v>TIMBRO SWISS SA</v>
      </c>
      <c r="C239" s="275" t="str">
        <f>_xlfn.XLOOKUP(PRECIFICAÇÃO[[#This Row],[INVOICE]],'Base de Dados'!D:D,'Base de Dados'!X:X)</f>
        <v>EM PRODUÇÃO</v>
      </c>
      <c r="D239" s="54">
        <v>373758</v>
      </c>
      <c r="E239" s="244" t="s">
        <v>947</v>
      </c>
      <c r="F239" s="245">
        <v>3000</v>
      </c>
      <c r="G239" s="319">
        <v>2.2000000000000002</v>
      </c>
      <c r="H239" s="246">
        <v>5.1176000000000004</v>
      </c>
      <c r="I239" s="247">
        <f t="shared" si="37"/>
        <v>11.258720000000002</v>
      </c>
      <c r="J239" s="248">
        <f t="shared" si="38"/>
        <v>33776.160000000003</v>
      </c>
      <c r="K239" s="249" t="e">
        <f>J239/_xlfn.XLOOKUP(A239,'Base de Dados'!D:D,'Base de Dados'!M:M)</f>
        <v>#DIV/0!</v>
      </c>
      <c r="L239" s="248" t="e">
        <f>K239*_xlfn.XLOOKUP(A239,'Base de Dados'!D:D,'Base de Dados'!N:N)</f>
        <v>#DIV/0!</v>
      </c>
      <c r="M239" s="250" t="e">
        <f t="shared" si="39"/>
        <v>#DIV/0!</v>
      </c>
      <c r="N239" s="251" t="e">
        <f t="shared" si="40"/>
        <v>#DIV/0!</v>
      </c>
      <c r="O239" s="252">
        <f t="shared" si="41"/>
        <v>0.37093717599999998</v>
      </c>
      <c r="P239" s="253" t="e">
        <f t="shared" si="45"/>
        <v>#DIV/0!</v>
      </c>
      <c r="Q239" s="252" t="e">
        <f t="shared" si="42"/>
        <v>#DIV/0!</v>
      </c>
      <c r="R239" s="252">
        <v>0.47093717599999996</v>
      </c>
      <c r="S239" s="252" t="e">
        <f t="shared" si="43"/>
        <v>#DIV/0!</v>
      </c>
      <c r="T239" s="253"/>
      <c r="U239" s="252" t="e">
        <f t="shared" si="44"/>
        <v>#DIV/0!</v>
      </c>
      <c r="V239" s="290">
        <v>130001013</v>
      </c>
      <c r="W239" s="252" t="s">
        <v>532</v>
      </c>
    </row>
    <row r="240" spans="1:23" ht="14.4" x14ac:dyDescent="0.3">
      <c r="A240" s="194" t="s">
        <v>484</v>
      </c>
      <c r="B240" s="244" t="str">
        <f>_xlfn.XLOOKUP(A240,'Base de Dados'!D:D,'Base de Dados'!B:B)</f>
        <v>TIMBRO SWISS SA</v>
      </c>
      <c r="C240" s="275" t="str">
        <f>_xlfn.XLOOKUP(PRECIFICAÇÃO[[#This Row],[INVOICE]],'Base de Dados'!D:D,'Base de Dados'!X:X)</f>
        <v>EM PRODUÇÃO</v>
      </c>
      <c r="D240" s="54">
        <v>272953</v>
      </c>
      <c r="E240" s="244" t="s">
        <v>952</v>
      </c>
      <c r="F240" s="245">
        <v>3000</v>
      </c>
      <c r="G240" s="319">
        <v>5.79</v>
      </c>
      <c r="H240" s="246">
        <v>5.1176000000000004</v>
      </c>
      <c r="I240" s="247">
        <f t="shared" si="37"/>
        <v>29.630904000000001</v>
      </c>
      <c r="J240" s="248">
        <f t="shared" si="38"/>
        <v>88892.712</v>
      </c>
      <c r="K240" s="249" t="e">
        <f>J240/_xlfn.XLOOKUP(A240,'Base de Dados'!D:D,'Base de Dados'!M:M)</f>
        <v>#DIV/0!</v>
      </c>
      <c r="L240" s="248" t="e">
        <f>K240*_xlfn.XLOOKUP(A240,'Base de Dados'!D:D,'Base de Dados'!N:N)</f>
        <v>#DIV/0!</v>
      </c>
      <c r="M240" s="250" t="e">
        <f t="shared" si="39"/>
        <v>#DIV/0!</v>
      </c>
      <c r="N240" s="251" t="e">
        <f t="shared" si="40"/>
        <v>#DIV/0!</v>
      </c>
      <c r="O240" s="252">
        <f t="shared" si="41"/>
        <v>0.39018382800000007</v>
      </c>
      <c r="P240" s="253" t="e">
        <f t="shared" si="45"/>
        <v>#DIV/0!</v>
      </c>
      <c r="Q240" s="252" t="e">
        <f t="shared" si="42"/>
        <v>#DIV/0!</v>
      </c>
      <c r="R240" s="252">
        <v>0.49018382800000004</v>
      </c>
      <c r="S240" s="252" t="e">
        <f t="shared" si="43"/>
        <v>#DIV/0!</v>
      </c>
      <c r="T240" s="253"/>
      <c r="U240" s="252" t="e">
        <f t="shared" si="44"/>
        <v>#DIV/0!</v>
      </c>
      <c r="V240" s="290">
        <v>111001019</v>
      </c>
      <c r="W240" s="252" t="s">
        <v>525</v>
      </c>
    </row>
    <row r="241" spans="1:23" ht="14.4" x14ac:dyDescent="0.3">
      <c r="A241" s="194" t="s">
        <v>484</v>
      </c>
      <c r="B241" s="244" t="str">
        <f>_xlfn.XLOOKUP(A241,'Base de Dados'!D:D,'Base de Dados'!B:B)</f>
        <v>TIMBRO SWISS SA</v>
      </c>
      <c r="C241" s="275" t="str">
        <f>_xlfn.XLOOKUP(PRECIFICAÇÃO[[#This Row],[INVOICE]],'Base de Dados'!D:D,'Base de Dados'!X:X)</f>
        <v>EM PRODUÇÃO</v>
      </c>
      <c r="D241" s="54">
        <v>238721</v>
      </c>
      <c r="E241" s="244" t="s">
        <v>14</v>
      </c>
      <c r="F241" s="245">
        <v>1920</v>
      </c>
      <c r="G241" s="319">
        <v>10.95</v>
      </c>
      <c r="H241" s="246">
        <v>5.1176000000000004</v>
      </c>
      <c r="I241" s="247">
        <f t="shared" si="37"/>
        <v>56.03772</v>
      </c>
      <c r="J241" s="248">
        <f t="shared" si="38"/>
        <v>107592.4224</v>
      </c>
      <c r="K241" s="249" t="e">
        <f>J241/_xlfn.XLOOKUP(A241,'Base de Dados'!D:D,'Base de Dados'!M:M)</f>
        <v>#DIV/0!</v>
      </c>
      <c r="L241" s="248" t="e">
        <f>K241*_xlfn.XLOOKUP(A241,'Base de Dados'!D:D,'Base de Dados'!N:N)</f>
        <v>#DIV/0!</v>
      </c>
      <c r="M241" s="250" t="e">
        <f t="shared" si="39"/>
        <v>#DIV/0!</v>
      </c>
      <c r="N241" s="251" t="e">
        <f t="shared" si="40"/>
        <v>#DIV/0!</v>
      </c>
      <c r="O241" s="252">
        <f t="shared" si="41"/>
        <v>0.37835474300000005</v>
      </c>
      <c r="P241" s="253" t="e">
        <f t="shared" si="45"/>
        <v>#DIV/0!</v>
      </c>
      <c r="Q241" s="252" t="e">
        <f t="shared" si="42"/>
        <v>#DIV/0!</v>
      </c>
      <c r="R241" s="252">
        <v>0.47835474300000003</v>
      </c>
      <c r="S241" s="252" t="e">
        <f t="shared" si="43"/>
        <v>#DIV/0!</v>
      </c>
      <c r="T241" s="253"/>
      <c r="U241" s="252" t="e">
        <f t="shared" si="44"/>
        <v>#DIV/0!</v>
      </c>
      <c r="V241" s="290">
        <v>111001013</v>
      </c>
      <c r="W241" s="252" t="s">
        <v>497</v>
      </c>
    </row>
    <row r="242" spans="1:23" ht="14.4" x14ac:dyDescent="0.3">
      <c r="A242" s="194" t="s">
        <v>484</v>
      </c>
      <c r="B242" s="244" t="str">
        <f>_xlfn.XLOOKUP(A242,'Base de Dados'!D:D,'Base de Dados'!B:B)</f>
        <v>TIMBRO SWISS SA</v>
      </c>
      <c r="C242" s="275" t="str">
        <f>_xlfn.XLOOKUP(PRECIFICAÇÃO[[#This Row],[INVOICE]],'Base de Dados'!D:D,'Base de Dados'!X:X)</f>
        <v>EM PRODUÇÃO</v>
      </c>
      <c r="D242" s="54">
        <v>272750</v>
      </c>
      <c r="E242" s="244" t="s">
        <v>973</v>
      </c>
      <c r="F242" s="245">
        <v>3000</v>
      </c>
      <c r="G242" s="319">
        <v>5.54</v>
      </c>
      <c r="H242" s="246">
        <v>5.1176000000000004</v>
      </c>
      <c r="I242" s="247">
        <f t="shared" si="37"/>
        <v>28.351504000000002</v>
      </c>
      <c r="J242" s="248">
        <f t="shared" si="38"/>
        <v>85054.512000000002</v>
      </c>
      <c r="K242" s="249" t="e">
        <f>J242/_xlfn.XLOOKUP(A242,'Base de Dados'!D:D,'Base de Dados'!M:M)</f>
        <v>#DIV/0!</v>
      </c>
      <c r="L242" s="248" t="e">
        <f>K242*_xlfn.XLOOKUP(A242,'Base de Dados'!D:D,'Base de Dados'!N:N)</f>
        <v>#DIV/0!</v>
      </c>
      <c r="M242" s="250" t="e">
        <f t="shared" si="39"/>
        <v>#DIV/0!</v>
      </c>
      <c r="N242" s="251" t="e">
        <f t="shared" si="40"/>
        <v>#DIV/0!</v>
      </c>
      <c r="O242" s="252">
        <f t="shared" si="41"/>
        <v>0.423927002</v>
      </c>
      <c r="P242" s="253" t="e">
        <f t="shared" si="45"/>
        <v>#DIV/0!</v>
      </c>
      <c r="Q242" s="252" t="e">
        <f t="shared" si="42"/>
        <v>#DIV/0!</v>
      </c>
      <c r="R242" s="252">
        <v>0.52392700199999998</v>
      </c>
      <c r="S242" s="252" t="e">
        <f t="shared" si="43"/>
        <v>#DIV/0!</v>
      </c>
      <c r="T242" s="253"/>
      <c r="U242" s="252" t="e">
        <f t="shared" si="44"/>
        <v>#DIV/0!</v>
      </c>
      <c r="V242" s="290">
        <v>111001010</v>
      </c>
      <c r="W242" s="252" t="s">
        <v>519</v>
      </c>
    </row>
    <row r="243" spans="1:23" ht="14.4" x14ac:dyDescent="0.3">
      <c r="A243" s="194" t="s">
        <v>484</v>
      </c>
      <c r="B243" s="244" t="str">
        <f>_xlfn.XLOOKUP(A243,'Base de Dados'!D:D,'Base de Dados'!B:B)</f>
        <v>TIMBRO SWISS SA</v>
      </c>
      <c r="C243" s="275" t="str">
        <f>_xlfn.XLOOKUP(PRECIFICAÇÃO[[#This Row],[INVOICE]],'Base de Dados'!D:D,'Base de Dados'!X:X)</f>
        <v>EM PRODUÇÃO</v>
      </c>
      <c r="D243" s="54">
        <v>272955</v>
      </c>
      <c r="E243" s="244" t="s">
        <v>974</v>
      </c>
      <c r="F243" s="245">
        <v>1600</v>
      </c>
      <c r="G243" s="319">
        <v>15.04</v>
      </c>
      <c r="H243" s="246">
        <v>5.1176000000000004</v>
      </c>
      <c r="I243" s="247">
        <f t="shared" si="37"/>
        <v>76.968704000000002</v>
      </c>
      <c r="J243" s="248">
        <f t="shared" si="38"/>
        <v>123149.9264</v>
      </c>
      <c r="K243" s="249" t="e">
        <f>J243/_xlfn.XLOOKUP(A243,'Base de Dados'!D:D,'Base de Dados'!M:M)</f>
        <v>#DIV/0!</v>
      </c>
      <c r="L243" s="248" t="e">
        <f>K243*_xlfn.XLOOKUP(A243,'Base de Dados'!D:D,'Base de Dados'!N:N)</f>
        <v>#DIV/0!</v>
      </c>
      <c r="M243" s="250" t="e">
        <f t="shared" si="39"/>
        <v>#DIV/0!</v>
      </c>
      <c r="N243" s="251" t="e">
        <f t="shared" si="40"/>
        <v>#DIV/0!</v>
      </c>
      <c r="O243" s="252">
        <f t="shared" si="41"/>
        <v>0.41940406099999994</v>
      </c>
      <c r="P243" s="253" t="e">
        <f t="shared" si="45"/>
        <v>#DIV/0!</v>
      </c>
      <c r="Q243" s="252" t="e">
        <f t="shared" si="42"/>
        <v>#DIV/0!</v>
      </c>
      <c r="R243" s="252">
        <v>0.51940406099999992</v>
      </c>
      <c r="S243" s="252" t="e">
        <f t="shared" si="43"/>
        <v>#DIV/0!</v>
      </c>
      <c r="T243" s="253"/>
      <c r="U243" s="252" t="e">
        <f t="shared" si="44"/>
        <v>#DIV/0!</v>
      </c>
      <c r="V243" s="290">
        <v>111003006</v>
      </c>
      <c r="W243" s="252" t="s">
        <v>521</v>
      </c>
    </row>
    <row r="244" spans="1:23" ht="14.4" x14ac:dyDescent="0.3">
      <c r="A244" s="194" t="s">
        <v>372</v>
      </c>
      <c r="B244" s="244" t="str">
        <f>_xlfn.XLOOKUP(A244,'Base de Dados'!D:D,'Base de Dados'!B:B)</f>
        <v>TIMBRO SWISS SA</v>
      </c>
      <c r="C244" s="275" t="str">
        <f>_xlfn.XLOOKUP(PRECIFICAÇÃO[[#This Row],[INVOICE]],'Base de Dados'!D:D,'Base de Dados'!X:X)</f>
        <v>CONCLUÍDO</v>
      </c>
      <c r="D244" s="54">
        <v>267869</v>
      </c>
      <c r="E244" s="244" t="s">
        <v>892</v>
      </c>
      <c r="F244" s="245">
        <v>3132</v>
      </c>
      <c r="G244" s="319">
        <f>740/1000</f>
        <v>0.74</v>
      </c>
      <c r="H244" s="246">
        <v>4.9587000000000003</v>
      </c>
      <c r="I244" s="247">
        <f t="shared" si="37"/>
        <v>3.6694380000000004</v>
      </c>
      <c r="J244" s="248">
        <f t="shared" si="38"/>
        <v>11492.679816000002</v>
      </c>
      <c r="K244" s="249">
        <f>J244/_xlfn.XLOOKUP(A244,'Base de Dados'!D:D,'Base de Dados'!M:M)</f>
        <v>2.1027251506327203E-2</v>
      </c>
      <c r="L244" s="248">
        <f>K244*_xlfn.XLOOKUP(A244,'Base de Dados'!D:D,'Base de Dados'!N:N)</f>
        <v>1274.6366605310243</v>
      </c>
      <c r="M244" s="250">
        <f t="shared" si="39"/>
        <v>12767.316476531027</v>
      </c>
      <c r="N244" s="251">
        <f t="shared" si="40"/>
        <v>4.076410113834938</v>
      </c>
      <c r="O244" s="252">
        <f t="shared" si="41"/>
        <v>0.40920539999999994</v>
      </c>
      <c r="P244" s="253">
        <f t="shared" si="45"/>
        <v>10</v>
      </c>
      <c r="Q244" s="252">
        <f t="shared" si="42"/>
        <v>0.59235898861650615</v>
      </c>
      <c r="R244" s="252">
        <v>0.50920539999999992</v>
      </c>
      <c r="S244" s="252">
        <f t="shared" si="43"/>
        <v>8.3153588616506235E-2</v>
      </c>
      <c r="T244" s="253">
        <f>P244+10</f>
        <v>20</v>
      </c>
      <c r="U244" s="252">
        <f t="shared" si="44"/>
        <v>0.5</v>
      </c>
      <c r="V244" s="290">
        <v>127001014</v>
      </c>
      <c r="W244" s="252" t="s">
        <v>500</v>
      </c>
    </row>
    <row r="245" spans="1:23" ht="14.4" x14ac:dyDescent="0.3">
      <c r="A245" s="194" t="s">
        <v>372</v>
      </c>
      <c r="B245" s="244" t="str">
        <f>_xlfn.XLOOKUP(A245,'Base de Dados'!D:D,'Base de Dados'!B:B)</f>
        <v>TIMBRO SWISS SA</v>
      </c>
      <c r="C245" s="275" t="str">
        <f>_xlfn.XLOOKUP(PRECIFICAÇÃO[[#This Row],[INVOICE]],'Base de Dados'!D:D,'Base de Dados'!X:X)</f>
        <v>CONCLUÍDO</v>
      </c>
      <c r="D245" s="54">
        <v>358232</v>
      </c>
      <c r="E245" s="244" t="s">
        <v>956</v>
      </c>
      <c r="F245" s="245">
        <v>3500</v>
      </c>
      <c r="G245" s="319">
        <v>30.83</v>
      </c>
      <c r="H245" s="246">
        <v>4.9587000000000003</v>
      </c>
      <c r="I245" s="247">
        <f t="shared" si="37"/>
        <v>152.876721</v>
      </c>
      <c r="J245" s="248">
        <f t="shared" si="38"/>
        <v>535068.52350000001</v>
      </c>
      <c r="K245" s="249">
        <f>J245/_xlfn.XLOOKUP(A245,'Base de Dados'!D:D,'Base de Dados'!M:M)</f>
        <v>0.9789727545606971</v>
      </c>
      <c r="L245" s="248">
        <f>K245*_xlfn.XLOOKUP(A245,'Base de Dados'!D:D,'Base de Dados'!N:N)</f>
        <v>59343.683707241798</v>
      </c>
      <c r="M245" s="250">
        <f t="shared" si="39"/>
        <v>594412.20720724179</v>
      </c>
      <c r="N245" s="251">
        <f t="shared" si="40"/>
        <v>169.83205920206908</v>
      </c>
      <c r="O245" s="252">
        <f t="shared" si="41"/>
        <v>0.38095638600000004</v>
      </c>
      <c r="P245" s="253">
        <f t="shared" si="45"/>
        <v>446</v>
      </c>
      <c r="Q245" s="252">
        <f t="shared" si="42"/>
        <v>0.61921062959177331</v>
      </c>
      <c r="R245" s="252">
        <v>0.48095638600000001</v>
      </c>
      <c r="S245" s="252">
        <f t="shared" si="43"/>
        <v>0.1382542435917733</v>
      </c>
      <c r="T245" s="253">
        <f>P245+10</f>
        <v>456</v>
      </c>
      <c r="U245" s="252">
        <f t="shared" si="44"/>
        <v>2.1929824561403508E-2</v>
      </c>
      <c r="V245" s="290">
        <v>117001006</v>
      </c>
      <c r="W245" s="252" t="s">
        <v>526</v>
      </c>
    </row>
    <row r="246" spans="1:23" ht="15" customHeight="1" x14ac:dyDescent="0.3">
      <c r="A246" s="287" t="s">
        <v>420</v>
      </c>
      <c r="B246" s="254" t="str">
        <f>_xlfn.XLOOKUP(A246,'Base de Dados'!D:D,'Base de Dados'!B:B)</f>
        <v>TIMBRO SWISS SA</v>
      </c>
      <c r="C246" s="288" t="str">
        <f>_xlfn.XLOOKUP(PRECIFICAÇÃO[[#This Row],[INVOICE]],'Base de Dados'!D:D,'Base de Dados'!X:X)</f>
        <v>CONCLUÍDO</v>
      </c>
      <c r="D246" s="68">
        <v>272749</v>
      </c>
      <c r="E246" s="254" t="s">
        <v>975</v>
      </c>
      <c r="F246" s="255">
        <v>1000</v>
      </c>
      <c r="G246" s="321">
        <v>16.95</v>
      </c>
      <c r="H246" s="256">
        <v>5.1176000000000004</v>
      </c>
      <c r="I246" s="257">
        <f t="shared" si="37"/>
        <v>86.743319999999997</v>
      </c>
      <c r="J246" s="258">
        <f t="shared" si="38"/>
        <v>86743.319999999992</v>
      </c>
      <c r="K246" s="258" t="e">
        <f>J246/_xlfn.XLOOKUP(A246,'Base de Dados'!D:D,'Base de Dados'!M:M)</f>
        <v>#DIV/0!</v>
      </c>
      <c r="L246" s="258" t="e">
        <f>K246*_xlfn.XLOOKUP(A246,'Base de Dados'!D:D,'Base de Dados'!N:N)</f>
        <v>#DIV/0!</v>
      </c>
      <c r="M246" s="260" t="e">
        <f t="shared" si="39"/>
        <v>#DIV/0!</v>
      </c>
      <c r="N246" s="261" t="e">
        <f t="shared" si="40"/>
        <v>#DIV/0!</v>
      </c>
      <c r="O246" s="262">
        <f t="shared" si="41"/>
        <v>0.40979214200000003</v>
      </c>
      <c r="P246" s="263" t="e">
        <f t="shared" si="45"/>
        <v>#DIV/0!</v>
      </c>
      <c r="Q246" s="262" t="e">
        <f t="shared" si="42"/>
        <v>#DIV/0!</v>
      </c>
      <c r="R246" s="262">
        <v>0.509792142</v>
      </c>
      <c r="S246" s="262" t="e">
        <f t="shared" si="43"/>
        <v>#DIV/0!</v>
      </c>
      <c r="T246" s="263"/>
      <c r="U246" s="262" t="e">
        <f t="shared" si="44"/>
        <v>#DIV/0!</v>
      </c>
      <c r="V246" s="292">
        <v>111001017</v>
      </c>
      <c r="W246" s="262" t="s">
        <v>976</v>
      </c>
    </row>
    <row r="247" spans="1:23" ht="15" customHeight="1" x14ac:dyDescent="0.3">
      <c r="A247" s="287" t="s">
        <v>420</v>
      </c>
      <c r="B247" s="254" t="str">
        <f>_xlfn.XLOOKUP(A247,'Base de Dados'!D:D,'Base de Dados'!B:B)</f>
        <v>TIMBRO SWISS SA</v>
      </c>
      <c r="C247" s="288" t="str">
        <f>_xlfn.XLOOKUP(PRECIFICAÇÃO[[#This Row],[INVOICE]],'Base de Dados'!D:D,'Base de Dados'!X:X)</f>
        <v>CONCLUÍDO</v>
      </c>
      <c r="D247" s="68">
        <v>358233</v>
      </c>
      <c r="E247" s="254" t="s">
        <v>939</v>
      </c>
      <c r="F247" s="255">
        <v>800</v>
      </c>
      <c r="G247" s="321">
        <v>330.5</v>
      </c>
      <c r="H247" s="256">
        <v>5.1176000000000004</v>
      </c>
      <c r="I247" s="257">
        <f t="shared" si="37"/>
        <v>1691.3668</v>
      </c>
      <c r="J247" s="258">
        <f t="shared" si="38"/>
        <v>1353093.44</v>
      </c>
      <c r="K247" s="258" t="e">
        <f>J247/_xlfn.XLOOKUP(A247,'Base de Dados'!D:D,'Base de Dados'!M:M)</f>
        <v>#DIV/0!</v>
      </c>
      <c r="L247" s="258" t="e">
        <f>K247*_xlfn.XLOOKUP(A247,'Base de Dados'!D:D,'Base de Dados'!N:N)</f>
        <v>#DIV/0!</v>
      </c>
      <c r="M247" s="260" t="e">
        <f t="shared" si="39"/>
        <v>#DIV/0!</v>
      </c>
      <c r="N247" s="261" t="e">
        <f t="shared" si="40"/>
        <v>#DIV/0!</v>
      </c>
      <c r="O247" s="262">
        <f t="shared" si="41"/>
        <v>0.39018382800000007</v>
      </c>
      <c r="P247" s="263" t="e">
        <f t="shared" si="45"/>
        <v>#DIV/0!</v>
      </c>
      <c r="Q247" s="262" t="e">
        <f t="shared" si="42"/>
        <v>#DIV/0!</v>
      </c>
      <c r="R247" s="262">
        <v>0.49018382800000004</v>
      </c>
      <c r="S247" s="262" t="e">
        <f t="shared" si="43"/>
        <v>#DIV/0!</v>
      </c>
      <c r="T247" s="263"/>
      <c r="U247" s="262" t="e">
        <f t="shared" si="44"/>
        <v>#DIV/0!</v>
      </c>
      <c r="V247" s="292">
        <v>111001019</v>
      </c>
      <c r="W247" s="262" t="s">
        <v>525</v>
      </c>
    </row>
    <row r="248" spans="1:23" ht="15" customHeight="1" x14ac:dyDescent="0.3">
      <c r="A248" s="287" t="s">
        <v>420</v>
      </c>
      <c r="B248" s="254" t="str">
        <f>_xlfn.XLOOKUP(A248,'Base de Dados'!D:D,'Base de Dados'!B:B)</f>
        <v>TIMBRO SWISS SA</v>
      </c>
      <c r="C248" s="288" t="str">
        <f>_xlfn.XLOOKUP(PRECIFICAÇÃO[[#This Row],[INVOICE]],'Base de Dados'!D:D,'Base de Dados'!X:X)</f>
        <v>CONCLUÍDO</v>
      </c>
      <c r="D248" s="68">
        <v>370453</v>
      </c>
      <c r="E248" s="254" t="s">
        <v>977</v>
      </c>
      <c r="F248" s="255">
        <v>2004</v>
      </c>
      <c r="G248" s="321">
        <v>7.54</v>
      </c>
      <c r="H248" s="256">
        <v>5.1176000000000004</v>
      </c>
      <c r="I248" s="257">
        <f t="shared" si="37"/>
        <v>38.586704000000005</v>
      </c>
      <c r="J248" s="258">
        <f t="shared" si="38"/>
        <v>77327.754816000015</v>
      </c>
      <c r="K248" s="258" t="e">
        <f>J248/_xlfn.XLOOKUP(A248,'Base de Dados'!D:D,'Base de Dados'!M:M)</f>
        <v>#DIV/0!</v>
      </c>
      <c r="L248" s="258" t="e">
        <f>K248*_xlfn.XLOOKUP(A248,'Base de Dados'!D:D,'Base de Dados'!N:N)</f>
        <v>#DIV/0!</v>
      </c>
      <c r="M248" s="260" t="e">
        <f t="shared" si="39"/>
        <v>#DIV/0!</v>
      </c>
      <c r="N248" s="261" t="e">
        <f t="shared" si="40"/>
        <v>#DIV/0!</v>
      </c>
      <c r="O248" s="262">
        <f t="shared" si="41"/>
        <v>0.37093717599999998</v>
      </c>
      <c r="P248" s="263" t="e">
        <f t="shared" si="45"/>
        <v>#DIV/0!</v>
      </c>
      <c r="Q248" s="262" t="e">
        <f t="shared" si="42"/>
        <v>#DIV/0!</v>
      </c>
      <c r="R248" s="262">
        <v>0.47093717599999996</v>
      </c>
      <c r="S248" s="262" t="e">
        <f t="shared" si="43"/>
        <v>#DIV/0!</v>
      </c>
      <c r="T248" s="263"/>
      <c r="U248" s="262" t="e">
        <f t="shared" si="44"/>
        <v>#DIV/0!</v>
      </c>
      <c r="V248" s="292">
        <v>130001013</v>
      </c>
      <c r="W248" s="262" t="s">
        <v>532</v>
      </c>
    </row>
    <row r="249" spans="1:23" ht="15" customHeight="1" x14ac:dyDescent="0.3">
      <c r="A249" s="287" t="s">
        <v>420</v>
      </c>
      <c r="B249" s="254" t="str">
        <f>_xlfn.XLOOKUP(A249,'Base de Dados'!D:D,'Base de Dados'!B:B)</f>
        <v>TIMBRO SWISS SA</v>
      </c>
      <c r="C249" s="288" t="str">
        <f>_xlfn.XLOOKUP(PRECIFICAÇÃO[[#This Row],[INVOICE]],'Base de Dados'!D:D,'Base de Dados'!X:X)</f>
        <v>CONCLUÍDO</v>
      </c>
      <c r="D249" s="68">
        <v>272955</v>
      </c>
      <c r="E249" s="254" t="s">
        <v>974</v>
      </c>
      <c r="F249" s="255">
        <v>1520</v>
      </c>
      <c r="G249" s="321">
        <v>15.04</v>
      </c>
      <c r="H249" s="256">
        <v>5.1176000000000004</v>
      </c>
      <c r="I249" s="257">
        <f t="shared" si="37"/>
        <v>76.968704000000002</v>
      </c>
      <c r="J249" s="258">
        <f t="shared" si="38"/>
        <v>116992.43008000001</v>
      </c>
      <c r="K249" s="258" t="e">
        <f>J249/_xlfn.XLOOKUP(A249,'Base de Dados'!D:D,'Base de Dados'!M:M)</f>
        <v>#DIV/0!</v>
      </c>
      <c r="L249" s="258" t="e">
        <f>K249*_xlfn.XLOOKUP(A249,'Base de Dados'!D:D,'Base de Dados'!N:N)</f>
        <v>#DIV/0!</v>
      </c>
      <c r="M249" s="260" t="e">
        <f t="shared" si="39"/>
        <v>#DIV/0!</v>
      </c>
      <c r="N249" s="261" t="e">
        <f t="shared" si="40"/>
        <v>#DIV/0!</v>
      </c>
      <c r="O249" s="262">
        <f t="shared" si="41"/>
        <v>0.41940406099999994</v>
      </c>
      <c r="P249" s="263" t="e">
        <f t="shared" si="45"/>
        <v>#DIV/0!</v>
      </c>
      <c r="Q249" s="262" t="e">
        <f t="shared" si="42"/>
        <v>#DIV/0!</v>
      </c>
      <c r="R249" s="262">
        <v>0.51940406099999992</v>
      </c>
      <c r="S249" s="262" t="e">
        <f t="shared" si="43"/>
        <v>#DIV/0!</v>
      </c>
      <c r="T249" s="263"/>
      <c r="U249" s="262" t="e">
        <f t="shared" si="44"/>
        <v>#DIV/0!</v>
      </c>
      <c r="V249" s="292">
        <v>111003006</v>
      </c>
      <c r="W249" s="262" t="s">
        <v>521</v>
      </c>
    </row>
    <row r="250" spans="1:23" ht="15" customHeight="1" x14ac:dyDescent="0.3">
      <c r="A250" s="287" t="s">
        <v>445</v>
      </c>
      <c r="B250" s="254" t="str">
        <f>_xlfn.XLOOKUP(A250,'Base de Dados'!D:D,'Base de Dados'!B:B)</f>
        <v>TIMBRO SWISS SA</v>
      </c>
      <c r="C250" s="288" t="str">
        <f>_xlfn.XLOOKUP(PRECIFICAÇÃO[[#This Row],[INVOICE]],'Base de Dados'!D:D,'Base de Dados'!X:X)</f>
        <v>EM PRODUÇÃO</v>
      </c>
      <c r="D250" s="68">
        <v>354935</v>
      </c>
      <c r="E250" s="254" t="s">
        <v>978</v>
      </c>
      <c r="F250" s="255">
        <v>992</v>
      </c>
      <c r="G250" s="321">
        <v>1.78</v>
      </c>
      <c r="H250" s="256">
        <v>5.1176000000000004</v>
      </c>
      <c r="I250" s="257">
        <f t="shared" si="37"/>
        <v>9.1093280000000014</v>
      </c>
      <c r="J250" s="258">
        <f t="shared" si="38"/>
        <v>9036.4533760000013</v>
      </c>
      <c r="K250" s="258" t="e">
        <f>J250/_xlfn.XLOOKUP(A250,'Base de Dados'!D:D,'Base de Dados'!M:M)</f>
        <v>#DIV/0!</v>
      </c>
      <c r="L250" s="258" t="e">
        <f>K250*_xlfn.XLOOKUP(A250,'Base de Dados'!D:D,'Base de Dados'!N:N)</f>
        <v>#DIV/0!</v>
      </c>
      <c r="M250" s="260" t="e">
        <f t="shared" si="39"/>
        <v>#DIV/0!</v>
      </c>
      <c r="N250" s="261" t="e">
        <f t="shared" si="40"/>
        <v>#DIV/0!</v>
      </c>
      <c r="O250" s="262">
        <f t="shared" si="41"/>
        <v>0.43322996400000002</v>
      </c>
      <c r="P250" s="263" t="e">
        <f t="shared" si="45"/>
        <v>#DIV/0!</v>
      </c>
      <c r="Q250" s="262" t="e">
        <f t="shared" si="42"/>
        <v>#DIV/0!</v>
      </c>
      <c r="R250" s="262">
        <v>0.533229964</v>
      </c>
      <c r="S250" s="262" t="e">
        <f t="shared" si="43"/>
        <v>#DIV/0!</v>
      </c>
      <c r="T250" s="263"/>
      <c r="U250" s="262" t="e">
        <f t="shared" si="44"/>
        <v>#DIV/0!</v>
      </c>
      <c r="V250" s="292">
        <v>111001016</v>
      </c>
      <c r="W250" s="262" t="s">
        <v>941</v>
      </c>
    </row>
    <row r="251" spans="1:23" ht="15" customHeight="1" x14ac:dyDescent="0.3">
      <c r="A251" s="287" t="s">
        <v>448</v>
      </c>
      <c r="B251" s="254" t="str">
        <f>_xlfn.XLOOKUP(A251,'Base de Dados'!D:D,'Base de Dados'!B:B)</f>
        <v>TIMBRO SWISS SA</v>
      </c>
      <c r="C251" s="288" t="str">
        <f>_xlfn.XLOOKUP(PRECIFICAÇÃO[[#This Row],[INVOICE]],'Base de Dados'!D:D,'Base de Dados'!X:X)</f>
        <v>EM TRÂNSITO</v>
      </c>
      <c r="D251" s="68">
        <v>238698</v>
      </c>
      <c r="E251" s="254" t="s">
        <v>11</v>
      </c>
      <c r="F251" s="255">
        <v>1112</v>
      </c>
      <c r="G251" s="321">
        <v>37.81</v>
      </c>
      <c r="H251" s="256">
        <v>5.1176000000000004</v>
      </c>
      <c r="I251" s="257">
        <f t="shared" si="37"/>
        <v>193.49645600000002</v>
      </c>
      <c r="J251" s="258">
        <f t="shared" si="38"/>
        <v>215168.05907200003</v>
      </c>
      <c r="K251" s="258" t="e">
        <f>J251/_xlfn.XLOOKUP(A251,'Base de Dados'!D:D,'Base de Dados'!M:M)</f>
        <v>#DIV/0!</v>
      </c>
      <c r="L251" s="258" t="e">
        <f>K251*_xlfn.XLOOKUP(A251,'Base de Dados'!D:D,'Base de Dados'!N:N)</f>
        <v>#DIV/0!</v>
      </c>
      <c r="M251" s="260" t="e">
        <f t="shared" si="39"/>
        <v>#DIV/0!</v>
      </c>
      <c r="N251" s="261" t="e">
        <f t="shared" si="40"/>
        <v>#DIV/0!</v>
      </c>
      <c r="O251" s="262">
        <f t="shared" si="41"/>
        <v>0.39270865200000005</v>
      </c>
      <c r="P251" s="263" t="e">
        <f t="shared" ref="P251:P253" si="46">ROUND(N251/O251,0)</f>
        <v>#DIV/0!</v>
      </c>
      <c r="Q251" s="262" t="e">
        <f t="shared" si="42"/>
        <v>#DIV/0!</v>
      </c>
      <c r="R251" s="262">
        <v>0.49270865200000002</v>
      </c>
      <c r="S251" s="262" t="e">
        <f t="shared" si="43"/>
        <v>#DIV/0!</v>
      </c>
      <c r="T251" s="263"/>
      <c r="U251" s="262" t="e">
        <f t="shared" si="44"/>
        <v>#DIV/0!</v>
      </c>
      <c r="V251" s="292">
        <v>111001012</v>
      </c>
      <c r="W251" s="262" t="s">
        <v>493</v>
      </c>
    </row>
    <row r="252" spans="1:23" ht="15" customHeight="1" x14ac:dyDescent="0.3">
      <c r="A252" s="287" t="s">
        <v>453</v>
      </c>
      <c r="B252" s="254" t="str">
        <f>_xlfn.XLOOKUP(A252,'Base de Dados'!D:D,'Base de Dados'!B:B)</f>
        <v>TIMBRO SWISS SA</v>
      </c>
      <c r="C252" s="288" t="str">
        <f>_xlfn.XLOOKUP(PRECIFICAÇÃO[[#This Row],[INVOICE]],'Base de Dados'!D:D,'Base de Dados'!X:X)</f>
        <v>EM TRÂNSITO</v>
      </c>
      <c r="D252" s="297">
        <v>238723</v>
      </c>
      <c r="E252" s="254" t="s">
        <v>16</v>
      </c>
      <c r="F252" s="255">
        <v>2400</v>
      </c>
      <c r="G252" s="321">
        <v>5.65</v>
      </c>
      <c r="H252" s="256">
        <v>5.1176000000000004</v>
      </c>
      <c r="I252" s="257">
        <f t="shared" si="37"/>
        <v>28.914440000000003</v>
      </c>
      <c r="J252" s="258">
        <f t="shared" si="38"/>
        <v>69394.656000000003</v>
      </c>
      <c r="K252" s="258" t="e">
        <f>J252/_xlfn.XLOOKUP(A252,'Base de Dados'!D:D,'Base de Dados'!M:M)</f>
        <v>#DIV/0!</v>
      </c>
      <c r="L252" s="258" t="e">
        <f>K252*_xlfn.XLOOKUP(A252,'Base de Dados'!D:D,'Base de Dados'!N:N)</f>
        <v>#DIV/0!</v>
      </c>
      <c r="M252" s="260" t="e">
        <f t="shared" si="39"/>
        <v>#DIV/0!</v>
      </c>
      <c r="N252" s="261" t="e">
        <f t="shared" si="40"/>
        <v>#DIV/0!</v>
      </c>
      <c r="O252" s="262">
        <f t="shared" si="41"/>
        <v>0.41017661900000002</v>
      </c>
      <c r="P252" s="263" t="e">
        <f t="shared" si="46"/>
        <v>#DIV/0!</v>
      </c>
      <c r="Q252" s="262" t="e">
        <f t="shared" si="42"/>
        <v>#DIV/0!</v>
      </c>
      <c r="R252" s="262">
        <v>0.510176619</v>
      </c>
      <c r="S252" s="262" t="e">
        <f t="shared" si="43"/>
        <v>#DIV/0!</v>
      </c>
      <c r="T252" s="263"/>
      <c r="U252" s="262" t="e">
        <f t="shared" si="44"/>
        <v>#DIV/0!</v>
      </c>
      <c r="V252" s="292">
        <v>111003001</v>
      </c>
      <c r="W252" s="262" t="s">
        <v>499</v>
      </c>
    </row>
    <row r="253" spans="1:23" ht="15" customHeight="1" x14ac:dyDescent="0.3">
      <c r="A253" s="287" t="s">
        <v>453</v>
      </c>
      <c r="B253" s="254" t="str">
        <f>_xlfn.XLOOKUP(A253,'Base de Dados'!D:D,'Base de Dados'!B:B)</f>
        <v>TIMBRO SWISS SA</v>
      </c>
      <c r="C253" s="288" t="str">
        <f>_xlfn.XLOOKUP(PRECIFICAÇÃO[[#This Row],[INVOICE]],'Base de Dados'!D:D,'Base de Dados'!X:X)</f>
        <v>EM TRÂNSITO</v>
      </c>
      <c r="D253" s="68">
        <v>272749</v>
      </c>
      <c r="E253" s="254" t="s">
        <v>975</v>
      </c>
      <c r="F253" s="255">
        <v>1220</v>
      </c>
      <c r="G253" s="321">
        <v>16.95</v>
      </c>
      <c r="H253" s="256">
        <v>5.1176000000000004</v>
      </c>
      <c r="I253" s="257">
        <f t="shared" si="37"/>
        <v>86.743319999999997</v>
      </c>
      <c r="J253" s="258">
        <f t="shared" si="38"/>
        <v>105826.8504</v>
      </c>
      <c r="K253" s="258" t="e">
        <f>J253/_xlfn.XLOOKUP(A253,'Base de Dados'!D:D,'Base de Dados'!M:M)</f>
        <v>#DIV/0!</v>
      </c>
      <c r="L253" s="258" t="e">
        <f>K253*_xlfn.XLOOKUP(A253,'Base de Dados'!D:D,'Base de Dados'!N:N)</f>
        <v>#DIV/0!</v>
      </c>
      <c r="M253" s="260" t="e">
        <f t="shared" si="39"/>
        <v>#DIV/0!</v>
      </c>
      <c r="N253" s="261" t="e">
        <f t="shared" si="40"/>
        <v>#DIV/0!</v>
      </c>
      <c r="O253" s="262">
        <f t="shared" si="41"/>
        <v>0.40979214200000003</v>
      </c>
      <c r="P253" s="263" t="e">
        <f t="shared" si="46"/>
        <v>#DIV/0!</v>
      </c>
      <c r="Q253" s="262" t="e">
        <f t="shared" si="42"/>
        <v>#DIV/0!</v>
      </c>
      <c r="R253" s="262">
        <v>0.509792142</v>
      </c>
      <c r="S253" s="262" t="e">
        <f t="shared" si="43"/>
        <v>#DIV/0!</v>
      </c>
      <c r="T253" s="263"/>
      <c r="U253" s="262" t="e">
        <f t="shared" si="44"/>
        <v>#DIV/0!</v>
      </c>
      <c r="V253" s="292">
        <v>111001017</v>
      </c>
      <c r="W253" s="262" t="s">
        <v>976</v>
      </c>
    </row>
    <row r="254" spans="1:23" ht="15" customHeight="1" x14ac:dyDescent="0.3">
      <c r="A254" s="287" t="s">
        <v>453</v>
      </c>
      <c r="B254" s="244" t="str">
        <f>_xlfn.XLOOKUP(A254,'Base de Dados'!D:D,'Base de Dados'!B:B)</f>
        <v>TIMBRO SWISS SA</v>
      </c>
      <c r="C254" s="275" t="str">
        <f>_xlfn.XLOOKUP(PRECIFICAÇÃO[[#This Row],[INVOICE]],'Base de Dados'!D:D,'Base de Dados'!X:X)</f>
        <v>EM TRÂNSITO</v>
      </c>
      <c r="D254" s="54">
        <v>272955</v>
      </c>
      <c r="E254" s="244" t="s">
        <v>974</v>
      </c>
      <c r="F254" s="245">
        <v>1600</v>
      </c>
      <c r="G254" s="319">
        <v>15.04</v>
      </c>
      <c r="H254" s="246">
        <v>5.1176000000000004</v>
      </c>
      <c r="I254" s="247">
        <f t="shared" si="37"/>
        <v>76.968704000000002</v>
      </c>
      <c r="J254" s="248">
        <f t="shared" si="38"/>
        <v>123149.9264</v>
      </c>
      <c r="K254" s="249" t="e">
        <f>J254/_xlfn.XLOOKUP(A254,'Base de Dados'!D:D,'Base de Dados'!M:M)</f>
        <v>#DIV/0!</v>
      </c>
      <c r="L254" s="248" t="e">
        <f>K254*_xlfn.XLOOKUP(A254,'Base de Dados'!D:D,'Base de Dados'!N:N)</f>
        <v>#DIV/0!</v>
      </c>
      <c r="M254" s="250" t="e">
        <f t="shared" ref="M254:M258" si="47">J254+L254</f>
        <v>#DIV/0!</v>
      </c>
      <c r="N254" s="251" t="e">
        <f t="shared" si="40"/>
        <v>#DIV/0!</v>
      </c>
      <c r="O254" s="252">
        <f t="shared" ref="O254:O258" si="48">R254-0.1</f>
        <v>0.41940406099999994</v>
      </c>
      <c r="P254" s="253" t="e">
        <f t="shared" ref="P254:P258" si="49">ROUND(N254/O254,0)</f>
        <v>#DIV/0!</v>
      </c>
      <c r="Q254" s="252" t="e">
        <f t="shared" ref="Q254:Q258" si="50">(P254-N254)/P254</f>
        <v>#DIV/0!</v>
      </c>
      <c r="R254" s="252">
        <v>0.51940406099999992</v>
      </c>
      <c r="S254" s="252" t="e">
        <f t="shared" ref="S254:S258" si="51">Q254-R254</f>
        <v>#DIV/0!</v>
      </c>
      <c r="T254" s="253"/>
      <c r="U254" s="252" t="e">
        <f t="shared" ref="U254:U258" si="52">(T254-P254)/T254</f>
        <v>#DIV/0!</v>
      </c>
      <c r="V254" s="290">
        <v>111003006</v>
      </c>
      <c r="W254" s="252" t="s">
        <v>521</v>
      </c>
    </row>
    <row r="255" spans="1:23" ht="15" customHeight="1" x14ac:dyDescent="0.3">
      <c r="A255" s="287" t="s">
        <v>453</v>
      </c>
      <c r="B255" s="244" t="str">
        <f>_xlfn.XLOOKUP(A255,'Base de Dados'!D:D,'Base de Dados'!B:B)</f>
        <v>TIMBRO SWISS SA</v>
      </c>
      <c r="C255" s="275" t="str">
        <f>_xlfn.XLOOKUP(PRECIFICAÇÃO[[#This Row],[INVOICE]],'Base de Dados'!D:D,'Base de Dados'!X:X)</f>
        <v>EM TRÂNSITO</v>
      </c>
      <c r="D255" s="54">
        <v>272957</v>
      </c>
      <c r="E255" s="244" t="s">
        <v>955</v>
      </c>
      <c r="F255" s="245">
        <v>2160</v>
      </c>
      <c r="G255" s="319">
        <v>6.08</v>
      </c>
      <c r="H255" s="246">
        <v>5.1176000000000004</v>
      </c>
      <c r="I255" s="247">
        <f t="shared" si="37"/>
        <v>31.115008000000003</v>
      </c>
      <c r="J255" s="248">
        <f t="shared" si="38"/>
        <v>67208.417280000009</v>
      </c>
      <c r="K255" s="249" t="e">
        <f>J255/_xlfn.XLOOKUP(A255,'Base de Dados'!D:D,'Base de Dados'!M:M)</f>
        <v>#DIV/0!</v>
      </c>
      <c r="L255" s="248" t="e">
        <f>K255*_xlfn.XLOOKUP(A255,'Base de Dados'!D:D,'Base de Dados'!N:N)</f>
        <v>#DIV/0!</v>
      </c>
      <c r="M255" s="250" t="e">
        <f t="shared" si="47"/>
        <v>#DIV/0!</v>
      </c>
      <c r="N255" s="251" t="e">
        <f t="shared" si="40"/>
        <v>#DIV/0!</v>
      </c>
      <c r="O255" s="252">
        <f t="shared" si="48"/>
        <v>0.40088862400000003</v>
      </c>
      <c r="P255" s="253" t="e">
        <f t="shared" si="49"/>
        <v>#DIV/0!</v>
      </c>
      <c r="Q255" s="252" t="e">
        <f t="shared" si="50"/>
        <v>#DIV/0!</v>
      </c>
      <c r="R255" s="252">
        <v>0.500888624</v>
      </c>
      <c r="S255" s="252" t="e">
        <f t="shared" si="51"/>
        <v>#DIV/0!</v>
      </c>
      <c r="T255" s="253"/>
      <c r="U255" s="252" t="e">
        <f t="shared" si="52"/>
        <v>#DIV/0!</v>
      </c>
      <c r="V255" s="290">
        <v>110001004</v>
      </c>
      <c r="W255" s="252" t="s">
        <v>513</v>
      </c>
    </row>
    <row r="256" spans="1:23" ht="15" customHeight="1" x14ac:dyDescent="0.3">
      <c r="A256" s="287" t="s">
        <v>453</v>
      </c>
      <c r="B256" s="244" t="str">
        <f>_xlfn.XLOOKUP(A256,'Base de Dados'!D:D,'Base de Dados'!B:B)</f>
        <v>TIMBRO SWISS SA</v>
      </c>
      <c r="C256" s="275" t="str">
        <f>_xlfn.XLOOKUP(PRECIFICAÇÃO[[#This Row],[INVOICE]],'Base de Dados'!D:D,'Base de Dados'!X:X)</f>
        <v>EM TRÂNSITO</v>
      </c>
      <c r="D256" s="54">
        <v>370451</v>
      </c>
      <c r="E256" s="244" t="s">
        <v>936</v>
      </c>
      <c r="F256" s="245">
        <v>5000</v>
      </c>
      <c r="G256" s="319">
        <v>1.38</v>
      </c>
      <c r="H256" s="246">
        <v>5.1176000000000004</v>
      </c>
      <c r="I256" s="247">
        <f t="shared" si="37"/>
        <v>7.0622879999999997</v>
      </c>
      <c r="J256" s="248">
        <f t="shared" si="38"/>
        <v>35311.439999999995</v>
      </c>
      <c r="K256" s="249" t="e">
        <f>J256/_xlfn.XLOOKUP(A256,'Base de Dados'!D:D,'Base de Dados'!M:M)</f>
        <v>#DIV/0!</v>
      </c>
      <c r="L256" s="248" t="e">
        <f>K256*_xlfn.XLOOKUP(A256,'Base de Dados'!D:D,'Base de Dados'!N:N)</f>
        <v>#DIV/0!</v>
      </c>
      <c r="M256" s="250" t="e">
        <f t="shared" si="47"/>
        <v>#DIV/0!</v>
      </c>
      <c r="N256" s="251" t="e">
        <f t="shared" si="40"/>
        <v>#DIV/0!</v>
      </c>
      <c r="O256" s="252">
        <f t="shared" si="48"/>
        <v>0.37093717599999998</v>
      </c>
      <c r="P256" s="253" t="e">
        <f t="shared" si="49"/>
        <v>#DIV/0!</v>
      </c>
      <c r="Q256" s="252" t="e">
        <f t="shared" si="50"/>
        <v>#DIV/0!</v>
      </c>
      <c r="R256" s="252">
        <v>0.47093717599999996</v>
      </c>
      <c r="S256" s="252" t="e">
        <f t="shared" si="51"/>
        <v>#DIV/0!</v>
      </c>
      <c r="T256" s="253"/>
      <c r="U256" s="252" t="e">
        <f t="shared" si="52"/>
        <v>#DIV/0!</v>
      </c>
      <c r="V256" s="290">
        <v>130001013</v>
      </c>
      <c r="W256" s="252" t="s">
        <v>532</v>
      </c>
    </row>
    <row r="257" spans="1:23" ht="15" customHeight="1" x14ac:dyDescent="0.3">
      <c r="A257" s="287" t="s">
        <v>453</v>
      </c>
      <c r="B257" s="244" t="str">
        <f>_xlfn.XLOOKUP(A257,'Base de Dados'!D:D,'Base de Dados'!B:B)</f>
        <v>TIMBRO SWISS SA</v>
      </c>
      <c r="C257" s="275" t="str">
        <f>_xlfn.XLOOKUP(PRECIFICAÇÃO[[#This Row],[INVOICE]],'Base de Dados'!D:D,'Base de Dados'!X:X)</f>
        <v>EM TRÂNSITO</v>
      </c>
      <c r="D257" s="54">
        <v>370452</v>
      </c>
      <c r="E257" s="244" t="s">
        <v>937</v>
      </c>
      <c r="F257" s="245">
        <v>2200</v>
      </c>
      <c r="G257" s="319">
        <v>5.15</v>
      </c>
      <c r="H257" s="246">
        <v>5.1176000000000004</v>
      </c>
      <c r="I257" s="247">
        <f t="shared" si="37"/>
        <v>26.355640000000005</v>
      </c>
      <c r="J257" s="248">
        <f t="shared" si="38"/>
        <v>57982.40800000001</v>
      </c>
      <c r="K257" s="249" t="e">
        <f>J257/_xlfn.XLOOKUP(A257,'Base de Dados'!D:D,'Base de Dados'!M:M)</f>
        <v>#DIV/0!</v>
      </c>
      <c r="L257" s="248" t="e">
        <f>K257*_xlfn.XLOOKUP(A257,'Base de Dados'!D:D,'Base de Dados'!N:N)</f>
        <v>#DIV/0!</v>
      </c>
      <c r="M257" s="250" t="e">
        <f t="shared" si="47"/>
        <v>#DIV/0!</v>
      </c>
      <c r="N257" s="251" t="e">
        <f t="shared" si="40"/>
        <v>#DIV/0!</v>
      </c>
      <c r="O257" s="252">
        <f t="shared" si="48"/>
        <v>0.37093717599999998</v>
      </c>
      <c r="P257" s="253" t="e">
        <f t="shared" si="49"/>
        <v>#DIV/0!</v>
      </c>
      <c r="Q257" s="252" t="e">
        <f t="shared" si="50"/>
        <v>#DIV/0!</v>
      </c>
      <c r="R257" s="252">
        <v>0.47093717599999996</v>
      </c>
      <c r="S257" s="252" t="e">
        <f t="shared" si="51"/>
        <v>#DIV/0!</v>
      </c>
      <c r="T257" s="253"/>
      <c r="U257" s="252" t="e">
        <f t="shared" si="52"/>
        <v>#DIV/0!</v>
      </c>
      <c r="V257" s="290">
        <v>130001013</v>
      </c>
      <c r="W257" s="252" t="s">
        <v>532</v>
      </c>
    </row>
    <row r="258" spans="1:23" ht="15" customHeight="1" x14ac:dyDescent="0.3">
      <c r="A258" s="287" t="s">
        <v>453</v>
      </c>
      <c r="B258" s="244" t="str">
        <f>_xlfn.XLOOKUP(A258,'Base de Dados'!D:D,'Base de Dados'!B:B)</f>
        <v>TIMBRO SWISS SA</v>
      </c>
      <c r="C258" s="275" t="str">
        <f>_xlfn.XLOOKUP(PRECIFICAÇÃO[[#This Row],[INVOICE]],'Base de Dados'!D:D,'Base de Dados'!X:X)</f>
        <v>EM TRÂNSITO</v>
      </c>
      <c r="D258" s="54">
        <v>370453</v>
      </c>
      <c r="E258" s="244" t="s">
        <v>977</v>
      </c>
      <c r="F258" s="245">
        <v>900</v>
      </c>
      <c r="G258" s="319">
        <v>7.54</v>
      </c>
      <c r="H258" s="246">
        <v>5.1176000000000004</v>
      </c>
      <c r="I258" s="247">
        <f t="shared" ref="I258:I321" si="53">H258*G258</f>
        <v>38.586704000000005</v>
      </c>
      <c r="J258" s="248">
        <f t="shared" ref="J258:J321" si="54">I258*F258</f>
        <v>34728.033600000002</v>
      </c>
      <c r="K258" s="249" t="e">
        <f>J258/_xlfn.XLOOKUP(A258,'Base de Dados'!D:D,'Base de Dados'!M:M)</f>
        <v>#DIV/0!</v>
      </c>
      <c r="L258" s="248" t="e">
        <f>K258*_xlfn.XLOOKUP(A258,'Base de Dados'!D:D,'Base de Dados'!N:N)</f>
        <v>#DIV/0!</v>
      </c>
      <c r="M258" s="250" t="e">
        <f t="shared" si="47"/>
        <v>#DIV/0!</v>
      </c>
      <c r="N258" s="251" t="e">
        <f t="shared" ref="N258:N321" si="55">M258/F258</f>
        <v>#DIV/0!</v>
      </c>
      <c r="O258" s="252">
        <f t="shared" si="48"/>
        <v>0.37093717599999998</v>
      </c>
      <c r="P258" s="253" t="e">
        <f t="shared" si="49"/>
        <v>#DIV/0!</v>
      </c>
      <c r="Q258" s="252" t="e">
        <f t="shared" si="50"/>
        <v>#DIV/0!</v>
      </c>
      <c r="R258" s="252">
        <v>0.47093717599999996</v>
      </c>
      <c r="S258" s="252" t="e">
        <f t="shared" si="51"/>
        <v>#DIV/0!</v>
      </c>
      <c r="T258" s="253"/>
      <c r="U258" s="252" t="e">
        <f t="shared" si="52"/>
        <v>#DIV/0!</v>
      </c>
      <c r="V258" s="290">
        <v>130001013</v>
      </c>
      <c r="W258" s="252" t="s">
        <v>532</v>
      </c>
    </row>
    <row r="259" spans="1:23" ht="15" customHeight="1" x14ac:dyDescent="0.3">
      <c r="A259" s="289" t="s">
        <v>461</v>
      </c>
      <c r="B259" s="254" t="str">
        <f>_xlfn.XLOOKUP(A259,'Base de Dados'!D:D,'Base de Dados'!B:B)</f>
        <v>TIMBRO SWISS SA</v>
      </c>
      <c r="C259" s="288" t="str">
        <f>_xlfn.XLOOKUP(PRECIFICAÇÃO[[#This Row],[INVOICE]],'Base de Dados'!D:D,'Base de Dados'!X:X)</f>
        <v>EM TRÂNSITO</v>
      </c>
      <c r="D259" s="68">
        <v>358234</v>
      </c>
      <c r="E259" s="254" t="s">
        <v>979</v>
      </c>
      <c r="F259" s="255">
        <v>1480</v>
      </c>
      <c r="G259" s="321">
        <v>246.06</v>
      </c>
      <c r="H259" s="246">
        <v>5.1176000000000004</v>
      </c>
      <c r="I259" s="257">
        <f t="shared" si="53"/>
        <v>1259.236656</v>
      </c>
      <c r="J259" s="258">
        <f t="shared" si="54"/>
        <v>1863670.2508799999</v>
      </c>
      <c r="K259" s="258" t="e">
        <f>J259/_xlfn.XLOOKUP(A259,'Base de Dados'!D:D,'Base de Dados'!M:M)</f>
        <v>#DIV/0!</v>
      </c>
      <c r="L259" s="258" t="e">
        <f>K259*_xlfn.XLOOKUP(A259,'Base de Dados'!D:D,'Base de Dados'!N:N)</f>
        <v>#DIV/0!</v>
      </c>
      <c r="M259" s="260" t="e">
        <f>J259+L259</f>
        <v>#DIV/0!</v>
      </c>
      <c r="N259" s="261" t="e">
        <f t="shared" si="55"/>
        <v>#DIV/0!</v>
      </c>
      <c r="O259" s="262">
        <f>R259-0.1</f>
        <v>0.37134446700000001</v>
      </c>
      <c r="P259" s="263" t="e">
        <f>ROUND(N259/O259,0)</f>
        <v>#DIV/0!</v>
      </c>
      <c r="Q259" s="262" t="e">
        <f>(P259-N259)/P259</f>
        <v>#DIV/0!</v>
      </c>
      <c r="R259" s="262">
        <v>0.47134446699999999</v>
      </c>
      <c r="S259" s="262" t="e">
        <f>Q259-R259</f>
        <v>#DIV/0!</v>
      </c>
      <c r="T259" s="263"/>
      <c r="U259" s="262" t="e">
        <f>(T259-P259)/T259</f>
        <v>#DIV/0!</v>
      </c>
      <c r="V259" s="292">
        <v>117001002</v>
      </c>
      <c r="W259" s="262" t="s">
        <v>529</v>
      </c>
    </row>
    <row r="260" spans="1:23" ht="15" customHeight="1" x14ac:dyDescent="0.3">
      <c r="A260" s="289" t="s">
        <v>461</v>
      </c>
      <c r="B260" s="244" t="str">
        <f>_xlfn.XLOOKUP(A260,'Base de Dados'!D:D,'Base de Dados'!B:B)</f>
        <v>TIMBRO SWISS SA</v>
      </c>
      <c r="C260" s="275" t="str">
        <f>_xlfn.XLOOKUP(PRECIFICAÇÃO[[#This Row],[INVOICE]],'Base de Dados'!D:D,'Base de Dados'!X:X)</f>
        <v>EM TRÂNSITO</v>
      </c>
      <c r="D260" s="54">
        <v>358235</v>
      </c>
      <c r="E260" s="244" t="s">
        <v>980</v>
      </c>
      <c r="F260" s="245">
        <v>1180</v>
      </c>
      <c r="G260" s="319">
        <v>337.17</v>
      </c>
      <c r="H260" s="246">
        <v>5.1176000000000004</v>
      </c>
      <c r="I260" s="247">
        <f t="shared" si="53"/>
        <v>1725.5011920000002</v>
      </c>
      <c r="J260" s="248">
        <f t="shared" si="54"/>
        <v>2036091.4065600003</v>
      </c>
      <c r="K260" s="249" t="e">
        <f>J260/_xlfn.XLOOKUP(A260,'Base de Dados'!D:D,'Base de Dados'!M:M)</f>
        <v>#DIV/0!</v>
      </c>
      <c r="L260" s="248" t="e">
        <f>K260*_xlfn.XLOOKUP(A260,'Base de Dados'!D:D,'Base de Dados'!N:N)</f>
        <v>#DIV/0!</v>
      </c>
      <c r="M260" s="250" t="e">
        <f t="shared" ref="M260:M262" si="56">J260+L260</f>
        <v>#DIV/0!</v>
      </c>
      <c r="N260" s="251" t="e">
        <f t="shared" si="55"/>
        <v>#DIV/0!</v>
      </c>
      <c r="O260" s="252">
        <f t="shared" ref="O260:O262" si="57">R260-0.1</f>
        <v>0.38095638600000004</v>
      </c>
      <c r="P260" s="253" t="e">
        <f t="shared" ref="P260:P262" si="58">ROUND(N260/O260,0)</f>
        <v>#DIV/0!</v>
      </c>
      <c r="Q260" s="252" t="e">
        <f t="shared" ref="Q260:Q262" si="59">(P260-N260)/P260</f>
        <v>#DIV/0!</v>
      </c>
      <c r="R260" s="252">
        <v>0.48095638600000001</v>
      </c>
      <c r="S260" s="252" t="e">
        <f t="shared" ref="S260:S262" si="60">Q260-R260</f>
        <v>#DIV/0!</v>
      </c>
      <c r="T260" s="253"/>
      <c r="U260" s="252" t="e">
        <f t="shared" ref="U260:U262" si="61">(T260-P260)/T260</f>
        <v>#DIV/0!</v>
      </c>
      <c r="V260" s="290">
        <v>117001001</v>
      </c>
      <c r="W260" s="252" t="s">
        <v>530</v>
      </c>
    </row>
    <row r="261" spans="1:23" ht="15" customHeight="1" x14ac:dyDescent="0.3">
      <c r="A261" s="289" t="s">
        <v>461</v>
      </c>
      <c r="B261" s="244" t="str">
        <f>_xlfn.XLOOKUP(A261,'Base de Dados'!D:D,'Base de Dados'!B:B)</f>
        <v>TIMBRO SWISS SA</v>
      </c>
      <c r="C261" s="275" t="str">
        <f>_xlfn.XLOOKUP(PRECIFICAÇÃO[[#This Row],[INVOICE]],'Base de Dados'!D:D,'Base de Dados'!X:X)</f>
        <v>EM TRÂNSITO</v>
      </c>
      <c r="D261" s="54">
        <v>358236</v>
      </c>
      <c r="E261" s="244" t="s">
        <v>981</v>
      </c>
      <c r="F261" s="245">
        <v>3450</v>
      </c>
      <c r="G261" s="319">
        <v>337.17</v>
      </c>
      <c r="H261" s="246">
        <v>5.1176000000000004</v>
      </c>
      <c r="I261" s="247">
        <f t="shared" si="53"/>
        <v>1725.5011920000002</v>
      </c>
      <c r="J261" s="248">
        <f t="shared" si="54"/>
        <v>5952979.1124000009</v>
      </c>
      <c r="K261" s="249" t="e">
        <f>J261/_xlfn.XLOOKUP(A261,'Base de Dados'!D:D,'Base de Dados'!M:M)</f>
        <v>#DIV/0!</v>
      </c>
      <c r="L261" s="248" t="e">
        <f>K261*_xlfn.XLOOKUP(A261,'Base de Dados'!D:D,'Base de Dados'!N:N)</f>
        <v>#DIV/0!</v>
      </c>
      <c r="M261" s="250" t="e">
        <f t="shared" si="56"/>
        <v>#DIV/0!</v>
      </c>
      <c r="N261" s="251" t="e">
        <f t="shared" si="55"/>
        <v>#DIV/0!</v>
      </c>
      <c r="O261" s="252">
        <f t="shared" si="57"/>
        <v>0.38095638600000004</v>
      </c>
      <c r="P261" s="253" t="e">
        <f t="shared" si="58"/>
        <v>#DIV/0!</v>
      </c>
      <c r="Q261" s="252" t="e">
        <f t="shared" si="59"/>
        <v>#DIV/0!</v>
      </c>
      <c r="R261" s="252">
        <v>0.48095638600000001</v>
      </c>
      <c r="S261" s="252" t="e">
        <f t="shared" si="60"/>
        <v>#DIV/0!</v>
      </c>
      <c r="T261" s="253"/>
      <c r="U261" s="252" t="e">
        <f t="shared" si="61"/>
        <v>#DIV/0!</v>
      </c>
      <c r="V261" s="290">
        <v>117001001</v>
      </c>
      <c r="W261" s="252" t="s">
        <v>530</v>
      </c>
    </row>
    <row r="262" spans="1:23" ht="15" customHeight="1" x14ac:dyDescent="0.3">
      <c r="A262" s="289" t="s">
        <v>461</v>
      </c>
      <c r="B262" s="244" t="str">
        <f>_xlfn.XLOOKUP(A262,'Base de Dados'!D:D,'Base de Dados'!B:B)</f>
        <v>TIMBRO SWISS SA</v>
      </c>
      <c r="C262" s="275" t="str">
        <f>_xlfn.XLOOKUP(PRECIFICAÇÃO[[#This Row],[INVOICE]],'Base de Dados'!D:D,'Base de Dados'!X:X)</f>
        <v>EM TRÂNSITO</v>
      </c>
      <c r="D262" s="54">
        <v>358237</v>
      </c>
      <c r="E262" s="244" t="s">
        <v>982</v>
      </c>
      <c r="F262" s="245">
        <v>1300</v>
      </c>
      <c r="G262" s="319">
        <v>294.97000000000003</v>
      </c>
      <c r="H262" s="246">
        <v>5.1176000000000004</v>
      </c>
      <c r="I262" s="247">
        <f t="shared" si="53"/>
        <v>1509.5384720000002</v>
      </c>
      <c r="J262" s="248">
        <f t="shared" si="54"/>
        <v>1962400.0136000002</v>
      </c>
      <c r="K262" s="249" t="e">
        <f>J262/_xlfn.XLOOKUP(A262,'Base de Dados'!D:D,'Base de Dados'!M:M)</f>
        <v>#DIV/0!</v>
      </c>
      <c r="L262" s="248" t="e">
        <f>K262*_xlfn.XLOOKUP(A262,'Base de Dados'!D:D,'Base de Dados'!N:N)</f>
        <v>#DIV/0!</v>
      </c>
      <c r="M262" s="250" t="e">
        <f t="shared" si="56"/>
        <v>#DIV/0!</v>
      </c>
      <c r="N262" s="251" t="e">
        <f t="shared" si="55"/>
        <v>#DIV/0!</v>
      </c>
      <c r="O262" s="252">
        <f t="shared" si="57"/>
        <v>0.38095638600000004</v>
      </c>
      <c r="P262" s="253" t="e">
        <f t="shared" si="58"/>
        <v>#DIV/0!</v>
      </c>
      <c r="Q262" s="252" t="e">
        <f t="shared" si="59"/>
        <v>#DIV/0!</v>
      </c>
      <c r="R262" s="252">
        <v>0.48095638600000001</v>
      </c>
      <c r="S262" s="252" t="e">
        <f t="shared" si="60"/>
        <v>#DIV/0!</v>
      </c>
      <c r="T262" s="253"/>
      <c r="U262" s="252" t="e">
        <f t="shared" si="61"/>
        <v>#DIV/0!</v>
      </c>
      <c r="V262" s="290">
        <v>117001001</v>
      </c>
      <c r="W262" s="252" t="s">
        <v>530</v>
      </c>
    </row>
    <row r="263" spans="1:23" ht="15" customHeight="1" x14ac:dyDescent="0.3">
      <c r="A263" s="287" t="s">
        <v>463</v>
      </c>
      <c r="B263" s="254" t="str">
        <f>_xlfn.XLOOKUP(A263,'Base de Dados'!D:D,'Base de Dados'!B:B)</f>
        <v>TIMBRO SWISS SA</v>
      </c>
      <c r="C263" s="288" t="str">
        <f>_xlfn.XLOOKUP(PRECIFICAÇÃO[[#This Row],[INVOICE]],'Base de Dados'!D:D,'Base de Dados'!X:X)</f>
        <v>EM TRÂNSITO</v>
      </c>
      <c r="D263" s="68">
        <v>238698</v>
      </c>
      <c r="E263" s="254" t="s">
        <v>11</v>
      </c>
      <c r="F263" s="255">
        <v>2224</v>
      </c>
      <c r="G263" s="321">
        <v>37.81</v>
      </c>
      <c r="H263" s="246">
        <v>5.1176000000000004</v>
      </c>
      <c r="I263" s="257">
        <f t="shared" si="53"/>
        <v>193.49645600000002</v>
      </c>
      <c r="J263" s="258">
        <f t="shared" si="54"/>
        <v>430336.11814400007</v>
      </c>
      <c r="K263" s="258" t="e">
        <f>J263/_xlfn.XLOOKUP(A263,'Base de Dados'!D:D,'Base de Dados'!M:M)</f>
        <v>#DIV/0!</v>
      </c>
      <c r="L263" s="258" t="e">
        <f>K263*_xlfn.XLOOKUP(A263,'Base de Dados'!D:D,'Base de Dados'!N:N)</f>
        <v>#DIV/0!</v>
      </c>
      <c r="M263" s="260" t="e">
        <f>J263+L263</f>
        <v>#DIV/0!</v>
      </c>
      <c r="N263" s="261" t="e">
        <f t="shared" si="55"/>
        <v>#DIV/0!</v>
      </c>
      <c r="O263" s="262">
        <f>R263-0.1</f>
        <v>0.39270865200000005</v>
      </c>
      <c r="P263" s="263" t="e">
        <f>ROUND(N263/O263,0)</f>
        <v>#DIV/0!</v>
      </c>
      <c r="Q263" s="262" t="e">
        <f>(P263-N263)/P263</f>
        <v>#DIV/0!</v>
      </c>
      <c r="R263" s="262">
        <v>0.49270865200000002</v>
      </c>
      <c r="S263" s="262" t="e">
        <f>Q263-R263</f>
        <v>#DIV/0!</v>
      </c>
      <c r="T263" s="263"/>
      <c r="U263" s="262" t="e">
        <f>(T263-P263)/T263</f>
        <v>#DIV/0!</v>
      </c>
      <c r="V263" s="292">
        <v>111001012</v>
      </c>
      <c r="W263" s="262" t="s">
        <v>493</v>
      </c>
    </row>
    <row r="264" spans="1:23" ht="15" customHeight="1" x14ac:dyDescent="0.3">
      <c r="A264" s="287" t="s">
        <v>465</v>
      </c>
      <c r="B264" s="254" t="str">
        <f>_xlfn.XLOOKUP(A264,'Base de Dados'!D:D,'Base de Dados'!B:B)</f>
        <v>TIMBRO SWISS SA</v>
      </c>
      <c r="C264" s="288" t="str">
        <f>_xlfn.XLOOKUP(PRECIFICAÇÃO[[#This Row],[INVOICE]],'Base de Dados'!D:D,'Base de Dados'!X:X)</f>
        <v>EM TRÂNSITO</v>
      </c>
      <c r="D264" s="68">
        <v>358235</v>
      </c>
      <c r="E264" s="254" t="s">
        <v>980</v>
      </c>
      <c r="F264" s="255">
        <v>630</v>
      </c>
      <c r="G264" s="321">
        <v>47.71</v>
      </c>
      <c r="H264" s="246">
        <v>5.1176000000000004</v>
      </c>
      <c r="I264" s="257">
        <f t="shared" si="53"/>
        <v>244.16069600000003</v>
      </c>
      <c r="J264" s="258">
        <f t="shared" si="54"/>
        <v>153821.23848000003</v>
      </c>
      <c r="K264" s="258" t="e">
        <f>J264/_xlfn.XLOOKUP(A264,'Base de Dados'!D:D,'Base de Dados'!M:M)</f>
        <v>#DIV/0!</v>
      </c>
      <c r="L264" s="258" t="e">
        <f>K264*_xlfn.XLOOKUP(A264,'Base de Dados'!D:D,'Base de Dados'!N:N)</f>
        <v>#DIV/0!</v>
      </c>
      <c r="M264" s="260" t="e">
        <f>J264+L264</f>
        <v>#DIV/0!</v>
      </c>
      <c r="N264" s="261" t="e">
        <f t="shared" si="55"/>
        <v>#DIV/0!</v>
      </c>
      <c r="O264" s="262">
        <f>R264-0.1</f>
        <v>0.38095638600000004</v>
      </c>
      <c r="P264" s="263" t="e">
        <f>ROUND(N264/O264,0)</f>
        <v>#DIV/0!</v>
      </c>
      <c r="Q264" s="262" t="e">
        <f>(P264-N264)/P264</f>
        <v>#DIV/0!</v>
      </c>
      <c r="R264" s="262">
        <v>0.48095638600000001</v>
      </c>
      <c r="S264" s="262" t="e">
        <f>Q264-R264</f>
        <v>#DIV/0!</v>
      </c>
      <c r="T264" s="263"/>
      <c r="U264" s="262" t="e">
        <f>(T264-P264)/T264</f>
        <v>#DIV/0!</v>
      </c>
      <c r="V264" s="292">
        <v>117001001</v>
      </c>
      <c r="W264" s="262" t="s">
        <v>530</v>
      </c>
    </row>
    <row r="265" spans="1:23" ht="15" customHeight="1" x14ac:dyDescent="0.3">
      <c r="A265" s="194" t="s">
        <v>467</v>
      </c>
      <c r="B265" s="244" t="str">
        <f>_xlfn.XLOOKUP(A265,'Base de Dados'!D:D,'Base de Dados'!B:B)</f>
        <v>TIMBRO SWISS SA</v>
      </c>
      <c r="C265" s="275" t="str">
        <f>_xlfn.XLOOKUP(PRECIFICAÇÃO[[#This Row],[INVOICE]],'Base de Dados'!D:D,'Base de Dados'!X:X)</f>
        <v>EM TRÂNSITO</v>
      </c>
      <c r="D265" s="54">
        <v>238698</v>
      </c>
      <c r="E265" s="244" t="s">
        <v>11</v>
      </c>
      <c r="F265" s="245">
        <v>476</v>
      </c>
      <c r="G265" s="319">
        <v>37.81</v>
      </c>
      <c r="H265" s="246">
        <v>5.1176000000000004</v>
      </c>
      <c r="I265" s="247">
        <f t="shared" si="53"/>
        <v>193.49645600000002</v>
      </c>
      <c r="J265" s="248">
        <f t="shared" si="54"/>
        <v>92104.313056000014</v>
      </c>
      <c r="K265" s="248" t="e">
        <f>J265/_xlfn.XLOOKUP(A265,'Base de Dados'!D:D,'Base de Dados'!M:M)</f>
        <v>#DIV/0!</v>
      </c>
      <c r="L265" s="248" t="e">
        <f>K265*_xlfn.XLOOKUP(A265,'Base de Dados'!D:D,'Base de Dados'!N:N)</f>
        <v>#DIV/0!</v>
      </c>
      <c r="M265" s="250" t="e">
        <f t="shared" ref="M265:M267" si="62">J265+L265</f>
        <v>#DIV/0!</v>
      </c>
      <c r="N265" s="251" t="e">
        <f t="shared" si="55"/>
        <v>#DIV/0!</v>
      </c>
      <c r="O265" s="252">
        <f t="shared" ref="O265:O267" si="63">R265-0.1</f>
        <v>0.39270865200000005</v>
      </c>
      <c r="P265" s="253" t="e">
        <f t="shared" ref="P265:P267" si="64">ROUND(N265/O265,0)</f>
        <v>#DIV/0!</v>
      </c>
      <c r="Q265" s="252" t="e">
        <f t="shared" ref="Q265:Q267" si="65">(P265-N265)/P265</f>
        <v>#DIV/0!</v>
      </c>
      <c r="R265" s="252">
        <v>0.49270865200000002</v>
      </c>
      <c r="S265" s="252" t="e">
        <f t="shared" ref="S265:S267" si="66">Q265-R265</f>
        <v>#DIV/0!</v>
      </c>
      <c r="T265" s="253"/>
      <c r="U265" s="252" t="e">
        <f t="shared" ref="U265:U267" si="67">(T265-P265)/T265</f>
        <v>#DIV/0!</v>
      </c>
      <c r="V265" s="290">
        <v>111001012</v>
      </c>
      <c r="W265" s="252" t="s">
        <v>493</v>
      </c>
    </row>
    <row r="266" spans="1:23" ht="15" customHeight="1" x14ac:dyDescent="0.3">
      <c r="A266" s="194" t="s">
        <v>467</v>
      </c>
      <c r="B266" s="244" t="str">
        <f>_xlfn.XLOOKUP(A266,'Base de Dados'!D:D,'Base de Dados'!B:B)</f>
        <v>TIMBRO SWISS SA</v>
      </c>
      <c r="C266" s="275" t="str">
        <f>_xlfn.XLOOKUP(PRECIFICAÇÃO[[#This Row],[INVOICE]],'Base de Dados'!D:D,'Base de Dados'!X:X)</f>
        <v>EM TRÂNSITO</v>
      </c>
      <c r="D266" s="54">
        <v>272958</v>
      </c>
      <c r="E266" s="244" t="s">
        <v>953</v>
      </c>
      <c r="F266" s="245">
        <v>1920</v>
      </c>
      <c r="G266" s="319">
        <v>6.46</v>
      </c>
      <c r="H266" s="246">
        <v>5.1176000000000004</v>
      </c>
      <c r="I266" s="247">
        <f t="shared" si="53"/>
        <v>33.059696000000002</v>
      </c>
      <c r="J266" s="248">
        <f t="shared" si="54"/>
        <v>63474.616320000001</v>
      </c>
      <c r="K266" s="248" t="e">
        <f>J266/_xlfn.XLOOKUP(A266,'Base de Dados'!D:D,'Base de Dados'!M:M)</f>
        <v>#DIV/0!</v>
      </c>
      <c r="L266" s="248" t="e">
        <f>K266*_xlfn.XLOOKUP(A266,'Base de Dados'!D:D,'Base de Dados'!N:N)</f>
        <v>#DIV/0!</v>
      </c>
      <c r="M266" s="250" t="e">
        <f t="shared" si="62"/>
        <v>#DIV/0!</v>
      </c>
      <c r="N266" s="251" t="e">
        <f t="shared" si="55"/>
        <v>#DIV/0!</v>
      </c>
      <c r="O266" s="252">
        <f t="shared" si="63"/>
        <v>0.4095632990000001</v>
      </c>
      <c r="P266" s="253" t="e">
        <f t="shared" si="64"/>
        <v>#DIV/0!</v>
      </c>
      <c r="Q266" s="252" t="e">
        <f t="shared" si="65"/>
        <v>#DIV/0!</v>
      </c>
      <c r="R266" s="252">
        <v>0.50956329900000008</v>
      </c>
      <c r="S266" s="252" t="e">
        <f t="shared" si="66"/>
        <v>#DIV/0!</v>
      </c>
      <c r="T266" s="253"/>
      <c r="U266" s="252" t="e">
        <f t="shared" si="67"/>
        <v>#DIV/0!</v>
      </c>
      <c r="V266" s="290">
        <v>110001009</v>
      </c>
      <c r="W266" s="252" t="s">
        <v>512</v>
      </c>
    </row>
    <row r="267" spans="1:23" ht="15" customHeight="1" x14ac:dyDescent="0.3">
      <c r="A267" s="287" t="s">
        <v>467</v>
      </c>
      <c r="B267" s="254" t="str">
        <f>_xlfn.XLOOKUP(A267,'Base de Dados'!D:D,'Base de Dados'!B:B)</f>
        <v>TIMBRO SWISS SA</v>
      </c>
      <c r="C267" s="288" t="str">
        <f>_xlfn.XLOOKUP(PRECIFICAÇÃO[[#This Row],[INVOICE]],'Base de Dados'!D:D,'Base de Dados'!X:X)</f>
        <v>EM TRÂNSITO</v>
      </c>
      <c r="D267" s="68">
        <v>358233</v>
      </c>
      <c r="E267" s="254" t="s">
        <v>939</v>
      </c>
      <c r="F267" s="255">
        <v>800</v>
      </c>
      <c r="G267" s="321">
        <v>330.5</v>
      </c>
      <c r="H267" s="246">
        <v>5.1176000000000004</v>
      </c>
      <c r="I267" s="257">
        <f t="shared" si="53"/>
        <v>1691.3668</v>
      </c>
      <c r="J267" s="258">
        <f t="shared" si="54"/>
        <v>1353093.44</v>
      </c>
      <c r="K267" s="258" t="e">
        <f>J267/_xlfn.XLOOKUP(A267,'Base de Dados'!D:D,'Base de Dados'!M:M)</f>
        <v>#DIV/0!</v>
      </c>
      <c r="L267" s="258" t="e">
        <f>K267*_xlfn.XLOOKUP(A267,'Base de Dados'!D:D,'Base de Dados'!N:N)</f>
        <v>#DIV/0!</v>
      </c>
      <c r="M267" s="260" t="e">
        <f t="shared" si="62"/>
        <v>#DIV/0!</v>
      </c>
      <c r="N267" s="261" t="e">
        <f t="shared" si="55"/>
        <v>#DIV/0!</v>
      </c>
      <c r="O267" s="262">
        <f t="shared" si="63"/>
        <v>0.39018382800000007</v>
      </c>
      <c r="P267" s="263" t="e">
        <f t="shared" si="64"/>
        <v>#DIV/0!</v>
      </c>
      <c r="Q267" s="262" t="e">
        <f t="shared" si="65"/>
        <v>#DIV/0!</v>
      </c>
      <c r="R267" s="262">
        <v>0.49018382800000004</v>
      </c>
      <c r="S267" s="262" t="e">
        <f t="shared" si="66"/>
        <v>#DIV/0!</v>
      </c>
      <c r="T267" s="263"/>
      <c r="U267" s="262" t="e">
        <f t="shared" si="67"/>
        <v>#DIV/0!</v>
      </c>
      <c r="V267" s="292">
        <v>111001019</v>
      </c>
      <c r="W267" s="262" t="s">
        <v>525</v>
      </c>
    </row>
    <row r="268" spans="1:23" ht="15" customHeight="1" x14ac:dyDescent="0.3">
      <c r="A268" s="287" t="s">
        <v>470</v>
      </c>
      <c r="B268" s="254" t="str">
        <f>_xlfn.XLOOKUP(A268,'Base de Dados'!D:D,'Base de Dados'!B:B)</f>
        <v>TIMBRO SWISS SA</v>
      </c>
      <c r="C268" s="288" t="str">
        <f>_xlfn.XLOOKUP(PRECIFICAÇÃO[[#This Row],[INVOICE]],'Base de Dados'!D:D,'Base de Dados'!X:X)</f>
        <v>EM PRODUÇÃO</v>
      </c>
      <c r="D268" s="68">
        <v>400401</v>
      </c>
      <c r="E268" s="254" t="s">
        <v>983</v>
      </c>
      <c r="F268" s="255">
        <v>468</v>
      </c>
      <c r="G268" s="321">
        <v>5.89</v>
      </c>
      <c r="H268" s="246">
        <v>5.1176000000000004</v>
      </c>
      <c r="I268" s="257">
        <f t="shared" si="53"/>
        <v>30.142664</v>
      </c>
      <c r="J268" s="258">
        <f t="shared" si="54"/>
        <v>14106.766752</v>
      </c>
      <c r="K268" s="258" t="e">
        <f>J268/_xlfn.XLOOKUP(A268,'Base de Dados'!D:D,'Base de Dados'!M:M)</f>
        <v>#DIV/0!</v>
      </c>
      <c r="L268" s="258" t="e">
        <f>K268*_xlfn.XLOOKUP(A268,'Base de Dados'!D:D,'Base de Dados'!N:N)</f>
        <v>#DIV/0!</v>
      </c>
      <c r="M268" s="260" t="e">
        <f>J268+L268</f>
        <v>#DIV/0!</v>
      </c>
      <c r="N268" s="261" t="e">
        <f t="shared" si="55"/>
        <v>#DIV/0!</v>
      </c>
      <c r="O268" s="262">
        <f>R268-0.1</f>
        <v>0.3319356</v>
      </c>
      <c r="P268" s="263" t="e">
        <f>ROUND(N268/O268,0)</f>
        <v>#DIV/0!</v>
      </c>
      <c r="Q268" s="262" t="e">
        <f>(P268-N268)/P268</f>
        <v>#DIV/0!</v>
      </c>
      <c r="R268" s="262">
        <v>0.43193559999999998</v>
      </c>
      <c r="S268" s="262" t="e">
        <f>Q268-R268</f>
        <v>#DIV/0!</v>
      </c>
      <c r="T268" s="263"/>
      <c r="U268" s="262" t="e">
        <f>(T268-P268)/T268</f>
        <v>#DIV/0!</v>
      </c>
      <c r="V268" s="292">
        <v>107001005</v>
      </c>
      <c r="W268" s="262" t="s">
        <v>640</v>
      </c>
    </row>
    <row r="269" spans="1:23" ht="15" customHeight="1" x14ac:dyDescent="0.3">
      <c r="A269" s="287" t="s">
        <v>470</v>
      </c>
      <c r="B269" s="244" t="str">
        <f>_xlfn.XLOOKUP(A269,'Base de Dados'!D:D,'Base de Dados'!B:B)</f>
        <v>TIMBRO SWISS SA</v>
      </c>
      <c r="C269" s="275" t="str">
        <f>_xlfn.XLOOKUP(PRECIFICAÇÃO[[#This Row],[INVOICE]],'Base de Dados'!D:D,'Base de Dados'!X:X)</f>
        <v>EM PRODUÇÃO</v>
      </c>
      <c r="D269" s="54">
        <v>400402</v>
      </c>
      <c r="E269" s="244" t="s">
        <v>984</v>
      </c>
      <c r="F269" s="245">
        <v>468</v>
      </c>
      <c r="G269" s="319">
        <v>5.89</v>
      </c>
      <c r="H269" s="246">
        <v>5.1176000000000004</v>
      </c>
      <c r="I269" s="247">
        <f t="shared" si="53"/>
        <v>30.142664</v>
      </c>
      <c r="J269" s="248">
        <f t="shared" si="54"/>
        <v>14106.766752</v>
      </c>
      <c r="K269" s="249" t="e">
        <f>J269/_xlfn.XLOOKUP(A269,'Base de Dados'!D:D,'Base de Dados'!M:M)</f>
        <v>#DIV/0!</v>
      </c>
      <c r="L269" s="248" t="e">
        <f>K269*_xlfn.XLOOKUP(A269,'Base de Dados'!D:D,'Base de Dados'!N:N)</f>
        <v>#DIV/0!</v>
      </c>
      <c r="M269" s="250" t="e">
        <f t="shared" ref="M269:M286" si="68">J269+L269</f>
        <v>#DIV/0!</v>
      </c>
      <c r="N269" s="251" t="e">
        <f t="shared" si="55"/>
        <v>#DIV/0!</v>
      </c>
      <c r="O269" s="252">
        <f t="shared" ref="O269:O286" si="69">R269-0.1</f>
        <v>0.3319356</v>
      </c>
      <c r="P269" s="253" t="e">
        <f t="shared" ref="P269:P286" si="70">ROUND(N269/O269,0)</f>
        <v>#DIV/0!</v>
      </c>
      <c r="Q269" s="252" t="e">
        <f t="shared" ref="Q269:Q286" si="71">(P269-N269)/P269</f>
        <v>#DIV/0!</v>
      </c>
      <c r="R269" s="252">
        <v>0.43193559999999998</v>
      </c>
      <c r="S269" s="252" t="e">
        <f t="shared" ref="S269:S286" si="72">Q269-R269</f>
        <v>#DIV/0!</v>
      </c>
      <c r="T269" s="253"/>
      <c r="U269" s="252" t="e">
        <f t="shared" ref="U269:U286" si="73">(T269-P269)/T269</f>
        <v>#DIV/0!</v>
      </c>
      <c r="V269" s="290">
        <v>107001005</v>
      </c>
      <c r="W269" s="252" t="s">
        <v>640</v>
      </c>
    </row>
    <row r="270" spans="1:23" ht="15" customHeight="1" x14ac:dyDescent="0.3">
      <c r="A270" s="287" t="s">
        <v>470</v>
      </c>
      <c r="B270" s="244" t="str">
        <f>_xlfn.XLOOKUP(A270,'Base de Dados'!D:D,'Base de Dados'!B:B)</f>
        <v>TIMBRO SWISS SA</v>
      </c>
      <c r="C270" s="275" t="str">
        <f>_xlfn.XLOOKUP(PRECIFICAÇÃO[[#This Row],[INVOICE]],'Base de Dados'!D:D,'Base de Dados'!X:X)</f>
        <v>EM PRODUÇÃO</v>
      </c>
      <c r="D270" s="54">
        <v>400403</v>
      </c>
      <c r="E270" s="244" t="s">
        <v>985</v>
      </c>
      <c r="F270" s="245">
        <v>468</v>
      </c>
      <c r="G270" s="319">
        <v>5.89</v>
      </c>
      <c r="H270" s="246">
        <v>5.1176000000000004</v>
      </c>
      <c r="I270" s="247">
        <f t="shared" si="53"/>
        <v>30.142664</v>
      </c>
      <c r="J270" s="248">
        <f t="shared" si="54"/>
        <v>14106.766752</v>
      </c>
      <c r="K270" s="249" t="e">
        <f>J270/_xlfn.XLOOKUP(A270,'Base de Dados'!D:D,'Base de Dados'!M:M)</f>
        <v>#DIV/0!</v>
      </c>
      <c r="L270" s="248" t="e">
        <f>K270*_xlfn.XLOOKUP(A270,'Base de Dados'!D:D,'Base de Dados'!N:N)</f>
        <v>#DIV/0!</v>
      </c>
      <c r="M270" s="250" t="e">
        <f t="shared" si="68"/>
        <v>#DIV/0!</v>
      </c>
      <c r="N270" s="251" t="e">
        <f t="shared" si="55"/>
        <v>#DIV/0!</v>
      </c>
      <c r="O270" s="252">
        <f t="shared" si="69"/>
        <v>0.3319356</v>
      </c>
      <c r="P270" s="253" t="e">
        <f t="shared" si="70"/>
        <v>#DIV/0!</v>
      </c>
      <c r="Q270" s="252" t="e">
        <f t="shared" si="71"/>
        <v>#DIV/0!</v>
      </c>
      <c r="R270" s="252">
        <v>0.43193559999999998</v>
      </c>
      <c r="S270" s="252" t="e">
        <f t="shared" si="72"/>
        <v>#DIV/0!</v>
      </c>
      <c r="T270" s="253"/>
      <c r="U270" s="252" t="e">
        <f t="shared" si="73"/>
        <v>#DIV/0!</v>
      </c>
      <c r="V270" s="290">
        <v>107001005</v>
      </c>
      <c r="W270" s="252" t="s">
        <v>640</v>
      </c>
    </row>
    <row r="271" spans="1:23" ht="15" customHeight="1" x14ac:dyDescent="0.3">
      <c r="A271" s="287" t="s">
        <v>470</v>
      </c>
      <c r="B271" s="244" t="str">
        <f>_xlfn.XLOOKUP(A271,'Base de Dados'!D:D,'Base de Dados'!B:B)</f>
        <v>TIMBRO SWISS SA</v>
      </c>
      <c r="C271" s="275" t="str">
        <f>_xlfn.XLOOKUP(PRECIFICAÇÃO[[#This Row],[INVOICE]],'Base de Dados'!D:D,'Base de Dados'!X:X)</f>
        <v>EM PRODUÇÃO</v>
      </c>
      <c r="D271" s="54">
        <v>400404</v>
      </c>
      <c r="E271" s="244" t="s">
        <v>986</v>
      </c>
      <c r="F271" s="245">
        <v>468</v>
      </c>
      <c r="G271" s="319">
        <v>5.89</v>
      </c>
      <c r="H271" s="246">
        <v>5.1176000000000004</v>
      </c>
      <c r="I271" s="247">
        <f t="shared" si="53"/>
        <v>30.142664</v>
      </c>
      <c r="J271" s="248">
        <f t="shared" si="54"/>
        <v>14106.766752</v>
      </c>
      <c r="K271" s="249" t="e">
        <f>J271/_xlfn.XLOOKUP(A271,'Base de Dados'!D:D,'Base de Dados'!M:M)</f>
        <v>#DIV/0!</v>
      </c>
      <c r="L271" s="248" t="e">
        <f>K271*_xlfn.XLOOKUP(A271,'Base de Dados'!D:D,'Base de Dados'!N:N)</f>
        <v>#DIV/0!</v>
      </c>
      <c r="M271" s="250" t="e">
        <f t="shared" si="68"/>
        <v>#DIV/0!</v>
      </c>
      <c r="N271" s="251" t="e">
        <f t="shared" si="55"/>
        <v>#DIV/0!</v>
      </c>
      <c r="O271" s="252">
        <f t="shared" si="69"/>
        <v>0.3319356</v>
      </c>
      <c r="P271" s="253" t="e">
        <f t="shared" si="70"/>
        <v>#DIV/0!</v>
      </c>
      <c r="Q271" s="252" t="e">
        <f t="shared" si="71"/>
        <v>#DIV/0!</v>
      </c>
      <c r="R271" s="252">
        <v>0.43193559999999998</v>
      </c>
      <c r="S271" s="252" t="e">
        <f t="shared" si="72"/>
        <v>#DIV/0!</v>
      </c>
      <c r="T271" s="253"/>
      <c r="U271" s="252" t="e">
        <f t="shared" si="73"/>
        <v>#DIV/0!</v>
      </c>
      <c r="V271" s="290">
        <v>107001005</v>
      </c>
      <c r="W271" s="252" t="s">
        <v>640</v>
      </c>
    </row>
    <row r="272" spans="1:23" ht="15" customHeight="1" x14ac:dyDescent="0.3">
      <c r="A272" s="287" t="s">
        <v>470</v>
      </c>
      <c r="B272" s="244" t="str">
        <f>_xlfn.XLOOKUP(A272,'Base de Dados'!D:D,'Base de Dados'!B:B)</f>
        <v>TIMBRO SWISS SA</v>
      </c>
      <c r="C272" s="275" t="str">
        <f>_xlfn.XLOOKUP(PRECIFICAÇÃO[[#This Row],[INVOICE]],'Base de Dados'!D:D,'Base de Dados'!X:X)</f>
        <v>EM PRODUÇÃO</v>
      </c>
      <c r="D272" s="54">
        <v>400405</v>
      </c>
      <c r="E272" s="244" t="s">
        <v>987</v>
      </c>
      <c r="F272" s="245">
        <v>480</v>
      </c>
      <c r="G272" s="319">
        <v>7.44</v>
      </c>
      <c r="H272" s="246">
        <v>5.1176000000000004</v>
      </c>
      <c r="I272" s="247">
        <f t="shared" si="53"/>
        <v>38.074944000000002</v>
      </c>
      <c r="J272" s="248">
        <f t="shared" si="54"/>
        <v>18275.973120000002</v>
      </c>
      <c r="K272" s="249" t="e">
        <f>J272/_xlfn.XLOOKUP(A272,'Base de Dados'!D:D,'Base de Dados'!M:M)</f>
        <v>#DIV/0!</v>
      </c>
      <c r="L272" s="248" t="e">
        <f>K272*_xlfn.XLOOKUP(A272,'Base de Dados'!D:D,'Base de Dados'!N:N)</f>
        <v>#DIV/0!</v>
      </c>
      <c r="M272" s="250" t="e">
        <f t="shared" si="68"/>
        <v>#DIV/0!</v>
      </c>
      <c r="N272" s="251" t="e">
        <f t="shared" si="55"/>
        <v>#DIV/0!</v>
      </c>
      <c r="O272" s="252">
        <f t="shared" si="69"/>
        <v>0.3319356</v>
      </c>
      <c r="P272" s="253" t="e">
        <f t="shared" si="70"/>
        <v>#DIV/0!</v>
      </c>
      <c r="Q272" s="252" t="e">
        <f t="shared" si="71"/>
        <v>#DIV/0!</v>
      </c>
      <c r="R272" s="252">
        <v>0.43193559999999998</v>
      </c>
      <c r="S272" s="252" t="e">
        <f t="shared" si="72"/>
        <v>#DIV/0!</v>
      </c>
      <c r="T272" s="253"/>
      <c r="U272" s="252" t="e">
        <f t="shared" si="73"/>
        <v>#DIV/0!</v>
      </c>
      <c r="V272" s="290">
        <v>107001005</v>
      </c>
      <c r="W272" s="252" t="s">
        <v>640</v>
      </c>
    </row>
    <row r="273" spans="1:23" ht="15" customHeight="1" x14ac:dyDescent="0.3">
      <c r="A273" s="287" t="s">
        <v>470</v>
      </c>
      <c r="B273" s="244" t="str">
        <f>_xlfn.XLOOKUP(A273,'Base de Dados'!D:D,'Base de Dados'!B:B)</f>
        <v>TIMBRO SWISS SA</v>
      </c>
      <c r="C273" s="275" t="str">
        <f>_xlfn.XLOOKUP(PRECIFICAÇÃO[[#This Row],[INVOICE]],'Base de Dados'!D:D,'Base de Dados'!X:X)</f>
        <v>EM PRODUÇÃO</v>
      </c>
      <c r="D273" s="54">
        <v>400406</v>
      </c>
      <c r="E273" s="244" t="s">
        <v>988</v>
      </c>
      <c r="F273" s="245">
        <v>480</v>
      </c>
      <c r="G273" s="319">
        <v>7.44</v>
      </c>
      <c r="H273" s="246">
        <v>5.1176000000000004</v>
      </c>
      <c r="I273" s="247">
        <f t="shared" si="53"/>
        <v>38.074944000000002</v>
      </c>
      <c r="J273" s="248">
        <f t="shared" si="54"/>
        <v>18275.973120000002</v>
      </c>
      <c r="K273" s="249" t="e">
        <f>J273/_xlfn.XLOOKUP(A273,'Base de Dados'!D:D,'Base de Dados'!M:M)</f>
        <v>#DIV/0!</v>
      </c>
      <c r="L273" s="248" t="e">
        <f>K273*_xlfn.XLOOKUP(A273,'Base de Dados'!D:D,'Base de Dados'!N:N)</f>
        <v>#DIV/0!</v>
      </c>
      <c r="M273" s="250" t="e">
        <f t="shared" si="68"/>
        <v>#DIV/0!</v>
      </c>
      <c r="N273" s="251" t="e">
        <f t="shared" si="55"/>
        <v>#DIV/0!</v>
      </c>
      <c r="O273" s="252">
        <f t="shared" si="69"/>
        <v>0.3319356</v>
      </c>
      <c r="P273" s="253" t="e">
        <f t="shared" si="70"/>
        <v>#DIV/0!</v>
      </c>
      <c r="Q273" s="252" t="e">
        <f t="shared" si="71"/>
        <v>#DIV/0!</v>
      </c>
      <c r="R273" s="252">
        <v>0.43193559999999998</v>
      </c>
      <c r="S273" s="252" t="e">
        <f t="shared" si="72"/>
        <v>#DIV/0!</v>
      </c>
      <c r="T273" s="253"/>
      <c r="U273" s="252" t="e">
        <f t="shared" si="73"/>
        <v>#DIV/0!</v>
      </c>
      <c r="V273" s="290">
        <v>107001005</v>
      </c>
      <c r="W273" s="252" t="s">
        <v>640</v>
      </c>
    </row>
    <row r="274" spans="1:23" ht="15" customHeight="1" x14ac:dyDescent="0.3">
      <c r="A274" s="287" t="s">
        <v>470</v>
      </c>
      <c r="B274" s="244" t="str">
        <f>_xlfn.XLOOKUP(A274,'Base de Dados'!D:D,'Base de Dados'!B:B)</f>
        <v>TIMBRO SWISS SA</v>
      </c>
      <c r="C274" s="275" t="str">
        <f>_xlfn.XLOOKUP(PRECIFICAÇÃO[[#This Row],[INVOICE]],'Base de Dados'!D:D,'Base de Dados'!X:X)</f>
        <v>EM PRODUÇÃO</v>
      </c>
      <c r="D274" s="54">
        <v>400407</v>
      </c>
      <c r="E274" s="244" t="s">
        <v>989</v>
      </c>
      <c r="F274" s="245">
        <v>480</v>
      </c>
      <c r="G274" s="319">
        <v>7.44</v>
      </c>
      <c r="H274" s="246">
        <v>5.1176000000000004</v>
      </c>
      <c r="I274" s="247">
        <f t="shared" si="53"/>
        <v>38.074944000000002</v>
      </c>
      <c r="J274" s="248">
        <f t="shared" si="54"/>
        <v>18275.973120000002</v>
      </c>
      <c r="K274" s="249" t="e">
        <f>J274/_xlfn.XLOOKUP(A274,'Base de Dados'!D:D,'Base de Dados'!M:M)</f>
        <v>#DIV/0!</v>
      </c>
      <c r="L274" s="248" t="e">
        <f>K274*_xlfn.XLOOKUP(A274,'Base de Dados'!D:D,'Base de Dados'!N:N)</f>
        <v>#DIV/0!</v>
      </c>
      <c r="M274" s="250" t="e">
        <f t="shared" si="68"/>
        <v>#DIV/0!</v>
      </c>
      <c r="N274" s="251" t="e">
        <f t="shared" si="55"/>
        <v>#DIV/0!</v>
      </c>
      <c r="O274" s="252">
        <f t="shared" si="69"/>
        <v>0.3319356</v>
      </c>
      <c r="P274" s="253" t="e">
        <f t="shared" si="70"/>
        <v>#DIV/0!</v>
      </c>
      <c r="Q274" s="252" t="e">
        <f t="shared" si="71"/>
        <v>#DIV/0!</v>
      </c>
      <c r="R274" s="252">
        <v>0.43193559999999998</v>
      </c>
      <c r="S274" s="252" t="e">
        <f t="shared" si="72"/>
        <v>#DIV/0!</v>
      </c>
      <c r="T274" s="253"/>
      <c r="U274" s="252" t="e">
        <f t="shared" si="73"/>
        <v>#DIV/0!</v>
      </c>
      <c r="V274" s="290">
        <v>107001005</v>
      </c>
      <c r="W274" s="252" t="s">
        <v>640</v>
      </c>
    </row>
    <row r="275" spans="1:23" ht="15" customHeight="1" x14ac:dyDescent="0.3">
      <c r="A275" s="287" t="s">
        <v>470</v>
      </c>
      <c r="B275" s="244" t="str">
        <f>_xlfn.XLOOKUP(A275,'Base de Dados'!D:D,'Base de Dados'!B:B)</f>
        <v>TIMBRO SWISS SA</v>
      </c>
      <c r="C275" s="275" t="str">
        <f>_xlfn.XLOOKUP(PRECIFICAÇÃO[[#This Row],[INVOICE]],'Base de Dados'!D:D,'Base de Dados'!X:X)</f>
        <v>EM PRODUÇÃO</v>
      </c>
      <c r="D275" s="54">
        <v>400408</v>
      </c>
      <c r="E275" s="244" t="s">
        <v>990</v>
      </c>
      <c r="F275" s="245">
        <v>480</v>
      </c>
      <c r="G275" s="319">
        <v>7.44</v>
      </c>
      <c r="H275" s="246">
        <v>5.1176000000000004</v>
      </c>
      <c r="I275" s="247">
        <f t="shared" si="53"/>
        <v>38.074944000000002</v>
      </c>
      <c r="J275" s="248">
        <f t="shared" si="54"/>
        <v>18275.973120000002</v>
      </c>
      <c r="K275" s="249" t="e">
        <f>J275/_xlfn.XLOOKUP(A275,'Base de Dados'!D:D,'Base de Dados'!M:M)</f>
        <v>#DIV/0!</v>
      </c>
      <c r="L275" s="248" t="e">
        <f>K275*_xlfn.XLOOKUP(A275,'Base de Dados'!D:D,'Base de Dados'!N:N)</f>
        <v>#DIV/0!</v>
      </c>
      <c r="M275" s="250" t="e">
        <f t="shared" si="68"/>
        <v>#DIV/0!</v>
      </c>
      <c r="N275" s="251" t="e">
        <f t="shared" si="55"/>
        <v>#DIV/0!</v>
      </c>
      <c r="O275" s="252">
        <f t="shared" si="69"/>
        <v>0.3319356</v>
      </c>
      <c r="P275" s="253" t="e">
        <f t="shared" si="70"/>
        <v>#DIV/0!</v>
      </c>
      <c r="Q275" s="252" t="e">
        <f t="shared" si="71"/>
        <v>#DIV/0!</v>
      </c>
      <c r="R275" s="252">
        <v>0.43193559999999998</v>
      </c>
      <c r="S275" s="252" t="e">
        <f t="shared" si="72"/>
        <v>#DIV/0!</v>
      </c>
      <c r="T275" s="253"/>
      <c r="U275" s="252" t="e">
        <f t="shared" si="73"/>
        <v>#DIV/0!</v>
      </c>
      <c r="V275" s="290">
        <v>107001005</v>
      </c>
      <c r="W275" s="252" t="s">
        <v>640</v>
      </c>
    </row>
    <row r="276" spans="1:23" ht="15" customHeight="1" x14ac:dyDescent="0.3">
      <c r="A276" s="287" t="s">
        <v>470</v>
      </c>
      <c r="B276" s="244" t="str">
        <f>_xlfn.XLOOKUP(A276,'Base de Dados'!D:D,'Base de Dados'!B:B)</f>
        <v>TIMBRO SWISS SA</v>
      </c>
      <c r="C276" s="275" t="str">
        <f>_xlfn.XLOOKUP(PRECIFICAÇÃO[[#This Row],[INVOICE]],'Base de Dados'!D:D,'Base de Dados'!X:X)</f>
        <v>EM PRODUÇÃO</v>
      </c>
      <c r="D276" s="54">
        <v>400409</v>
      </c>
      <c r="E276" s="244" t="s">
        <v>991</v>
      </c>
      <c r="F276" s="245">
        <v>480</v>
      </c>
      <c r="G276" s="319">
        <v>7.44</v>
      </c>
      <c r="H276" s="246">
        <v>5.1176000000000004</v>
      </c>
      <c r="I276" s="247">
        <f t="shared" si="53"/>
        <v>38.074944000000002</v>
      </c>
      <c r="J276" s="248">
        <f t="shared" si="54"/>
        <v>18275.973120000002</v>
      </c>
      <c r="K276" s="249" t="e">
        <f>J276/_xlfn.XLOOKUP(A276,'Base de Dados'!D:D,'Base de Dados'!M:M)</f>
        <v>#DIV/0!</v>
      </c>
      <c r="L276" s="248" t="e">
        <f>K276*_xlfn.XLOOKUP(A276,'Base de Dados'!D:D,'Base de Dados'!N:N)</f>
        <v>#DIV/0!</v>
      </c>
      <c r="M276" s="250" t="e">
        <f t="shared" si="68"/>
        <v>#DIV/0!</v>
      </c>
      <c r="N276" s="251" t="e">
        <f t="shared" si="55"/>
        <v>#DIV/0!</v>
      </c>
      <c r="O276" s="252">
        <f t="shared" si="69"/>
        <v>0.3319356</v>
      </c>
      <c r="P276" s="253" t="e">
        <f t="shared" si="70"/>
        <v>#DIV/0!</v>
      </c>
      <c r="Q276" s="252" t="e">
        <f t="shared" si="71"/>
        <v>#DIV/0!</v>
      </c>
      <c r="R276" s="252">
        <v>0.43193559999999998</v>
      </c>
      <c r="S276" s="252" t="e">
        <f t="shared" si="72"/>
        <v>#DIV/0!</v>
      </c>
      <c r="T276" s="253"/>
      <c r="U276" s="252" t="e">
        <f t="shared" si="73"/>
        <v>#DIV/0!</v>
      </c>
      <c r="V276" s="290">
        <v>107001005</v>
      </c>
      <c r="W276" s="252" t="s">
        <v>640</v>
      </c>
    </row>
    <row r="277" spans="1:23" ht="15" customHeight="1" x14ac:dyDescent="0.3">
      <c r="A277" s="287" t="s">
        <v>470</v>
      </c>
      <c r="B277" s="244" t="str">
        <f>_xlfn.XLOOKUP(A277,'Base de Dados'!D:D,'Base de Dados'!B:B)</f>
        <v>TIMBRO SWISS SA</v>
      </c>
      <c r="C277" s="275" t="str">
        <f>_xlfn.XLOOKUP(PRECIFICAÇÃO[[#This Row],[INVOICE]],'Base de Dados'!D:D,'Base de Dados'!X:X)</f>
        <v>EM PRODUÇÃO</v>
      </c>
      <c r="D277" s="54">
        <v>400410</v>
      </c>
      <c r="E277" s="244" t="s">
        <v>992</v>
      </c>
      <c r="F277" s="245">
        <v>480</v>
      </c>
      <c r="G277" s="319">
        <v>7.9</v>
      </c>
      <c r="H277" s="246">
        <v>5.1176000000000004</v>
      </c>
      <c r="I277" s="247">
        <f t="shared" si="53"/>
        <v>40.429040000000008</v>
      </c>
      <c r="J277" s="248">
        <f t="shared" si="54"/>
        <v>19405.939200000004</v>
      </c>
      <c r="K277" s="249" t="e">
        <f>J277/_xlfn.XLOOKUP(A277,'Base de Dados'!D:D,'Base de Dados'!M:M)</f>
        <v>#DIV/0!</v>
      </c>
      <c r="L277" s="248" t="e">
        <f>K277*_xlfn.XLOOKUP(A277,'Base de Dados'!D:D,'Base de Dados'!N:N)</f>
        <v>#DIV/0!</v>
      </c>
      <c r="M277" s="250" t="e">
        <f t="shared" si="68"/>
        <v>#DIV/0!</v>
      </c>
      <c r="N277" s="251" t="e">
        <f t="shared" si="55"/>
        <v>#DIV/0!</v>
      </c>
      <c r="O277" s="252">
        <f t="shared" si="69"/>
        <v>0.3319356</v>
      </c>
      <c r="P277" s="253" t="e">
        <f t="shared" si="70"/>
        <v>#DIV/0!</v>
      </c>
      <c r="Q277" s="252" t="e">
        <f t="shared" si="71"/>
        <v>#DIV/0!</v>
      </c>
      <c r="R277" s="252">
        <v>0.43193559999999998</v>
      </c>
      <c r="S277" s="252" t="e">
        <f t="shared" si="72"/>
        <v>#DIV/0!</v>
      </c>
      <c r="T277" s="253"/>
      <c r="U277" s="252" t="e">
        <f t="shared" si="73"/>
        <v>#DIV/0!</v>
      </c>
      <c r="V277" s="290">
        <v>107001005</v>
      </c>
      <c r="W277" s="252" t="s">
        <v>640</v>
      </c>
    </row>
    <row r="278" spans="1:23" ht="15" customHeight="1" x14ac:dyDescent="0.3">
      <c r="A278" s="287" t="s">
        <v>470</v>
      </c>
      <c r="B278" s="244" t="str">
        <f>_xlfn.XLOOKUP(A278,'Base de Dados'!D:D,'Base de Dados'!B:B)</f>
        <v>TIMBRO SWISS SA</v>
      </c>
      <c r="C278" s="275" t="str">
        <f>_xlfn.XLOOKUP(PRECIFICAÇÃO[[#This Row],[INVOICE]],'Base de Dados'!D:D,'Base de Dados'!X:X)</f>
        <v>EM PRODUÇÃO</v>
      </c>
      <c r="D278" s="54">
        <v>400411</v>
      </c>
      <c r="E278" s="244" t="s">
        <v>993</v>
      </c>
      <c r="F278" s="245">
        <v>480</v>
      </c>
      <c r="G278" s="319">
        <v>7.9</v>
      </c>
      <c r="H278" s="246">
        <v>5.1176000000000004</v>
      </c>
      <c r="I278" s="247">
        <f t="shared" si="53"/>
        <v>40.429040000000008</v>
      </c>
      <c r="J278" s="248">
        <f t="shared" si="54"/>
        <v>19405.939200000004</v>
      </c>
      <c r="K278" s="249" t="e">
        <f>J278/_xlfn.XLOOKUP(A278,'Base de Dados'!D:D,'Base de Dados'!M:M)</f>
        <v>#DIV/0!</v>
      </c>
      <c r="L278" s="248" t="e">
        <f>K278*_xlfn.XLOOKUP(A278,'Base de Dados'!D:D,'Base de Dados'!N:N)</f>
        <v>#DIV/0!</v>
      </c>
      <c r="M278" s="250" t="e">
        <f t="shared" si="68"/>
        <v>#DIV/0!</v>
      </c>
      <c r="N278" s="251" t="e">
        <f t="shared" si="55"/>
        <v>#DIV/0!</v>
      </c>
      <c r="O278" s="252">
        <f t="shared" si="69"/>
        <v>0.3319356</v>
      </c>
      <c r="P278" s="253" t="e">
        <f t="shared" si="70"/>
        <v>#DIV/0!</v>
      </c>
      <c r="Q278" s="252" t="e">
        <f t="shared" si="71"/>
        <v>#DIV/0!</v>
      </c>
      <c r="R278" s="252">
        <v>0.43193559999999998</v>
      </c>
      <c r="S278" s="252" t="e">
        <f t="shared" si="72"/>
        <v>#DIV/0!</v>
      </c>
      <c r="T278" s="253"/>
      <c r="U278" s="252" t="e">
        <f t="shared" si="73"/>
        <v>#DIV/0!</v>
      </c>
      <c r="V278" s="290">
        <v>107001005</v>
      </c>
      <c r="W278" s="252" t="s">
        <v>640</v>
      </c>
    </row>
    <row r="279" spans="1:23" ht="15" customHeight="1" x14ac:dyDescent="0.3">
      <c r="A279" s="287" t="s">
        <v>470</v>
      </c>
      <c r="B279" s="244" t="str">
        <f>_xlfn.XLOOKUP(A279,'Base de Dados'!D:D,'Base de Dados'!B:B)</f>
        <v>TIMBRO SWISS SA</v>
      </c>
      <c r="C279" s="275" t="str">
        <f>_xlfn.XLOOKUP(PRECIFICAÇÃO[[#This Row],[INVOICE]],'Base de Dados'!D:D,'Base de Dados'!X:X)</f>
        <v>EM PRODUÇÃO</v>
      </c>
      <c r="D279" s="54">
        <v>400412</v>
      </c>
      <c r="E279" s="244" t="s">
        <v>994</v>
      </c>
      <c r="F279" s="245">
        <v>480</v>
      </c>
      <c r="G279" s="319">
        <v>7.9</v>
      </c>
      <c r="H279" s="246">
        <v>5.1176000000000004</v>
      </c>
      <c r="I279" s="247">
        <f t="shared" si="53"/>
        <v>40.429040000000008</v>
      </c>
      <c r="J279" s="248">
        <f t="shared" si="54"/>
        <v>19405.939200000004</v>
      </c>
      <c r="K279" s="249" t="e">
        <f>J279/_xlfn.XLOOKUP(A279,'Base de Dados'!D:D,'Base de Dados'!M:M)</f>
        <v>#DIV/0!</v>
      </c>
      <c r="L279" s="248" t="e">
        <f>K279*_xlfn.XLOOKUP(A279,'Base de Dados'!D:D,'Base de Dados'!N:N)</f>
        <v>#DIV/0!</v>
      </c>
      <c r="M279" s="250" t="e">
        <f t="shared" si="68"/>
        <v>#DIV/0!</v>
      </c>
      <c r="N279" s="251" t="e">
        <f t="shared" si="55"/>
        <v>#DIV/0!</v>
      </c>
      <c r="O279" s="252">
        <f t="shared" si="69"/>
        <v>0.3319356</v>
      </c>
      <c r="P279" s="253" t="e">
        <f t="shared" si="70"/>
        <v>#DIV/0!</v>
      </c>
      <c r="Q279" s="252" t="e">
        <f t="shared" si="71"/>
        <v>#DIV/0!</v>
      </c>
      <c r="R279" s="252">
        <v>0.43193559999999998</v>
      </c>
      <c r="S279" s="252" t="e">
        <f t="shared" si="72"/>
        <v>#DIV/0!</v>
      </c>
      <c r="T279" s="253"/>
      <c r="U279" s="252" t="e">
        <f t="shared" si="73"/>
        <v>#DIV/0!</v>
      </c>
      <c r="V279" s="290">
        <v>107001005</v>
      </c>
      <c r="W279" s="252" t="s">
        <v>640</v>
      </c>
    </row>
    <row r="280" spans="1:23" ht="15" customHeight="1" x14ac:dyDescent="0.3">
      <c r="A280" s="287" t="s">
        <v>470</v>
      </c>
      <c r="B280" s="244" t="str">
        <f>_xlfn.XLOOKUP(A280,'Base de Dados'!D:D,'Base de Dados'!B:B)</f>
        <v>TIMBRO SWISS SA</v>
      </c>
      <c r="C280" s="275" t="str">
        <f>_xlfn.XLOOKUP(PRECIFICAÇÃO[[#This Row],[INVOICE]],'Base de Dados'!D:D,'Base de Dados'!X:X)</f>
        <v>EM PRODUÇÃO</v>
      </c>
      <c r="D280" s="54">
        <v>400413</v>
      </c>
      <c r="E280" s="244" t="s">
        <v>995</v>
      </c>
      <c r="F280" s="245">
        <v>480</v>
      </c>
      <c r="G280" s="319">
        <v>7.9</v>
      </c>
      <c r="H280" s="246">
        <v>5.1176000000000004</v>
      </c>
      <c r="I280" s="247">
        <f t="shared" si="53"/>
        <v>40.429040000000008</v>
      </c>
      <c r="J280" s="248">
        <f t="shared" si="54"/>
        <v>19405.939200000004</v>
      </c>
      <c r="K280" s="249" t="e">
        <f>J280/_xlfn.XLOOKUP(A280,'Base de Dados'!D:D,'Base de Dados'!M:M)</f>
        <v>#DIV/0!</v>
      </c>
      <c r="L280" s="248" t="e">
        <f>K280*_xlfn.XLOOKUP(A280,'Base de Dados'!D:D,'Base de Dados'!N:N)</f>
        <v>#DIV/0!</v>
      </c>
      <c r="M280" s="250" t="e">
        <f t="shared" si="68"/>
        <v>#DIV/0!</v>
      </c>
      <c r="N280" s="251" t="e">
        <f t="shared" si="55"/>
        <v>#DIV/0!</v>
      </c>
      <c r="O280" s="252">
        <f t="shared" si="69"/>
        <v>0.3319356</v>
      </c>
      <c r="P280" s="253" t="e">
        <f t="shared" si="70"/>
        <v>#DIV/0!</v>
      </c>
      <c r="Q280" s="252" t="e">
        <f t="shared" si="71"/>
        <v>#DIV/0!</v>
      </c>
      <c r="R280" s="252">
        <v>0.43193559999999998</v>
      </c>
      <c r="S280" s="252" t="e">
        <f t="shared" si="72"/>
        <v>#DIV/0!</v>
      </c>
      <c r="T280" s="253"/>
      <c r="U280" s="252" t="e">
        <f t="shared" si="73"/>
        <v>#DIV/0!</v>
      </c>
      <c r="V280" s="290">
        <v>107001005</v>
      </c>
      <c r="W280" s="252" t="s">
        <v>640</v>
      </c>
    </row>
    <row r="281" spans="1:23" ht="15" customHeight="1" x14ac:dyDescent="0.3">
      <c r="A281" s="287" t="s">
        <v>470</v>
      </c>
      <c r="B281" s="244" t="str">
        <f>_xlfn.XLOOKUP(A281,'Base de Dados'!D:D,'Base de Dados'!B:B)</f>
        <v>TIMBRO SWISS SA</v>
      </c>
      <c r="C281" s="275" t="str">
        <f>_xlfn.XLOOKUP(PRECIFICAÇÃO[[#This Row],[INVOICE]],'Base de Dados'!D:D,'Base de Dados'!X:X)</f>
        <v>EM PRODUÇÃO</v>
      </c>
      <c r="D281" s="54">
        <v>400414</v>
      </c>
      <c r="E281" s="244" t="s">
        <v>996</v>
      </c>
      <c r="F281" s="245">
        <v>480</v>
      </c>
      <c r="G281" s="319">
        <v>7.9</v>
      </c>
      <c r="H281" s="246">
        <v>5.1176000000000004</v>
      </c>
      <c r="I281" s="247">
        <f t="shared" si="53"/>
        <v>40.429040000000008</v>
      </c>
      <c r="J281" s="248">
        <f t="shared" si="54"/>
        <v>19405.939200000004</v>
      </c>
      <c r="K281" s="249" t="e">
        <f>J281/_xlfn.XLOOKUP(A281,'Base de Dados'!D:D,'Base de Dados'!M:M)</f>
        <v>#DIV/0!</v>
      </c>
      <c r="L281" s="248" t="e">
        <f>K281*_xlfn.XLOOKUP(A281,'Base de Dados'!D:D,'Base de Dados'!N:N)</f>
        <v>#DIV/0!</v>
      </c>
      <c r="M281" s="250" t="e">
        <f t="shared" si="68"/>
        <v>#DIV/0!</v>
      </c>
      <c r="N281" s="251" t="e">
        <f t="shared" si="55"/>
        <v>#DIV/0!</v>
      </c>
      <c r="O281" s="252">
        <f t="shared" si="69"/>
        <v>0.3319356</v>
      </c>
      <c r="P281" s="253" t="e">
        <f t="shared" si="70"/>
        <v>#DIV/0!</v>
      </c>
      <c r="Q281" s="252" t="e">
        <f t="shared" si="71"/>
        <v>#DIV/0!</v>
      </c>
      <c r="R281" s="252">
        <v>0.43193559999999998</v>
      </c>
      <c r="S281" s="252" t="e">
        <f t="shared" si="72"/>
        <v>#DIV/0!</v>
      </c>
      <c r="T281" s="253"/>
      <c r="U281" s="252" t="e">
        <f t="shared" si="73"/>
        <v>#DIV/0!</v>
      </c>
      <c r="V281" s="290">
        <v>107001005</v>
      </c>
      <c r="W281" s="252" t="s">
        <v>640</v>
      </c>
    </row>
    <row r="282" spans="1:23" ht="15" customHeight="1" x14ac:dyDescent="0.3">
      <c r="A282" s="287" t="s">
        <v>470</v>
      </c>
      <c r="B282" s="244" t="str">
        <f>_xlfn.XLOOKUP(A282,'Base de Dados'!D:D,'Base de Dados'!B:B)</f>
        <v>TIMBRO SWISS SA</v>
      </c>
      <c r="C282" s="275" t="str">
        <f>_xlfn.XLOOKUP(PRECIFICAÇÃO[[#This Row],[INVOICE]],'Base de Dados'!D:D,'Base de Dados'!X:X)</f>
        <v>EM PRODUÇÃO</v>
      </c>
      <c r="D282" s="54">
        <v>400415</v>
      </c>
      <c r="E282" s="244" t="s">
        <v>997</v>
      </c>
      <c r="F282" s="245">
        <v>300</v>
      </c>
      <c r="G282" s="319">
        <v>8.9</v>
      </c>
      <c r="H282" s="246">
        <v>5.1176000000000004</v>
      </c>
      <c r="I282" s="247">
        <f t="shared" si="53"/>
        <v>45.546640000000004</v>
      </c>
      <c r="J282" s="248">
        <f t="shared" si="54"/>
        <v>13663.992</v>
      </c>
      <c r="K282" s="249" t="e">
        <f>J282/_xlfn.XLOOKUP(A282,'Base de Dados'!D:D,'Base de Dados'!M:M)</f>
        <v>#DIV/0!</v>
      </c>
      <c r="L282" s="248" t="e">
        <f>K282*_xlfn.XLOOKUP(A282,'Base de Dados'!D:D,'Base de Dados'!N:N)</f>
        <v>#DIV/0!</v>
      </c>
      <c r="M282" s="250" t="e">
        <f t="shared" si="68"/>
        <v>#DIV/0!</v>
      </c>
      <c r="N282" s="251" t="e">
        <f t="shared" si="55"/>
        <v>#DIV/0!</v>
      </c>
      <c r="O282" s="252">
        <f t="shared" si="69"/>
        <v>0.3319356</v>
      </c>
      <c r="P282" s="253" t="e">
        <f t="shared" si="70"/>
        <v>#DIV/0!</v>
      </c>
      <c r="Q282" s="252" t="e">
        <f t="shared" si="71"/>
        <v>#DIV/0!</v>
      </c>
      <c r="R282" s="252">
        <v>0.43193559999999998</v>
      </c>
      <c r="S282" s="252" t="e">
        <f t="shared" si="72"/>
        <v>#DIV/0!</v>
      </c>
      <c r="T282" s="253"/>
      <c r="U282" s="252" t="e">
        <f t="shared" si="73"/>
        <v>#DIV/0!</v>
      </c>
      <c r="V282" s="290">
        <v>107001005</v>
      </c>
      <c r="W282" s="252" t="s">
        <v>640</v>
      </c>
    </row>
    <row r="283" spans="1:23" ht="15" customHeight="1" x14ac:dyDescent="0.3">
      <c r="A283" s="287" t="s">
        <v>470</v>
      </c>
      <c r="B283" s="244" t="str">
        <f>_xlfn.XLOOKUP(A283,'Base de Dados'!D:D,'Base de Dados'!B:B)</f>
        <v>TIMBRO SWISS SA</v>
      </c>
      <c r="C283" s="275" t="str">
        <f>_xlfn.XLOOKUP(PRECIFICAÇÃO[[#This Row],[INVOICE]],'Base de Dados'!D:D,'Base de Dados'!X:X)</f>
        <v>EM PRODUÇÃO</v>
      </c>
      <c r="D283" s="54">
        <v>400416</v>
      </c>
      <c r="E283" s="244" t="s">
        <v>998</v>
      </c>
      <c r="F283" s="245">
        <v>300</v>
      </c>
      <c r="G283" s="319">
        <v>8.9</v>
      </c>
      <c r="H283" s="246">
        <v>5.1176000000000004</v>
      </c>
      <c r="I283" s="247">
        <f t="shared" si="53"/>
        <v>45.546640000000004</v>
      </c>
      <c r="J283" s="248">
        <f t="shared" si="54"/>
        <v>13663.992</v>
      </c>
      <c r="K283" s="249" t="e">
        <f>J283/_xlfn.XLOOKUP(A283,'Base de Dados'!D:D,'Base de Dados'!M:M)</f>
        <v>#DIV/0!</v>
      </c>
      <c r="L283" s="248" t="e">
        <f>K283*_xlfn.XLOOKUP(A283,'Base de Dados'!D:D,'Base de Dados'!N:N)</f>
        <v>#DIV/0!</v>
      </c>
      <c r="M283" s="250" t="e">
        <f t="shared" si="68"/>
        <v>#DIV/0!</v>
      </c>
      <c r="N283" s="251" t="e">
        <f t="shared" si="55"/>
        <v>#DIV/0!</v>
      </c>
      <c r="O283" s="252">
        <f t="shared" si="69"/>
        <v>0.3319356</v>
      </c>
      <c r="P283" s="253" t="e">
        <f t="shared" si="70"/>
        <v>#DIV/0!</v>
      </c>
      <c r="Q283" s="252" t="e">
        <f t="shared" si="71"/>
        <v>#DIV/0!</v>
      </c>
      <c r="R283" s="252">
        <v>0.43193559999999998</v>
      </c>
      <c r="S283" s="252" t="e">
        <f t="shared" si="72"/>
        <v>#DIV/0!</v>
      </c>
      <c r="T283" s="253"/>
      <c r="U283" s="252" t="e">
        <f t="shared" si="73"/>
        <v>#DIV/0!</v>
      </c>
      <c r="V283" s="290">
        <v>107001005</v>
      </c>
      <c r="W283" s="252" t="s">
        <v>640</v>
      </c>
    </row>
    <row r="284" spans="1:23" ht="15" customHeight="1" x14ac:dyDescent="0.3">
      <c r="A284" s="287" t="s">
        <v>470</v>
      </c>
      <c r="B284" s="244" t="str">
        <f>_xlfn.XLOOKUP(A284,'Base de Dados'!D:D,'Base de Dados'!B:B)</f>
        <v>TIMBRO SWISS SA</v>
      </c>
      <c r="C284" s="275" t="str">
        <f>_xlfn.XLOOKUP(PRECIFICAÇÃO[[#This Row],[INVOICE]],'Base de Dados'!D:D,'Base de Dados'!X:X)</f>
        <v>EM PRODUÇÃO</v>
      </c>
      <c r="D284" s="54">
        <v>400417</v>
      </c>
      <c r="E284" s="244" t="s">
        <v>999</v>
      </c>
      <c r="F284" s="245">
        <v>300</v>
      </c>
      <c r="G284" s="319">
        <v>8.9</v>
      </c>
      <c r="H284" s="246">
        <v>5.1176000000000004</v>
      </c>
      <c r="I284" s="247">
        <f t="shared" si="53"/>
        <v>45.546640000000004</v>
      </c>
      <c r="J284" s="248">
        <f t="shared" si="54"/>
        <v>13663.992</v>
      </c>
      <c r="K284" s="249" t="e">
        <f>J284/_xlfn.XLOOKUP(A284,'Base de Dados'!D:D,'Base de Dados'!M:M)</f>
        <v>#DIV/0!</v>
      </c>
      <c r="L284" s="248" t="e">
        <f>K284*_xlfn.XLOOKUP(A284,'Base de Dados'!D:D,'Base de Dados'!N:N)</f>
        <v>#DIV/0!</v>
      </c>
      <c r="M284" s="250" t="e">
        <f t="shared" si="68"/>
        <v>#DIV/0!</v>
      </c>
      <c r="N284" s="251" t="e">
        <f t="shared" si="55"/>
        <v>#DIV/0!</v>
      </c>
      <c r="O284" s="252">
        <f t="shared" si="69"/>
        <v>0.3319356</v>
      </c>
      <c r="P284" s="253" t="e">
        <f t="shared" si="70"/>
        <v>#DIV/0!</v>
      </c>
      <c r="Q284" s="252" t="e">
        <f t="shared" si="71"/>
        <v>#DIV/0!</v>
      </c>
      <c r="R284" s="252">
        <v>0.43193559999999998</v>
      </c>
      <c r="S284" s="252" t="e">
        <f t="shared" si="72"/>
        <v>#DIV/0!</v>
      </c>
      <c r="T284" s="253"/>
      <c r="U284" s="252" t="e">
        <f t="shared" si="73"/>
        <v>#DIV/0!</v>
      </c>
      <c r="V284" s="290">
        <v>107001005</v>
      </c>
      <c r="W284" s="252" t="s">
        <v>640</v>
      </c>
    </row>
    <row r="285" spans="1:23" ht="15" customHeight="1" x14ac:dyDescent="0.3">
      <c r="A285" s="287" t="s">
        <v>470</v>
      </c>
      <c r="B285" s="244" t="str">
        <f>_xlfn.XLOOKUP(A285,'Base de Dados'!D:D,'Base de Dados'!B:B)</f>
        <v>TIMBRO SWISS SA</v>
      </c>
      <c r="C285" s="275" t="str">
        <f>_xlfn.XLOOKUP(PRECIFICAÇÃO[[#This Row],[INVOICE]],'Base de Dados'!D:D,'Base de Dados'!X:X)</f>
        <v>EM PRODUÇÃO</v>
      </c>
      <c r="D285" s="54">
        <v>400418</v>
      </c>
      <c r="E285" s="244" t="s">
        <v>1000</v>
      </c>
      <c r="F285" s="245">
        <v>300</v>
      </c>
      <c r="G285" s="319">
        <v>8.9</v>
      </c>
      <c r="H285" s="246">
        <v>5.1176000000000004</v>
      </c>
      <c r="I285" s="247">
        <f t="shared" si="53"/>
        <v>45.546640000000004</v>
      </c>
      <c r="J285" s="248">
        <f t="shared" si="54"/>
        <v>13663.992</v>
      </c>
      <c r="K285" s="249" t="e">
        <f>J285/_xlfn.XLOOKUP(A285,'Base de Dados'!D:D,'Base de Dados'!M:M)</f>
        <v>#DIV/0!</v>
      </c>
      <c r="L285" s="248" t="e">
        <f>K285*_xlfn.XLOOKUP(A285,'Base de Dados'!D:D,'Base de Dados'!N:N)</f>
        <v>#DIV/0!</v>
      </c>
      <c r="M285" s="250" t="e">
        <f t="shared" si="68"/>
        <v>#DIV/0!</v>
      </c>
      <c r="N285" s="251" t="e">
        <f t="shared" si="55"/>
        <v>#DIV/0!</v>
      </c>
      <c r="O285" s="252">
        <f t="shared" si="69"/>
        <v>0.3319356</v>
      </c>
      <c r="P285" s="253" t="e">
        <f t="shared" si="70"/>
        <v>#DIV/0!</v>
      </c>
      <c r="Q285" s="252" t="e">
        <f t="shared" si="71"/>
        <v>#DIV/0!</v>
      </c>
      <c r="R285" s="252">
        <v>0.43193559999999998</v>
      </c>
      <c r="S285" s="252" t="e">
        <f t="shared" si="72"/>
        <v>#DIV/0!</v>
      </c>
      <c r="T285" s="253"/>
      <c r="U285" s="252" t="e">
        <f t="shared" si="73"/>
        <v>#DIV/0!</v>
      </c>
      <c r="V285" s="290">
        <v>107001005</v>
      </c>
      <c r="W285" s="252" t="s">
        <v>640</v>
      </c>
    </row>
    <row r="286" spans="1:23" ht="15" customHeight="1" x14ac:dyDescent="0.3">
      <c r="A286" s="287" t="s">
        <v>470</v>
      </c>
      <c r="B286" s="244" t="str">
        <f>_xlfn.XLOOKUP(A286,'Base de Dados'!D:D,'Base de Dados'!B:B)</f>
        <v>TIMBRO SWISS SA</v>
      </c>
      <c r="C286" s="275" t="str">
        <f>_xlfn.XLOOKUP(PRECIFICAÇÃO[[#This Row],[INVOICE]],'Base de Dados'!D:D,'Base de Dados'!X:X)</f>
        <v>EM PRODUÇÃO</v>
      </c>
      <c r="D286" s="54">
        <v>400419</v>
      </c>
      <c r="E286" s="244" t="s">
        <v>1001</v>
      </c>
      <c r="F286" s="245">
        <v>300</v>
      </c>
      <c r="G286" s="319">
        <v>8.9</v>
      </c>
      <c r="H286" s="246">
        <v>5.1176000000000004</v>
      </c>
      <c r="I286" s="247">
        <f t="shared" si="53"/>
        <v>45.546640000000004</v>
      </c>
      <c r="J286" s="248">
        <f t="shared" si="54"/>
        <v>13663.992</v>
      </c>
      <c r="K286" s="249" t="e">
        <f>J286/_xlfn.XLOOKUP(A286,'Base de Dados'!D:D,'Base de Dados'!M:M)</f>
        <v>#DIV/0!</v>
      </c>
      <c r="L286" s="248" t="e">
        <f>K286*_xlfn.XLOOKUP(A286,'Base de Dados'!D:D,'Base de Dados'!N:N)</f>
        <v>#DIV/0!</v>
      </c>
      <c r="M286" s="250" t="e">
        <f t="shared" si="68"/>
        <v>#DIV/0!</v>
      </c>
      <c r="N286" s="251" t="e">
        <f t="shared" si="55"/>
        <v>#DIV/0!</v>
      </c>
      <c r="O286" s="252">
        <f t="shared" si="69"/>
        <v>0.3319356</v>
      </c>
      <c r="P286" s="253" t="e">
        <f t="shared" si="70"/>
        <v>#DIV/0!</v>
      </c>
      <c r="Q286" s="252" t="e">
        <f t="shared" si="71"/>
        <v>#DIV/0!</v>
      </c>
      <c r="R286" s="252">
        <v>0.43193559999999998</v>
      </c>
      <c r="S286" s="252" t="e">
        <f t="shared" si="72"/>
        <v>#DIV/0!</v>
      </c>
      <c r="T286" s="253"/>
      <c r="U286" s="252" t="e">
        <f t="shared" si="73"/>
        <v>#DIV/0!</v>
      </c>
      <c r="V286" s="290">
        <v>107001005</v>
      </c>
      <c r="W286" s="252" t="s">
        <v>640</v>
      </c>
    </row>
    <row r="287" spans="1:23" ht="15" customHeight="1" x14ac:dyDescent="0.3">
      <c r="A287" s="289" t="s">
        <v>812</v>
      </c>
      <c r="B287" s="254" t="e">
        <f>_xlfn.XLOOKUP(A287,'Base de Dados'!D:D,'Base de Dados'!B:B)</f>
        <v>#N/A</v>
      </c>
      <c r="C287" s="288" t="e">
        <f>_xlfn.XLOOKUP(PRECIFICAÇÃO[[#This Row],[INVOICE]],'Base de Dados'!D:D,'Base de Dados'!X:X)</f>
        <v>#N/A</v>
      </c>
      <c r="D287" s="68">
        <v>373493</v>
      </c>
      <c r="E287" s="254" t="s">
        <v>909</v>
      </c>
      <c r="F287" s="255">
        <v>1116</v>
      </c>
      <c r="G287" s="321">
        <v>3.4</v>
      </c>
      <c r="H287" s="256">
        <v>5.1176000000000004</v>
      </c>
      <c r="I287" s="257">
        <f t="shared" si="53"/>
        <v>17.399840000000001</v>
      </c>
      <c r="J287" s="258">
        <f t="shared" si="54"/>
        <v>19418.221440000001</v>
      </c>
      <c r="K287" s="258" t="e">
        <f>J287/_xlfn.XLOOKUP(A287,'Base de Dados'!D:D,'Base de Dados'!M:M)</f>
        <v>#N/A</v>
      </c>
      <c r="L287" s="258" t="e">
        <f>K287*_xlfn.XLOOKUP(A287,'Base de Dados'!D:D,'Base de Dados'!N:N)</f>
        <v>#N/A</v>
      </c>
      <c r="M287" s="260" t="e">
        <f>J287+L287</f>
        <v>#N/A</v>
      </c>
      <c r="N287" s="261" t="e">
        <f t="shared" si="55"/>
        <v>#N/A</v>
      </c>
      <c r="O287" s="262">
        <f>R287-0.1</f>
        <v>0.43768192699999997</v>
      </c>
      <c r="P287" s="263" t="e">
        <f>ROUND(N287/O287,0)</f>
        <v>#N/A</v>
      </c>
      <c r="Q287" s="262" t="e">
        <f>(P287-N287)/P287</f>
        <v>#N/A</v>
      </c>
      <c r="R287" s="262">
        <v>0.53768192699999995</v>
      </c>
      <c r="S287" s="262" t="e">
        <f>Q287-R287</f>
        <v>#N/A</v>
      </c>
      <c r="T287" s="263"/>
      <c r="U287" s="262" t="e">
        <f>(T287-P287)/T287</f>
        <v>#N/A</v>
      </c>
      <c r="V287" s="292">
        <v>107001004</v>
      </c>
      <c r="W287" s="262" t="s">
        <v>563</v>
      </c>
    </row>
    <row r="288" spans="1:23" ht="15" customHeight="1" x14ac:dyDescent="0.3">
      <c r="A288" s="287" t="s">
        <v>812</v>
      </c>
      <c r="B288" s="254" t="e">
        <f>_xlfn.XLOOKUP(A288,'Base de Dados'!D:D,'Base de Dados'!B:B)</f>
        <v>#N/A</v>
      </c>
      <c r="C288" s="288" t="e">
        <f>_xlfn.XLOOKUP(PRECIFICAÇÃO[[#This Row],[INVOICE]],'Base de Dados'!D:D,'Base de Dados'!X:X)</f>
        <v>#N/A</v>
      </c>
      <c r="D288" s="68">
        <v>373494</v>
      </c>
      <c r="E288" s="254" t="s">
        <v>910</v>
      </c>
      <c r="F288" s="255">
        <v>1206</v>
      </c>
      <c r="G288" s="321">
        <v>3.4</v>
      </c>
      <c r="H288" s="256">
        <v>5.1176000000000004</v>
      </c>
      <c r="I288" s="257">
        <f t="shared" si="53"/>
        <v>17.399840000000001</v>
      </c>
      <c r="J288" s="258">
        <f t="shared" si="54"/>
        <v>20984.207040000001</v>
      </c>
      <c r="K288" s="258" t="e">
        <f>J288/_xlfn.XLOOKUP(A288,'Base de Dados'!D:D,'Base de Dados'!M:M)</f>
        <v>#N/A</v>
      </c>
      <c r="L288" s="258" t="e">
        <f>K288*_xlfn.XLOOKUP(A288,'Base de Dados'!D:D,'Base de Dados'!N:N)</f>
        <v>#N/A</v>
      </c>
      <c r="M288" s="260" t="e">
        <f>J288+L288</f>
        <v>#N/A</v>
      </c>
      <c r="N288" s="261" t="e">
        <f t="shared" si="55"/>
        <v>#N/A</v>
      </c>
      <c r="O288" s="262">
        <f>R288-0.1</f>
        <v>0.43768192699999997</v>
      </c>
      <c r="P288" s="263" t="e">
        <f>ROUND(N288/O288,0)</f>
        <v>#N/A</v>
      </c>
      <c r="Q288" s="262" t="e">
        <f>(P288-N288)/P288</f>
        <v>#N/A</v>
      </c>
      <c r="R288" s="262">
        <v>0.53768192699999995</v>
      </c>
      <c r="S288" s="262" t="e">
        <f>Q288-R288</f>
        <v>#N/A</v>
      </c>
      <c r="T288" s="263"/>
      <c r="U288" s="262" t="e">
        <f>(T288-P288)/T288</f>
        <v>#N/A</v>
      </c>
      <c r="V288" s="292">
        <v>107001004</v>
      </c>
      <c r="W288" s="262" t="s">
        <v>563</v>
      </c>
    </row>
    <row r="289" spans="1:23" ht="15" customHeight="1" x14ac:dyDescent="0.3">
      <c r="A289" s="287" t="s">
        <v>812</v>
      </c>
      <c r="B289" s="244" t="e">
        <f>_xlfn.XLOOKUP(A289,'Base de Dados'!D:D,'Base de Dados'!B:B)</f>
        <v>#N/A</v>
      </c>
      <c r="C289" s="275" t="e">
        <f>_xlfn.XLOOKUP(PRECIFICAÇÃO[[#This Row],[INVOICE]],'Base de Dados'!D:D,'Base de Dados'!X:X)</f>
        <v>#N/A</v>
      </c>
      <c r="D289" s="54">
        <v>373495</v>
      </c>
      <c r="E289" s="244" t="s">
        <v>911</v>
      </c>
      <c r="F289" s="245">
        <v>702</v>
      </c>
      <c r="G289" s="319">
        <v>3.4</v>
      </c>
      <c r="H289" s="246">
        <v>5.1176000000000004</v>
      </c>
      <c r="I289" s="247">
        <f t="shared" si="53"/>
        <v>17.399840000000001</v>
      </c>
      <c r="J289" s="248">
        <f t="shared" si="54"/>
        <v>12214.687680000001</v>
      </c>
      <c r="K289" s="249" t="e">
        <f>J289/_xlfn.XLOOKUP(A289,'Base de Dados'!D:D,'Base de Dados'!M:M)</f>
        <v>#N/A</v>
      </c>
      <c r="L289" s="248" t="e">
        <f>K289*_xlfn.XLOOKUP(A289,'Base de Dados'!D:D,'Base de Dados'!N:N)</f>
        <v>#N/A</v>
      </c>
      <c r="M289" s="250" t="e">
        <f t="shared" ref="M289:M312" si="74">J289+L289</f>
        <v>#N/A</v>
      </c>
      <c r="N289" s="251" t="e">
        <f t="shared" si="55"/>
        <v>#N/A</v>
      </c>
      <c r="O289" s="252">
        <f t="shared" ref="O289:O312" si="75">R289-0.1</f>
        <v>0.43768192699999997</v>
      </c>
      <c r="P289" s="253" t="e">
        <f t="shared" ref="P289:P312" si="76">ROUND(N289/O289,0)</f>
        <v>#N/A</v>
      </c>
      <c r="Q289" s="252" t="e">
        <f t="shared" ref="Q289:Q312" si="77">(P289-N289)/P289</f>
        <v>#N/A</v>
      </c>
      <c r="R289" s="252">
        <v>0.53768192699999995</v>
      </c>
      <c r="S289" s="252" t="e">
        <f t="shared" ref="S289:S312" si="78">Q289-R289</f>
        <v>#N/A</v>
      </c>
      <c r="T289" s="253"/>
      <c r="U289" s="252" t="e">
        <f t="shared" ref="U289:U312" si="79">(T289-P289)/T289</f>
        <v>#N/A</v>
      </c>
      <c r="V289" s="290">
        <v>107001004</v>
      </c>
      <c r="W289" s="252" t="s">
        <v>563</v>
      </c>
    </row>
    <row r="290" spans="1:23" ht="15" customHeight="1" x14ac:dyDescent="0.3">
      <c r="A290" s="287" t="s">
        <v>812</v>
      </c>
      <c r="B290" s="244" t="e">
        <f>_xlfn.XLOOKUP(A290,'Base de Dados'!D:D,'Base de Dados'!B:B)</f>
        <v>#N/A</v>
      </c>
      <c r="C290" s="275" t="e">
        <f>_xlfn.XLOOKUP(PRECIFICAÇÃO[[#This Row],[INVOICE]],'Base de Dados'!D:D,'Base de Dados'!X:X)</f>
        <v>#N/A</v>
      </c>
      <c r="D290" s="54">
        <v>373498</v>
      </c>
      <c r="E290" s="244" t="s">
        <v>914</v>
      </c>
      <c r="F290" s="245">
        <v>300</v>
      </c>
      <c r="G290" s="319">
        <v>6.03</v>
      </c>
      <c r="H290" s="246">
        <v>5.1176000000000004</v>
      </c>
      <c r="I290" s="247">
        <f t="shared" si="53"/>
        <v>30.859128000000002</v>
      </c>
      <c r="J290" s="248">
        <f t="shared" si="54"/>
        <v>9257.7384000000002</v>
      </c>
      <c r="K290" s="249" t="e">
        <f>J290/_xlfn.XLOOKUP(A290,'Base de Dados'!D:D,'Base de Dados'!M:M)</f>
        <v>#N/A</v>
      </c>
      <c r="L290" s="248" t="e">
        <f>K290*_xlfn.XLOOKUP(A290,'Base de Dados'!D:D,'Base de Dados'!N:N)</f>
        <v>#N/A</v>
      </c>
      <c r="M290" s="250" t="e">
        <f t="shared" si="74"/>
        <v>#N/A</v>
      </c>
      <c r="N290" s="251" t="e">
        <f t="shared" si="55"/>
        <v>#N/A</v>
      </c>
      <c r="O290" s="252">
        <f t="shared" si="75"/>
        <v>0.43768192699999997</v>
      </c>
      <c r="P290" s="253" t="e">
        <f t="shared" si="76"/>
        <v>#N/A</v>
      </c>
      <c r="Q290" s="252" t="e">
        <f t="shared" si="77"/>
        <v>#N/A</v>
      </c>
      <c r="R290" s="252">
        <v>0.53768192699999995</v>
      </c>
      <c r="S290" s="252" t="e">
        <f t="shared" si="78"/>
        <v>#N/A</v>
      </c>
      <c r="T290" s="253"/>
      <c r="U290" s="252" t="e">
        <f t="shared" si="79"/>
        <v>#N/A</v>
      </c>
      <c r="V290" s="290">
        <v>107001004</v>
      </c>
      <c r="W290" s="252" t="s">
        <v>563</v>
      </c>
    </row>
    <row r="291" spans="1:23" ht="15" customHeight="1" x14ac:dyDescent="0.3">
      <c r="A291" s="287" t="s">
        <v>812</v>
      </c>
      <c r="B291" s="244" t="e">
        <f>_xlfn.XLOOKUP(A291,'Base de Dados'!D:D,'Base de Dados'!B:B)</f>
        <v>#N/A</v>
      </c>
      <c r="C291" s="275" t="e">
        <f>_xlfn.XLOOKUP(PRECIFICAÇÃO[[#This Row],[INVOICE]],'Base de Dados'!D:D,'Base de Dados'!X:X)</f>
        <v>#N/A</v>
      </c>
      <c r="D291" s="54">
        <v>373499</v>
      </c>
      <c r="E291" s="244" t="s">
        <v>915</v>
      </c>
      <c r="F291" s="245">
        <v>300</v>
      </c>
      <c r="G291" s="319">
        <v>7.83</v>
      </c>
      <c r="H291" s="246">
        <v>5.1176000000000004</v>
      </c>
      <c r="I291" s="247">
        <f t="shared" si="53"/>
        <v>40.070808000000007</v>
      </c>
      <c r="J291" s="248">
        <f t="shared" si="54"/>
        <v>12021.242400000003</v>
      </c>
      <c r="K291" s="249" t="e">
        <f>J291/_xlfn.XLOOKUP(A291,'Base de Dados'!D:D,'Base de Dados'!M:M)</f>
        <v>#N/A</v>
      </c>
      <c r="L291" s="248" t="e">
        <f>K291*_xlfn.XLOOKUP(A291,'Base de Dados'!D:D,'Base de Dados'!N:N)</f>
        <v>#N/A</v>
      </c>
      <c r="M291" s="250" t="e">
        <f t="shared" si="74"/>
        <v>#N/A</v>
      </c>
      <c r="N291" s="251" t="e">
        <f t="shared" si="55"/>
        <v>#N/A</v>
      </c>
      <c r="O291" s="252">
        <f t="shared" si="75"/>
        <v>0.43768192699999997</v>
      </c>
      <c r="P291" s="253" t="e">
        <f t="shared" si="76"/>
        <v>#N/A</v>
      </c>
      <c r="Q291" s="252" t="e">
        <f t="shared" si="77"/>
        <v>#N/A</v>
      </c>
      <c r="R291" s="252">
        <v>0.53768192699999995</v>
      </c>
      <c r="S291" s="252" t="e">
        <f t="shared" si="78"/>
        <v>#N/A</v>
      </c>
      <c r="T291" s="253"/>
      <c r="U291" s="252" t="e">
        <f t="shared" si="79"/>
        <v>#N/A</v>
      </c>
      <c r="V291" s="290">
        <v>107001004</v>
      </c>
      <c r="W291" s="252" t="s">
        <v>563</v>
      </c>
    </row>
    <row r="292" spans="1:23" ht="15" customHeight="1" x14ac:dyDescent="0.3">
      <c r="A292" s="287" t="s">
        <v>812</v>
      </c>
      <c r="B292" s="244" t="e">
        <f>_xlfn.XLOOKUP(A292,'Base de Dados'!D:D,'Base de Dados'!B:B)</f>
        <v>#N/A</v>
      </c>
      <c r="C292" s="275" t="e">
        <f>_xlfn.XLOOKUP(PRECIFICAÇÃO[[#This Row],[INVOICE]],'Base de Dados'!D:D,'Base de Dados'!X:X)</f>
        <v>#N/A</v>
      </c>
      <c r="D292" s="54">
        <v>373500</v>
      </c>
      <c r="E292" s="244" t="s">
        <v>916</v>
      </c>
      <c r="F292" s="245">
        <v>340</v>
      </c>
      <c r="G292" s="319">
        <v>7.83</v>
      </c>
      <c r="H292" s="246">
        <v>5.1176000000000004</v>
      </c>
      <c r="I292" s="247">
        <f t="shared" si="53"/>
        <v>40.070808000000007</v>
      </c>
      <c r="J292" s="248">
        <f t="shared" si="54"/>
        <v>13624.074720000002</v>
      </c>
      <c r="K292" s="249" t="e">
        <f>J292/_xlfn.XLOOKUP(A292,'Base de Dados'!D:D,'Base de Dados'!M:M)</f>
        <v>#N/A</v>
      </c>
      <c r="L292" s="248" t="e">
        <f>K292*_xlfn.XLOOKUP(A292,'Base de Dados'!D:D,'Base de Dados'!N:N)</f>
        <v>#N/A</v>
      </c>
      <c r="M292" s="250" t="e">
        <f t="shared" si="74"/>
        <v>#N/A</v>
      </c>
      <c r="N292" s="251" t="e">
        <f t="shared" si="55"/>
        <v>#N/A</v>
      </c>
      <c r="O292" s="252">
        <f t="shared" si="75"/>
        <v>0.43768192699999997</v>
      </c>
      <c r="P292" s="253" t="e">
        <f t="shared" si="76"/>
        <v>#N/A</v>
      </c>
      <c r="Q292" s="252" t="e">
        <f t="shared" si="77"/>
        <v>#N/A</v>
      </c>
      <c r="R292" s="252">
        <v>0.53768192699999995</v>
      </c>
      <c r="S292" s="252" t="e">
        <f t="shared" si="78"/>
        <v>#N/A</v>
      </c>
      <c r="T292" s="253"/>
      <c r="U292" s="252" t="e">
        <f t="shared" si="79"/>
        <v>#N/A</v>
      </c>
      <c r="V292" s="290">
        <v>107001004</v>
      </c>
      <c r="W292" s="252" t="s">
        <v>563</v>
      </c>
    </row>
    <row r="293" spans="1:23" ht="15" customHeight="1" x14ac:dyDescent="0.3">
      <c r="A293" s="287" t="s">
        <v>812</v>
      </c>
      <c r="B293" s="244" t="e">
        <f>_xlfn.XLOOKUP(A293,'Base de Dados'!D:D,'Base de Dados'!B:B)</f>
        <v>#N/A</v>
      </c>
      <c r="C293" s="275" t="e">
        <f>_xlfn.XLOOKUP(PRECIFICAÇÃO[[#This Row],[INVOICE]],'Base de Dados'!D:D,'Base de Dados'!X:X)</f>
        <v>#N/A</v>
      </c>
      <c r="D293" s="54">
        <v>373501</v>
      </c>
      <c r="E293" s="244" t="s">
        <v>917</v>
      </c>
      <c r="F293" s="245">
        <v>600</v>
      </c>
      <c r="G293" s="319">
        <v>7.83</v>
      </c>
      <c r="H293" s="246">
        <v>5.1176000000000004</v>
      </c>
      <c r="I293" s="247">
        <f t="shared" si="53"/>
        <v>40.070808000000007</v>
      </c>
      <c r="J293" s="248">
        <f t="shared" si="54"/>
        <v>24042.484800000006</v>
      </c>
      <c r="K293" s="249" t="e">
        <f>J293/_xlfn.XLOOKUP(A293,'Base de Dados'!D:D,'Base de Dados'!M:M)</f>
        <v>#N/A</v>
      </c>
      <c r="L293" s="248" t="e">
        <f>K293*_xlfn.XLOOKUP(A293,'Base de Dados'!D:D,'Base de Dados'!N:N)</f>
        <v>#N/A</v>
      </c>
      <c r="M293" s="250" t="e">
        <f t="shared" si="74"/>
        <v>#N/A</v>
      </c>
      <c r="N293" s="251" t="e">
        <f t="shared" si="55"/>
        <v>#N/A</v>
      </c>
      <c r="O293" s="252">
        <f t="shared" si="75"/>
        <v>0.43768192699999997</v>
      </c>
      <c r="P293" s="253" t="e">
        <f t="shared" si="76"/>
        <v>#N/A</v>
      </c>
      <c r="Q293" s="252" t="e">
        <f t="shared" si="77"/>
        <v>#N/A</v>
      </c>
      <c r="R293" s="252">
        <v>0.53768192699999995</v>
      </c>
      <c r="S293" s="252" t="e">
        <f t="shared" si="78"/>
        <v>#N/A</v>
      </c>
      <c r="T293" s="253"/>
      <c r="U293" s="252" t="e">
        <f t="shared" si="79"/>
        <v>#N/A</v>
      </c>
      <c r="V293" s="290">
        <v>107001004</v>
      </c>
      <c r="W293" s="252" t="s">
        <v>563</v>
      </c>
    </row>
    <row r="294" spans="1:23" ht="15" customHeight="1" x14ac:dyDescent="0.3">
      <c r="A294" s="287" t="s">
        <v>812</v>
      </c>
      <c r="B294" s="244" t="e">
        <f>_xlfn.XLOOKUP(A294,'Base de Dados'!D:D,'Base de Dados'!B:B)</f>
        <v>#N/A</v>
      </c>
      <c r="C294" s="275" t="e">
        <f>_xlfn.XLOOKUP(PRECIFICAÇÃO[[#This Row],[INVOICE]],'Base de Dados'!D:D,'Base de Dados'!X:X)</f>
        <v>#N/A</v>
      </c>
      <c r="D294" s="54">
        <v>387131</v>
      </c>
      <c r="E294" s="244" t="s">
        <v>551</v>
      </c>
      <c r="F294" s="245">
        <v>252</v>
      </c>
      <c r="G294" s="319">
        <v>17.78</v>
      </c>
      <c r="H294" s="246">
        <v>5.1176000000000004</v>
      </c>
      <c r="I294" s="247">
        <f t="shared" si="53"/>
        <v>90.990928000000011</v>
      </c>
      <c r="J294" s="248">
        <f t="shared" si="54"/>
        <v>22929.713856000002</v>
      </c>
      <c r="K294" s="249" t="e">
        <f>J294/_xlfn.XLOOKUP(A294,'Base de Dados'!D:D,'Base de Dados'!M:M)</f>
        <v>#N/A</v>
      </c>
      <c r="L294" s="248" t="e">
        <f>K294*_xlfn.XLOOKUP(A294,'Base de Dados'!D:D,'Base de Dados'!N:N)</f>
        <v>#N/A</v>
      </c>
      <c r="M294" s="250" t="e">
        <f t="shared" si="74"/>
        <v>#N/A</v>
      </c>
      <c r="N294" s="251" t="e">
        <f t="shared" si="55"/>
        <v>#N/A</v>
      </c>
      <c r="O294" s="252">
        <f t="shared" si="75"/>
        <v>0.42743574600000001</v>
      </c>
      <c r="P294" s="253" t="e">
        <f t="shared" si="76"/>
        <v>#N/A</v>
      </c>
      <c r="Q294" s="252" t="e">
        <f t="shared" si="77"/>
        <v>#N/A</v>
      </c>
      <c r="R294" s="252">
        <v>0.52743574599999998</v>
      </c>
      <c r="S294" s="252" t="e">
        <f t="shared" si="78"/>
        <v>#N/A</v>
      </c>
      <c r="T294" s="253"/>
      <c r="U294" s="252" t="e">
        <f t="shared" si="79"/>
        <v>#N/A</v>
      </c>
      <c r="V294" s="290">
        <v>107001003</v>
      </c>
      <c r="W294" s="252" t="s">
        <v>534</v>
      </c>
    </row>
    <row r="295" spans="1:23" ht="15" customHeight="1" x14ac:dyDescent="0.3">
      <c r="A295" s="287" t="s">
        <v>812</v>
      </c>
      <c r="B295" s="244" t="e">
        <f>_xlfn.XLOOKUP(A295,'Base de Dados'!D:D,'Base de Dados'!B:B)</f>
        <v>#N/A</v>
      </c>
      <c r="C295" s="275" t="e">
        <f>_xlfn.XLOOKUP(PRECIFICAÇÃO[[#This Row],[INVOICE]],'Base de Dados'!D:D,'Base de Dados'!X:X)</f>
        <v>#N/A</v>
      </c>
      <c r="D295" s="54">
        <v>387132</v>
      </c>
      <c r="E295" s="244" t="s">
        <v>552</v>
      </c>
      <c r="F295" s="245">
        <v>252</v>
      </c>
      <c r="G295" s="319">
        <v>17.78</v>
      </c>
      <c r="H295" s="246">
        <v>5.1176000000000004</v>
      </c>
      <c r="I295" s="247">
        <f t="shared" si="53"/>
        <v>90.990928000000011</v>
      </c>
      <c r="J295" s="248">
        <f t="shared" si="54"/>
        <v>22929.713856000002</v>
      </c>
      <c r="K295" s="249" t="e">
        <f>J295/_xlfn.XLOOKUP(A295,'Base de Dados'!D:D,'Base de Dados'!M:M)</f>
        <v>#N/A</v>
      </c>
      <c r="L295" s="248" t="e">
        <f>K295*_xlfn.XLOOKUP(A295,'Base de Dados'!D:D,'Base de Dados'!N:N)</f>
        <v>#N/A</v>
      </c>
      <c r="M295" s="250" t="e">
        <f t="shared" si="74"/>
        <v>#N/A</v>
      </c>
      <c r="N295" s="251" t="e">
        <f t="shared" si="55"/>
        <v>#N/A</v>
      </c>
      <c r="O295" s="252">
        <f t="shared" si="75"/>
        <v>0.42743574600000001</v>
      </c>
      <c r="P295" s="253" t="e">
        <f t="shared" si="76"/>
        <v>#N/A</v>
      </c>
      <c r="Q295" s="252" t="e">
        <f t="shared" si="77"/>
        <v>#N/A</v>
      </c>
      <c r="R295" s="252">
        <v>0.52743574599999998</v>
      </c>
      <c r="S295" s="252" t="e">
        <f t="shared" si="78"/>
        <v>#N/A</v>
      </c>
      <c r="T295" s="253"/>
      <c r="U295" s="252" t="e">
        <f t="shared" si="79"/>
        <v>#N/A</v>
      </c>
      <c r="V295" s="290">
        <v>107001003</v>
      </c>
      <c r="W295" s="252" t="s">
        <v>534</v>
      </c>
    </row>
    <row r="296" spans="1:23" ht="15" customHeight="1" x14ac:dyDescent="0.3">
      <c r="A296" s="287" t="s">
        <v>812</v>
      </c>
      <c r="B296" s="244" t="e">
        <f>_xlfn.XLOOKUP(A296,'Base de Dados'!D:D,'Base de Dados'!B:B)</f>
        <v>#N/A</v>
      </c>
      <c r="C296" s="275" t="e">
        <f>_xlfn.XLOOKUP(PRECIFICAÇÃO[[#This Row],[INVOICE]],'Base de Dados'!D:D,'Base de Dados'!X:X)</f>
        <v>#N/A</v>
      </c>
      <c r="D296" s="54">
        <v>387133</v>
      </c>
      <c r="E296" s="244" t="s">
        <v>553</v>
      </c>
      <c r="F296" s="245">
        <v>252</v>
      </c>
      <c r="G296" s="319">
        <v>17.78</v>
      </c>
      <c r="H296" s="246">
        <v>5.1176000000000004</v>
      </c>
      <c r="I296" s="247">
        <f t="shared" si="53"/>
        <v>90.990928000000011</v>
      </c>
      <c r="J296" s="248">
        <f t="shared" si="54"/>
        <v>22929.713856000002</v>
      </c>
      <c r="K296" s="249" t="e">
        <f>J296/_xlfn.XLOOKUP(A296,'Base de Dados'!D:D,'Base de Dados'!M:M)</f>
        <v>#N/A</v>
      </c>
      <c r="L296" s="248" t="e">
        <f>K296*_xlfn.XLOOKUP(A296,'Base de Dados'!D:D,'Base de Dados'!N:N)</f>
        <v>#N/A</v>
      </c>
      <c r="M296" s="250" t="e">
        <f t="shared" si="74"/>
        <v>#N/A</v>
      </c>
      <c r="N296" s="251" t="e">
        <f t="shared" si="55"/>
        <v>#N/A</v>
      </c>
      <c r="O296" s="252">
        <f t="shared" si="75"/>
        <v>0.42743574600000001</v>
      </c>
      <c r="P296" s="253" t="e">
        <f t="shared" si="76"/>
        <v>#N/A</v>
      </c>
      <c r="Q296" s="252" t="e">
        <f t="shared" si="77"/>
        <v>#N/A</v>
      </c>
      <c r="R296" s="252">
        <v>0.52743574599999998</v>
      </c>
      <c r="S296" s="252" t="e">
        <f t="shared" si="78"/>
        <v>#N/A</v>
      </c>
      <c r="T296" s="253"/>
      <c r="U296" s="252" t="e">
        <f t="shared" si="79"/>
        <v>#N/A</v>
      </c>
      <c r="V296" s="290">
        <v>107001003</v>
      </c>
      <c r="W296" s="252" t="s">
        <v>534</v>
      </c>
    </row>
    <row r="297" spans="1:23" ht="15" customHeight="1" x14ac:dyDescent="0.3">
      <c r="A297" s="287" t="s">
        <v>812</v>
      </c>
      <c r="B297" s="244" t="e">
        <f>_xlfn.XLOOKUP(A297,'Base de Dados'!D:D,'Base de Dados'!B:B)</f>
        <v>#N/A</v>
      </c>
      <c r="C297" s="275" t="e">
        <f>_xlfn.XLOOKUP(PRECIFICAÇÃO[[#This Row],[INVOICE]],'Base de Dados'!D:D,'Base de Dados'!X:X)</f>
        <v>#N/A</v>
      </c>
      <c r="D297" s="54">
        <v>387134</v>
      </c>
      <c r="E297" s="244" t="s">
        <v>554</v>
      </c>
      <c r="F297" s="245">
        <v>252</v>
      </c>
      <c r="G297" s="319">
        <v>17.78</v>
      </c>
      <c r="H297" s="246">
        <v>5.1176000000000004</v>
      </c>
      <c r="I297" s="247">
        <f t="shared" si="53"/>
        <v>90.990928000000011</v>
      </c>
      <c r="J297" s="248">
        <f t="shared" si="54"/>
        <v>22929.713856000002</v>
      </c>
      <c r="K297" s="249" t="e">
        <f>J297/_xlfn.XLOOKUP(A297,'Base de Dados'!D:D,'Base de Dados'!M:M)</f>
        <v>#N/A</v>
      </c>
      <c r="L297" s="248" t="e">
        <f>K297*_xlfn.XLOOKUP(A297,'Base de Dados'!D:D,'Base de Dados'!N:N)</f>
        <v>#N/A</v>
      </c>
      <c r="M297" s="250" t="e">
        <f t="shared" si="74"/>
        <v>#N/A</v>
      </c>
      <c r="N297" s="251" t="e">
        <f t="shared" si="55"/>
        <v>#N/A</v>
      </c>
      <c r="O297" s="252">
        <f t="shared" si="75"/>
        <v>0.42743574600000001</v>
      </c>
      <c r="P297" s="253" t="e">
        <f t="shared" si="76"/>
        <v>#N/A</v>
      </c>
      <c r="Q297" s="252" t="e">
        <f t="shared" si="77"/>
        <v>#N/A</v>
      </c>
      <c r="R297" s="252">
        <v>0.52743574599999998</v>
      </c>
      <c r="S297" s="252" t="e">
        <f t="shared" si="78"/>
        <v>#N/A</v>
      </c>
      <c r="T297" s="253"/>
      <c r="U297" s="252" t="e">
        <f t="shared" si="79"/>
        <v>#N/A</v>
      </c>
      <c r="V297" s="290">
        <v>107001003</v>
      </c>
      <c r="W297" s="252" t="s">
        <v>534</v>
      </c>
    </row>
    <row r="298" spans="1:23" ht="15" customHeight="1" x14ac:dyDescent="0.3">
      <c r="A298" s="287" t="s">
        <v>812</v>
      </c>
      <c r="B298" s="244" t="e">
        <f>_xlfn.XLOOKUP(A298,'Base de Dados'!D:D,'Base de Dados'!B:B)</f>
        <v>#N/A</v>
      </c>
      <c r="C298" s="275" t="e">
        <f>_xlfn.XLOOKUP(PRECIFICAÇÃO[[#This Row],[INVOICE]],'Base de Dados'!D:D,'Base de Dados'!X:X)</f>
        <v>#N/A</v>
      </c>
      <c r="D298" s="54">
        <v>387135</v>
      </c>
      <c r="E298" s="244" t="s">
        <v>555</v>
      </c>
      <c r="F298" s="245">
        <v>250</v>
      </c>
      <c r="G298" s="319">
        <v>18.329999999999998</v>
      </c>
      <c r="H298" s="246">
        <v>5.1176000000000004</v>
      </c>
      <c r="I298" s="247">
        <f t="shared" si="53"/>
        <v>93.805607999999992</v>
      </c>
      <c r="J298" s="248">
        <f t="shared" si="54"/>
        <v>23451.401999999998</v>
      </c>
      <c r="K298" s="249" t="e">
        <f>J298/_xlfn.XLOOKUP(A298,'Base de Dados'!D:D,'Base de Dados'!M:M)</f>
        <v>#N/A</v>
      </c>
      <c r="L298" s="248" t="e">
        <f>K298*_xlfn.XLOOKUP(A298,'Base de Dados'!D:D,'Base de Dados'!N:N)</f>
        <v>#N/A</v>
      </c>
      <c r="M298" s="250" t="e">
        <f t="shared" si="74"/>
        <v>#N/A</v>
      </c>
      <c r="N298" s="251" t="e">
        <f t="shared" si="55"/>
        <v>#N/A</v>
      </c>
      <c r="O298" s="252">
        <f t="shared" si="75"/>
        <v>0.42743574600000001</v>
      </c>
      <c r="P298" s="253" t="e">
        <f t="shared" si="76"/>
        <v>#N/A</v>
      </c>
      <c r="Q298" s="252" t="e">
        <f t="shared" si="77"/>
        <v>#N/A</v>
      </c>
      <c r="R298" s="252">
        <v>0.52743574599999998</v>
      </c>
      <c r="S298" s="252" t="e">
        <f t="shared" si="78"/>
        <v>#N/A</v>
      </c>
      <c r="T298" s="253"/>
      <c r="U298" s="252" t="e">
        <f t="shared" si="79"/>
        <v>#N/A</v>
      </c>
      <c r="V298" s="290">
        <v>107001003</v>
      </c>
      <c r="W298" s="252" t="s">
        <v>534</v>
      </c>
    </row>
    <row r="299" spans="1:23" ht="15" customHeight="1" x14ac:dyDescent="0.3">
      <c r="A299" s="287" t="s">
        <v>812</v>
      </c>
      <c r="B299" s="244" t="e">
        <f>_xlfn.XLOOKUP(A299,'Base de Dados'!D:D,'Base de Dados'!B:B)</f>
        <v>#N/A</v>
      </c>
      <c r="C299" s="275" t="e">
        <f>_xlfn.XLOOKUP(PRECIFICAÇÃO[[#This Row],[INVOICE]],'Base de Dados'!D:D,'Base de Dados'!X:X)</f>
        <v>#N/A</v>
      </c>
      <c r="D299" s="54">
        <v>387136</v>
      </c>
      <c r="E299" s="244" t="s">
        <v>556</v>
      </c>
      <c r="F299" s="245">
        <v>250</v>
      </c>
      <c r="G299" s="319">
        <v>18.329999999999998</v>
      </c>
      <c r="H299" s="246">
        <v>5.1176000000000004</v>
      </c>
      <c r="I299" s="247">
        <f t="shared" si="53"/>
        <v>93.805607999999992</v>
      </c>
      <c r="J299" s="248">
        <f t="shared" si="54"/>
        <v>23451.401999999998</v>
      </c>
      <c r="K299" s="249" t="e">
        <f>J299/_xlfn.XLOOKUP(A299,'Base de Dados'!D:D,'Base de Dados'!M:M)</f>
        <v>#N/A</v>
      </c>
      <c r="L299" s="248" t="e">
        <f>K299*_xlfn.XLOOKUP(A299,'Base de Dados'!D:D,'Base de Dados'!N:N)</f>
        <v>#N/A</v>
      </c>
      <c r="M299" s="250" t="e">
        <f t="shared" si="74"/>
        <v>#N/A</v>
      </c>
      <c r="N299" s="251" t="e">
        <f t="shared" si="55"/>
        <v>#N/A</v>
      </c>
      <c r="O299" s="252">
        <f t="shared" si="75"/>
        <v>0.42743574600000001</v>
      </c>
      <c r="P299" s="253" t="e">
        <f t="shared" si="76"/>
        <v>#N/A</v>
      </c>
      <c r="Q299" s="252" t="e">
        <f t="shared" si="77"/>
        <v>#N/A</v>
      </c>
      <c r="R299" s="252">
        <v>0.52743574599999998</v>
      </c>
      <c r="S299" s="252" t="e">
        <f t="shared" si="78"/>
        <v>#N/A</v>
      </c>
      <c r="T299" s="253"/>
      <c r="U299" s="252" t="e">
        <f t="shared" si="79"/>
        <v>#N/A</v>
      </c>
      <c r="V299" s="290">
        <v>107001003</v>
      </c>
      <c r="W299" s="252" t="s">
        <v>534</v>
      </c>
    </row>
    <row r="300" spans="1:23" ht="15" customHeight="1" x14ac:dyDescent="0.3">
      <c r="A300" s="287" t="s">
        <v>812</v>
      </c>
      <c r="B300" s="244" t="e">
        <f>_xlfn.XLOOKUP(A300,'Base de Dados'!D:D,'Base de Dados'!B:B)</f>
        <v>#N/A</v>
      </c>
      <c r="C300" s="275" t="e">
        <f>_xlfn.XLOOKUP(PRECIFICAÇÃO[[#This Row],[INVOICE]],'Base de Dados'!D:D,'Base de Dados'!X:X)</f>
        <v>#N/A</v>
      </c>
      <c r="D300" s="54">
        <v>387137</v>
      </c>
      <c r="E300" s="244" t="s">
        <v>557</v>
      </c>
      <c r="F300" s="245">
        <v>250</v>
      </c>
      <c r="G300" s="319">
        <v>18.329999999999998</v>
      </c>
      <c r="H300" s="246">
        <v>5.1176000000000004</v>
      </c>
      <c r="I300" s="247">
        <f t="shared" si="53"/>
        <v>93.805607999999992</v>
      </c>
      <c r="J300" s="248">
        <f t="shared" si="54"/>
        <v>23451.401999999998</v>
      </c>
      <c r="K300" s="249" t="e">
        <f>J300/_xlfn.XLOOKUP(A300,'Base de Dados'!D:D,'Base de Dados'!M:M)</f>
        <v>#N/A</v>
      </c>
      <c r="L300" s="248" t="e">
        <f>K300*_xlfn.XLOOKUP(A300,'Base de Dados'!D:D,'Base de Dados'!N:N)</f>
        <v>#N/A</v>
      </c>
      <c r="M300" s="250" t="e">
        <f t="shared" si="74"/>
        <v>#N/A</v>
      </c>
      <c r="N300" s="251" t="e">
        <f t="shared" si="55"/>
        <v>#N/A</v>
      </c>
      <c r="O300" s="252">
        <f t="shared" si="75"/>
        <v>0.42743574600000001</v>
      </c>
      <c r="P300" s="253" t="e">
        <f t="shared" si="76"/>
        <v>#N/A</v>
      </c>
      <c r="Q300" s="252" t="e">
        <f t="shared" si="77"/>
        <v>#N/A</v>
      </c>
      <c r="R300" s="252">
        <v>0.52743574599999998</v>
      </c>
      <c r="S300" s="252" t="e">
        <f t="shared" si="78"/>
        <v>#N/A</v>
      </c>
      <c r="T300" s="253"/>
      <c r="U300" s="252" t="e">
        <f t="shared" si="79"/>
        <v>#N/A</v>
      </c>
      <c r="V300" s="290">
        <v>107001003</v>
      </c>
      <c r="W300" s="252" t="s">
        <v>534</v>
      </c>
    </row>
    <row r="301" spans="1:23" ht="15" customHeight="1" x14ac:dyDescent="0.3">
      <c r="A301" s="287" t="s">
        <v>812</v>
      </c>
      <c r="B301" s="244" t="e">
        <f>_xlfn.XLOOKUP(A301,'Base de Dados'!D:D,'Base de Dados'!B:B)</f>
        <v>#N/A</v>
      </c>
      <c r="C301" s="275" t="e">
        <f>_xlfn.XLOOKUP(PRECIFICAÇÃO[[#This Row],[INVOICE]],'Base de Dados'!D:D,'Base de Dados'!X:X)</f>
        <v>#N/A</v>
      </c>
      <c r="D301" s="54">
        <v>387138</v>
      </c>
      <c r="E301" s="244" t="s">
        <v>558</v>
      </c>
      <c r="F301" s="245">
        <v>250</v>
      </c>
      <c r="G301" s="319">
        <v>18.329999999999998</v>
      </c>
      <c r="H301" s="246">
        <v>5.1176000000000004</v>
      </c>
      <c r="I301" s="247">
        <f t="shared" si="53"/>
        <v>93.805607999999992</v>
      </c>
      <c r="J301" s="248">
        <f t="shared" si="54"/>
        <v>23451.401999999998</v>
      </c>
      <c r="K301" s="249" t="e">
        <f>J301/_xlfn.XLOOKUP(A301,'Base de Dados'!D:D,'Base de Dados'!M:M)</f>
        <v>#N/A</v>
      </c>
      <c r="L301" s="248" t="e">
        <f>K301*_xlfn.XLOOKUP(A301,'Base de Dados'!D:D,'Base de Dados'!N:N)</f>
        <v>#N/A</v>
      </c>
      <c r="M301" s="250" t="e">
        <f t="shared" si="74"/>
        <v>#N/A</v>
      </c>
      <c r="N301" s="251" t="e">
        <f t="shared" si="55"/>
        <v>#N/A</v>
      </c>
      <c r="O301" s="252">
        <f t="shared" si="75"/>
        <v>0.42743574600000001</v>
      </c>
      <c r="P301" s="253" t="e">
        <f t="shared" si="76"/>
        <v>#N/A</v>
      </c>
      <c r="Q301" s="252" t="e">
        <f t="shared" si="77"/>
        <v>#N/A</v>
      </c>
      <c r="R301" s="252">
        <v>0.52743574599999998</v>
      </c>
      <c r="S301" s="252" t="e">
        <f t="shared" si="78"/>
        <v>#N/A</v>
      </c>
      <c r="T301" s="253"/>
      <c r="U301" s="252" t="e">
        <f t="shared" si="79"/>
        <v>#N/A</v>
      </c>
      <c r="V301" s="290">
        <v>107001003</v>
      </c>
      <c r="W301" s="252" t="s">
        <v>534</v>
      </c>
    </row>
    <row r="302" spans="1:23" ht="15" customHeight="1" x14ac:dyDescent="0.3">
      <c r="A302" s="287" t="s">
        <v>812</v>
      </c>
      <c r="B302" s="244" t="e">
        <f>_xlfn.XLOOKUP(A302,'Base de Dados'!D:D,'Base de Dados'!B:B)</f>
        <v>#N/A</v>
      </c>
      <c r="C302" s="275" t="e">
        <f>_xlfn.XLOOKUP(PRECIFICAÇÃO[[#This Row],[INVOICE]],'Base de Dados'!D:D,'Base de Dados'!X:X)</f>
        <v>#N/A</v>
      </c>
      <c r="D302" s="54">
        <v>387139</v>
      </c>
      <c r="E302" s="244" t="s">
        <v>559</v>
      </c>
      <c r="F302" s="245">
        <v>256</v>
      </c>
      <c r="G302" s="319">
        <v>21.5</v>
      </c>
      <c r="H302" s="246">
        <v>5.1176000000000004</v>
      </c>
      <c r="I302" s="247">
        <f t="shared" si="53"/>
        <v>110.0284</v>
      </c>
      <c r="J302" s="248">
        <f t="shared" si="54"/>
        <v>28167.270400000001</v>
      </c>
      <c r="K302" s="249" t="e">
        <f>J302/_xlfn.XLOOKUP(A302,'Base de Dados'!D:D,'Base de Dados'!M:M)</f>
        <v>#N/A</v>
      </c>
      <c r="L302" s="248" t="e">
        <f>K302*_xlfn.XLOOKUP(A302,'Base de Dados'!D:D,'Base de Dados'!N:N)</f>
        <v>#N/A</v>
      </c>
      <c r="M302" s="250" t="e">
        <f t="shared" si="74"/>
        <v>#N/A</v>
      </c>
      <c r="N302" s="251" t="e">
        <f t="shared" si="55"/>
        <v>#N/A</v>
      </c>
      <c r="O302" s="252">
        <f t="shared" si="75"/>
        <v>0.42743574600000001</v>
      </c>
      <c r="P302" s="253" t="e">
        <f t="shared" si="76"/>
        <v>#N/A</v>
      </c>
      <c r="Q302" s="252" t="e">
        <f t="shared" si="77"/>
        <v>#N/A</v>
      </c>
      <c r="R302" s="252">
        <v>0.52743574599999998</v>
      </c>
      <c r="S302" s="252" t="e">
        <f t="shared" si="78"/>
        <v>#N/A</v>
      </c>
      <c r="T302" s="253"/>
      <c r="U302" s="252" t="e">
        <f t="shared" si="79"/>
        <v>#N/A</v>
      </c>
      <c r="V302" s="290">
        <v>107001003</v>
      </c>
      <c r="W302" s="252" t="s">
        <v>534</v>
      </c>
    </row>
    <row r="303" spans="1:23" ht="15" customHeight="1" x14ac:dyDescent="0.3">
      <c r="A303" s="287" t="s">
        <v>812</v>
      </c>
      <c r="B303" s="244" t="e">
        <f>_xlfn.XLOOKUP(A303,'Base de Dados'!D:D,'Base de Dados'!B:B)</f>
        <v>#N/A</v>
      </c>
      <c r="C303" s="275" t="e">
        <f>_xlfn.XLOOKUP(PRECIFICAÇÃO[[#This Row],[INVOICE]],'Base de Dados'!D:D,'Base de Dados'!X:X)</f>
        <v>#N/A</v>
      </c>
      <c r="D303" s="54">
        <v>387140</v>
      </c>
      <c r="E303" s="244" t="s">
        <v>560</v>
      </c>
      <c r="F303" s="245">
        <v>256</v>
      </c>
      <c r="G303" s="319">
        <v>21.5</v>
      </c>
      <c r="H303" s="246">
        <v>5.1176000000000004</v>
      </c>
      <c r="I303" s="247">
        <f t="shared" si="53"/>
        <v>110.0284</v>
      </c>
      <c r="J303" s="248">
        <f t="shared" si="54"/>
        <v>28167.270400000001</v>
      </c>
      <c r="K303" s="249" t="e">
        <f>J303/_xlfn.XLOOKUP(A303,'Base de Dados'!D:D,'Base de Dados'!M:M)</f>
        <v>#N/A</v>
      </c>
      <c r="L303" s="248" t="e">
        <f>K303*_xlfn.XLOOKUP(A303,'Base de Dados'!D:D,'Base de Dados'!N:N)</f>
        <v>#N/A</v>
      </c>
      <c r="M303" s="250" t="e">
        <f t="shared" si="74"/>
        <v>#N/A</v>
      </c>
      <c r="N303" s="251" t="e">
        <f t="shared" si="55"/>
        <v>#N/A</v>
      </c>
      <c r="O303" s="252">
        <f t="shared" si="75"/>
        <v>0.42743574600000001</v>
      </c>
      <c r="P303" s="253" t="e">
        <f t="shared" si="76"/>
        <v>#N/A</v>
      </c>
      <c r="Q303" s="252" t="e">
        <f t="shared" si="77"/>
        <v>#N/A</v>
      </c>
      <c r="R303" s="252">
        <v>0.52743574599999998</v>
      </c>
      <c r="S303" s="252" t="e">
        <f t="shared" si="78"/>
        <v>#N/A</v>
      </c>
      <c r="T303" s="253"/>
      <c r="U303" s="252" t="e">
        <f t="shared" si="79"/>
        <v>#N/A</v>
      </c>
      <c r="V303" s="290">
        <v>107001003</v>
      </c>
      <c r="W303" s="252" t="s">
        <v>534</v>
      </c>
    </row>
    <row r="304" spans="1:23" ht="15" customHeight="1" x14ac:dyDescent="0.3">
      <c r="A304" s="287" t="s">
        <v>812</v>
      </c>
      <c r="B304" s="244" t="e">
        <f>_xlfn.XLOOKUP(A304,'Base de Dados'!D:D,'Base de Dados'!B:B)</f>
        <v>#N/A</v>
      </c>
      <c r="C304" s="275" t="e">
        <f>_xlfn.XLOOKUP(PRECIFICAÇÃO[[#This Row],[INVOICE]],'Base de Dados'!D:D,'Base de Dados'!X:X)</f>
        <v>#N/A</v>
      </c>
      <c r="D304" s="54">
        <v>387141</v>
      </c>
      <c r="E304" s="244" t="s">
        <v>561</v>
      </c>
      <c r="F304" s="245">
        <v>256</v>
      </c>
      <c r="G304" s="319">
        <v>21.5</v>
      </c>
      <c r="H304" s="246">
        <v>5.1176000000000004</v>
      </c>
      <c r="I304" s="247">
        <f t="shared" si="53"/>
        <v>110.0284</v>
      </c>
      <c r="J304" s="248">
        <f t="shared" si="54"/>
        <v>28167.270400000001</v>
      </c>
      <c r="K304" s="249" t="e">
        <f>J304/_xlfn.XLOOKUP(A304,'Base de Dados'!D:D,'Base de Dados'!M:M)</f>
        <v>#N/A</v>
      </c>
      <c r="L304" s="248" t="e">
        <f>K304*_xlfn.XLOOKUP(A304,'Base de Dados'!D:D,'Base de Dados'!N:N)</f>
        <v>#N/A</v>
      </c>
      <c r="M304" s="250" t="e">
        <f t="shared" si="74"/>
        <v>#N/A</v>
      </c>
      <c r="N304" s="251" t="e">
        <f t="shared" si="55"/>
        <v>#N/A</v>
      </c>
      <c r="O304" s="252">
        <f t="shared" si="75"/>
        <v>0.42743574600000001</v>
      </c>
      <c r="P304" s="253" t="e">
        <f t="shared" si="76"/>
        <v>#N/A</v>
      </c>
      <c r="Q304" s="252" t="e">
        <f t="shared" si="77"/>
        <v>#N/A</v>
      </c>
      <c r="R304" s="252">
        <v>0.52743574599999998</v>
      </c>
      <c r="S304" s="252" t="e">
        <f t="shared" si="78"/>
        <v>#N/A</v>
      </c>
      <c r="T304" s="253"/>
      <c r="U304" s="252" t="e">
        <f t="shared" si="79"/>
        <v>#N/A</v>
      </c>
      <c r="V304" s="290">
        <v>107001003</v>
      </c>
      <c r="W304" s="252" t="s">
        <v>534</v>
      </c>
    </row>
    <row r="305" spans="1:23" ht="15" customHeight="1" x14ac:dyDescent="0.3">
      <c r="A305" s="287" t="s">
        <v>812</v>
      </c>
      <c r="B305" s="244" t="e">
        <f>_xlfn.XLOOKUP(A305,'Base de Dados'!D:D,'Base de Dados'!B:B)</f>
        <v>#N/A</v>
      </c>
      <c r="C305" s="275" t="e">
        <f>_xlfn.XLOOKUP(PRECIFICAÇÃO[[#This Row],[INVOICE]],'Base de Dados'!D:D,'Base de Dados'!X:X)</f>
        <v>#N/A</v>
      </c>
      <c r="D305" s="54">
        <v>387142</v>
      </c>
      <c r="E305" s="244" t="s">
        <v>562</v>
      </c>
      <c r="F305" s="245">
        <v>256</v>
      </c>
      <c r="G305" s="319">
        <v>21.5</v>
      </c>
      <c r="H305" s="246">
        <v>5.1176000000000004</v>
      </c>
      <c r="I305" s="247">
        <f t="shared" si="53"/>
        <v>110.0284</v>
      </c>
      <c r="J305" s="248">
        <f t="shared" si="54"/>
        <v>28167.270400000001</v>
      </c>
      <c r="K305" s="249" t="e">
        <f>J305/_xlfn.XLOOKUP(A305,'Base de Dados'!D:D,'Base de Dados'!M:M)</f>
        <v>#N/A</v>
      </c>
      <c r="L305" s="248" t="e">
        <f>K305*_xlfn.XLOOKUP(A305,'Base de Dados'!D:D,'Base de Dados'!N:N)</f>
        <v>#N/A</v>
      </c>
      <c r="M305" s="250" t="e">
        <f t="shared" si="74"/>
        <v>#N/A</v>
      </c>
      <c r="N305" s="251" t="e">
        <f t="shared" si="55"/>
        <v>#N/A</v>
      </c>
      <c r="O305" s="252">
        <f t="shared" si="75"/>
        <v>0.42743574600000001</v>
      </c>
      <c r="P305" s="253" t="e">
        <f t="shared" si="76"/>
        <v>#N/A</v>
      </c>
      <c r="Q305" s="252" t="e">
        <f t="shared" si="77"/>
        <v>#N/A</v>
      </c>
      <c r="R305" s="252">
        <v>0.52743574599999998</v>
      </c>
      <c r="S305" s="252" t="e">
        <f t="shared" si="78"/>
        <v>#N/A</v>
      </c>
      <c r="T305" s="253"/>
      <c r="U305" s="252" t="e">
        <f t="shared" si="79"/>
        <v>#N/A</v>
      </c>
      <c r="V305" s="290">
        <v>107001003</v>
      </c>
      <c r="W305" s="252" t="s">
        <v>534</v>
      </c>
    </row>
    <row r="306" spans="1:23" ht="15" customHeight="1" x14ac:dyDescent="0.3">
      <c r="A306" s="287" t="s">
        <v>812</v>
      </c>
      <c r="B306" s="244" t="e">
        <f>_xlfn.XLOOKUP(A306,'Base de Dados'!D:D,'Base de Dados'!B:B)</f>
        <v>#N/A</v>
      </c>
      <c r="C306" s="275" t="e">
        <f>_xlfn.XLOOKUP(PRECIFICAÇÃO[[#This Row],[INVOICE]],'Base de Dados'!D:D,'Base de Dados'!X:X)</f>
        <v>#N/A</v>
      </c>
      <c r="D306" s="54">
        <v>387144</v>
      </c>
      <c r="E306" s="244" t="s">
        <v>958</v>
      </c>
      <c r="F306" s="245">
        <v>360</v>
      </c>
      <c r="G306" s="319">
        <v>16.41</v>
      </c>
      <c r="H306" s="246">
        <v>5.1176000000000004</v>
      </c>
      <c r="I306" s="247">
        <f t="shared" si="53"/>
        <v>83.979816000000014</v>
      </c>
      <c r="J306" s="248">
        <f t="shared" si="54"/>
        <v>30232.733760000006</v>
      </c>
      <c r="K306" s="249" t="e">
        <f>J306/_xlfn.XLOOKUP(A306,'Base de Dados'!D:D,'Base de Dados'!M:M)</f>
        <v>#N/A</v>
      </c>
      <c r="L306" s="248" t="e">
        <f>K306*_xlfn.XLOOKUP(A306,'Base de Dados'!D:D,'Base de Dados'!N:N)</f>
        <v>#N/A</v>
      </c>
      <c r="M306" s="250" t="e">
        <f t="shared" si="74"/>
        <v>#N/A</v>
      </c>
      <c r="N306" s="251" t="e">
        <f t="shared" si="55"/>
        <v>#N/A</v>
      </c>
      <c r="O306" s="252">
        <f t="shared" si="75"/>
        <v>0.42743574600000001</v>
      </c>
      <c r="P306" s="253" t="e">
        <f t="shared" si="76"/>
        <v>#N/A</v>
      </c>
      <c r="Q306" s="252" t="e">
        <f t="shared" si="77"/>
        <v>#N/A</v>
      </c>
      <c r="R306" s="252">
        <v>0.52743574599999998</v>
      </c>
      <c r="S306" s="252" t="e">
        <f t="shared" si="78"/>
        <v>#N/A</v>
      </c>
      <c r="T306" s="253"/>
      <c r="U306" s="252" t="e">
        <f t="shared" si="79"/>
        <v>#N/A</v>
      </c>
      <c r="V306" s="290">
        <v>107001003</v>
      </c>
      <c r="W306" s="252" t="s">
        <v>534</v>
      </c>
    </row>
    <row r="307" spans="1:23" ht="15" customHeight="1" x14ac:dyDescent="0.3">
      <c r="A307" s="287" t="s">
        <v>812</v>
      </c>
      <c r="B307" s="244" t="e">
        <f>_xlfn.XLOOKUP(A307,'Base de Dados'!D:D,'Base de Dados'!B:B)</f>
        <v>#N/A</v>
      </c>
      <c r="C307" s="275" t="e">
        <f>_xlfn.XLOOKUP(PRECIFICAÇÃO[[#This Row],[INVOICE]],'Base de Dados'!D:D,'Base de Dados'!X:X)</f>
        <v>#N/A</v>
      </c>
      <c r="D307" s="54">
        <v>387145</v>
      </c>
      <c r="E307" s="244" t="s">
        <v>959</v>
      </c>
      <c r="F307" s="245">
        <v>350</v>
      </c>
      <c r="G307" s="319">
        <v>17.66</v>
      </c>
      <c r="H307" s="246">
        <v>5.1176000000000004</v>
      </c>
      <c r="I307" s="247">
        <f t="shared" si="53"/>
        <v>90.376816000000005</v>
      </c>
      <c r="J307" s="248">
        <f t="shared" si="54"/>
        <v>31631.885600000001</v>
      </c>
      <c r="K307" s="249" t="e">
        <f>J307/_xlfn.XLOOKUP(A307,'Base de Dados'!D:D,'Base de Dados'!M:M)</f>
        <v>#N/A</v>
      </c>
      <c r="L307" s="248" t="e">
        <f>K307*_xlfn.XLOOKUP(A307,'Base de Dados'!D:D,'Base de Dados'!N:N)</f>
        <v>#N/A</v>
      </c>
      <c r="M307" s="250" t="e">
        <f t="shared" si="74"/>
        <v>#N/A</v>
      </c>
      <c r="N307" s="251" t="e">
        <f t="shared" si="55"/>
        <v>#N/A</v>
      </c>
      <c r="O307" s="252">
        <f t="shared" si="75"/>
        <v>0.42743574600000001</v>
      </c>
      <c r="P307" s="253" t="e">
        <f t="shared" si="76"/>
        <v>#N/A</v>
      </c>
      <c r="Q307" s="252" t="e">
        <f t="shared" si="77"/>
        <v>#N/A</v>
      </c>
      <c r="R307" s="252">
        <v>0.52743574599999998</v>
      </c>
      <c r="S307" s="252" t="e">
        <f t="shared" si="78"/>
        <v>#N/A</v>
      </c>
      <c r="T307" s="253"/>
      <c r="U307" s="252" t="e">
        <f t="shared" si="79"/>
        <v>#N/A</v>
      </c>
      <c r="V307" s="290">
        <v>107001003</v>
      </c>
      <c r="W307" s="252" t="s">
        <v>534</v>
      </c>
    </row>
    <row r="308" spans="1:23" ht="15" customHeight="1" x14ac:dyDescent="0.3">
      <c r="A308" s="287" t="s">
        <v>812</v>
      </c>
      <c r="B308" s="244" t="e">
        <f>_xlfn.XLOOKUP(A308,'Base de Dados'!D:D,'Base de Dados'!B:B)</f>
        <v>#N/A</v>
      </c>
      <c r="C308" s="275" t="e">
        <f>_xlfn.XLOOKUP(PRECIFICAÇÃO[[#This Row],[INVOICE]],'Base de Dados'!D:D,'Base de Dados'!X:X)</f>
        <v>#N/A</v>
      </c>
      <c r="D308" s="54">
        <v>387146</v>
      </c>
      <c r="E308" s="244" t="s">
        <v>960</v>
      </c>
      <c r="F308" s="245">
        <v>352</v>
      </c>
      <c r="G308" s="319">
        <v>20.76</v>
      </c>
      <c r="H308" s="246">
        <v>5.1176000000000004</v>
      </c>
      <c r="I308" s="247">
        <f t="shared" si="53"/>
        <v>106.24137600000002</v>
      </c>
      <c r="J308" s="248">
        <f t="shared" si="54"/>
        <v>37396.964352000003</v>
      </c>
      <c r="K308" s="249" t="e">
        <f>J308/_xlfn.XLOOKUP(A308,'Base de Dados'!D:D,'Base de Dados'!M:M)</f>
        <v>#N/A</v>
      </c>
      <c r="L308" s="248" t="e">
        <f>K308*_xlfn.XLOOKUP(A308,'Base de Dados'!D:D,'Base de Dados'!N:N)</f>
        <v>#N/A</v>
      </c>
      <c r="M308" s="250" t="e">
        <f t="shared" si="74"/>
        <v>#N/A</v>
      </c>
      <c r="N308" s="251" t="e">
        <f t="shared" si="55"/>
        <v>#N/A</v>
      </c>
      <c r="O308" s="252">
        <f t="shared" si="75"/>
        <v>0.42743574600000001</v>
      </c>
      <c r="P308" s="253" t="e">
        <f t="shared" si="76"/>
        <v>#N/A</v>
      </c>
      <c r="Q308" s="252" t="e">
        <f t="shared" si="77"/>
        <v>#N/A</v>
      </c>
      <c r="R308" s="252">
        <v>0.52743574599999998</v>
      </c>
      <c r="S308" s="252" t="e">
        <f t="shared" si="78"/>
        <v>#N/A</v>
      </c>
      <c r="T308" s="253"/>
      <c r="U308" s="252" t="e">
        <f t="shared" si="79"/>
        <v>#N/A</v>
      </c>
      <c r="V308" s="290">
        <v>107001003</v>
      </c>
      <c r="W308" s="252" t="s">
        <v>534</v>
      </c>
    </row>
    <row r="309" spans="1:23" ht="15" customHeight="1" x14ac:dyDescent="0.3">
      <c r="A309" s="287" t="s">
        <v>812</v>
      </c>
      <c r="B309" s="244" t="e">
        <f>_xlfn.XLOOKUP(A309,'Base de Dados'!D:D,'Base de Dados'!B:B)</f>
        <v>#N/A</v>
      </c>
      <c r="C309" s="275" t="e">
        <f>_xlfn.XLOOKUP(PRECIFICAÇÃO[[#This Row],[INVOICE]],'Base de Dados'!D:D,'Base de Dados'!X:X)</f>
        <v>#N/A</v>
      </c>
      <c r="D309" s="54">
        <v>373493</v>
      </c>
      <c r="E309" s="244" t="s">
        <v>909</v>
      </c>
      <c r="F309" s="245">
        <v>1674</v>
      </c>
      <c r="G309" s="319">
        <v>3.7</v>
      </c>
      <c r="H309" s="246">
        <v>5.1176000000000004</v>
      </c>
      <c r="I309" s="247">
        <f t="shared" si="53"/>
        <v>18.935120000000001</v>
      </c>
      <c r="J309" s="248">
        <f t="shared" si="54"/>
        <v>31697.390880000003</v>
      </c>
      <c r="K309" s="249" t="e">
        <f>J309/_xlfn.XLOOKUP(A309,'Base de Dados'!D:D,'Base de Dados'!M:M)</f>
        <v>#N/A</v>
      </c>
      <c r="L309" s="248" t="e">
        <f>K309*_xlfn.XLOOKUP(A309,'Base de Dados'!D:D,'Base de Dados'!N:N)</f>
        <v>#N/A</v>
      </c>
      <c r="M309" s="250" t="e">
        <f t="shared" si="74"/>
        <v>#N/A</v>
      </c>
      <c r="N309" s="251" t="e">
        <f t="shared" si="55"/>
        <v>#N/A</v>
      </c>
      <c r="O309" s="252">
        <f t="shared" si="75"/>
        <v>0.43768192699999997</v>
      </c>
      <c r="P309" s="253" t="e">
        <f t="shared" si="76"/>
        <v>#N/A</v>
      </c>
      <c r="Q309" s="252" t="e">
        <f t="shared" si="77"/>
        <v>#N/A</v>
      </c>
      <c r="R309" s="252">
        <v>0.53768192699999995</v>
      </c>
      <c r="S309" s="252" t="e">
        <f t="shared" si="78"/>
        <v>#N/A</v>
      </c>
      <c r="T309" s="253"/>
      <c r="U309" s="252" t="e">
        <f t="shared" si="79"/>
        <v>#N/A</v>
      </c>
      <c r="V309" s="290">
        <v>107001004</v>
      </c>
      <c r="W309" s="252" t="s">
        <v>563</v>
      </c>
    </row>
    <row r="310" spans="1:23" ht="15" customHeight="1" x14ac:dyDescent="0.3">
      <c r="A310" s="287" t="s">
        <v>812</v>
      </c>
      <c r="B310" s="244" t="e">
        <f>_xlfn.XLOOKUP(A310,'Base de Dados'!D:D,'Base de Dados'!B:B)</f>
        <v>#N/A</v>
      </c>
      <c r="C310" s="275" t="e">
        <f>_xlfn.XLOOKUP(PRECIFICAÇÃO[[#This Row],[INVOICE]],'Base de Dados'!D:D,'Base de Dados'!X:X)</f>
        <v>#N/A</v>
      </c>
      <c r="D310" s="54">
        <v>373501</v>
      </c>
      <c r="E310" s="244" t="s">
        <v>917</v>
      </c>
      <c r="F310" s="245">
        <v>2232</v>
      </c>
      <c r="G310" s="319">
        <v>3.7</v>
      </c>
      <c r="H310" s="246">
        <v>5.1176000000000004</v>
      </c>
      <c r="I310" s="247">
        <f t="shared" si="53"/>
        <v>18.935120000000001</v>
      </c>
      <c r="J310" s="248">
        <f t="shared" si="54"/>
        <v>42263.187840000006</v>
      </c>
      <c r="K310" s="249" t="e">
        <f>J310/_xlfn.XLOOKUP(A310,'Base de Dados'!D:D,'Base de Dados'!M:M)</f>
        <v>#N/A</v>
      </c>
      <c r="L310" s="248" t="e">
        <f>K310*_xlfn.XLOOKUP(A310,'Base de Dados'!D:D,'Base de Dados'!N:N)</f>
        <v>#N/A</v>
      </c>
      <c r="M310" s="250" t="e">
        <f t="shared" si="74"/>
        <v>#N/A</v>
      </c>
      <c r="N310" s="251" t="e">
        <f t="shared" si="55"/>
        <v>#N/A</v>
      </c>
      <c r="O310" s="252">
        <f t="shared" si="75"/>
        <v>0.43768192699999997</v>
      </c>
      <c r="P310" s="253" t="e">
        <f t="shared" si="76"/>
        <v>#N/A</v>
      </c>
      <c r="Q310" s="252" t="e">
        <f t="shared" si="77"/>
        <v>#N/A</v>
      </c>
      <c r="R310" s="252">
        <v>0.53768192699999995</v>
      </c>
      <c r="S310" s="252" t="e">
        <f t="shared" si="78"/>
        <v>#N/A</v>
      </c>
      <c r="T310" s="253"/>
      <c r="U310" s="252" t="e">
        <f t="shared" si="79"/>
        <v>#N/A</v>
      </c>
      <c r="V310" s="290">
        <v>107001004</v>
      </c>
      <c r="W310" s="252" t="s">
        <v>563</v>
      </c>
    </row>
    <row r="311" spans="1:23" ht="15" customHeight="1" x14ac:dyDescent="0.3">
      <c r="A311" s="287" t="s">
        <v>812</v>
      </c>
      <c r="B311" s="244" t="e">
        <f>_xlfn.XLOOKUP(A311,'Base de Dados'!D:D,'Base de Dados'!B:B)</f>
        <v>#N/A</v>
      </c>
      <c r="C311" s="275" t="e">
        <f>_xlfn.XLOOKUP(PRECIFICAÇÃO[[#This Row],[INVOICE]],'Base de Dados'!D:D,'Base de Dados'!X:X)</f>
        <v>#N/A</v>
      </c>
      <c r="D311" s="54">
        <v>373495</v>
      </c>
      <c r="E311" s="244" t="s">
        <v>911</v>
      </c>
      <c r="F311" s="245">
        <v>3348</v>
      </c>
      <c r="G311" s="319">
        <v>3.7</v>
      </c>
      <c r="H311" s="246">
        <v>5.1176000000000004</v>
      </c>
      <c r="I311" s="247">
        <f t="shared" si="53"/>
        <v>18.935120000000001</v>
      </c>
      <c r="J311" s="248">
        <f t="shared" si="54"/>
        <v>63394.781760000005</v>
      </c>
      <c r="K311" s="249" t="e">
        <f>J311/_xlfn.XLOOKUP(A311,'Base de Dados'!D:D,'Base de Dados'!M:M)</f>
        <v>#N/A</v>
      </c>
      <c r="L311" s="248" t="e">
        <f>K311*_xlfn.XLOOKUP(A311,'Base de Dados'!D:D,'Base de Dados'!N:N)</f>
        <v>#N/A</v>
      </c>
      <c r="M311" s="250" t="e">
        <f t="shared" si="74"/>
        <v>#N/A</v>
      </c>
      <c r="N311" s="251" t="e">
        <f t="shared" si="55"/>
        <v>#N/A</v>
      </c>
      <c r="O311" s="252">
        <f t="shared" si="75"/>
        <v>0.43768192699999997</v>
      </c>
      <c r="P311" s="253" t="e">
        <f t="shared" si="76"/>
        <v>#N/A</v>
      </c>
      <c r="Q311" s="252" t="e">
        <f t="shared" si="77"/>
        <v>#N/A</v>
      </c>
      <c r="R311" s="252">
        <v>0.53768192699999995</v>
      </c>
      <c r="S311" s="252" t="e">
        <f t="shared" si="78"/>
        <v>#N/A</v>
      </c>
      <c r="T311" s="253"/>
      <c r="U311" s="252" t="e">
        <f t="shared" si="79"/>
        <v>#N/A</v>
      </c>
      <c r="V311" s="290">
        <v>107001004</v>
      </c>
      <c r="W311" s="252" t="s">
        <v>563</v>
      </c>
    </row>
    <row r="312" spans="1:23" ht="15" customHeight="1" x14ac:dyDescent="0.3">
      <c r="A312" s="287" t="s">
        <v>812</v>
      </c>
      <c r="B312" s="244" t="e">
        <f>_xlfn.XLOOKUP(A312,'Base de Dados'!D:D,'Base de Dados'!B:B)</f>
        <v>#N/A</v>
      </c>
      <c r="C312" s="275" t="e">
        <f>_xlfn.XLOOKUP(PRECIFICAÇÃO[[#This Row],[INVOICE]],'Base de Dados'!D:D,'Base de Dados'!X:X)</f>
        <v>#N/A</v>
      </c>
      <c r="D312" s="54">
        <v>373501</v>
      </c>
      <c r="E312" s="244" t="s">
        <v>917</v>
      </c>
      <c r="F312" s="245">
        <v>660</v>
      </c>
      <c r="G312" s="319">
        <v>7.83</v>
      </c>
      <c r="H312" s="246">
        <v>5.1176000000000004</v>
      </c>
      <c r="I312" s="247">
        <f t="shared" si="53"/>
        <v>40.070808000000007</v>
      </c>
      <c r="J312" s="248">
        <f t="shared" si="54"/>
        <v>26446.733280000004</v>
      </c>
      <c r="K312" s="249" t="e">
        <f>J312/_xlfn.XLOOKUP(A312,'Base de Dados'!D:D,'Base de Dados'!M:M)</f>
        <v>#N/A</v>
      </c>
      <c r="L312" s="248" t="e">
        <f>K312*_xlfn.XLOOKUP(A312,'Base de Dados'!D:D,'Base de Dados'!N:N)</f>
        <v>#N/A</v>
      </c>
      <c r="M312" s="250" t="e">
        <f t="shared" si="74"/>
        <v>#N/A</v>
      </c>
      <c r="N312" s="251" t="e">
        <f t="shared" si="55"/>
        <v>#N/A</v>
      </c>
      <c r="O312" s="252">
        <f t="shared" si="75"/>
        <v>0.43768192699999997</v>
      </c>
      <c r="P312" s="253" t="e">
        <f t="shared" si="76"/>
        <v>#N/A</v>
      </c>
      <c r="Q312" s="252" t="e">
        <f t="shared" si="77"/>
        <v>#N/A</v>
      </c>
      <c r="R312" s="252">
        <v>0.53768192699999995</v>
      </c>
      <c r="S312" s="252" t="e">
        <f t="shared" si="78"/>
        <v>#N/A</v>
      </c>
      <c r="T312" s="253"/>
      <c r="U312" s="252" t="e">
        <f t="shared" si="79"/>
        <v>#N/A</v>
      </c>
      <c r="V312" s="290">
        <v>107001004</v>
      </c>
      <c r="W312" s="252" t="s">
        <v>563</v>
      </c>
    </row>
    <row r="313" spans="1:23" ht="15" customHeight="1" x14ac:dyDescent="0.3">
      <c r="A313" s="287" t="s">
        <v>476</v>
      </c>
      <c r="B313" s="254" t="str">
        <f>_xlfn.XLOOKUP(A313,'Base de Dados'!D:D,'Base de Dados'!B:B)</f>
        <v>TIMBRO SWISS SA</v>
      </c>
      <c r="C313" s="288" t="str">
        <f>_xlfn.XLOOKUP(PRECIFICAÇÃO[[#This Row],[INVOICE]],'Base de Dados'!D:D,'Base de Dados'!X:X)</f>
        <v>EM TRÂNSITO</v>
      </c>
      <c r="D313" s="68">
        <v>238697</v>
      </c>
      <c r="E313" s="254" t="s">
        <v>899</v>
      </c>
      <c r="F313" s="255">
        <v>2112</v>
      </c>
      <c r="G313" s="321">
        <v>17.079999999999998</v>
      </c>
      <c r="H313" s="256">
        <v>5.1176000000000004</v>
      </c>
      <c r="I313" s="257">
        <f t="shared" si="53"/>
        <v>87.408608000000001</v>
      </c>
      <c r="J313" s="258">
        <f t="shared" si="54"/>
        <v>184606.98009600001</v>
      </c>
      <c r="K313" s="258" t="e">
        <f>J313/_xlfn.XLOOKUP(A313,'Base de Dados'!D:D,'Base de Dados'!M:M)</f>
        <v>#DIV/0!</v>
      </c>
      <c r="L313" s="258" t="e">
        <f>K313*_xlfn.XLOOKUP(A313,'Base de Dados'!D:D,'Base de Dados'!N:N)</f>
        <v>#DIV/0!</v>
      </c>
      <c r="M313" s="260" t="e">
        <f>J313+L313</f>
        <v>#DIV/0!</v>
      </c>
      <c r="N313" s="261" t="e">
        <f t="shared" si="55"/>
        <v>#DIV/0!</v>
      </c>
      <c r="O313" s="262">
        <f>R313-0.1</f>
        <v>0.39270865200000005</v>
      </c>
      <c r="P313" s="263" t="e">
        <f>ROUND(N313/O313,0)</f>
        <v>#DIV/0!</v>
      </c>
      <c r="Q313" s="262" t="e">
        <f>(P313-N313)/P313</f>
        <v>#DIV/0!</v>
      </c>
      <c r="R313" s="262">
        <v>0.49270865200000002</v>
      </c>
      <c r="S313" s="262" t="e">
        <f>Q313-R313</f>
        <v>#DIV/0!</v>
      </c>
      <c r="T313" s="263"/>
      <c r="U313" s="262" t="e">
        <f>(T313-P313)/T313</f>
        <v>#DIV/0!</v>
      </c>
      <c r="V313" s="292">
        <v>111001012</v>
      </c>
      <c r="W313" s="262" t="s">
        <v>493</v>
      </c>
    </row>
    <row r="314" spans="1:23" ht="15" customHeight="1" x14ac:dyDescent="0.3">
      <c r="A314" s="287" t="s">
        <v>477</v>
      </c>
      <c r="B314" s="254" t="str">
        <f>_xlfn.XLOOKUP(A314,'Base de Dados'!D:D,'Base de Dados'!B:B)</f>
        <v>TIMBRO SWISS SA</v>
      </c>
      <c r="C314" s="288" t="str">
        <f>_xlfn.XLOOKUP(PRECIFICAÇÃO[[#This Row],[INVOICE]],'Base de Dados'!D:D,'Base de Dados'!X:X)</f>
        <v>EM PRODUÇÃO</v>
      </c>
      <c r="D314" s="68">
        <v>238698</v>
      </c>
      <c r="E314" s="254" t="s">
        <v>11</v>
      </c>
      <c r="F314" s="255">
        <v>2224</v>
      </c>
      <c r="G314" s="321">
        <v>37.81</v>
      </c>
      <c r="H314" s="256">
        <v>5.1176000000000004</v>
      </c>
      <c r="I314" s="257">
        <f t="shared" si="53"/>
        <v>193.49645600000002</v>
      </c>
      <c r="J314" s="258">
        <f t="shared" si="54"/>
        <v>430336.11814400007</v>
      </c>
      <c r="K314" s="258" t="e">
        <f>J314/_xlfn.XLOOKUP(A314,'Base de Dados'!D:D,'Base de Dados'!M:M)</f>
        <v>#DIV/0!</v>
      </c>
      <c r="L314" s="258" t="e">
        <f>K314*_xlfn.XLOOKUP(A314,'Base de Dados'!D:D,'Base de Dados'!N:N)</f>
        <v>#DIV/0!</v>
      </c>
      <c r="M314" s="260" t="e">
        <f>J314+L314</f>
        <v>#DIV/0!</v>
      </c>
      <c r="N314" s="261" t="e">
        <f t="shared" si="55"/>
        <v>#DIV/0!</v>
      </c>
      <c r="O314" s="262">
        <f>R314-0.1</f>
        <v>0.39270865200000005</v>
      </c>
      <c r="P314" s="263" t="e">
        <f>ROUND(N314/O314,0)</f>
        <v>#DIV/0!</v>
      </c>
      <c r="Q314" s="262" t="e">
        <f>(P314-N314)/P314</f>
        <v>#DIV/0!</v>
      </c>
      <c r="R314" s="262">
        <v>0.49270865200000002</v>
      </c>
      <c r="S314" s="262" t="e">
        <f>Q314-R314</f>
        <v>#DIV/0!</v>
      </c>
      <c r="T314" s="263"/>
      <c r="U314" s="262" t="e">
        <f>(T314-P314)/T314</f>
        <v>#DIV/0!</v>
      </c>
      <c r="V314" s="292">
        <v>111001012</v>
      </c>
      <c r="W314" s="262" t="s">
        <v>493</v>
      </c>
    </row>
    <row r="315" spans="1:23" ht="15" customHeight="1" x14ac:dyDescent="0.3">
      <c r="A315" s="287" t="s">
        <v>478</v>
      </c>
      <c r="B315" s="254" t="str">
        <f>_xlfn.XLOOKUP(A315,'Base de Dados'!D:D,'Base de Dados'!B:B)</f>
        <v>TIMBRO SWISS SA</v>
      </c>
      <c r="C315" s="288" t="str">
        <f>_xlfn.XLOOKUP(PRECIFICAÇÃO[[#This Row],[INVOICE]],'Base de Dados'!D:D,'Base de Dados'!X:X)</f>
        <v>EM TRÂNSITO</v>
      </c>
      <c r="D315" s="68">
        <v>358229</v>
      </c>
      <c r="E315" s="254" t="s">
        <v>900</v>
      </c>
      <c r="F315" s="255">
        <v>1160</v>
      </c>
      <c r="G315" s="321">
        <v>51.46</v>
      </c>
      <c r="H315" s="256">
        <v>5.1176000000000004</v>
      </c>
      <c r="I315" s="257">
        <f t="shared" si="53"/>
        <v>263.351696</v>
      </c>
      <c r="J315" s="258">
        <f t="shared" si="54"/>
        <v>305487.96736000001</v>
      </c>
      <c r="K315" s="258" t="e">
        <f>J315/_xlfn.XLOOKUP(A315,'Base de Dados'!D:D,'Base de Dados'!M:M)</f>
        <v>#DIV/0!</v>
      </c>
      <c r="L315" s="258" t="e">
        <f>K315*_xlfn.XLOOKUP(A315,'Base de Dados'!D:D,'Base de Dados'!N:N)</f>
        <v>#DIV/0!</v>
      </c>
      <c r="M315" s="260" t="e">
        <f>J315+L315</f>
        <v>#DIV/0!</v>
      </c>
      <c r="N315" s="261" t="e">
        <f t="shared" si="55"/>
        <v>#DIV/0!</v>
      </c>
      <c r="O315" s="262">
        <f>R315-0.1</f>
        <v>0.35806810700000002</v>
      </c>
      <c r="P315" s="263" t="e">
        <f>ROUND(N315/O315,0)</f>
        <v>#DIV/0!</v>
      </c>
      <c r="Q315" s="262" t="e">
        <f>(P315-N315)/P315</f>
        <v>#DIV/0!</v>
      </c>
      <c r="R315" s="262">
        <v>0.458068107</v>
      </c>
      <c r="S315" s="262" t="e">
        <f>Q315-R315</f>
        <v>#DIV/0!</v>
      </c>
      <c r="T315" s="263"/>
      <c r="U315" s="262" t="e">
        <f>(T315-P315)/T315</f>
        <v>#DIV/0!</v>
      </c>
      <c r="V315" s="292">
        <v>117006005</v>
      </c>
      <c r="W315" s="262" t="s">
        <v>528</v>
      </c>
    </row>
    <row r="316" spans="1:23" ht="15" customHeight="1" x14ac:dyDescent="0.3">
      <c r="A316" s="194" t="s">
        <v>480</v>
      </c>
      <c r="B316" s="244" t="str">
        <f>_xlfn.XLOOKUP(A316,'Base de Dados'!D:D,'Base de Dados'!B:B)</f>
        <v>TIMBRO SWISS SA</v>
      </c>
      <c r="C316" s="275" t="str">
        <f>_xlfn.XLOOKUP(PRECIFICAÇÃO[[#This Row],[INVOICE]],'Base de Dados'!D:D,'Base de Dados'!X:X)</f>
        <v>EM PRODUÇÃO</v>
      </c>
      <c r="D316" s="54">
        <v>272956</v>
      </c>
      <c r="E316" s="244" t="s">
        <v>954</v>
      </c>
      <c r="F316" s="245">
        <v>3000</v>
      </c>
      <c r="G316" s="319">
        <v>4.6900000000000004</v>
      </c>
      <c r="H316" s="256">
        <v>5.1176000000000004</v>
      </c>
      <c r="I316" s="247">
        <f t="shared" si="53"/>
        <v>24.001544000000003</v>
      </c>
      <c r="J316" s="248">
        <f t="shared" si="54"/>
        <v>72004.632000000012</v>
      </c>
      <c r="K316" s="248" t="e">
        <f>J316/_xlfn.XLOOKUP(A316,'Base de Dados'!D:D,'Base de Dados'!M:M)</f>
        <v>#DIV/0!</v>
      </c>
      <c r="L316" s="248" t="e">
        <f>K316*_xlfn.XLOOKUP(A316,'Base de Dados'!D:D,'Base de Dados'!N:N)</f>
        <v>#DIV/0!</v>
      </c>
      <c r="M316" s="250" t="e">
        <f t="shared" ref="M316:M318" si="80">J316+L316</f>
        <v>#DIV/0!</v>
      </c>
      <c r="N316" s="251" t="e">
        <f t="shared" si="55"/>
        <v>#DIV/0!</v>
      </c>
      <c r="O316" s="252">
        <f t="shared" ref="O316:O318" si="81">R316-0.1</f>
        <v>0.40088862400000003</v>
      </c>
      <c r="P316" s="253" t="e">
        <f t="shared" ref="P316:P318" si="82">ROUND(N316/O316,0)</f>
        <v>#DIV/0!</v>
      </c>
      <c r="Q316" s="252" t="e">
        <f t="shared" ref="Q316:Q318" si="83">(P316-N316)/P316</f>
        <v>#DIV/0!</v>
      </c>
      <c r="R316" s="252">
        <v>0.500888624</v>
      </c>
      <c r="S316" s="252" t="e">
        <f t="shared" ref="S316:S318" si="84">Q316-R316</f>
        <v>#DIV/0!</v>
      </c>
      <c r="T316" s="253"/>
      <c r="U316" s="252" t="e">
        <f t="shared" ref="U316:U318" si="85">(T316-P316)/T316</f>
        <v>#DIV/0!</v>
      </c>
      <c r="V316" s="290">
        <v>110001004</v>
      </c>
      <c r="W316" s="262" t="str">
        <f>_xlfn.XLOOKUP(PRECIFICAÇÃO[[#This Row],[GM9]],Markup!A:A,Markup!B:B)</f>
        <v>CHAPA</v>
      </c>
    </row>
    <row r="317" spans="1:23" ht="15" customHeight="1" x14ac:dyDescent="0.3">
      <c r="A317" s="194" t="s">
        <v>480</v>
      </c>
      <c r="B317" s="244" t="str">
        <f>_xlfn.XLOOKUP(A317,'Base de Dados'!D:D,'Base de Dados'!B:B)</f>
        <v>TIMBRO SWISS SA</v>
      </c>
      <c r="C317" s="275" t="str">
        <f>_xlfn.XLOOKUP(PRECIFICAÇÃO[[#This Row],[INVOICE]],'Base de Dados'!D:D,'Base de Dados'!X:X)</f>
        <v>EM PRODUÇÃO</v>
      </c>
      <c r="D317" s="54">
        <v>272958</v>
      </c>
      <c r="E317" s="244" t="s">
        <v>953</v>
      </c>
      <c r="F317" s="245">
        <v>3636</v>
      </c>
      <c r="G317" s="319">
        <v>6.46</v>
      </c>
      <c r="H317" s="256">
        <v>5.1176000000000004</v>
      </c>
      <c r="I317" s="247">
        <f t="shared" si="53"/>
        <v>33.059696000000002</v>
      </c>
      <c r="J317" s="248">
        <f t="shared" si="54"/>
        <v>120205.05465600001</v>
      </c>
      <c r="K317" s="248" t="e">
        <f>J317/_xlfn.XLOOKUP(A317,'Base de Dados'!D:D,'Base de Dados'!M:M)</f>
        <v>#DIV/0!</v>
      </c>
      <c r="L317" s="248" t="e">
        <f>K317*_xlfn.XLOOKUP(A317,'Base de Dados'!D:D,'Base de Dados'!N:N)</f>
        <v>#DIV/0!</v>
      </c>
      <c r="M317" s="250" t="e">
        <f t="shared" si="80"/>
        <v>#DIV/0!</v>
      </c>
      <c r="N317" s="251" t="e">
        <f t="shared" si="55"/>
        <v>#DIV/0!</v>
      </c>
      <c r="O317" s="252">
        <f t="shared" si="81"/>
        <v>0.4095632990000001</v>
      </c>
      <c r="P317" s="253" t="e">
        <f t="shared" si="82"/>
        <v>#DIV/0!</v>
      </c>
      <c r="Q317" s="252" t="e">
        <f t="shared" si="83"/>
        <v>#DIV/0!</v>
      </c>
      <c r="R317" s="252">
        <v>0.50956329900000008</v>
      </c>
      <c r="S317" s="252" t="e">
        <f t="shared" si="84"/>
        <v>#DIV/0!</v>
      </c>
      <c r="T317" s="253"/>
      <c r="U317" s="252" t="e">
        <f t="shared" si="85"/>
        <v>#DIV/0!</v>
      </c>
      <c r="V317" s="290">
        <v>110001009</v>
      </c>
      <c r="W317" s="262" t="str">
        <f>_xlfn.XLOOKUP(PRECIFICAÇÃO[[#This Row],[GM9]],Markup!A:A,Markup!B:B)</f>
        <v>SECADOR</v>
      </c>
    </row>
    <row r="318" spans="1:23" ht="15" customHeight="1" x14ac:dyDescent="0.3">
      <c r="A318" s="287" t="s">
        <v>480</v>
      </c>
      <c r="B318" s="254" t="str">
        <f>_xlfn.XLOOKUP(A318,'Base de Dados'!D:D,'Base de Dados'!B:B)</f>
        <v>TIMBRO SWISS SA</v>
      </c>
      <c r="C318" s="288" t="str">
        <f>_xlfn.XLOOKUP(PRECIFICAÇÃO[[#This Row],[INVOICE]],'Base de Dados'!D:D,'Base de Dados'!X:X)</f>
        <v>EM PRODUÇÃO</v>
      </c>
      <c r="D318" s="68">
        <v>358233</v>
      </c>
      <c r="E318" s="254" t="s">
        <v>939</v>
      </c>
      <c r="F318" s="255">
        <v>1400</v>
      </c>
      <c r="G318" s="321">
        <v>43.66</v>
      </c>
      <c r="H318" s="256">
        <v>5.1176000000000004</v>
      </c>
      <c r="I318" s="257">
        <f t="shared" si="53"/>
        <v>223.434416</v>
      </c>
      <c r="J318" s="258">
        <f t="shared" si="54"/>
        <v>312808.18239999999</v>
      </c>
      <c r="K318" s="258" t="e">
        <f>J318/_xlfn.XLOOKUP(A318,'Base de Dados'!D:D,'Base de Dados'!M:M)</f>
        <v>#DIV/0!</v>
      </c>
      <c r="L318" s="258" t="e">
        <f>K318*_xlfn.XLOOKUP(A318,'Base de Dados'!D:D,'Base de Dados'!N:N)</f>
        <v>#DIV/0!</v>
      </c>
      <c r="M318" s="260" t="e">
        <f t="shared" si="80"/>
        <v>#DIV/0!</v>
      </c>
      <c r="N318" s="261" t="e">
        <f t="shared" si="55"/>
        <v>#DIV/0!</v>
      </c>
      <c r="O318" s="262">
        <f t="shared" si="81"/>
        <v>0.39018382800000007</v>
      </c>
      <c r="P318" s="263" t="e">
        <f t="shared" si="82"/>
        <v>#DIV/0!</v>
      </c>
      <c r="Q318" s="262" t="e">
        <f t="shared" si="83"/>
        <v>#DIV/0!</v>
      </c>
      <c r="R318" s="262">
        <v>0.49018382800000004</v>
      </c>
      <c r="S318" s="262" t="e">
        <f t="shared" si="84"/>
        <v>#DIV/0!</v>
      </c>
      <c r="T318" s="263"/>
      <c r="U318" s="262" t="e">
        <f t="shared" si="85"/>
        <v>#DIV/0!</v>
      </c>
      <c r="V318" s="292">
        <v>111001019</v>
      </c>
      <c r="W318" s="262" t="str">
        <f>_xlfn.XLOOKUP(PRECIFICAÇÃO[[#This Row],[GM9]],Markup!A:A,Markup!B:B)</f>
        <v>PROCESSADOR DE ALIMENTOS</v>
      </c>
    </row>
    <row r="319" spans="1:23" ht="15" customHeight="1" x14ac:dyDescent="0.3">
      <c r="A319" s="287" t="s">
        <v>486</v>
      </c>
      <c r="B319" s="254" t="str">
        <f>_xlfn.XLOOKUP(A319,'Base de Dados'!D:D,'Base de Dados'!B:B)</f>
        <v>TIMBRO SWISS SA</v>
      </c>
      <c r="C319" s="288" t="str">
        <f>_xlfn.XLOOKUP(PRECIFICAÇÃO[[#This Row],[INVOICE]],'Base de Dados'!D:D,'Base de Dados'!X:X)</f>
        <v>EM PRODUÇÃO</v>
      </c>
      <c r="D319" s="68">
        <v>373758</v>
      </c>
      <c r="E319" s="254" t="s">
        <v>947</v>
      </c>
      <c r="F319" s="255">
        <v>9000</v>
      </c>
      <c r="G319" s="321">
        <v>2.2000000000000002</v>
      </c>
      <c r="H319" s="256">
        <v>5.1176000000000004</v>
      </c>
      <c r="I319" s="257">
        <f t="shared" si="53"/>
        <v>11.258720000000002</v>
      </c>
      <c r="J319" s="258">
        <f t="shared" si="54"/>
        <v>101328.48000000003</v>
      </c>
      <c r="K319" s="258" t="e">
        <f>J319/_xlfn.XLOOKUP(A319,'Base de Dados'!D:D,'Base de Dados'!M:M)</f>
        <v>#DIV/0!</v>
      </c>
      <c r="L319" s="258" t="e">
        <f>K319*_xlfn.XLOOKUP(A319,'Base de Dados'!D:D,'Base de Dados'!N:N)</f>
        <v>#DIV/0!</v>
      </c>
      <c r="M319" s="260" t="e">
        <f>J319+L319</f>
        <v>#DIV/0!</v>
      </c>
      <c r="N319" s="261" t="e">
        <f t="shared" si="55"/>
        <v>#DIV/0!</v>
      </c>
      <c r="O319" s="262">
        <f>R319-0.1</f>
        <v>0.37093717599999998</v>
      </c>
      <c r="P319" s="263" t="e">
        <f>ROUND(N319/O319,0)</f>
        <v>#DIV/0!</v>
      </c>
      <c r="Q319" s="262" t="e">
        <f>(P319-N319)/P319</f>
        <v>#DIV/0!</v>
      </c>
      <c r="R319" s="262">
        <v>0.47093717599999996</v>
      </c>
      <c r="S319" s="262" t="e">
        <f>Q319-R319</f>
        <v>#DIV/0!</v>
      </c>
      <c r="T319" s="263"/>
      <c r="U319" s="262" t="e">
        <f>(T319-P319)/T319</f>
        <v>#DIV/0!</v>
      </c>
      <c r="V319" s="292">
        <v>130001013</v>
      </c>
      <c r="W319" s="262" t="str">
        <f>_xlfn.XLOOKUP(PRECIFICAÇÃO[[#This Row],[GM9]],Markup!A:A,Markup!B:B)</f>
        <v>SUPORTES</v>
      </c>
    </row>
    <row r="320" spans="1:23" ht="15" customHeight="1" x14ac:dyDescent="0.3">
      <c r="A320" s="287" t="s">
        <v>486</v>
      </c>
      <c r="B320" s="244" t="str">
        <f>_xlfn.XLOOKUP(A320,'Base de Dados'!D:D,'Base de Dados'!B:B)</f>
        <v>TIMBRO SWISS SA</v>
      </c>
      <c r="C320" s="275" t="str">
        <f>_xlfn.XLOOKUP(PRECIFICAÇÃO[[#This Row],[INVOICE]],'Base de Dados'!D:D,'Base de Dados'!X:X)</f>
        <v>EM PRODUÇÃO</v>
      </c>
      <c r="D320" s="54">
        <v>370451</v>
      </c>
      <c r="E320" s="244" t="s">
        <v>936</v>
      </c>
      <c r="F320" s="245">
        <v>5000</v>
      </c>
      <c r="G320" s="319">
        <v>1.38</v>
      </c>
      <c r="H320" s="256">
        <v>5.1176000000000004</v>
      </c>
      <c r="I320" s="247">
        <f t="shared" si="53"/>
        <v>7.0622879999999997</v>
      </c>
      <c r="J320" s="248">
        <f t="shared" si="54"/>
        <v>35311.439999999995</v>
      </c>
      <c r="K320" s="249" t="e">
        <f>J320/_xlfn.XLOOKUP(A320,'Base de Dados'!D:D,'Base de Dados'!M:M)</f>
        <v>#DIV/0!</v>
      </c>
      <c r="L320" s="248" t="e">
        <f>K320*_xlfn.XLOOKUP(A320,'Base de Dados'!D:D,'Base de Dados'!N:N)</f>
        <v>#DIV/0!</v>
      </c>
      <c r="M320" s="250" t="e">
        <f t="shared" ref="M320:M323" si="86">J320+L320</f>
        <v>#DIV/0!</v>
      </c>
      <c r="N320" s="251" t="e">
        <f t="shared" si="55"/>
        <v>#DIV/0!</v>
      </c>
      <c r="O320" s="252">
        <f t="shared" ref="O320:O323" si="87">R320-0.1</f>
        <v>0.37093717599999998</v>
      </c>
      <c r="P320" s="253" t="e">
        <f t="shared" ref="P320:P323" si="88">ROUND(N320/O320,0)</f>
        <v>#DIV/0!</v>
      </c>
      <c r="Q320" s="252" t="e">
        <f t="shared" ref="Q320:Q323" si="89">(P320-N320)/P320</f>
        <v>#DIV/0!</v>
      </c>
      <c r="R320" s="252">
        <v>0.47093717599999996</v>
      </c>
      <c r="S320" s="252" t="e">
        <f t="shared" ref="S320:S323" si="90">Q320-R320</f>
        <v>#DIV/0!</v>
      </c>
      <c r="T320" s="253"/>
      <c r="U320" s="252" t="e">
        <f t="shared" ref="U320:U323" si="91">(T320-P320)/T320</f>
        <v>#DIV/0!</v>
      </c>
      <c r="V320" s="290">
        <v>130001013</v>
      </c>
      <c r="W320" s="262" t="str">
        <f>_xlfn.XLOOKUP(PRECIFICAÇÃO[[#This Row],[GM9]],Markup!A:A,Markup!B:B)</f>
        <v>SUPORTES</v>
      </c>
    </row>
    <row r="321" spans="1:23" ht="15" customHeight="1" x14ac:dyDescent="0.3">
      <c r="A321" s="287" t="s">
        <v>486</v>
      </c>
      <c r="B321" s="244" t="str">
        <f>_xlfn.XLOOKUP(A321,'Base de Dados'!D:D,'Base de Dados'!B:B)</f>
        <v>TIMBRO SWISS SA</v>
      </c>
      <c r="C321" s="275" t="str">
        <f>_xlfn.XLOOKUP(PRECIFICAÇÃO[[#This Row],[INVOICE]],'Base de Dados'!D:D,'Base de Dados'!X:X)</f>
        <v>EM PRODUÇÃO</v>
      </c>
      <c r="D321" s="54">
        <v>370452</v>
      </c>
      <c r="E321" s="244" t="s">
        <v>937</v>
      </c>
      <c r="F321" s="245">
        <v>2000</v>
      </c>
      <c r="G321" s="319">
        <v>5.15</v>
      </c>
      <c r="H321" s="256">
        <v>5.1176000000000004</v>
      </c>
      <c r="I321" s="247">
        <f t="shared" si="53"/>
        <v>26.355640000000005</v>
      </c>
      <c r="J321" s="248">
        <f t="shared" si="54"/>
        <v>52711.280000000006</v>
      </c>
      <c r="K321" s="249" t="e">
        <f>J321/_xlfn.XLOOKUP(A321,'Base de Dados'!D:D,'Base de Dados'!M:M)</f>
        <v>#DIV/0!</v>
      </c>
      <c r="L321" s="248" t="e">
        <f>K321*_xlfn.XLOOKUP(A321,'Base de Dados'!D:D,'Base de Dados'!N:N)</f>
        <v>#DIV/0!</v>
      </c>
      <c r="M321" s="250" t="e">
        <f t="shared" si="86"/>
        <v>#DIV/0!</v>
      </c>
      <c r="N321" s="251" t="e">
        <f t="shared" si="55"/>
        <v>#DIV/0!</v>
      </c>
      <c r="O321" s="252">
        <f t="shared" si="87"/>
        <v>0.37093717599999998</v>
      </c>
      <c r="P321" s="253" t="e">
        <f t="shared" si="88"/>
        <v>#DIV/0!</v>
      </c>
      <c r="Q321" s="252" t="e">
        <f t="shared" si="89"/>
        <v>#DIV/0!</v>
      </c>
      <c r="R321" s="252">
        <v>0.47093717599999996</v>
      </c>
      <c r="S321" s="252" t="e">
        <f t="shared" si="90"/>
        <v>#DIV/0!</v>
      </c>
      <c r="T321" s="253"/>
      <c r="U321" s="252" t="e">
        <f t="shared" si="91"/>
        <v>#DIV/0!</v>
      </c>
      <c r="V321" s="290">
        <v>130001013</v>
      </c>
      <c r="W321" s="262" t="str">
        <f>_xlfn.XLOOKUP(PRECIFICAÇÃO[[#This Row],[GM9]],Markup!A:A,Markup!B:B)</f>
        <v>SUPORTES</v>
      </c>
    </row>
    <row r="322" spans="1:23" ht="15" customHeight="1" x14ac:dyDescent="0.3">
      <c r="A322" s="287" t="s">
        <v>486</v>
      </c>
      <c r="B322" s="244" t="str">
        <f>_xlfn.XLOOKUP(A322,'Base de Dados'!D:D,'Base de Dados'!B:B)</f>
        <v>TIMBRO SWISS SA</v>
      </c>
      <c r="C322" s="275" t="str">
        <f>_xlfn.XLOOKUP(PRECIFICAÇÃO[[#This Row],[INVOICE]],'Base de Dados'!D:D,'Base de Dados'!X:X)</f>
        <v>EM PRODUÇÃO</v>
      </c>
      <c r="D322" s="54">
        <v>370453</v>
      </c>
      <c r="E322" s="244" t="s">
        <v>977</v>
      </c>
      <c r="F322" s="245">
        <v>2004</v>
      </c>
      <c r="G322" s="319">
        <v>7.54</v>
      </c>
      <c r="H322" s="256">
        <v>5.1176000000000004</v>
      </c>
      <c r="I322" s="247">
        <f t="shared" ref="I322:I381" si="92">H322*G322</f>
        <v>38.586704000000005</v>
      </c>
      <c r="J322" s="248">
        <f t="shared" ref="J322:J381" si="93">I322*F322</f>
        <v>77327.754816000015</v>
      </c>
      <c r="K322" s="249" t="e">
        <f>J322/_xlfn.XLOOKUP(A322,'Base de Dados'!D:D,'Base de Dados'!M:M)</f>
        <v>#DIV/0!</v>
      </c>
      <c r="L322" s="248" t="e">
        <f>K322*_xlfn.XLOOKUP(A322,'Base de Dados'!D:D,'Base de Dados'!N:N)</f>
        <v>#DIV/0!</v>
      </c>
      <c r="M322" s="250" t="e">
        <f t="shared" si="86"/>
        <v>#DIV/0!</v>
      </c>
      <c r="N322" s="251" t="e">
        <f t="shared" ref="N322:N381" si="94">M322/F322</f>
        <v>#DIV/0!</v>
      </c>
      <c r="O322" s="252">
        <f t="shared" si="87"/>
        <v>0.37093717599999998</v>
      </c>
      <c r="P322" s="253" t="e">
        <f t="shared" si="88"/>
        <v>#DIV/0!</v>
      </c>
      <c r="Q322" s="252" t="e">
        <f t="shared" si="89"/>
        <v>#DIV/0!</v>
      </c>
      <c r="R322" s="252">
        <v>0.47093717599999996</v>
      </c>
      <c r="S322" s="252" t="e">
        <f t="shared" si="90"/>
        <v>#DIV/0!</v>
      </c>
      <c r="T322" s="253"/>
      <c r="U322" s="252" t="e">
        <f t="shared" si="91"/>
        <v>#DIV/0!</v>
      </c>
      <c r="V322" s="290">
        <v>130001013</v>
      </c>
      <c r="W322" s="262" t="str">
        <f>_xlfn.XLOOKUP(PRECIFICAÇÃO[[#This Row],[GM9]],Markup!A:A,Markup!B:B)</f>
        <v>SUPORTES</v>
      </c>
    </row>
    <row r="323" spans="1:23" ht="15" customHeight="1" x14ac:dyDescent="0.3">
      <c r="A323" s="287" t="s">
        <v>486</v>
      </c>
      <c r="B323" s="244" t="str">
        <f>_xlfn.XLOOKUP(A323,'Base de Dados'!D:D,'Base de Dados'!B:B)</f>
        <v>TIMBRO SWISS SA</v>
      </c>
      <c r="C323" s="275" t="str">
        <f>_xlfn.XLOOKUP(PRECIFICAÇÃO[[#This Row],[INVOICE]],'Base de Dados'!D:D,'Base de Dados'!X:X)</f>
        <v>EM PRODUÇÃO</v>
      </c>
      <c r="D323" s="54">
        <v>238700</v>
      </c>
      <c r="E323" s="244" t="s">
        <v>13</v>
      </c>
      <c r="F323" s="245">
        <v>3900</v>
      </c>
      <c r="G323" s="319">
        <v>5.69</v>
      </c>
      <c r="H323" s="256">
        <v>5.1176000000000004</v>
      </c>
      <c r="I323" s="247">
        <f t="shared" si="92"/>
        <v>29.119144000000006</v>
      </c>
      <c r="J323" s="248">
        <f t="shared" si="93"/>
        <v>113564.66160000002</v>
      </c>
      <c r="K323" s="249" t="e">
        <f>J323/_xlfn.XLOOKUP(A323,'Base de Dados'!D:D,'Base de Dados'!M:M)</f>
        <v>#DIV/0!</v>
      </c>
      <c r="L323" s="248" t="e">
        <f>K323*_xlfn.XLOOKUP(A323,'Base de Dados'!D:D,'Base de Dados'!N:N)</f>
        <v>#DIV/0!</v>
      </c>
      <c r="M323" s="250" t="e">
        <f t="shared" si="86"/>
        <v>#DIV/0!</v>
      </c>
      <c r="N323" s="251" t="e">
        <f t="shared" si="94"/>
        <v>#DIV/0!</v>
      </c>
      <c r="O323" s="252">
        <f t="shared" si="87"/>
        <v>0.39291766500000003</v>
      </c>
      <c r="P323" s="253" t="e">
        <f t="shared" si="88"/>
        <v>#DIV/0!</v>
      </c>
      <c r="Q323" s="252" t="e">
        <f t="shared" si="89"/>
        <v>#DIV/0!</v>
      </c>
      <c r="R323" s="252">
        <v>0.492917665</v>
      </c>
      <c r="S323" s="252" t="e">
        <f t="shared" si="90"/>
        <v>#DIV/0!</v>
      </c>
      <c r="T323" s="253"/>
      <c r="U323" s="252" t="e">
        <f t="shared" si="91"/>
        <v>#DIV/0!</v>
      </c>
      <c r="V323" s="290">
        <v>111001020</v>
      </c>
      <c r="W323" s="262" t="str">
        <f>_xlfn.XLOOKUP(PRECIFICAÇÃO[[#This Row],[GM9]],Markup!A:A,Markup!B:B)</f>
        <v>SANDUICHEIRA</v>
      </c>
    </row>
    <row r="324" spans="1:23" ht="15" customHeight="1" x14ac:dyDescent="0.3">
      <c r="A324" s="289" t="s">
        <v>823</v>
      </c>
      <c r="B324" s="254" t="str">
        <f>_xlfn.XLOOKUP(A324,'Base de Dados'!D:D,'Base de Dados'!B:B)</f>
        <v>ELOX TRANDING</v>
      </c>
      <c r="C324" s="288" t="str">
        <f>_xlfn.XLOOKUP(PRECIFICAÇÃO[[#This Row],[INVOICE]],'Base de Dados'!D:D,'Base de Dados'!X:X)</f>
        <v>EM TRÂNSITO</v>
      </c>
      <c r="D324" s="68">
        <v>382674</v>
      </c>
      <c r="E324" s="254" t="s">
        <v>826</v>
      </c>
      <c r="F324" s="255">
        <v>1400</v>
      </c>
      <c r="G324" s="321">
        <v>30.5</v>
      </c>
      <c r="H324" s="256">
        <v>5.1176000000000004</v>
      </c>
      <c r="I324" s="257">
        <f t="shared" si="92"/>
        <v>156.08680000000001</v>
      </c>
      <c r="J324" s="258">
        <f t="shared" si="93"/>
        <v>218521.52000000002</v>
      </c>
      <c r="K324" s="258" t="e">
        <f>J324/_xlfn.XLOOKUP(A324,'Base de Dados'!D:D,'Base de Dados'!M:M)</f>
        <v>#DIV/0!</v>
      </c>
      <c r="L324" s="258" t="e">
        <f>K324*_xlfn.XLOOKUP(A324,'Base de Dados'!D:D,'Base de Dados'!N:N)</f>
        <v>#DIV/0!</v>
      </c>
      <c r="M324" s="260" t="e">
        <f>J324+L324</f>
        <v>#DIV/0!</v>
      </c>
      <c r="N324" s="261" t="e">
        <f t="shared" si="94"/>
        <v>#DIV/0!</v>
      </c>
      <c r="O324" s="262">
        <f>R324-0.1</f>
        <v>0.30618864099999998</v>
      </c>
      <c r="P324" s="263" t="e">
        <f>ROUND(N324/O324,0)</f>
        <v>#DIV/0!</v>
      </c>
      <c r="Q324" s="262" t="e">
        <f>(P324-N324)/P324</f>
        <v>#DIV/0!</v>
      </c>
      <c r="R324" s="262">
        <v>0.40618864099999996</v>
      </c>
      <c r="S324" s="262" t="e">
        <f>Q324-R324</f>
        <v>#DIV/0!</v>
      </c>
      <c r="T324" s="263"/>
      <c r="U324" s="262" t="e">
        <f>(T324-P324)/T324</f>
        <v>#DIV/0!</v>
      </c>
      <c r="V324" s="292">
        <v>102001006</v>
      </c>
      <c r="W324" s="262" t="str">
        <f>_xlfn.XLOOKUP(PRECIFICAÇÃO[[#This Row],[GM9]],Markup!A:A,Markup!B:B)</f>
        <v>CAIXA ACÚSTICA</v>
      </c>
    </row>
    <row r="325" spans="1:23" ht="15" customHeight="1" x14ac:dyDescent="0.3">
      <c r="A325" s="296" t="s">
        <v>827</v>
      </c>
      <c r="B325" s="244" t="str">
        <f>_xlfn.XLOOKUP(A325,'Base de Dados'!D:D,'Base de Dados'!B:B)</f>
        <v>ELOX TRANDING</v>
      </c>
      <c r="C325" s="275" t="str">
        <f>_xlfn.XLOOKUP(PRECIFICAÇÃO[[#This Row],[INVOICE]],'Base de Dados'!D:D,'Base de Dados'!X:X)</f>
        <v>EM TRÂNSITO</v>
      </c>
      <c r="D325" s="54">
        <v>382674</v>
      </c>
      <c r="E325" s="244" t="s">
        <v>826</v>
      </c>
      <c r="F325" s="245">
        <v>1427</v>
      </c>
      <c r="G325" s="319">
        <v>30.5</v>
      </c>
      <c r="H325" s="256">
        <v>5.1176000000000004</v>
      </c>
      <c r="I325" s="247">
        <f t="shared" si="92"/>
        <v>156.08680000000001</v>
      </c>
      <c r="J325" s="248">
        <f t="shared" si="93"/>
        <v>222735.86360000001</v>
      </c>
      <c r="K325" s="249" t="e">
        <f>J325/_xlfn.XLOOKUP(A325,'Base de Dados'!D:D,'Base de Dados'!M:M)</f>
        <v>#DIV/0!</v>
      </c>
      <c r="L325" s="248" t="e">
        <f>K325*_xlfn.XLOOKUP(A325,'Base de Dados'!D:D,'Base de Dados'!N:N)</f>
        <v>#DIV/0!</v>
      </c>
      <c r="M325" s="250" t="e">
        <f t="shared" ref="M325:M340" si="95">J325+L325</f>
        <v>#DIV/0!</v>
      </c>
      <c r="N325" s="251" t="e">
        <f t="shared" si="94"/>
        <v>#DIV/0!</v>
      </c>
      <c r="O325" s="252">
        <f t="shared" ref="O325:O340" si="96">R325-0.1</f>
        <v>0.30618864099999998</v>
      </c>
      <c r="P325" s="253" t="e">
        <f t="shared" ref="P325:P340" si="97">ROUND(N325/O325,0)</f>
        <v>#DIV/0!</v>
      </c>
      <c r="Q325" s="252" t="e">
        <f t="shared" ref="Q325:Q340" si="98">(P325-N325)/P325</f>
        <v>#DIV/0!</v>
      </c>
      <c r="R325" s="252">
        <v>0.40618864099999996</v>
      </c>
      <c r="S325" s="252" t="e">
        <f t="shared" ref="S325:S340" si="99">Q325-R325</f>
        <v>#DIV/0!</v>
      </c>
      <c r="T325" s="253"/>
      <c r="U325" s="252" t="e">
        <f t="shared" ref="U325:U340" si="100">(T325-P325)/T325</f>
        <v>#DIV/0!</v>
      </c>
      <c r="V325" s="290">
        <v>102001006</v>
      </c>
      <c r="W325" s="262" t="str">
        <f>_xlfn.XLOOKUP(PRECIFICAÇÃO[[#This Row],[GM9]],Markup!A:A,Markup!B:B)</f>
        <v>CAIXA ACÚSTICA</v>
      </c>
    </row>
    <row r="326" spans="1:23" ht="15" customHeight="1" x14ac:dyDescent="0.3">
      <c r="A326" s="296" t="s">
        <v>829</v>
      </c>
      <c r="B326" s="244" t="str">
        <f>_xlfn.XLOOKUP(A326,'Base de Dados'!D:D,'Base de Dados'!B:B)</f>
        <v>ELOX TRANDING</v>
      </c>
      <c r="C326" s="275" t="str">
        <f>_xlfn.XLOOKUP(PRECIFICAÇÃO[[#This Row],[INVOICE]],'Base de Dados'!D:D,'Base de Dados'!X:X)</f>
        <v>EM TRÂNSITO</v>
      </c>
      <c r="D326" s="54">
        <v>372039</v>
      </c>
      <c r="E326" s="244" t="s">
        <v>1002</v>
      </c>
      <c r="F326" s="245">
        <v>146</v>
      </c>
      <c r="G326" s="319">
        <v>106</v>
      </c>
      <c r="H326" s="256">
        <v>5.1176000000000004</v>
      </c>
      <c r="I326" s="247">
        <f t="shared" si="92"/>
        <v>542.46559999999999</v>
      </c>
      <c r="J326" s="248">
        <f t="shared" si="93"/>
        <v>79199.977599999998</v>
      </c>
      <c r="K326" s="249" t="e">
        <f>J326/_xlfn.XLOOKUP(A326,'Base de Dados'!D:D,'Base de Dados'!M:M)</f>
        <v>#DIV/0!</v>
      </c>
      <c r="L326" s="248" t="e">
        <f>K326*_xlfn.XLOOKUP(A326,'Base de Dados'!D:D,'Base de Dados'!N:N)</f>
        <v>#DIV/0!</v>
      </c>
      <c r="M326" s="250" t="e">
        <f t="shared" si="95"/>
        <v>#DIV/0!</v>
      </c>
      <c r="N326" s="251" t="e">
        <f t="shared" si="94"/>
        <v>#DIV/0!</v>
      </c>
      <c r="O326" s="252">
        <f t="shared" si="96"/>
        <v>0.36421504400000004</v>
      </c>
      <c r="P326" s="253" t="e">
        <f t="shared" si="97"/>
        <v>#DIV/0!</v>
      </c>
      <c r="Q326" s="252" t="e">
        <f t="shared" si="98"/>
        <v>#DIV/0!</v>
      </c>
      <c r="R326" s="252">
        <v>0.46421504400000002</v>
      </c>
      <c r="S326" s="252" t="e">
        <f t="shared" si="99"/>
        <v>#DIV/0!</v>
      </c>
      <c r="T326" s="253"/>
      <c r="U326" s="252" t="e">
        <f t="shared" si="100"/>
        <v>#DIV/0!</v>
      </c>
      <c r="V326" s="290">
        <v>117005002</v>
      </c>
      <c r="W326" s="262" t="str">
        <f>_xlfn.XLOOKUP(PRECIFICAÇÃO[[#This Row],[GM9]],Markup!A:A,Markup!B:B)</f>
        <v>FREEZER VERTICAL</v>
      </c>
    </row>
    <row r="327" spans="1:23" ht="15" customHeight="1" x14ac:dyDescent="0.3">
      <c r="A327" s="296" t="s">
        <v>829</v>
      </c>
      <c r="B327" s="244" t="str">
        <f>_xlfn.XLOOKUP(A327,'Base de Dados'!D:D,'Base de Dados'!B:B)</f>
        <v>ELOX TRANDING</v>
      </c>
      <c r="C327" s="275" t="str">
        <f>_xlfn.XLOOKUP(PRECIFICAÇÃO[[#This Row],[INVOICE]],'Base de Dados'!D:D,'Base de Dados'!X:X)</f>
        <v>EM TRÂNSITO</v>
      </c>
      <c r="D327" s="54">
        <v>372040</v>
      </c>
      <c r="E327" s="244" t="s">
        <v>1003</v>
      </c>
      <c r="F327" s="245">
        <v>263</v>
      </c>
      <c r="G327" s="319">
        <v>64</v>
      </c>
      <c r="H327" s="256">
        <v>5.1176000000000004</v>
      </c>
      <c r="I327" s="247">
        <f t="shared" si="92"/>
        <v>327.52640000000002</v>
      </c>
      <c r="J327" s="248">
        <f t="shared" si="93"/>
        <v>86139.443200000009</v>
      </c>
      <c r="K327" s="249" t="e">
        <f>J327/_xlfn.XLOOKUP(A327,'Base de Dados'!D:D,'Base de Dados'!M:M)</f>
        <v>#DIV/0!</v>
      </c>
      <c r="L327" s="248" t="e">
        <f>K327*_xlfn.XLOOKUP(A327,'Base de Dados'!D:D,'Base de Dados'!N:N)</f>
        <v>#DIV/0!</v>
      </c>
      <c r="M327" s="250" t="e">
        <f t="shared" si="95"/>
        <v>#DIV/0!</v>
      </c>
      <c r="N327" s="251" t="e">
        <f t="shared" si="94"/>
        <v>#DIV/0!</v>
      </c>
      <c r="O327" s="252">
        <f t="shared" si="96"/>
        <v>0.34663446100000006</v>
      </c>
      <c r="P327" s="253" t="e">
        <f t="shared" si="97"/>
        <v>#DIV/0!</v>
      </c>
      <c r="Q327" s="252" t="e">
        <f t="shared" si="98"/>
        <v>#DIV/0!</v>
      </c>
      <c r="R327" s="252">
        <v>0.44663446100000004</v>
      </c>
      <c r="S327" s="252" t="e">
        <f t="shared" si="99"/>
        <v>#DIV/0!</v>
      </c>
      <c r="T327" s="253"/>
      <c r="U327" s="252" t="e">
        <f t="shared" si="100"/>
        <v>#DIV/0!</v>
      </c>
      <c r="V327" s="290">
        <v>117005001</v>
      </c>
      <c r="W327" s="262" t="str">
        <f>_xlfn.XLOOKUP(PRECIFICAÇÃO[[#This Row],[GM9]],Markup!A:A,Markup!B:B)</f>
        <v>FREEZER HORIZONTAL</v>
      </c>
    </row>
    <row r="328" spans="1:23" ht="15" customHeight="1" x14ac:dyDescent="0.3">
      <c r="A328" s="296" t="s">
        <v>829</v>
      </c>
      <c r="B328" s="244" t="str">
        <f>_xlfn.XLOOKUP(A328,'Base de Dados'!D:D,'Base de Dados'!B:B)</f>
        <v>ELOX TRANDING</v>
      </c>
      <c r="C328" s="275" t="str">
        <f>_xlfn.XLOOKUP(PRECIFICAÇÃO[[#This Row],[INVOICE]],'Base de Dados'!D:D,'Base de Dados'!X:X)</f>
        <v>EM TRÂNSITO</v>
      </c>
      <c r="D328" s="54">
        <v>372041</v>
      </c>
      <c r="E328" s="244" t="s">
        <v>1004</v>
      </c>
      <c r="F328" s="245">
        <v>198</v>
      </c>
      <c r="G328" s="319">
        <v>76.5</v>
      </c>
      <c r="H328" s="256">
        <v>5.1176000000000004</v>
      </c>
      <c r="I328" s="247">
        <f t="shared" si="92"/>
        <v>391.49640000000005</v>
      </c>
      <c r="J328" s="248">
        <f t="shared" si="93"/>
        <v>77516.287200000006</v>
      </c>
      <c r="K328" s="249" t="e">
        <f>J328/_xlfn.XLOOKUP(A328,'Base de Dados'!D:D,'Base de Dados'!M:M)</f>
        <v>#DIV/0!</v>
      </c>
      <c r="L328" s="248" t="e">
        <f>K328*_xlfn.XLOOKUP(A328,'Base de Dados'!D:D,'Base de Dados'!N:N)</f>
        <v>#DIV/0!</v>
      </c>
      <c r="M328" s="250" t="e">
        <f t="shared" si="95"/>
        <v>#DIV/0!</v>
      </c>
      <c r="N328" s="251" t="e">
        <f t="shared" si="94"/>
        <v>#DIV/0!</v>
      </c>
      <c r="O328" s="252">
        <f t="shared" si="96"/>
        <v>0.34663446100000006</v>
      </c>
      <c r="P328" s="253" t="e">
        <f t="shared" si="97"/>
        <v>#DIV/0!</v>
      </c>
      <c r="Q328" s="252" t="e">
        <f t="shared" si="98"/>
        <v>#DIV/0!</v>
      </c>
      <c r="R328" s="252">
        <v>0.44663446100000004</v>
      </c>
      <c r="S328" s="252" t="e">
        <f t="shared" si="99"/>
        <v>#DIV/0!</v>
      </c>
      <c r="T328" s="253"/>
      <c r="U328" s="252" t="e">
        <f t="shared" si="100"/>
        <v>#DIV/0!</v>
      </c>
      <c r="V328" s="290">
        <v>117005001</v>
      </c>
      <c r="W328" s="262" t="str">
        <f>_xlfn.XLOOKUP(PRECIFICAÇÃO[[#This Row],[GM9]],Markup!A:A,Markup!B:B)</f>
        <v>FREEZER HORIZONTAL</v>
      </c>
    </row>
    <row r="329" spans="1:23" ht="15" customHeight="1" x14ac:dyDescent="0.3">
      <c r="A329" s="296" t="s">
        <v>833</v>
      </c>
      <c r="B329" s="244" t="str">
        <f>_xlfn.XLOOKUP(A329,'Base de Dados'!D:D,'Base de Dados'!B:B)</f>
        <v>ELOX TRANDING</v>
      </c>
      <c r="C329" s="275" t="str">
        <f>_xlfn.XLOOKUP(PRECIFICAÇÃO[[#This Row],[INVOICE]],'Base de Dados'!D:D,'Base de Dados'!X:X)</f>
        <v>EM TRÂNSITO</v>
      </c>
      <c r="D329" s="54">
        <v>372041</v>
      </c>
      <c r="E329" s="244" t="s">
        <v>1004</v>
      </c>
      <c r="F329" s="245">
        <v>594</v>
      </c>
      <c r="G329" s="319">
        <v>76.5</v>
      </c>
      <c r="H329" s="256">
        <v>5.1176000000000004</v>
      </c>
      <c r="I329" s="247">
        <f t="shared" si="92"/>
        <v>391.49640000000005</v>
      </c>
      <c r="J329" s="248">
        <f t="shared" si="93"/>
        <v>232548.86160000003</v>
      </c>
      <c r="K329" s="249" t="e">
        <f>J329/_xlfn.XLOOKUP(A329,'Base de Dados'!D:D,'Base de Dados'!M:M)</f>
        <v>#DIV/0!</v>
      </c>
      <c r="L329" s="248" t="e">
        <f>K329*_xlfn.XLOOKUP(A329,'Base de Dados'!D:D,'Base de Dados'!N:N)</f>
        <v>#DIV/0!</v>
      </c>
      <c r="M329" s="250" t="e">
        <f t="shared" si="95"/>
        <v>#DIV/0!</v>
      </c>
      <c r="N329" s="251" t="e">
        <f t="shared" si="94"/>
        <v>#DIV/0!</v>
      </c>
      <c r="O329" s="252">
        <f t="shared" si="96"/>
        <v>0.34663446100000006</v>
      </c>
      <c r="P329" s="253" t="e">
        <f t="shared" si="97"/>
        <v>#DIV/0!</v>
      </c>
      <c r="Q329" s="252" t="e">
        <f t="shared" si="98"/>
        <v>#DIV/0!</v>
      </c>
      <c r="R329" s="252">
        <v>0.44663446100000004</v>
      </c>
      <c r="S329" s="252" t="e">
        <f t="shared" si="99"/>
        <v>#DIV/0!</v>
      </c>
      <c r="T329" s="253"/>
      <c r="U329" s="252" t="e">
        <f t="shared" si="100"/>
        <v>#DIV/0!</v>
      </c>
      <c r="V329" s="290">
        <v>117005001</v>
      </c>
      <c r="W329" s="262" t="str">
        <f>_xlfn.XLOOKUP(PRECIFICAÇÃO[[#This Row],[GM9]],Markup!A:A,Markup!B:B)</f>
        <v>FREEZER HORIZONTAL</v>
      </c>
    </row>
    <row r="330" spans="1:23" ht="15" customHeight="1" x14ac:dyDescent="0.3">
      <c r="A330" s="296" t="s">
        <v>833</v>
      </c>
      <c r="B330" s="244" t="str">
        <f>_xlfn.XLOOKUP(A330,'Base de Dados'!D:D,'Base de Dados'!B:B)</f>
        <v>ELOX TRANDING</v>
      </c>
      <c r="C330" s="275" t="str">
        <f>_xlfn.XLOOKUP(PRECIFICAÇÃO[[#This Row],[INVOICE]],'Base de Dados'!D:D,'Base de Dados'!X:X)</f>
        <v>EM TRÂNSITO</v>
      </c>
      <c r="D330" s="54">
        <v>372040</v>
      </c>
      <c r="E330" s="244" t="s">
        <v>1003</v>
      </c>
      <c r="F330" s="245">
        <v>526</v>
      </c>
      <c r="G330" s="319">
        <v>64</v>
      </c>
      <c r="H330" s="256">
        <v>5.1176000000000004</v>
      </c>
      <c r="I330" s="247">
        <f t="shared" si="92"/>
        <v>327.52640000000002</v>
      </c>
      <c r="J330" s="248">
        <f t="shared" si="93"/>
        <v>172278.88640000002</v>
      </c>
      <c r="K330" s="249" t="e">
        <f>J330/_xlfn.XLOOKUP(A330,'Base de Dados'!D:D,'Base de Dados'!M:M)</f>
        <v>#DIV/0!</v>
      </c>
      <c r="L330" s="248" t="e">
        <f>K330*_xlfn.XLOOKUP(A330,'Base de Dados'!D:D,'Base de Dados'!N:N)</f>
        <v>#DIV/0!</v>
      </c>
      <c r="M330" s="250" t="e">
        <f t="shared" si="95"/>
        <v>#DIV/0!</v>
      </c>
      <c r="N330" s="251" t="e">
        <f t="shared" si="94"/>
        <v>#DIV/0!</v>
      </c>
      <c r="O330" s="252">
        <f t="shared" si="96"/>
        <v>0.34663446100000006</v>
      </c>
      <c r="P330" s="253" t="e">
        <f t="shared" si="97"/>
        <v>#DIV/0!</v>
      </c>
      <c r="Q330" s="252" t="e">
        <f t="shared" si="98"/>
        <v>#DIV/0!</v>
      </c>
      <c r="R330" s="252">
        <v>0.44663446100000004</v>
      </c>
      <c r="S330" s="252" t="e">
        <f t="shared" si="99"/>
        <v>#DIV/0!</v>
      </c>
      <c r="T330" s="253"/>
      <c r="U330" s="252" t="e">
        <f t="shared" si="100"/>
        <v>#DIV/0!</v>
      </c>
      <c r="V330" s="290">
        <v>117005001</v>
      </c>
      <c r="W330" s="262" t="str">
        <f>_xlfn.XLOOKUP(PRECIFICAÇÃO[[#This Row],[GM9]],Markup!A:A,Markup!B:B)</f>
        <v>FREEZER HORIZONTAL</v>
      </c>
    </row>
    <row r="331" spans="1:23" ht="15" customHeight="1" x14ac:dyDescent="0.3">
      <c r="A331" s="296" t="s">
        <v>833</v>
      </c>
      <c r="B331" s="244" t="str">
        <f>_xlfn.XLOOKUP(A331,'Base de Dados'!D:D,'Base de Dados'!B:B)</f>
        <v>ELOX TRANDING</v>
      </c>
      <c r="C331" s="275" t="str">
        <f>_xlfn.XLOOKUP(PRECIFICAÇÃO[[#This Row],[INVOICE]],'Base de Dados'!D:D,'Base de Dados'!X:X)</f>
        <v>EM TRÂNSITO</v>
      </c>
      <c r="D331" s="54">
        <v>372039</v>
      </c>
      <c r="E331" s="244" t="s">
        <v>1005</v>
      </c>
      <c r="F331" s="245">
        <v>146</v>
      </c>
      <c r="G331" s="319">
        <v>106</v>
      </c>
      <c r="H331" s="256">
        <v>5.1176000000000004</v>
      </c>
      <c r="I331" s="247">
        <f t="shared" si="92"/>
        <v>542.46559999999999</v>
      </c>
      <c r="J331" s="248">
        <f t="shared" si="93"/>
        <v>79199.977599999998</v>
      </c>
      <c r="K331" s="249" t="e">
        <f>J331/_xlfn.XLOOKUP(A331,'Base de Dados'!D:D,'Base de Dados'!M:M)</f>
        <v>#DIV/0!</v>
      </c>
      <c r="L331" s="248" t="e">
        <f>K331*_xlfn.XLOOKUP(A331,'Base de Dados'!D:D,'Base de Dados'!N:N)</f>
        <v>#DIV/0!</v>
      </c>
      <c r="M331" s="250" t="e">
        <f t="shared" si="95"/>
        <v>#DIV/0!</v>
      </c>
      <c r="N331" s="251" t="e">
        <f t="shared" si="94"/>
        <v>#DIV/0!</v>
      </c>
      <c r="O331" s="252">
        <f t="shared" si="96"/>
        <v>0.36421504400000004</v>
      </c>
      <c r="P331" s="253" t="e">
        <f t="shared" si="97"/>
        <v>#DIV/0!</v>
      </c>
      <c r="Q331" s="252" t="e">
        <f t="shared" si="98"/>
        <v>#DIV/0!</v>
      </c>
      <c r="R331" s="252">
        <v>0.46421504400000002</v>
      </c>
      <c r="S331" s="252" t="e">
        <f t="shared" si="99"/>
        <v>#DIV/0!</v>
      </c>
      <c r="T331" s="253"/>
      <c r="U331" s="252" t="e">
        <f t="shared" si="100"/>
        <v>#DIV/0!</v>
      </c>
      <c r="V331" s="290">
        <v>117005002</v>
      </c>
      <c r="W331" s="262" t="str">
        <f>_xlfn.XLOOKUP(PRECIFICAÇÃO[[#This Row],[GM9]],Markup!A:A,Markup!B:B)</f>
        <v>FREEZER VERTICAL</v>
      </c>
    </row>
    <row r="332" spans="1:23" ht="15" customHeight="1" x14ac:dyDescent="0.3">
      <c r="A332" s="296" t="s">
        <v>837</v>
      </c>
      <c r="B332" s="244" t="str">
        <f>_xlfn.XLOOKUP(A332,'Base de Dados'!D:D,'Base de Dados'!B:B)</f>
        <v>ELOX TRANDING</v>
      </c>
      <c r="C332" s="275" t="str">
        <f>_xlfn.XLOOKUP(PRECIFICAÇÃO[[#This Row],[INVOICE]],'Base de Dados'!D:D,'Base de Dados'!X:X)</f>
        <v>EM PRODUÇÃO</v>
      </c>
      <c r="D332" s="54">
        <v>403259</v>
      </c>
      <c r="E332" s="244" t="s">
        <v>1006</v>
      </c>
      <c r="F332" s="245">
        <v>500</v>
      </c>
      <c r="G332" s="319">
        <v>75.900000000000006</v>
      </c>
      <c r="H332" s="256">
        <v>5.1176000000000004</v>
      </c>
      <c r="I332" s="247">
        <f t="shared" si="92"/>
        <v>388.42584000000005</v>
      </c>
      <c r="J332" s="248">
        <f t="shared" si="93"/>
        <v>194212.92</v>
      </c>
      <c r="K332" s="249" t="e">
        <f>J332/_xlfn.XLOOKUP(A332,'Base de Dados'!D:D,'Base de Dados'!M:M)</f>
        <v>#DIV/0!</v>
      </c>
      <c r="L332" s="248" t="e">
        <f>K332*_xlfn.XLOOKUP(A332,'Base de Dados'!D:D,'Base de Dados'!N:N)</f>
        <v>#DIV/0!</v>
      </c>
      <c r="M332" s="250" t="e">
        <f t="shared" si="95"/>
        <v>#DIV/0!</v>
      </c>
      <c r="N332" s="251" t="e">
        <f t="shared" si="94"/>
        <v>#DIV/0!</v>
      </c>
      <c r="O332" s="252">
        <f t="shared" si="96"/>
        <v>0.36908678900000003</v>
      </c>
      <c r="P332" s="253" t="e">
        <f t="shared" si="97"/>
        <v>#DIV/0!</v>
      </c>
      <c r="Q332" s="252" t="e">
        <f t="shared" si="98"/>
        <v>#DIV/0!</v>
      </c>
      <c r="R332" s="252">
        <v>0.469086789</v>
      </c>
      <c r="S332" s="252" t="e">
        <f t="shared" si="99"/>
        <v>#DIV/0!</v>
      </c>
      <c r="T332" s="253"/>
      <c r="U332" s="252" t="e">
        <f t="shared" si="100"/>
        <v>#DIV/0!</v>
      </c>
      <c r="V332" s="290">
        <v>102001005</v>
      </c>
      <c r="W332" s="262" t="str">
        <f>_xlfn.XLOOKUP(PRECIFICAÇÃO[[#This Row],[GM9]],Markup!A:A,Markup!B:B)</f>
        <v>CAIXA DE SOM ÁUDIO</v>
      </c>
    </row>
    <row r="333" spans="1:23" ht="15" customHeight="1" x14ac:dyDescent="0.3">
      <c r="A333" s="296" t="s">
        <v>840</v>
      </c>
      <c r="B333" s="244" t="str">
        <f>_xlfn.XLOOKUP(A333,'Base de Dados'!D:D,'Base de Dados'!B:B)</f>
        <v>ELOX TRANDING</v>
      </c>
      <c r="C333" s="275" t="str">
        <f>_xlfn.XLOOKUP(PRECIFICAÇÃO[[#This Row],[INVOICE]],'Base de Dados'!D:D,'Base de Dados'!X:X)</f>
        <v>EM TRÂNSITO</v>
      </c>
      <c r="D333" s="54">
        <v>378192</v>
      </c>
      <c r="E333" s="244" t="s">
        <v>1007</v>
      </c>
      <c r="F333" s="245">
        <v>502</v>
      </c>
      <c r="G333" s="319">
        <v>14.8</v>
      </c>
      <c r="H333" s="256">
        <v>5.1176000000000004</v>
      </c>
      <c r="I333" s="247">
        <f t="shared" si="92"/>
        <v>75.740480000000005</v>
      </c>
      <c r="J333" s="248">
        <f t="shared" si="93"/>
        <v>38021.720960000006</v>
      </c>
      <c r="K333" s="249" t="e">
        <f>J333/_xlfn.XLOOKUP(A333,'Base de Dados'!D:D,'Base de Dados'!M:M)</f>
        <v>#DIV/0!</v>
      </c>
      <c r="L333" s="248" t="e">
        <f>K333*_xlfn.XLOOKUP(A333,'Base de Dados'!D:D,'Base de Dados'!N:N)</f>
        <v>#DIV/0!</v>
      </c>
      <c r="M333" s="250" t="e">
        <f t="shared" si="95"/>
        <v>#DIV/0!</v>
      </c>
      <c r="N333" s="251" t="e">
        <f t="shared" si="94"/>
        <v>#DIV/0!</v>
      </c>
      <c r="O333" s="252">
        <f t="shared" si="96"/>
        <v>0.41873122699999998</v>
      </c>
      <c r="P333" s="253" t="e">
        <f t="shared" si="97"/>
        <v>#DIV/0!</v>
      </c>
      <c r="Q333" s="252" t="e">
        <f t="shared" si="98"/>
        <v>#DIV/0!</v>
      </c>
      <c r="R333" s="252">
        <v>0.51873122699999996</v>
      </c>
      <c r="S333" s="252" t="e">
        <f t="shared" si="99"/>
        <v>#DIV/0!</v>
      </c>
      <c r="T333" s="253"/>
      <c r="U333" s="252" t="e">
        <f t="shared" si="100"/>
        <v>#DIV/0!</v>
      </c>
      <c r="V333" s="290">
        <v>107001009</v>
      </c>
      <c r="W333" s="262" t="str">
        <f>_xlfn.XLOOKUP(PRECIFICAÇÃO[[#This Row],[GM9]],Markup!A:A,Markup!B:B)</f>
        <v>REDES DE DORMIR</v>
      </c>
    </row>
    <row r="334" spans="1:23" ht="15" customHeight="1" x14ac:dyDescent="0.3">
      <c r="A334" s="296" t="s">
        <v>840</v>
      </c>
      <c r="B334" s="244" t="str">
        <f>_xlfn.XLOOKUP(A334,'Base de Dados'!D:D,'Base de Dados'!B:B)</f>
        <v>ELOX TRANDING</v>
      </c>
      <c r="C334" s="275" t="str">
        <f>_xlfn.XLOOKUP(PRECIFICAÇÃO[[#This Row],[INVOICE]],'Base de Dados'!D:D,'Base de Dados'!X:X)</f>
        <v>EM TRÂNSITO</v>
      </c>
      <c r="D334" s="54">
        <v>378195</v>
      </c>
      <c r="E334" s="244" t="s">
        <v>1008</v>
      </c>
      <c r="F334" s="245">
        <v>598</v>
      </c>
      <c r="G334" s="319">
        <v>11</v>
      </c>
      <c r="H334" s="256">
        <v>5.1176000000000004</v>
      </c>
      <c r="I334" s="247">
        <f t="shared" si="92"/>
        <v>56.293600000000005</v>
      </c>
      <c r="J334" s="248">
        <f t="shared" si="93"/>
        <v>33663.572800000002</v>
      </c>
      <c r="K334" s="249" t="e">
        <f>J334/_xlfn.XLOOKUP(A334,'Base de Dados'!D:D,'Base de Dados'!M:M)</f>
        <v>#DIV/0!</v>
      </c>
      <c r="L334" s="248" t="e">
        <f>K334*_xlfn.XLOOKUP(A334,'Base de Dados'!D:D,'Base de Dados'!N:N)</f>
        <v>#DIV/0!</v>
      </c>
      <c r="M334" s="250" t="e">
        <f t="shared" si="95"/>
        <v>#DIV/0!</v>
      </c>
      <c r="N334" s="251" t="e">
        <f t="shared" si="94"/>
        <v>#DIV/0!</v>
      </c>
      <c r="O334" s="252">
        <f t="shared" si="96"/>
        <v>0.41873122699999998</v>
      </c>
      <c r="P334" s="253" t="e">
        <f t="shared" si="97"/>
        <v>#DIV/0!</v>
      </c>
      <c r="Q334" s="252" t="e">
        <f t="shared" si="98"/>
        <v>#DIV/0!</v>
      </c>
      <c r="R334" s="252">
        <v>0.51873122699999996</v>
      </c>
      <c r="S334" s="252" t="e">
        <f t="shared" si="99"/>
        <v>#DIV/0!</v>
      </c>
      <c r="T334" s="253"/>
      <c r="U334" s="252" t="e">
        <f t="shared" si="100"/>
        <v>#DIV/0!</v>
      </c>
      <c r="V334" s="290">
        <v>107001009</v>
      </c>
      <c r="W334" s="262" t="str">
        <f>_xlfn.XLOOKUP(PRECIFICAÇÃO[[#This Row],[GM9]],Markup!A:A,Markup!B:B)</f>
        <v>REDES DE DORMIR</v>
      </c>
    </row>
    <row r="335" spans="1:23" ht="15" customHeight="1" x14ac:dyDescent="0.3">
      <c r="A335" s="296" t="s">
        <v>840</v>
      </c>
      <c r="B335" s="244" t="str">
        <f>_xlfn.XLOOKUP(A335,'Base de Dados'!D:D,'Base de Dados'!B:B)</f>
        <v>ELOX TRANDING</v>
      </c>
      <c r="C335" s="275" t="str">
        <f>_xlfn.XLOOKUP(PRECIFICAÇÃO[[#This Row],[INVOICE]],'Base de Dados'!D:D,'Base de Dados'!X:X)</f>
        <v>EM TRÂNSITO</v>
      </c>
      <c r="D335" s="54">
        <v>378285</v>
      </c>
      <c r="E335" s="244" t="s">
        <v>1009</v>
      </c>
      <c r="F335" s="245">
        <v>300</v>
      </c>
      <c r="G335" s="319">
        <v>10.199999999999999</v>
      </c>
      <c r="H335" s="256">
        <v>5.1176000000000004</v>
      </c>
      <c r="I335" s="247">
        <f t="shared" si="92"/>
        <v>52.19952</v>
      </c>
      <c r="J335" s="248">
        <f t="shared" si="93"/>
        <v>15659.856</v>
      </c>
      <c r="K335" s="249" t="e">
        <f>J335/_xlfn.XLOOKUP(A335,'Base de Dados'!D:D,'Base de Dados'!M:M)</f>
        <v>#DIV/0!</v>
      </c>
      <c r="L335" s="248" t="e">
        <f>K335*_xlfn.XLOOKUP(A335,'Base de Dados'!D:D,'Base de Dados'!N:N)</f>
        <v>#DIV/0!</v>
      </c>
      <c r="M335" s="250" t="e">
        <f t="shared" si="95"/>
        <v>#DIV/0!</v>
      </c>
      <c r="N335" s="251" t="e">
        <f t="shared" si="94"/>
        <v>#DIV/0!</v>
      </c>
      <c r="O335" s="252">
        <f t="shared" si="96"/>
        <v>0.41873122699999998</v>
      </c>
      <c r="P335" s="253" t="e">
        <f t="shared" si="97"/>
        <v>#DIV/0!</v>
      </c>
      <c r="Q335" s="252" t="e">
        <f t="shared" si="98"/>
        <v>#DIV/0!</v>
      </c>
      <c r="R335" s="252">
        <v>0.51873122699999996</v>
      </c>
      <c r="S335" s="252" t="e">
        <f t="shared" si="99"/>
        <v>#DIV/0!</v>
      </c>
      <c r="T335" s="253"/>
      <c r="U335" s="252" t="e">
        <f t="shared" si="100"/>
        <v>#DIV/0!</v>
      </c>
      <c r="V335" s="290">
        <v>107001009</v>
      </c>
      <c r="W335" s="262" t="str">
        <f>_xlfn.XLOOKUP(PRECIFICAÇÃO[[#This Row],[GM9]],Markup!A:A,Markup!B:B)</f>
        <v>REDES DE DORMIR</v>
      </c>
    </row>
    <row r="336" spans="1:23" ht="15" customHeight="1" x14ac:dyDescent="0.3">
      <c r="A336" s="296" t="s">
        <v>844</v>
      </c>
      <c r="B336" s="244" t="str">
        <f>_xlfn.XLOOKUP(A336,'Base de Dados'!D:D,'Base de Dados'!B:B)</f>
        <v>ELOX TRANDING</v>
      </c>
      <c r="C336" s="275" t="str">
        <f>_xlfn.XLOOKUP(PRECIFICAÇÃO[[#This Row],[INVOICE]],'Base de Dados'!D:D,'Base de Dados'!X:X)</f>
        <v>EM TRÂNSITO</v>
      </c>
      <c r="D336" s="54">
        <v>386196</v>
      </c>
      <c r="E336" s="244" t="s">
        <v>867</v>
      </c>
      <c r="F336" s="245">
        <v>331</v>
      </c>
      <c r="G336" s="319">
        <v>100.73</v>
      </c>
      <c r="H336" s="256">
        <v>5.1176000000000004</v>
      </c>
      <c r="I336" s="247">
        <f t="shared" si="92"/>
        <v>515.49584800000002</v>
      </c>
      <c r="J336" s="248">
        <f t="shared" si="93"/>
        <v>170629.125688</v>
      </c>
      <c r="K336" s="249" t="e">
        <f>J336/_xlfn.XLOOKUP(A336,'Base de Dados'!D:D,'Base de Dados'!M:M)</f>
        <v>#DIV/0!</v>
      </c>
      <c r="L336" s="248" t="e">
        <f>K336*_xlfn.XLOOKUP(A336,'Base de Dados'!D:D,'Base de Dados'!N:N)</f>
        <v>#DIV/0!</v>
      </c>
      <c r="M336" s="250" t="e">
        <f t="shared" si="95"/>
        <v>#DIV/0!</v>
      </c>
      <c r="N336" s="251" t="e">
        <f t="shared" si="94"/>
        <v>#DIV/0!</v>
      </c>
      <c r="O336" s="252">
        <f t="shared" si="96"/>
        <v>0.30618864099999998</v>
      </c>
      <c r="P336" s="253" t="e">
        <f t="shared" si="97"/>
        <v>#DIV/0!</v>
      </c>
      <c r="Q336" s="252" t="e">
        <f t="shared" si="98"/>
        <v>#DIV/0!</v>
      </c>
      <c r="R336" s="252">
        <v>0.40618864099999996</v>
      </c>
      <c r="S336" s="252" t="e">
        <f t="shared" si="99"/>
        <v>#DIV/0!</v>
      </c>
      <c r="T336" s="253"/>
      <c r="U336" s="252" t="e">
        <f t="shared" si="100"/>
        <v>#DIV/0!</v>
      </c>
      <c r="V336" s="290">
        <v>102001006</v>
      </c>
      <c r="W336" s="262" t="str">
        <f>_xlfn.XLOOKUP(PRECIFICAÇÃO[[#This Row],[GM9]],Markup!A:A,Markup!B:B)</f>
        <v>CAIXA ACÚSTICA</v>
      </c>
    </row>
    <row r="337" spans="1:23" ht="15" customHeight="1" x14ac:dyDescent="0.3">
      <c r="A337" s="296" t="s">
        <v>844</v>
      </c>
      <c r="B337" s="244" t="str">
        <f>_xlfn.XLOOKUP(A337,'Base de Dados'!D:D,'Base de Dados'!B:B)</f>
        <v>ELOX TRANDING</v>
      </c>
      <c r="C337" s="275" t="str">
        <f>_xlfn.XLOOKUP(PRECIFICAÇÃO[[#This Row],[INVOICE]],'Base de Dados'!D:D,'Base de Dados'!X:X)</f>
        <v>EM TRÂNSITO</v>
      </c>
      <c r="D337" s="54">
        <v>386195</v>
      </c>
      <c r="E337" s="244" t="s">
        <v>1010</v>
      </c>
      <c r="F337" s="245">
        <v>550</v>
      </c>
      <c r="G337" s="319">
        <v>55.73</v>
      </c>
      <c r="H337" s="256">
        <v>5.1176000000000004</v>
      </c>
      <c r="I337" s="247">
        <f t="shared" si="92"/>
        <v>285.20384799999999</v>
      </c>
      <c r="J337" s="248">
        <f t="shared" si="93"/>
        <v>156862.1164</v>
      </c>
      <c r="K337" s="249" t="e">
        <f>J337/_xlfn.XLOOKUP(A337,'Base de Dados'!D:D,'Base de Dados'!M:M)</f>
        <v>#DIV/0!</v>
      </c>
      <c r="L337" s="248" t="e">
        <f>K337*_xlfn.XLOOKUP(A337,'Base de Dados'!D:D,'Base de Dados'!N:N)</f>
        <v>#DIV/0!</v>
      </c>
      <c r="M337" s="250" t="e">
        <f t="shared" si="95"/>
        <v>#DIV/0!</v>
      </c>
      <c r="N337" s="251" t="e">
        <f t="shared" si="94"/>
        <v>#DIV/0!</v>
      </c>
      <c r="O337" s="252">
        <f t="shared" si="96"/>
        <v>0.30618864099999998</v>
      </c>
      <c r="P337" s="253" t="e">
        <f t="shared" si="97"/>
        <v>#DIV/0!</v>
      </c>
      <c r="Q337" s="252" t="e">
        <f t="shared" si="98"/>
        <v>#DIV/0!</v>
      </c>
      <c r="R337" s="252">
        <v>0.40618864099999996</v>
      </c>
      <c r="S337" s="252" t="e">
        <f t="shared" si="99"/>
        <v>#DIV/0!</v>
      </c>
      <c r="T337" s="253"/>
      <c r="U337" s="252" t="e">
        <f t="shared" si="100"/>
        <v>#DIV/0!</v>
      </c>
      <c r="V337" s="290">
        <v>102001006</v>
      </c>
      <c r="W337" s="262" t="str">
        <f>_xlfn.XLOOKUP(PRECIFICAÇÃO[[#This Row],[GM9]],Markup!A:A,Markup!B:B)</f>
        <v>CAIXA ACÚSTICA</v>
      </c>
    </row>
    <row r="338" spans="1:23" ht="15" customHeight="1" x14ac:dyDescent="0.3">
      <c r="A338" s="296" t="s">
        <v>844</v>
      </c>
      <c r="B338" s="244" t="str">
        <f>_xlfn.XLOOKUP(A338,'Base de Dados'!D:D,'Base de Dados'!B:B)</f>
        <v>ELOX TRANDING</v>
      </c>
      <c r="C338" s="275" t="str">
        <f>_xlfn.XLOOKUP(PRECIFICAÇÃO[[#This Row],[INVOICE]],'Base de Dados'!D:D,'Base de Dados'!X:X)</f>
        <v>EM TRÂNSITO</v>
      </c>
      <c r="D338" s="54">
        <v>386197</v>
      </c>
      <c r="E338" s="244" t="s">
        <v>1011</v>
      </c>
      <c r="F338" s="245">
        <v>600</v>
      </c>
      <c r="G338" s="319">
        <v>41.23</v>
      </c>
      <c r="H338" s="256">
        <v>5.1176000000000004</v>
      </c>
      <c r="I338" s="247">
        <f t="shared" si="92"/>
        <v>210.998648</v>
      </c>
      <c r="J338" s="248">
        <f t="shared" si="93"/>
        <v>126599.1888</v>
      </c>
      <c r="K338" s="249" t="e">
        <f>J338/_xlfn.XLOOKUP(A338,'Base de Dados'!D:D,'Base de Dados'!M:M)</f>
        <v>#DIV/0!</v>
      </c>
      <c r="L338" s="248" t="e">
        <f>K338*_xlfn.XLOOKUP(A338,'Base de Dados'!D:D,'Base de Dados'!N:N)</f>
        <v>#DIV/0!</v>
      </c>
      <c r="M338" s="250" t="e">
        <f t="shared" si="95"/>
        <v>#DIV/0!</v>
      </c>
      <c r="N338" s="251" t="e">
        <f t="shared" si="94"/>
        <v>#DIV/0!</v>
      </c>
      <c r="O338" s="252">
        <f t="shared" si="96"/>
        <v>0.30618864099999998</v>
      </c>
      <c r="P338" s="253" t="e">
        <f t="shared" si="97"/>
        <v>#DIV/0!</v>
      </c>
      <c r="Q338" s="252" t="e">
        <f t="shared" si="98"/>
        <v>#DIV/0!</v>
      </c>
      <c r="R338" s="252">
        <v>0.40618864099999996</v>
      </c>
      <c r="S338" s="252" t="e">
        <f t="shared" si="99"/>
        <v>#DIV/0!</v>
      </c>
      <c r="T338" s="253"/>
      <c r="U338" s="252" t="e">
        <f t="shared" si="100"/>
        <v>#DIV/0!</v>
      </c>
      <c r="V338" s="290">
        <v>102001006</v>
      </c>
      <c r="W338" s="262" t="str">
        <f>_xlfn.XLOOKUP(PRECIFICAÇÃO[[#This Row],[GM9]],Markup!A:A,Markup!B:B)</f>
        <v>CAIXA ACÚSTICA</v>
      </c>
    </row>
    <row r="339" spans="1:23" ht="15" customHeight="1" x14ac:dyDescent="0.3">
      <c r="A339" s="296" t="s">
        <v>848</v>
      </c>
      <c r="B339" s="244" t="str">
        <f>_xlfn.XLOOKUP(A339,'Base de Dados'!D:D,'Base de Dados'!B:B)</f>
        <v>ELOX TRANDING</v>
      </c>
      <c r="C339" s="275" t="str">
        <f>_xlfn.XLOOKUP(PRECIFICAÇÃO[[#This Row],[INVOICE]],'Base de Dados'!D:D,'Base de Dados'!X:X)</f>
        <v>EM PRODUÇÃO</v>
      </c>
      <c r="D339" s="54">
        <v>386196</v>
      </c>
      <c r="E339" s="244" t="s">
        <v>867</v>
      </c>
      <c r="F339" s="245">
        <v>69</v>
      </c>
      <c r="G339" s="319">
        <v>100.73</v>
      </c>
      <c r="H339" s="256">
        <v>5.1176000000000004</v>
      </c>
      <c r="I339" s="247">
        <f t="shared" si="92"/>
        <v>515.49584800000002</v>
      </c>
      <c r="J339" s="248">
        <f t="shared" si="93"/>
        <v>35569.213512000002</v>
      </c>
      <c r="K339" s="249" t="e">
        <f>J339/_xlfn.XLOOKUP(A339,'Base de Dados'!D:D,'Base de Dados'!M:M)</f>
        <v>#DIV/0!</v>
      </c>
      <c r="L339" s="248" t="e">
        <f>K339*_xlfn.XLOOKUP(A339,'Base de Dados'!D:D,'Base de Dados'!N:N)</f>
        <v>#DIV/0!</v>
      </c>
      <c r="M339" s="250" t="e">
        <f t="shared" si="95"/>
        <v>#DIV/0!</v>
      </c>
      <c r="N339" s="251" t="e">
        <f t="shared" si="94"/>
        <v>#DIV/0!</v>
      </c>
      <c r="O339" s="252">
        <f t="shared" si="96"/>
        <v>0.30618864099999998</v>
      </c>
      <c r="P339" s="253" t="e">
        <f t="shared" si="97"/>
        <v>#DIV/0!</v>
      </c>
      <c r="Q339" s="252" t="e">
        <f t="shared" si="98"/>
        <v>#DIV/0!</v>
      </c>
      <c r="R339" s="252">
        <v>0.40618864099999996</v>
      </c>
      <c r="S339" s="252" t="e">
        <f t="shared" si="99"/>
        <v>#DIV/0!</v>
      </c>
      <c r="T339" s="253"/>
      <c r="U339" s="252" t="e">
        <f t="shared" si="100"/>
        <v>#DIV/0!</v>
      </c>
      <c r="V339" s="290">
        <v>102001006</v>
      </c>
      <c r="W339" s="262" t="str">
        <f>_xlfn.XLOOKUP(PRECIFICAÇÃO[[#This Row],[GM9]],Markup!A:A,Markup!B:B)</f>
        <v>CAIXA ACÚSTICA</v>
      </c>
    </row>
    <row r="340" spans="1:23" ht="15" customHeight="1" x14ac:dyDescent="0.3">
      <c r="A340" s="296" t="s">
        <v>848</v>
      </c>
      <c r="B340" s="244" t="str">
        <f>_xlfn.XLOOKUP(A340,'Base de Dados'!D:D,'Base de Dados'!B:B)</f>
        <v>ELOX TRANDING</v>
      </c>
      <c r="C340" s="275" t="str">
        <f>_xlfn.XLOOKUP(PRECIFICAÇÃO[[#This Row],[INVOICE]],'Base de Dados'!D:D,'Base de Dados'!X:X)</f>
        <v>EM PRODUÇÃO</v>
      </c>
      <c r="D340" s="54">
        <v>386195</v>
      </c>
      <c r="E340" s="244" t="s">
        <v>1010</v>
      </c>
      <c r="F340" s="245">
        <v>50</v>
      </c>
      <c r="G340" s="319">
        <v>55.73</v>
      </c>
      <c r="H340" s="256">
        <v>5.1176000000000004</v>
      </c>
      <c r="I340" s="247">
        <f t="shared" si="92"/>
        <v>285.20384799999999</v>
      </c>
      <c r="J340" s="248">
        <f t="shared" si="93"/>
        <v>14260.1924</v>
      </c>
      <c r="K340" s="249" t="e">
        <f>J340/_xlfn.XLOOKUP(A340,'Base de Dados'!D:D,'Base de Dados'!M:M)</f>
        <v>#DIV/0!</v>
      </c>
      <c r="L340" s="248" t="e">
        <f>K340*_xlfn.XLOOKUP(A340,'Base de Dados'!D:D,'Base de Dados'!N:N)</f>
        <v>#DIV/0!</v>
      </c>
      <c r="M340" s="250" t="e">
        <f t="shared" si="95"/>
        <v>#DIV/0!</v>
      </c>
      <c r="N340" s="251" t="e">
        <f t="shared" si="94"/>
        <v>#DIV/0!</v>
      </c>
      <c r="O340" s="252">
        <f t="shared" si="96"/>
        <v>0.30618864099999998</v>
      </c>
      <c r="P340" s="253" t="e">
        <f t="shared" si="97"/>
        <v>#DIV/0!</v>
      </c>
      <c r="Q340" s="252" t="e">
        <f t="shared" si="98"/>
        <v>#DIV/0!</v>
      </c>
      <c r="R340" s="252">
        <v>0.40618864099999996</v>
      </c>
      <c r="S340" s="252" t="e">
        <f t="shared" si="99"/>
        <v>#DIV/0!</v>
      </c>
      <c r="T340" s="253"/>
      <c r="U340" s="252" t="e">
        <f t="shared" si="100"/>
        <v>#DIV/0!</v>
      </c>
      <c r="V340" s="290">
        <v>102001006</v>
      </c>
      <c r="W340" s="262" t="str">
        <f>_xlfn.XLOOKUP(PRECIFICAÇÃO[[#This Row],[GM9]],Markup!A:A,Markup!B:B)</f>
        <v>CAIXA ACÚSTICA</v>
      </c>
    </row>
    <row r="341" spans="1:23" ht="15" customHeight="1" x14ac:dyDescent="0.3">
      <c r="A341" s="194" t="s">
        <v>850</v>
      </c>
      <c r="B341" s="244" t="str">
        <f>_xlfn.XLOOKUP(A341,'Base de Dados'!D:D,'Base de Dados'!B:B)</f>
        <v>TECHFRIO (BE JAY)</v>
      </c>
      <c r="C341" s="275" t="str">
        <f>_xlfn.XLOOKUP(PRECIFICAÇÃO[[#This Row],[INVOICE]],'Base de Dados'!D:D,'Base de Dados'!X:X)</f>
        <v>CONCLUÍDO</v>
      </c>
      <c r="D341" s="54">
        <v>391223</v>
      </c>
      <c r="E341" s="244" t="s">
        <v>626</v>
      </c>
      <c r="F341" s="245">
        <v>135</v>
      </c>
      <c r="G341" s="319">
        <v>433.06</v>
      </c>
      <c r="H341" s="256">
        <v>5.1176000000000004</v>
      </c>
      <c r="I341" s="247">
        <f t="shared" si="92"/>
        <v>2216.227856</v>
      </c>
      <c r="J341" s="248">
        <f t="shared" si="93"/>
        <v>299190.76056000002</v>
      </c>
      <c r="K341" s="248">
        <f>J341/_xlfn.XLOOKUP(A341,'Base de Dados'!D:D,'Base de Dados'!M:M)</f>
        <v>7.2954060063196366E-2</v>
      </c>
      <c r="L341" s="248">
        <f>K341*_xlfn.XLOOKUP(A341,'Base de Dados'!D:D,'Base de Dados'!N:N)</f>
        <v>18057.942044493069</v>
      </c>
      <c r="M341" s="250">
        <f t="shared" ref="M341:M344" si="101">J341+L341</f>
        <v>317248.70260449307</v>
      </c>
      <c r="N341" s="251">
        <f t="shared" si="94"/>
        <v>2349.9903896629116</v>
      </c>
      <c r="O341" s="252">
        <f t="shared" ref="O341:O344" si="102">R341-0.1</f>
        <v>0.26561336099999999</v>
      </c>
      <c r="P341" s="253">
        <f t="shared" ref="P341:P344" si="103">ROUND(N341/O341,0)</f>
        <v>8847</v>
      </c>
      <c r="Q341" s="252">
        <f t="shared" ref="Q341:Q344" si="104">(P341-N341)/P341</f>
        <v>0.73437432014661341</v>
      </c>
      <c r="R341" s="252">
        <v>0.36561336099999997</v>
      </c>
      <c r="S341" s="252">
        <f t="shared" ref="S341:S344" si="105">Q341-R341</f>
        <v>0.36876095914661344</v>
      </c>
      <c r="T341" s="253"/>
      <c r="U341" s="252" t="e">
        <f t="shared" ref="U341:U344" si="106">(T341-P341)/T341</f>
        <v>#DIV/0!</v>
      </c>
      <c r="V341" s="290">
        <v>117008009</v>
      </c>
      <c r="W341" s="262" t="str">
        <f>_xlfn.XLOOKUP(PRECIFICAÇÃO[[#This Row],[GM9]],Markup!A:A,Markup!B:B)</f>
        <v>SPLIT INVERTER DE 18001 À 30000 BTUS</v>
      </c>
    </row>
    <row r="342" spans="1:23" ht="15" customHeight="1" x14ac:dyDescent="0.3">
      <c r="A342" s="194" t="s">
        <v>850</v>
      </c>
      <c r="B342" s="244" t="str">
        <f>_xlfn.XLOOKUP(A342,'Base de Dados'!D:D,'Base de Dados'!B:B)</f>
        <v>TECHFRIO (BE JAY)</v>
      </c>
      <c r="C342" s="275" t="str">
        <f>_xlfn.XLOOKUP(PRECIFICAÇÃO[[#This Row],[INVOICE]],'Base de Dados'!D:D,'Base de Dados'!X:X)</f>
        <v>CONCLUÍDO</v>
      </c>
      <c r="D342" s="54">
        <v>390880</v>
      </c>
      <c r="E342" s="244" t="s">
        <v>620</v>
      </c>
      <c r="F342" s="245">
        <v>960</v>
      </c>
      <c r="G342" s="319">
        <v>144.94</v>
      </c>
      <c r="H342" s="256">
        <v>5.1176000000000004</v>
      </c>
      <c r="I342" s="247">
        <f t="shared" si="92"/>
        <v>741.74494400000003</v>
      </c>
      <c r="J342" s="248">
        <f t="shared" si="93"/>
        <v>712075.14624000003</v>
      </c>
      <c r="K342" s="248">
        <f>J342/_xlfn.XLOOKUP(A342,'Base de Dados'!D:D,'Base de Dados'!M:M)</f>
        <v>0.17363093997645171</v>
      </c>
      <c r="L342" s="248">
        <f>K342*_xlfn.XLOOKUP(A342,'Base de Dados'!D:D,'Base de Dados'!N:N)</f>
        <v>42977.970636720813</v>
      </c>
      <c r="M342" s="250">
        <f t="shared" si="101"/>
        <v>755053.1168767208</v>
      </c>
      <c r="N342" s="251">
        <f t="shared" si="94"/>
        <v>786.51366341325081</v>
      </c>
      <c r="O342" s="252">
        <f t="shared" si="102"/>
        <v>0.24638952300000003</v>
      </c>
      <c r="P342" s="253">
        <f t="shared" si="103"/>
        <v>3192</v>
      </c>
      <c r="Q342" s="252">
        <f t="shared" si="104"/>
        <v>0.75359847637429478</v>
      </c>
      <c r="R342" s="252">
        <v>0.34638952300000003</v>
      </c>
      <c r="S342" s="252">
        <f t="shared" si="105"/>
        <v>0.40720895337429475</v>
      </c>
      <c r="T342" s="253"/>
      <c r="U342" s="252" t="e">
        <f t="shared" si="106"/>
        <v>#DIV/0!</v>
      </c>
      <c r="V342" s="290">
        <v>117008006</v>
      </c>
      <c r="W342" s="262" t="str">
        <f>_xlfn.XLOOKUP(PRECIFICAÇÃO[[#This Row],[GM9]],Markup!A:A,Markup!B:B)</f>
        <v>SPLIT INV 8501 À 10000</v>
      </c>
    </row>
    <row r="343" spans="1:23" ht="15" customHeight="1" x14ac:dyDescent="0.3">
      <c r="A343" s="194" t="s">
        <v>850</v>
      </c>
      <c r="B343" s="244" t="str">
        <f>_xlfn.XLOOKUP(A343,'Base de Dados'!D:D,'Base de Dados'!B:B)</f>
        <v>TECHFRIO (BE JAY)</v>
      </c>
      <c r="C343" s="275" t="str">
        <f>_xlfn.XLOOKUP(PRECIFICAÇÃO[[#This Row],[INVOICE]],'Base de Dados'!D:D,'Base de Dados'!X:X)</f>
        <v>CONCLUÍDO</v>
      </c>
      <c r="D343" s="54">
        <v>391221</v>
      </c>
      <c r="E343" s="244" t="s">
        <v>622</v>
      </c>
      <c r="F343" s="245">
        <v>3200</v>
      </c>
      <c r="G343" s="319">
        <v>164</v>
      </c>
      <c r="H343" s="256">
        <v>5.1176000000000004</v>
      </c>
      <c r="I343" s="247">
        <f t="shared" si="92"/>
        <v>839.28640000000007</v>
      </c>
      <c r="J343" s="248">
        <f t="shared" si="93"/>
        <v>2685716.4800000004</v>
      </c>
      <c r="K343" s="248">
        <f>J343/_xlfn.XLOOKUP(A343,'Base de Dados'!D:D,'Base de Dados'!M:M)</f>
        <v>0.65487958594678453</v>
      </c>
      <c r="L343" s="248">
        <f>K343*_xlfn.XLOOKUP(A343,'Base de Dados'!D:D,'Base de Dados'!N:N)</f>
        <v>162098.96473074408</v>
      </c>
      <c r="M343" s="250">
        <f t="shared" si="101"/>
        <v>2847815.4447307447</v>
      </c>
      <c r="N343" s="251">
        <f t="shared" si="94"/>
        <v>889.9423264783577</v>
      </c>
      <c r="O343" s="252">
        <f t="shared" si="102"/>
        <v>0.24638952300000003</v>
      </c>
      <c r="P343" s="253">
        <f t="shared" si="103"/>
        <v>3612</v>
      </c>
      <c r="Q343" s="252">
        <f t="shared" si="104"/>
        <v>0.7536150812629131</v>
      </c>
      <c r="R343" s="252">
        <v>0.34638952300000003</v>
      </c>
      <c r="S343" s="252">
        <f t="shared" si="105"/>
        <v>0.40722555826291307</v>
      </c>
      <c r="T343" s="253"/>
      <c r="U343" s="252" t="e">
        <f t="shared" si="106"/>
        <v>#DIV/0!</v>
      </c>
      <c r="V343" s="290">
        <v>117008008</v>
      </c>
      <c r="W343" s="262" t="str">
        <f>_xlfn.XLOOKUP(PRECIFICAÇÃO[[#This Row],[GM9]],Markup!A:A,Markup!B:B)</f>
        <v>SPLIT INVERTER DE 10001 À 18000 BTUS</v>
      </c>
    </row>
    <row r="344" spans="1:23" ht="15" customHeight="1" x14ac:dyDescent="0.3">
      <c r="A344" s="194" t="s">
        <v>850</v>
      </c>
      <c r="B344" s="254" t="str">
        <f>_xlfn.XLOOKUP(A344,'Base de Dados'!D:D,'Base de Dados'!B:B)</f>
        <v>TECHFRIO (BE JAY)</v>
      </c>
      <c r="C344" s="288" t="str">
        <f>_xlfn.XLOOKUP(PRECIFICAÇÃO[[#This Row],[INVOICE]],'Base de Dados'!D:D,'Base de Dados'!X:X)</f>
        <v>CONCLUÍDO</v>
      </c>
      <c r="D344" s="68">
        <v>391222</v>
      </c>
      <c r="E344" s="254" t="s">
        <v>625</v>
      </c>
      <c r="F344" s="255">
        <v>200</v>
      </c>
      <c r="G344" s="321">
        <v>339.53</v>
      </c>
      <c r="H344" s="256">
        <v>5.0894000000000004</v>
      </c>
      <c r="I344" s="257">
        <f t="shared" si="92"/>
        <v>1728.003982</v>
      </c>
      <c r="J344" s="258">
        <f t="shared" si="93"/>
        <v>345600.79639999999</v>
      </c>
      <c r="K344" s="258">
        <f>J344/_xlfn.XLOOKUP(A344,'Base de Dados'!D:D,'Base de Dados'!M:M)</f>
        <v>8.4270587805795091E-2</v>
      </c>
      <c r="L344" s="258">
        <f>K344*_xlfn.XLOOKUP(A344,'Base de Dados'!D:D,'Base de Dados'!N:N)</f>
        <v>20859.06376333538</v>
      </c>
      <c r="M344" s="260">
        <f t="shared" si="101"/>
        <v>366459.8601633354</v>
      </c>
      <c r="N344" s="261">
        <f t="shared" si="94"/>
        <v>1832.299300816677</v>
      </c>
      <c r="O344" s="262">
        <f t="shared" si="102"/>
        <v>0.26561336099999999</v>
      </c>
      <c r="P344" s="263">
        <f t="shared" si="103"/>
        <v>6898</v>
      </c>
      <c r="Q344" s="262">
        <f t="shared" si="104"/>
        <v>0.73437238318111386</v>
      </c>
      <c r="R344" s="262">
        <v>0.36561336099999997</v>
      </c>
      <c r="S344" s="262">
        <f t="shared" si="105"/>
        <v>0.36875902218111389</v>
      </c>
      <c r="T344" s="263"/>
      <c r="U344" s="262" t="e">
        <f t="shared" si="106"/>
        <v>#DIV/0!</v>
      </c>
      <c r="V344" s="292">
        <v>117008009</v>
      </c>
      <c r="W344" s="262" t="str">
        <f>_xlfn.XLOOKUP(PRECIFICAÇÃO[[#This Row],[GM9]],Markup!A:A,Markup!B:B)</f>
        <v>SPLIT INVERTER DE 18001 À 30000 BTUS</v>
      </c>
    </row>
    <row r="345" spans="1:23" ht="15" customHeight="1" x14ac:dyDescent="0.3">
      <c r="A345" s="194" t="s">
        <v>854</v>
      </c>
      <c r="B345" s="244" t="str">
        <f>_xlfn.XLOOKUP(A345,'Base de Dados'!D:D,'Base de Dados'!B:B)</f>
        <v>TECHFRIO (BE JAY)</v>
      </c>
      <c r="C345" s="275" t="str">
        <f>_xlfn.XLOOKUP(PRECIFICAÇÃO[[#This Row],[INVOICE]],'Base de Dados'!D:D,'Base de Dados'!X:X)</f>
        <v>CONCLUÍDO</v>
      </c>
      <c r="D345" s="54">
        <v>390880</v>
      </c>
      <c r="E345" s="244" t="s">
        <v>620</v>
      </c>
      <c r="F345" s="245">
        <v>960</v>
      </c>
      <c r="G345" s="319">
        <v>144.94</v>
      </c>
      <c r="H345" s="246">
        <v>5.0894000000000004</v>
      </c>
      <c r="I345" s="247">
        <f t="shared" si="92"/>
        <v>737.65763600000002</v>
      </c>
      <c r="J345" s="248">
        <f t="shared" si="93"/>
        <v>708151.33056000003</v>
      </c>
      <c r="K345" s="248">
        <f>J345/_xlfn.XLOOKUP(A345,'Base de Dados'!D:D,'Base de Dados'!M:M)</f>
        <v>0.2665928888819285</v>
      </c>
      <c r="L345" s="248">
        <f>K345*_xlfn.XLOOKUP(A345,'Base de Dados'!D:D,'Base de Dados'!N:N)</f>
        <v>13318.980728541148</v>
      </c>
      <c r="M345" s="250">
        <f t="shared" ref="M345:M347" si="107">J345+L345</f>
        <v>721470.31128854118</v>
      </c>
      <c r="N345" s="251">
        <f t="shared" si="94"/>
        <v>751.53157425889708</v>
      </c>
      <c r="O345" s="252">
        <f t="shared" ref="O345:O347" si="108">R345-0.1</f>
        <v>0.24638952300000003</v>
      </c>
      <c r="P345" s="253">
        <f t="shared" ref="P345:P347" si="109">ROUND(N345/O345,0)</f>
        <v>3050</v>
      </c>
      <c r="Q345" s="252">
        <f t="shared" ref="Q345:Q347" si="110">(P345-N345)/P345</f>
        <v>0.75359620516101733</v>
      </c>
      <c r="R345" s="252">
        <v>0.34638952300000003</v>
      </c>
      <c r="S345" s="252">
        <f t="shared" ref="S345:S347" si="111">Q345-R345</f>
        <v>0.4072066821610173</v>
      </c>
      <c r="T345" s="253"/>
      <c r="U345" s="252" t="e">
        <f t="shared" ref="U345:U347" si="112">(T345-P345)/T345</f>
        <v>#DIV/0!</v>
      </c>
      <c r="V345" s="290">
        <v>117008006</v>
      </c>
      <c r="W345" s="262" t="str">
        <f>_xlfn.XLOOKUP(PRECIFICAÇÃO[[#This Row],[GM9]],Markup!A:A,Markup!B:B)</f>
        <v>SPLIT INV 8501 À 10000</v>
      </c>
    </row>
    <row r="346" spans="1:23" ht="15" customHeight="1" x14ac:dyDescent="0.3">
      <c r="A346" s="194" t="s">
        <v>854</v>
      </c>
      <c r="B346" s="244" t="str">
        <f>_xlfn.XLOOKUP(A346,'Base de Dados'!D:D,'Base de Dados'!B:B)</f>
        <v>TECHFRIO (BE JAY)</v>
      </c>
      <c r="C346" s="275" t="str">
        <f>_xlfn.XLOOKUP(PRECIFICAÇÃO[[#This Row],[INVOICE]],'Base de Dados'!D:D,'Base de Dados'!X:X)</f>
        <v>CONCLUÍDO</v>
      </c>
      <c r="D346" s="54">
        <v>391221</v>
      </c>
      <c r="E346" s="244" t="s">
        <v>622</v>
      </c>
      <c r="F346" s="245">
        <v>1920</v>
      </c>
      <c r="G346" s="319">
        <v>164</v>
      </c>
      <c r="H346" s="246">
        <v>5.0894000000000004</v>
      </c>
      <c r="I346" s="247">
        <f t="shared" si="92"/>
        <v>834.66160000000002</v>
      </c>
      <c r="J346" s="248">
        <f t="shared" si="93"/>
        <v>1602550.2720000001</v>
      </c>
      <c r="K346" s="248">
        <f>J346/_xlfn.XLOOKUP(A346,'Base de Dados'!D:D,'Base de Dados'!M:M)</f>
        <v>0.60330114221934983</v>
      </c>
      <c r="L346" s="248">
        <f>K346*_xlfn.XLOOKUP(A346,'Base de Dados'!D:D,'Base de Dados'!N:N)</f>
        <v>30140.925065278716</v>
      </c>
      <c r="M346" s="250">
        <f t="shared" si="107"/>
        <v>1632691.1970652789</v>
      </c>
      <c r="N346" s="251">
        <f t="shared" si="94"/>
        <v>850.35999847149947</v>
      </c>
      <c r="O346" s="252">
        <f t="shared" si="108"/>
        <v>0.24638952300000003</v>
      </c>
      <c r="P346" s="253">
        <f t="shared" si="109"/>
        <v>3451</v>
      </c>
      <c r="Q346" s="252">
        <f t="shared" si="110"/>
        <v>0.75359026413459884</v>
      </c>
      <c r="R346" s="252">
        <v>0.34638952300000003</v>
      </c>
      <c r="S346" s="252">
        <f t="shared" si="111"/>
        <v>0.40720074113459881</v>
      </c>
      <c r="T346" s="253"/>
      <c r="U346" s="252" t="e">
        <f t="shared" si="112"/>
        <v>#DIV/0!</v>
      </c>
      <c r="V346" s="290">
        <v>117008008</v>
      </c>
      <c r="W346" s="262" t="str">
        <f>_xlfn.XLOOKUP(PRECIFICAÇÃO[[#This Row],[GM9]],Markup!A:A,Markup!B:B)</f>
        <v>SPLIT INVERTER DE 10001 À 18000 BTUS</v>
      </c>
    </row>
    <row r="347" spans="1:23" ht="15" customHeight="1" x14ac:dyDescent="0.3">
      <c r="A347" s="287" t="s">
        <v>854</v>
      </c>
      <c r="B347" s="254" t="str">
        <f>_xlfn.XLOOKUP(A347,'Base de Dados'!D:D,'Base de Dados'!B:B)</f>
        <v>TECHFRIO (BE JAY)</v>
      </c>
      <c r="C347" s="288" t="str">
        <f>_xlfn.XLOOKUP(PRECIFICAÇÃO[[#This Row],[INVOICE]],'Base de Dados'!D:D,'Base de Dados'!X:X)</f>
        <v>CONCLUÍDO</v>
      </c>
      <c r="D347" s="68">
        <v>391222</v>
      </c>
      <c r="E347" s="254" t="s">
        <v>625</v>
      </c>
      <c r="F347" s="255">
        <v>200</v>
      </c>
      <c r="G347" s="321">
        <v>339.53</v>
      </c>
      <c r="H347" s="256">
        <v>5.0894000000000004</v>
      </c>
      <c r="I347" s="257">
        <f t="shared" si="92"/>
        <v>1728.003982</v>
      </c>
      <c r="J347" s="258">
        <f t="shared" si="93"/>
        <v>345600.79639999999</v>
      </c>
      <c r="K347" s="258">
        <f>J347/_xlfn.XLOOKUP(A347,'Base de Dados'!D:D,'Base de Dados'!M:M)</f>
        <v>0.13010596850720008</v>
      </c>
      <c r="L347" s="258">
        <f>K347*_xlfn.XLOOKUP(A347,'Base de Dados'!D:D,'Base de Dados'!N:N)</f>
        <v>6500.0941866197154</v>
      </c>
      <c r="M347" s="260">
        <f t="shared" si="107"/>
        <v>352100.89058661973</v>
      </c>
      <c r="N347" s="261">
        <f t="shared" si="94"/>
        <v>1760.5044529330987</v>
      </c>
      <c r="O347" s="262">
        <f t="shared" si="108"/>
        <v>0.26561336099999999</v>
      </c>
      <c r="P347" s="263">
        <f t="shared" si="109"/>
        <v>6628</v>
      </c>
      <c r="Q347" s="262">
        <f t="shared" si="110"/>
        <v>0.73438375785559762</v>
      </c>
      <c r="R347" s="262">
        <v>0.36561336099999997</v>
      </c>
      <c r="S347" s="262">
        <f t="shared" si="111"/>
        <v>0.36877039685559765</v>
      </c>
      <c r="T347" s="263"/>
      <c r="U347" s="262" t="e">
        <f t="shared" si="112"/>
        <v>#DIV/0!</v>
      </c>
      <c r="V347" s="292">
        <v>117008009</v>
      </c>
      <c r="W347" s="262" t="str">
        <f>_xlfn.XLOOKUP(PRECIFICAÇÃO[[#This Row],[GM9]],Markup!A:A,Markup!B:B)</f>
        <v>SPLIT INVERTER DE 18001 À 30000 BTUS</v>
      </c>
    </row>
    <row r="348" spans="1:23" ht="15" customHeight="1" x14ac:dyDescent="0.3">
      <c r="A348" s="194" t="s">
        <v>488</v>
      </c>
      <c r="B348" s="244" t="str">
        <f>_xlfn.XLOOKUP(A348,'Base de Dados'!D:D,'Base de Dados'!B:B)</f>
        <v>TECHFRIO (BE JAY)</v>
      </c>
      <c r="C348" s="275" t="str">
        <f>_xlfn.XLOOKUP(PRECIFICAÇÃO[[#This Row],[INVOICE]],'Base de Dados'!D:D,'Base de Dados'!X:X)</f>
        <v>EM PRODUÇÃO</v>
      </c>
      <c r="D348" s="54">
        <v>390880</v>
      </c>
      <c r="E348" s="244" t="s">
        <v>620</v>
      </c>
      <c r="F348" s="245">
        <v>1280</v>
      </c>
      <c r="G348" s="319">
        <v>144.94</v>
      </c>
      <c r="H348" s="256">
        <v>5.0894000000000004</v>
      </c>
      <c r="I348" s="247">
        <f t="shared" si="92"/>
        <v>737.65763600000002</v>
      </c>
      <c r="J348" s="248">
        <f t="shared" si="93"/>
        <v>944201.77408</v>
      </c>
      <c r="K348" s="248" t="e">
        <f>J348/_xlfn.XLOOKUP(A348,'Base de Dados'!D:D,'Base de Dados'!M:M)</f>
        <v>#DIV/0!</v>
      </c>
      <c r="L348" s="248" t="e">
        <f>K348*_xlfn.XLOOKUP(A348,'Base de Dados'!D:D,'Base de Dados'!N:N)</f>
        <v>#DIV/0!</v>
      </c>
      <c r="M348" s="250" t="e">
        <f t="shared" ref="M348:M352" si="113">J348+L348</f>
        <v>#DIV/0!</v>
      </c>
      <c r="N348" s="251" t="e">
        <f t="shared" si="94"/>
        <v>#DIV/0!</v>
      </c>
      <c r="O348" s="252">
        <f t="shared" ref="O348:O352" si="114">R348-0.1</f>
        <v>0.24638952300000003</v>
      </c>
      <c r="P348" s="253" t="e">
        <f t="shared" ref="P348:P352" si="115">ROUND(N348/O348,0)</f>
        <v>#DIV/0!</v>
      </c>
      <c r="Q348" s="252" t="e">
        <f t="shared" ref="Q348:Q352" si="116">(P348-N348)/P348</f>
        <v>#DIV/0!</v>
      </c>
      <c r="R348" s="252">
        <v>0.34638952300000003</v>
      </c>
      <c r="S348" s="252" t="e">
        <f t="shared" ref="S348:S352" si="117">Q348-R348</f>
        <v>#DIV/0!</v>
      </c>
      <c r="T348" s="253"/>
      <c r="U348" s="252" t="e">
        <f t="shared" ref="U348:U352" si="118">(T348-P348)/T348</f>
        <v>#DIV/0!</v>
      </c>
      <c r="V348" s="290">
        <v>117008006</v>
      </c>
      <c r="W348" s="262" t="str">
        <f>_xlfn.XLOOKUP(PRECIFICAÇÃO[[#This Row],[GM9]],Markup!A:A,Markup!B:B)</f>
        <v>SPLIT INV 8501 À 10000</v>
      </c>
    </row>
    <row r="349" spans="1:23" ht="15" customHeight="1" x14ac:dyDescent="0.3">
      <c r="A349" s="194" t="s">
        <v>488</v>
      </c>
      <c r="B349" s="244" t="str">
        <f>_xlfn.XLOOKUP(A349,'Base de Dados'!D:D,'Base de Dados'!B:B)</f>
        <v>TECHFRIO (BE JAY)</v>
      </c>
      <c r="C349" s="275" t="str">
        <f>_xlfn.XLOOKUP(PRECIFICAÇÃO[[#This Row],[INVOICE]],'Base de Dados'!D:D,'Base de Dados'!X:X)</f>
        <v>EM PRODUÇÃO</v>
      </c>
      <c r="D349" s="54">
        <v>391221</v>
      </c>
      <c r="E349" s="244" t="s">
        <v>622</v>
      </c>
      <c r="F349" s="245">
        <v>4160</v>
      </c>
      <c r="G349" s="319">
        <v>164</v>
      </c>
      <c r="H349" s="256">
        <v>5.0894000000000004</v>
      </c>
      <c r="I349" s="247">
        <f t="shared" si="92"/>
        <v>834.66160000000002</v>
      </c>
      <c r="J349" s="248">
        <f t="shared" si="93"/>
        <v>3472192.2560000001</v>
      </c>
      <c r="K349" s="248" t="e">
        <f>J349/_xlfn.XLOOKUP(A349,'Base de Dados'!D:D,'Base de Dados'!M:M)</f>
        <v>#DIV/0!</v>
      </c>
      <c r="L349" s="248" t="e">
        <f>K349*_xlfn.XLOOKUP(A349,'Base de Dados'!D:D,'Base de Dados'!N:N)</f>
        <v>#DIV/0!</v>
      </c>
      <c r="M349" s="250" t="e">
        <f t="shared" si="113"/>
        <v>#DIV/0!</v>
      </c>
      <c r="N349" s="251" t="e">
        <f t="shared" si="94"/>
        <v>#DIV/0!</v>
      </c>
      <c r="O349" s="252">
        <f t="shared" si="114"/>
        <v>0.24638952300000003</v>
      </c>
      <c r="P349" s="253" t="e">
        <f t="shared" si="115"/>
        <v>#DIV/0!</v>
      </c>
      <c r="Q349" s="252" t="e">
        <f t="shared" si="116"/>
        <v>#DIV/0!</v>
      </c>
      <c r="R349" s="252">
        <v>0.34638952300000003</v>
      </c>
      <c r="S349" s="252" t="e">
        <f t="shared" si="117"/>
        <v>#DIV/0!</v>
      </c>
      <c r="T349" s="253"/>
      <c r="U349" s="252" t="e">
        <f t="shared" si="118"/>
        <v>#DIV/0!</v>
      </c>
      <c r="V349" s="290">
        <v>117008008</v>
      </c>
      <c r="W349" s="262" t="str">
        <f>_xlfn.XLOOKUP(PRECIFICAÇÃO[[#This Row],[GM9]],Markup!A:A,Markup!B:B)</f>
        <v>SPLIT INVERTER DE 10001 À 18000 BTUS</v>
      </c>
    </row>
    <row r="350" spans="1:23" ht="15" customHeight="1" x14ac:dyDescent="0.3">
      <c r="A350" s="194" t="s">
        <v>488</v>
      </c>
      <c r="B350" s="244" t="str">
        <f>_xlfn.XLOOKUP(A350,'Base de Dados'!D:D,'Base de Dados'!B:B)</f>
        <v>TECHFRIO (BE JAY)</v>
      </c>
      <c r="C350" s="275" t="str">
        <f>_xlfn.XLOOKUP(PRECIFICAÇÃO[[#This Row],[INVOICE]],'Base de Dados'!D:D,'Base de Dados'!X:X)</f>
        <v>EM PRODUÇÃO</v>
      </c>
      <c r="D350" s="54">
        <v>408558</v>
      </c>
      <c r="E350" s="244" t="s">
        <v>623</v>
      </c>
      <c r="F350" s="245">
        <v>212</v>
      </c>
      <c r="G350" s="319">
        <v>265.47000000000003</v>
      </c>
      <c r="H350" s="256">
        <v>5.0894000000000004</v>
      </c>
      <c r="I350" s="247">
        <f t="shared" si="92"/>
        <v>1351.0830180000003</v>
      </c>
      <c r="J350" s="248">
        <f t="shared" si="93"/>
        <v>286429.59981600003</v>
      </c>
      <c r="K350" s="248" t="e">
        <f>J350/_xlfn.XLOOKUP(A350,'Base de Dados'!D:D,'Base de Dados'!M:M)</f>
        <v>#DIV/0!</v>
      </c>
      <c r="L350" s="248" t="e">
        <f>K350*_xlfn.XLOOKUP(A350,'Base de Dados'!D:D,'Base de Dados'!N:N)</f>
        <v>#DIV/0!</v>
      </c>
      <c r="M350" s="250" t="e">
        <f t="shared" si="113"/>
        <v>#DIV/0!</v>
      </c>
      <c r="N350" s="251" t="e">
        <f t="shared" si="94"/>
        <v>#DIV/0!</v>
      </c>
      <c r="O350" s="252">
        <f t="shared" si="114"/>
        <v>0.24638952300000003</v>
      </c>
      <c r="P350" s="253" t="e">
        <f t="shared" si="115"/>
        <v>#DIV/0!</v>
      </c>
      <c r="Q350" s="252" t="e">
        <f t="shared" si="116"/>
        <v>#DIV/0!</v>
      </c>
      <c r="R350" s="252">
        <v>0.34638952300000003</v>
      </c>
      <c r="S350" s="252" t="e">
        <f t="shared" si="117"/>
        <v>#DIV/0!</v>
      </c>
      <c r="T350" s="253"/>
      <c r="U350" s="252" t="e">
        <f t="shared" si="118"/>
        <v>#DIV/0!</v>
      </c>
      <c r="V350" s="290">
        <v>117008008</v>
      </c>
      <c r="W350" s="262" t="str">
        <f>_xlfn.XLOOKUP(PRECIFICAÇÃO[[#This Row],[GM9]],Markup!A:A,Markup!B:B)</f>
        <v>SPLIT INVERTER DE 10001 À 18000 BTUS</v>
      </c>
    </row>
    <row r="351" spans="1:23" ht="15" customHeight="1" x14ac:dyDescent="0.3">
      <c r="A351" s="194" t="s">
        <v>488</v>
      </c>
      <c r="B351" s="244" t="str">
        <f>_xlfn.XLOOKUP(A351,'Base de Dados'!D:D,'Base de Dados'!B:B)</f>
        <v>TECHFRIO (BE JAY)</v>
      </c>
      <c r="C351" s="275" t="str">
        <f>_xlfn.XLOOKUP(PRECIFICAÇÃO[[#This Row],[INVOICE]],'Base de Dados'!D:D,'Base de Dados'!X:X)</f>
        <v>EM PRODUÇÃO</v>
      </c>
      <c r="D351" s="54">
        <v>391222</v>
      </c>
      <c r="E351" s="244" t="s">
        <v>625</v>
      </c>
      <c r="F351" s="245">
        <v>200</v>
      </c>
      <c r="G351" s="319">
        <v>339.53</v>
      </c>
      <c r="H351" s="256">
        <v>5.0894000000000004</v>
      </c>
      <c r="I351" s="247">
        <f t="shared" si="92"/>
        <v>1728.003982</v>
      </c>
      <c r="J351" s="248">
        <f t="shared" si="93"/>
        <v>345600.79639999999</v>
      </c>
      <c r="K351" s="248" t="e">
        <f>J351/_xlfn.XLOOKUP(A351,'Base de Dados'!D:D,'Base de Dados'!M:M)</f>
        <v>#DIV/0!</v>
      </c>
      <c r="L351" s="248" t="e">
        <f>K351*_xlfn.XLOOKUP(A351,'Base de Dados'!D:D,'Base de Dados'!N:N)</f>
        <v>#DIV/0!</v>
      </c>
      <c r="M351" s="250" t="e">
        <f t="shared" si="113"/>
        <v>#DIV/0!</v>
      </c>
      <c r="N351" s="251" t="e">
        <f t="shared" si="94"/>
        <v>#DIV/0!</v>
      </c>
      <c r="O351" s="252">
        <f t="shared" si="114"/>
        <v>0.26561336099999999</v>
      </c>
      <c r="P351" s="253" t="e">
        <f t="shared" si="115"/>
        <v>#DIV/0!</v>
      </c>
      <c r="Q351" s="252" t="e">
        <f t="shared" si="116"/>
        <v>#DIV/0!</v>
      </c>
      <c r="R351" s="252">
        <v>0.36561336099999997</v>
      </c>
      <c r="S351" s="252" t="e">
        <f t="shared" si="117"/>
        <v>#DIV/0!</v>
      </c>
      <c r="T351" s="253"/>
      <c r="U351" s="252" t="e">
        <f t="shared" si="118"/>
        <v>#DIV/0!</v>
      </c>
      <c r="V351" s="290">
        <v>117008009</v>
      </c>
      <c r="W351" s="262" t="str">
        <f>_xlfn.XLOOKUP(PRECIFICAÇÃO[[#This Row],[GM9]],Markup!A:A,Markup!B:B)</f>
        <v>SPLIT INVERTER DE 18001 À 30000 BTUS</v>
      </c>
    </row>
    <row r="352" spans="1:23" ht="15" customHeight="1" x14ac:dyDescent="0.3">
      <c r="A352" s="287" t="s">
        <v>488</v>
      </c>
      <c r="B352" s="254" t="str">
        <f>_xlfn.XLOOKUP(A352,'Base de Dados'!D:D,'Base de Dados'!B:B)</f>
        <v>TECHFRIO (BE JAY)</v>
      </c>
      <c r="C352" s="288" t="str">
        <f>_xlfn.XLOOKUP(PRECIFICAÇÃO[[#This Row],[INVOICE]],'Base de Dados'!D:D,'Base de Dados'!X:X)</f>
        <v>EM PRODUÇÃO</v>
      </c>
      <c r="D352" s="68">
        <v>391223</v>
      </c>
      <c r="E352" s="254" t="s">
        <v>626</v>
      </c>
      <c r="F352" s="255">
        <v>270</v>
      </c>
      <c r="G352" s="321">
        <v>433.06</v>
      </c>
      <c r="H352" s="256">
        <v>5.0894000000000004</v>
      </c>
      <c r="I352" s="257">
        <f t="shared" si="92"/>
        <v>2204.0155640000003</v>
      </c>
      <c r="J352" s="258">
        <f t="shared" si="93"/>
        <v>595084.20228000009</v>
      </c>
      <c r="K352" s="258" t="e">
        <f>J352/_xlfn.XLOOKUP(A352,'Base de Dados'!D:D,'Base de Dados'!M:M)</f>
        <v>#DIV/0!</v>
      </c>
      <c r="L352" s="258" t="e">
        <f>K352*_xlfn.XLOOKUP(A352,'Base de Dados'!D:D,'Base de Dados'!N:N)</f>
        <v>#DIV/0!</v>
      </c>
      <c r="M352" s="260" t="e">
        <f t="shared" si="113"/>
        <v>#DIV/0!</v>
      </c>
      <c r="N352" s="261" t="e">
        <f t="shared" si="94"/>
        <v>#DIV/0!</v>
      </c>
      <c r="O352" s="262">
        <f t="shared" si="114"/>
        <v>0.26561336099999999</v>
      </c>
      <c r="P352" s="263" t="e">
        <f t="shared" si="115"/>
        <v>#DIV/0!</v>
      </c>
      <c r="Q352" s="262" t="e">
        <f t="shared" si="116"/>
        <v>#DIV/0!</v>
      </c>
      <c r="R352" s="262">
        <v>0.36561336099999997</v>
      </c>
      <c r="S352" s="262" t="e">
        <f t="shared" si="117"/>
        <v>#DIV/0!</v>
      </c>
      <c r="T352" s="263"/>
      <c r="U352" s="262" t="e">
        <f t="shared" si="118"/>
        <v>#DIV/0!</v>
      </c>
      <c r="V352" s="292">
        <v>117008009</v>
      </c>
      <c r="W352" s="262" t="str">
        <f>_xlfn.XLOOKUP(PRECIFICAÇÃO[[#This Row],[GM9]],Markup!A:A,Markup!B:B)</f>
        <v>SPLIT INVERTER DE 18001 À 30000 BTUS</v>
      </c>
    </row>
    <row r="353" spans="1:23" ht="15" customHeight="1" x14ac:dyDescent="0.3">
      <c r="A353" s="194" t="s">
        <v>469</v>
      </c>
      <c r="B353" s="244" t="str">
        <f>_xlfn.XLOOKUP(A353,'Base de Dados'!D:D,'Base de Dados'!B:B)</f>
        <v>TIMBRO SWISS SA</v>
      </c>
      <c r="C353" s="275" t="str">
        <f>_xlfn.XLOOKUP(PRECIFICAÇÃO[[#This Row],[INVOICE]],'Base de Dados'!D:D,'Base de Dados'!X:X)</f>
        <v>EM TRÂNSITO</v>
      </c>
      <c r="D353" s="54">
        <v>269686</v>
      </c>
      <c r="E353" s="244" t="s">
        <v>1012</v>
      </c>
      <c r="F353" s="245">
        <v>1512</v>
      </c>
      <c r="G353" s="319">
        <v>1.73</v>
      </c>
      <c r="H353" s="256">
        <v>5.0894000000000004</v>
      </c>
      <c r="I353" s="247">
        <f t="shared" si="92"/>
        <v>8.8046620000000004</v>
      </c>
      <c r="J353" s="248">
        <f t="shared" si="93"/>
        <v>13312.648944</v>
      </c>
      <c r="K353" s="248" t="e">
        <f>J353/_xlfn.XLOOKUP(A353,'Base de Dados'!D:D,'Base de Dados'!M:M)</f>
        <v>#DIV/0!</v>
      </c>
      <c r="L353" s="248" t="e">
        <f>K353*_xlfn.XLOOKUP(A353,'Base de Dados'!D:D,'Base de Dados'!N:N)</f>
        <v>#DIV/0!</v>
      </c>
      <c r="M353" s="250" t="e">
        <f t="shared" ref="M353:M363" si="119">J353+L353</f>
        <v>#DIV/0!</v>
      </c>
      <c r="N353" s="251" t="e">
        <f t="shared" si="94"/>
        <v>#DIV/0!</v>
      </c>
      <c r="O353" s="252">
        <f t="shared" ref="O353:O363" si="120">R353-0.1</f>
        <v>-0.1</v>
      </c>
      <c r="P353" s="253" t="e">
        <f t="shared" ref="P353:P363" si="121">ROUND(N353/O353,0)</f>
        <v>#DIV/0!</v>
      </c>
      <c r="Q353" s="252" t="e">
        <f t="shared" ref="Q353:Q363" si="122">(P353-N353)/P353</f>
        <v>#DIV/0!</v>
      </c>
      <c r="R353" s="252"/>
      <c r="S353" s="252" t="e">
        <f t="shared" ref="S353:S363" si="123">Q353-R353</f>
        <v>#DIV/0!</v>
      </c>
      <c r="T353" s="253"/>
      <c r="U353" s="252" t="e">
        <f t="shared" ref="U353:U363" si="124">(T353-P353)/T353</f>
        <v>#DIV/0!</v>
      </c>
      <c r="V353" s="290">
        <v>127001014</v>
      </c>
      <c r="W353" s="262" t="str">
        <f>_xlfn.XLOOKUP(PRECIFICAÇÃO[[#This Row],[GM9]],Markup!A:A,Markup!B:B)</f>
        <v>POTES</v>
      </c>
    </row>
    <row r="354" spans="1:23" ht="15" customHeight="1" x14ac:dyDescent="0.3">
      <c r="A354" s="194" t="s">
        <v>469</v>
      </c>
      <c r="B354" s="244" t="str">
        <f>_xlfn.XLOOKUP(A354,'Base de Dados'!D:D,'Base de Dados'!B:B)</f>
        <v>TIMBRO SWISS SA</v>
      </c>
      <c r="C354" s="275" t="str">
        <f>_xlfn.XLOOKUP(PRECIFICAÇÃO[[#This Row],[INVOICE]],'Base de Dados'!D:D,'Base de Dados'!X:X)</f>
        <v>EM TRÂNSITO</v>
      </c>
      <c r="D354" s="54">
        <v>267936</v>
      </c>
      <c r="E354" s="244" t="s">
        <v>969</v>
      </c>
      <c r="F354" s="245">
        <v>2304</v>
      </c>
      <c r="G354" s="319">
        <v>1.34</v>
      </c>
      <c r="H354" s="256">
        <v>5.0894000000000004</v>
      </c>
      <c r="I354" s="247">
        <f t="shared" si="92"/>
        <v>6.8197960000000011</v>
      </c>
      <c r="J354" s="248">
        <f t="shared" si="93"/>
        <v>15712.809984000003</v>
      </c>
      <c r="K354" s="248" t="e">
        <f>J354/_xlfn.XLOOKUP(A354,'Base de Dados'!D:D,'Base de Dados'!M:M)</f>
        <v>#DIV/0!</v>
      </c>
      <c r="L354" s="248" t="e">
        <f>K354*_xlfn.XLOOKUP(A354,'Base de Dados'!D:D,'Base de Dados'!N:N)</f>
        <v>#DIV/0!</v>
      </c>
      <c r="M354" s="250" t="e">
        <f t="shared" si="119"/>
        <v>#DIV/0!</v>
      </c>
      <c r="N354" s="251" t="e">
        <f t="shared" si="94"/>
        <v>#DIV/0!</v>
      </c>
      <c r="O354" s="252">
        <f t="shared" si="120"/>
        <v>-0.1</v>
      </c>
      <c r="P354" s="253" t="e">
        <f t="shared" si="121"/>
        <v>#DIV/0!</v>
      </c>
      <c r="Q354" s="252" t="e">
        <f t="shared" si="122"/>
        <v>#DIV/0!</v>
      </c>
      <c r="R354" s="252"/>
      <c r="S354" s="252" t="e">
        <f t="shared" si="123"/>
        <v>#DIV/0!</v>
      </c>
      <c r="T354" s="253"/>
      <c r="U354" s="252" t="e">
        <f t="shared" si="124"/>
        <v>#DIV/0!</v>
      </c>
      <c r="V354" s="290">
        <v>127001014</v>
      </c>
      <c r="W354" s="262" t="str">
        <f>_xlfn.XLOOKUP(PRECIFICAÇÃO[[#This Row],[GM9]],Markup!A:A,Markup!B:B)</f>
        <v>POTES</v>
      </c>
    </row>
    <row r="355" spans="1:23" ht="15" customHeight="1" x14ac:dyDescent="0.3">
      <c r="A355" s="194" t="s">
        <v>469</v>
      </c>
      <c r="B355" s="244" t="str">
        <f>_xlfn.XLOOKUP(A355,'Base de Dados'!D:D,'Base de Dados'!B:B)</f>
        <v>TIMBRO SWISS SA</v>
      </c>
      <c r="C355" s="275" t="str">
        <f>_xlfn.XLOOKUP(PRECIFICAÇÃO[[#This Row],[INVOICE]],'Base de Dados'!D:D,'Base de Dados'!X:X)</f>
        <v>EM TRÂNSITO</v>
      </c>
      <c r="D355" s="54">
        <v>267943</v>
      </c>
      <c r="E355" s="244" t="s">
        <v>1013</v>
      </c>
      <c r="F355" s="245">
        <v>1992</v>
      </c>
      <c r="G355" s="319">
        <v>1.95</v>
      </c>
      <c r="H355" s="256">
        <v>5.0894000000000004</v>
      </c>
      <c r="I355" s="247">
        <f t="shared" si="92"/>
        <v>9.9243300000000012</v>
      </c>
      <c r="J355" s="248">
        <f t="shared" si="93"/>
        <v>19769.265360000001</v>
      </c>
      <c r="K355" s="248" t="e">
        <f>J355/_xlfn.XLOOKUP(A355,'Base de Dados'!D:D,'Base de Dados'!M:M)</f>
        <v>#DIV/0!</v>
      </c>
      <c r="L355" s="248" t="e">
        <f>K355*_xlfn.XLOOKUP(A355,'Base de Dados'!D:D,'Base de Dados'!N:N)</f>
        <v>#DIV/0!</v>
      </c>
      <c r="M355" s="250" t="e">
        <f t="shared" si="119"/>
        <v>#DIV/0!</v>
      </c>
      <c r="N355" s="251" t="e">
        <f t="shared" si="94"/>
        <v>#DIV/0!</v>
      </c>
      <c r="O355" s="252">
        <f t="shared" si="120"/>
        <v>-0.1</v>
      </c>
      <c r="P355" s="253" t="e">
        <f t="shared" si="121"/>
        <v>#DIV/0!</v>
      </c>
      <c r="Q355" s="252" t="e">
        <f t="shared" si="122"/>
        <v>#DIV/0!</v>
      </c>
      <c r="R355" s="252"/>
      <c r="S355" s="252" t="e">
        <f t="shared" si="123"/>
        <v>#DIV/0!</v>
      </c>
      <c r="T355" s="253"/>
      <c r="U355" s="252" t="e">
        <f t="shared" si="124"/>
        <v>#DIV/0!</v>
      </c>
      <c r="V355" s="290">
        <v>127001006</v>
      </c>
      <c r="W355" s="262" t="str">
        <f>_xlfn.XLOOKUP(PRECIFICAÇÃO[[#This Row],[GM9]],Markup!A:A,Markup!B:B)</f>
        <v>CAÇAROLA</v>
      </c>
    </row>
    <row r="356" spans="1:23" ht="15" customHeight="1" x14ac:dyDescent="0.3">
      <c r="A356" s="194" t="s">
        <v>469</v>
      </c>
      <c r="B356" s="244" t="str">
        <f>_xlfn.XLOOKUP(A356,'Base de Dados'!D:D,'Base de Dados'!B:B)</f>
        <v>TIMBRO SWISS SA</v>
      </c>
      <c r="C356" s="275" t="str">
        <f>_xlfn.XLOOKUP(PRECIFICAÇÃO[[#This Row],[INVOICE]],'Base de Dados'!D:D,'Base de Dados'!X:X)</f>
        <v>EM TRÂNSITO</v>
      </c>
      <c r="D356" s="54">
        <v>267939</v>
      </c>
      <c r="E356" s="244" t="s">
        <v>1014</v>
      </c>
      <c r="F356" s="245">
        <v>1512</v>
      </c>
      <c r="G356" s="319">
        <v>2.1</v>
      </c>
      <c r="H356" s="256">
        <v>5.0894000000000004</v>
      </c>
      <c r="I356" s="247">
        <f t="shared" si="92"/>
        <v>10.687740000000002</v>
      </c>
      <c r="J356" s="248">
        <f t="shared" si="93"/>
        <v>16159.862880000002</v>
      </c>
      <c r="K356" s="248" t="e">
        <f>J356/_xlfn.XLOOKUP(A356,'Base de Dados'!D:D,'Base de Dados'!M:M)</f>
        <v>#DIV/0!</v>
      </c>
      <c r="L356" s="248" t="e">
        <f>K356*_xlfn.XLOOKUP(A356,'Base de Dados'!D:D,'Base de Dados'!N:N)</f>
        <v>#DIV/0!</v>
      </c>
      <c r="M356" s="250" t="e">
        <f t="shared" si="119"/>
        <v>#DIV/0!</v>
      </c>
      <c r="N356" s="251" t="e">
        <f t="shared" si="94"/>
        <v>#DIV/0!</v>
      </c>
      <c r="O356" s="252">
        <f t="shared" si="120"/>
        <v>-0.1</v>
      </c>
      <c r="P356" s="253" t="e">
        <f t="shared" si="121"/>
        <v>#DIV/0!</v>
      </c>
      <c r="Q356" s="252" t="e">
        <f t="shared" si="122"/>
        <v>#DIV/0!</v>
      </c>
      <c r="R356" s="252"/>
      <c r="S356" s="252" t="e">
        <f t="shared" si="123"/>
        <v>#DIV/0!</v>
      </c>
      <c r="T356" s="253"/>
      <c r="U356" s="252" t="e">
        <f t="shared" si="124"/>
        <v>#DIV/0!</v>
      </c>
      <c r="V356" s="290">
        <v>127001002</v>
      </c>
      <c r="W356" s="262" t="str">
        <f>_xlfn.XLOOKUP(PRECIFICAÇÃO[[#This Row],[GM9]],Markup!A:A,Markup!B:B)</f>
        <v>ASSADEIRAS/FÔRMAS</v>
      </c>
    </row>
    <row r="357" spans="1:23" ht="15" customHeight="1" x14ac:dyDescent="0.3">
      <c r="A357" s="194" t="s">
        <v>469</v>
      </c>
      <c r="B357" s="244" t="str">
        <f>_xlfn.XLOOKUP(A357,'Base de Dados'!D:D,'Base de Dados'!B:B)</f>
        <v>TIMBRO SWISS SA</v>
      </c>
      <c r="C357" s="275" t="str">
        <f>_xlfn.XLOOKUP(PRECIFICAÇÃO[[#This Row],[INVOICE]],'Base de Dados'!D:D,'Base de Dados'!X:X)</f>
        <v>EM TRÂNSITO</v>
      </c>
      <c r="D357" s="54">
        <v>267940</v>
      </c>
      <c r="E357" s="244" t="s">
        <v>25</v>
      </c>
      <c r="F357" s="245">
        <v>1500</v>
      </c>
      <c r="G357" s="319">
        <v>2.21</v>
      </c>
      <c r="H357" s="256">
        <v>5.0894000000000004</v>
      </c>
      <c r="I357" s="247">
        <f t="shared" si="92"/>
        <v>11.247574</v>
      </c>
      <c r="J357" s="248">
        <f t="shared" si="93"/>
        <v>16871.361000000001</v>
      </c>
      <c r="K357" s="248" t="e">
        <f>J357/_xlfn.XLOOKUP(A357,'Base de Dados'!D:D,'Base de Dados'!M:M)</f>
        <v>#DIV/0!</v>
      </c>
      <c r="L357" s="248" t="e">
        <f>K357*_xlfn.XLOOKUP(A357,'Base de Dados'!D:D,'Base de Dados'!N:N)</f>
        <v>#DIV/0!</v>
      </c>
      <c r="M357" s="250" t="e">
        <f t="shared" si="119"/>
        <v>#DIV/0!</v>
      </c>
      <c r="N357" s="251" t="e">
        <f t="shared" si="94"/>
        <v>#DIV/0!</v>
      </c>
      <c r="O357" s="252">
        <f t="shared" si="120"/>
        <v>-0.1</v>
      </c>
      <c r="P357" s="253" t="e">
        <f t="shared" si="121"/>
        <v>#DIV/0!</v>
      </c>
      <c r="Q357" s="252" t="e">
        <f t="shared" si="122"/>
        <v>#DIV/0!</v>
      </c>
      <c r="R357" s="252"/>
      <c r="S357" s="252" t="e">
        <f t="shared" si="123"/>
        <v>#DIV/0!</v>
      </c>
      <c r="T357" s="253"/>
      <c r="U357" s="252" t="e">
        <f t="shared" si="124"/>
        <v>#DIV/0!</v>
      </c>
      <c r="V357" s="290">
        <v>127001002</v>
      </c>
      <c r="W357" s="262" t="str">
        <f>_xlfn.XLOOKUP(PRECIFICAÇÃO[[#This Row],[GM9]],Markup!A:A,Markup!B:B)</f>
        <v>ASSADEIRAS/FÔRMAS</v>
      </c>
    </row>
    <row r="358" spans="1:23" ht="15" customHeight="1" x14ac:dyDescent="0.3">
      <c r="A358" s="194" t="s">
        <v>469</v>
      </c>
      <c r="B358" s="244" t="str">
        <f>_xlfn.XLOOKUP(A358,'Base de Dados'!D:D,'Base de Dados'!B:B)</f>
        <v>TIMBRO SWISS SA</v>
      </c>
      <c r="C358" s="275" t="str">
        <f>_xlfn.XLOOKUP(PRECIFICAÇÃO[[#This Row],[INVOICE]],'Base de Dados'!D:D,'Base de Dados'!X:X)</f>
        <v>EM TRÂNSITO</v>
      </c>
      <c r="D358" s="54">
        <v>267938</v>
      </c>
      <c r="E358" s="244" t="s">
        <v>1015</v>
      </c>
      <c r="F358" s="245">
        <v>1572</v>
      </c>
      <c r="G358" s="319">
        <v>2.15</v>
      </c>
      <c r="H358" s="256">
        <v>5.0894000000000004</v>
      </c>
      <c r="I358" s="247">
        <f t="shared" si="92"/>
        <v>10.942210000000001</v>
      </c>
      <c r="J358" s="248">
        <f t="shared" si="93"/>
        <v>17201.154120000003</v>
      </c>
      <c r="K358" s="248" t="e">
        <f>J358/_xlfn.XLOOKUP(A358,'Base de Dados'!D:D,'Base de Dados'!M:M)</f>
        <v>#DIV/0!</v>
      </c>
      <c r="L358" s="248" t="e">
        <f>K358*_xlfn.XLOOKUP(A358,'Base de Dados'!D:D,'Base de Dados'!N:N)</f>
        <v>#DIV/0!</v>
      </c>
      <c r="M358" s="250" t="e">
        <f t="shared" si="119"/>
        <v>#DIV/0!</v>
      </c>
      <c r="N358" s="251" t="e">
        <f t="shared" si="94"/>
        <v>#DIV/0!</v>
      </c>
      <c r="O358" s="252">
        <f t="shared" si="120"/>
        <v>-0.1</v>
      </c>
      <c r="P358" s="253" t="e">
        <f t="shared" si="121"/>
        <v>#DIV/0!</v>
      </c>
      <c r="Q358" s="252" t="e">
        <f t="shared" si="122"/>
        <v>#DIV/0!</v>
      </c>
      <c r="R358" s="252"/>
      <c r="S358" s="252" t="e">
        <f t="shared" si="123"/>
        <v>#DIV/0!</v>
      </c>
      <c r="T358" s="253"/>
      <c r="U358" s="252" t="e">
        <f t="shared" si="124"/>
        <v>#DIV/0!</v>
      </c>
      <c r="V358" s="290">
        <v>127001014</v>
      </c>
      <c r="W358" s="262" t="str">
        <f>_xlfn.XLOOKUP(PRECIFICAÇÃO[[#This Row],[GM9]],Markup!A:A,Markup!B:B)</f>
        <v>POTES</v>
      </c>
    </row>
    <row r="359" spans="1:23" ht="15" customHeight="1" x14ac:dyDescent="0.3">
      <c r="A359" s="194" t="s">
        <v>469</v>
      </c>
      <c r="B359" s="244" t="str">
        <f>_xlfn.XLOOKUP(A359,'Base de Dados'!D:D,'Base de Dados'!B:B)</f>
        <v>TIMBRO SWISS SA</v>
      </c>
      <c r="C359" s="275" t="str">
        <f>_xlfn.XLOOKUP(PRECIFICAÇÃO[[#This Row],[INVOICE]],'Base de Dados'!D:D,'Base de Dados'!X:X)</f>
        <v>EM TRÂNSITO</v>
      </c>
      <c r="D359" s="54">
        <v>267932</v>
      </c>
      <c r="E359" s="244" t="s">
        <v>1016</v>
      </c>
      <c r="F359" s="245">
        <v>1872</v>
      </c>
      <c r="G359" s="319">
        <v>2.38</v>
      </c>
      <c r="H359" s="256">
        <v>5.0894000000000004</v>
      </c>
      <c r="I359" s="247">
        <f t="shared" si="92"/>
        <v>12.112772</v>
      </c>
      <c r="J359" s="248">
        <f t="shared" si="93"/>
        <v>22675.109184000001</v>
      </c>
      <c r="K359" s="248" t="e">
        <f>J359/_xlfn.XLOOKUP(A359,'Base de Dados'!D:D,'Base de Dados'!M:M)</f>
        <v>#DIV/0!</v>
      </c>
      <c r="L359" s="248" t="e">
        <f>K359*_xlfn.XLOOKUP(A359,'Base de Dados'!D:D,'Base de Dados'!N:N)</f>
        <v>#DIV/0!</v>
      </c>
      <c r="M359" s="250" t="e">
        <f t="shared" si="119"/>
        <v>#DIV/0!</v>
      </c>
      <c r="N359" s="251" t="e">
        <f t="shared" si="94"/>
        <v>#DIV/0!</v>
      </c>
      <c r="O359" s="252">
        <f t="shared" si="120"/>
        <v>-0.1</v>
      </c>
      <c r="P359" s="253" t="e">
        <f t="shared" si="121"/>
        <v>#DIV/0!</v>
      </c>
      <c r="Q359" s="252" t="e">
        <f t="shared" si="122"/>
        <v>#DIV/0!</v>
      </c>
      <c r="R359" s="252"/>
      <c r="S359" s="252" t="e">
        <f t="shared" si="123"/>
        <v>#DIV/0!</v>
      </c>
      <c r="T359" s="253"/>
      <c r="U359" s="252" t="e">
        <f t="shared" si="124"/>
        <v>#DIV/0!</v>
      </c>
      <c r="V359" s="290">
        <v>127001014</v>
      </c>
      <c r="W359" s="262" t="str">
        <f>_xlfn.XLOOKUP(PRECIFICAÇÃO[[#This Row],[GM9]],Markup!A:A,Markup!B:B)</f>
        <v>POTES</v>
      </c>
    </row>
    <row r="360" spans="1:23" ht="15" customHeight="1" x14ac:dyDescent="0.3">
      <c r="A360" s="194" t="s">
        <v>469</v>
      </c>
      <c r="B360" s="244" t="str">
        <f>_xlfn.XLOOKUP(A360,'Base de Dados'!D:D,'Base de Dados'!B:B)</f>
        <v>TIMBRO SWISS SA</v>
      </c>
      <c r="C360" s="275" t="str">
        <f>_xlfn.XLOOKUP(PRECIFICAÇÃO[[#This Row],[INVOICE]],'Base de Dados'!D:D,'Base de Dados'!X:X)</f>
        <v>EM TRÂNSITO</v>
      </c>
      <c r="D360" s="54">
        <v>267946</v>
      </c>
      <c r="E360" s="244" t="s">
        <v>31</v>
      </c>
      <c r="F360" s="245">
        <v>1500</v>
      </c>
      <c r="G360" s="319">
        <v>1.33</v>
      </c>
      <c r="H360" s="256">
        <v>5.0894000000000004</v>
      </c>
      <c r="I360" s="247">
        <f t="shared" si="92"/>
        <v>6.7689020000000006</v>
      </c>
      <c r="J360" s="248">
        <f t="shared" si="93"/>
        <v>10153.353000000001</v>
      </c>
      <c r="K360" s="248" t="e">
        <f>J360/_xlfn.XLOOKUP(A360,'Base de Dados'!D:D,'Base de Dados'!M:M)</f>
        <v>#DIV/0!</v>
      </c>
      <c r="L360" s="248" t="e">
        <f>K360*_xlfn.XLOOKUP(A360,'Base de Dados'!D:D,'Base de Dados'!N:N)</f>
        <v>#DIV/0!</v>
      </c>
      <c r="M360" s="250" t="e">
        <f t="shared" si="119"/>
        <v>#DIV/0!</v>
      </c>
      <c r="N360" s="251" t="e">
        <f t="shared" si="94"/>
        <v>#DIV/0!</v>
      </c>
      <c r="O360" s="252">
        <f t="shared" si="120"/>
        <v>-0.1</v>
      </c>
      <c r="P360" s="253" t="e">
        <f t="shared" si="121"/>
        <v>#DIV/0!</v>
      </c>
      <c r="Q360" s="252" t="e">
        <f t="shared" si="122"/>
        <v>#DIV/0!</v>
      </c>
      <c r="R360" s="252"/>
      <c r="S360" s="252" t="e">
        <f t="shared" si="123"/>
        <v>#DIV/0!</v>
      </c>
      <c r="T360" s="253"/>
      <c r="U360" s="252" t="e">
        <f t="shared" si="124"/>
        <v>#DIV/0!</v>
      </c>
      <c r="V360" s="290">
        <v>127001001</v>
      </c>
      <c r="W360" s="262" t="str">
        <f>_xlfn.XLOOKUP(PRECIFICAÇÃO[[#This Row],[GM9]],Markup!A:A,Markup!B:B)</f>
        <v>ACESSÓRIOS DE COZINHA</v>
      </c>
    </row>
    <row r="361" spans="1:23" ht="15" customHeight="1" x14ac:dyDescent="0.3">
      <c r="A361" s="194" t="s">
        <v>469</v>
      </c>
      <c r="B361" s="244" t="str">
        <f>_xlfn.XLOOKUP(A361,'Base de Dados'!D:D,'Base de Dados'!B:B)</f>
        <v>TIMBRO SWISS SA</v>
      </c>
      <c r="C361" s="275" t="str">
        <f>_xlfn.XLOOKUP(PRECIFICAÇÃO[[#This Row],[INVOICE]],'Base de Dados'!D:D,'Base de Dados'!X:X)</f>
        <v>EM TRÂNSITO</v>
      </c>
      <c r="D361" s="54">
        <v>267944</v>
      </c>
      <c r="E361" s="244" t="s">
        <v>1017</v>
      </c>
      <c r="F361" s="245">
        <v>2040</v>
      </c>
      <c r="G361" s="319">
        <v>2.6</v>
      </c>
      <c r="H361" s="256">
        <v>5.0894000000000004</v>
      </c>
      <c r="I361" s="247">
        <f t="shared" si="92"/>
        <v>13.232440000000002</v>
      </c>
      <c r="J361" s="248">
        <f t="shared" si="93"/>
        <v>26994.177600000003</v>
      </c>
      <c r="K361" s="248" t="e">
        <f>J361/_xlfn.XLOOKUP(A361,'Base de Dados'!D:D,'Base de Dados'!M:M)</f>
        <v>#DIV/0!</v>
      </c>
      <c r="L361" s="248" t="e">
        <f>K361*_xlfn.XLOOKUP(A361,'Base de Dados'!D:D,'Base de Dados'!N:N)</f>
        <v>#DIV/0!</v>
      </c>
      <c r="M361" s="250" t="e">
        <f t="shared" si="119"/>
        <v>#DIV/0!</v>
      </c>
      <c r="N361" s="251" t="e">
        <f t="shared" si="94"/>
        <v>#DIV/0!</v>
      </c>
      <c r="O361" s="252">
        <f t="shared" si="120"/>
        <v>-0.1</v>
      </c>
      <c r="P361" s="253" t="e">
        <f t="shared" si="121"/>
        <v>#DIV/0!</v>
      </c>
      <c r="Q361" s="252" t="e">
        <f t="shared" si="122"/>
        <v>#DIV/0!</v>
      </c>
      <c r="R361" s="252"/>
      <c r="S361" s="252" t="e">
        <f t="shared" si="123"/>
        <v>#DIV/0!</v>
      </c>
      <c r="T361" s="253"/>
      <c r="U361" s="252" t="e">
        <f t="shared" si="124"/>
        <v>#DIV/0!</v>
      </c>
      <c r="V361" s="290">
        <v>127001006</v>
      </c>
      <c r="W361" s="262" t="str">
        <f>_xlfn.XLOOKUP(PRECIFICAÇÃO[[#This Row],[GM9]],Markup!A:A,Markup!B:B)</f>
        <v>CAÇAROLA</v>
      </c>
    </row>
    <row r="362" spans="1:23" ht="15" customHeight="1" x14ac:dyDescent="0.3">
      <c r="A362" s="194" t="s">
        <v>469</v>
      </c>
      <c r="B362" s="244" t="str">
        <f>_xlfn.XLOOKUP(A362,'Base de Dados'!D:D,'Base de Dados'!B:B)</f>
        <v>TIMBRO SWISS SA</v>
      </c>
      <c r="C362" s="275" t="str">
        <f>_xlfn.XLOOKUP(PRECIFICAÇÃO[[#This Row],[INVOICE]],'Base de Dados'!D:D,'Base de Dados'!X:X)</f>
        <v>EM TRÂNSITO</v>
      </c>
      <c r="D362" s="54">
        <v>267937</v>
      </c>
      <c r="E362" s="244" t="s">
        <v>1018</v>
      </c>
      <c r="F362" s="245">
        <v>1512</v>
      </c>
      <c r="G362" s="319">
        <v>1.79</v>
      </c>
      <c r="H362" s="256">
        <v>5.0894000000000004</v>
      </c>
      <c r="I362" s="247">
        <f t="shared" si="92"/>
        <v>9.1100260000000013</v>
      </c>
      <c r="J362" s="248">
        <f t="shared" si="93"/>
        <v>13774.359312000002</v>
      </c>
      <c r="K362" s="248" t="e">
        <f>J362/_xlfn.XLOOKUP(A362,'Base de Dados'!D:D,'Base de Dados'!M:M)</f>
        <v>#DIV/0!</v>
      </c>
      <c r="L362" s="248" t="e">
        <f>K362*_xlfn.XLOOKUP(A362,'Base de Dados'!D:D,'Base de Dados'!N:N)</f>
        <v>#DIV/0!</v>
      </c>
      <c r="M362" s="250" t="e">
        <f t="shared" si="119"/>
        <v>#DIV/0!</v>
      </c>
      <c r="N362" s="251" t="e">
        <f t="shared" si="94"/>
        <v>#DIV/0!</v>
      </c>
      <c r="O362" s="252">
        <f t="shared" si="120"/>
        <v>-0.1</v>
      </c>
      <c r="P362" s="253" t="e">
        <f t="shared" si="121"/>
        <v>#DIV/0!</v>
      </c>
      <c r="Q362" s="252" t="e">
        <f t="shared" si="122"/>
        <v>#DIV/0!</v>
      </c>
      <c r="R362" s="252"/>
      <c r="S362" s="252" t="e">
        <f t="shared" si="123"/>
        <v>#DIV/0!</v>
      </c>
      <c r="T362" s="253"/>
      <c r="U362" s="252" t="e">
        <f t="shared" si="124"/>
        <v>#DIV/0!</v>
      </c>
      <c r="V362" s="290">
        <v>127001014</v>
      </c>
      <c r="W362" s="262" t="str">
        <f>_xlfn.XLOOKUP(PRECIFICAÇÃO[[#This Row],[GM9]],Markup!A:A,Markup!B:B)</f>
        <v>POTES</v>
      </c>
    </row>
    <row r="363" spans="1:23" ht="15" customHeight="1" x14ac:dyDescent="0.3">
      <c r="A363" s="287" t="s">
        <v>469</v>
      </c>
      <c r="B363" s="254" t="str">
        <f>_xlfn.XLOOKUP(A363,'Base de Dados'!D:D,'Base de Dados'!B:B)</f>
        <v>TIMBRO SWISS SA</v>
      </c>
      <c r="C363" s="288" t="str">
        <f>_xlfn.XLOOKUP(PRECIFICAÇÃO[[#This Row],[INVOICE]],'Base de Dados'!D:D,'Base de Dados'!X:X)</f>
        <v>EM TRÂNSITO</v>
      </c>
      <c r="D363" s="68">
        <v>267947</v>
      </c>
      <c r="E363" s="254" t="s">
        <v>32</v>
      </c>
      <c r="F363" s="255">
        <v>1584</v>
      </c>
      <c r="G363" s="321">
        <v>1.94</v>
      </c>
      <c r="H363" s="256">
        <v>5.0894000000000004</v>
      </c>
      <c r="I363" s="257">
        <f t="shared" si="92"/>
        <v>9.8734359999999999</v>
      </c>
      <c r="J363" s="258">
        <f t="shared" si="93"/>
        <v>15639.522623999999</v>
      </c>
      <c r="K363" s="258" t="e">
        <f>J363/_xlfn.XLOOKUP(A363,'Base de Dados'!D:D,'Base de Dados'!M:M)</f>
        <v>#DIV/0!</v>
      </c>
      <c r="L363" s="258" t="e">
        <f>K363*_xlfn.XLOOKUP(A363,'Base de Dados'!D:D,'Base de Dados'!N:N)</f>
        <v>#DIV/0!</v>
      </c>
      <c r="M363" s="260" t="e">
        <f t="shared" si="119"/>
        <v>#DIV/0!</v>
      </c>
      <c r="N363" s="261" t="e">
        <f t="shared" si="94"/>
        <v>#DIV/0!</v>
      </c>
      <c r="O363" s="262">
        <f t="shared" si="120"/>
        <v>-0.1</v>
      </c>
      <c r="P363" s="263" t="e">
        <f t="shared" si="121"/>
        <v>#DIV/0!</v>
      </c>
      <c r="Q363" s="262" t="e">
        <f t="shared" si="122"/>
        <v>#DIV/0!</v>
      </c>
      <c r="R363" s="262"/>
      <c r="S363" s="262" t="e">
        <f t="shared" si="123"/>
        <v>#DIV/0!</v>
      </c>
      <c r="T363" s="263"/>
      <c r="U363" s="262" t="e">
        <f t="shared" si="124"/>
        <v>#DIV/0!</v>
      </c>
      <c r="V363" s="292">
        <v>127001001</v>
      </c>
      <c r="W363" s="262" t="str">
        <f>_xlfn.XLOOKUP(PRECIFICAÇÃO[[#This Row],[GM9]],Markup!A:A,Markup!B:B)</f>
        <v>ACESSÓRIOS DE COZINHA</v>
      </c>
    </row>
    <row r="364" spans="1:23" ht="15" customHeight="1" x14ac:dyDescent="0.3">
      <c r="A364" s="287" t="s">
        <v>423</v>
      </c>
      <c r="B364" s="254" t="str">
        <f>_xlfn.XLOOKUP(A364,'Base de Dados'!D:D,'Base de Dados'!B:B)</f>
        <v>TIMBRO SWISS SA</v>
      </c>
      <c r="C364" s="288" t="str">
        <f>_xlfn.XLOOKUP(PRECIFICAÇÃO[[#This Row],[INVOICE]],'Base de Dados'!D:D,'Base de Dados'!X:X)</f>
        <v>EM TRÂNSITO</v>
      </c>
      <c r="D364" s="68">
        <v>404323</v>
      </c>
      <c r="E364" s="254" t="s">
        <v>665</v>
      </c>
      <c r="F364" s="255">
        <v>300</v>
      </c>
      <c r="G364" s="323">
        <v>15</v>
      </c>
      <c r="H364" s="304">
        <v>5.0894000000000004</v>
      </c>
      <c r="I364" s="305">
        <f t="shared" si="92"/>
        <v>76.341000000000008</v>
      </c>
      <c r="J364" s="306">
        <f t="shared" si="93"/>
        <v>22902.300000000003</v>
      </c>
      <c r="K364" s="306" t="e">
        <f>J364/_xlfn.XLOOKUP(A364,'Base de Dados'!D:D,'Base de Dados'!M:M)</f>
        <v>#DIV/0!</v>
      </c>
      <c r="L364" s="306" t="e">
        <f>K364*_xlfn.XLOOKUP(A364,'Base de Dados'!D:D,'Base de Dados'!N:N)</f>
        <v>#DIV/0!</v>
      </c>
      <c r="M364" s="307" t="e">
        <f>J364+L364</f>
        <v>#DIV/0!</v>
      </c>
      <c r="N364" s="261" t="e">
        <f t="shared" si="94"/>
        <v>#DIV/0!</v>
      </c>
      <c r="O364" s="262">
        <f>R364-0.1</f>
        <v>-0.1</v>
      </c>
      <c r="P364" s="263" t="e">
        <f>ROUND(N364/O364,0)</f>
        <v>#DIV/0!</v>
      </c>
      <c r="Q364" s="262" t="e">
        <f>(P364-N364)/P364</f>
        <v>#DIV/0!</v>
      </c>
      <c r="R364" s="262"/>
      <c r="S364" s="262" t="e">
        <f>Q364-R364</f>
        <v>#DIV/0!</v>
      </c>
      <c r="T364" s="263"/>
      <c r="U364" s="262" t="e">
        <f>(T364-P364)/T364</f>
        <v>#DIV/0!</v>
      </c>
      <c r="V364" s="292">
        <v>107001002</v>
      </c>
      <c r="W364" s="262" t="str">
        <f>_xlfn.XLOOKUP(PRECIFICAÇÃO[[#This Row],[GM9]],Markup!A:A,Markup!B:B)</f>
        <v>EDREDON</v>
      </c>
    </row>
    <row r="365" spans="1:23" ht="15" customHeight="1" x14ac:dyDescent="0.3">
      <c r="A365" s="287" t="s">
        <v>423</v>
      </c>
      <c r="B365" s="244" t="str">
        <f>_xlfn.XLOOKUP(A365,'Base de Dados'!D:D,'Base de Dados'!B:B)</f>
        <v>TIMBRO SWISS SA</v>
      </c>
      <c r="C365" s="275" t="str">
        <f>_xlfn.XLOOKUP(PRECIFICAÇÃO[[#This Row],[INVOICE]],'Base de Dados'!D:D,'Base de Dados'!X:X)</f>
        <v>EM TRÂNSITO</v>
      </c>
      <c r="D365" s="54">
        <v>404324</v>
      </c>
      <c r="E365" s="244" t="s">
        <v>666</v>
      </c>
      <c r="F365" s="245">
        <v>300</v>
      </c>
      <c r="G365" s="324">
        <v>15</v>
      </c>
      <c r="H365" s="299">
        <v>5.0894000000000004</v>
      </c>
      <c r="I365" s="300">
        <f t="shared" si="92"/>
        <v>76.341000000000008</v>
      </c>
      <c r="J365" s="301">
        <f t="shared" si="93"/>
        <v>22902.300000000003</v>
      </c>
      <c r="K365" s="302" t="e">
        <f>J365/_xlfn.XLOOKUP(A365,'Base de Dados'!D:D,'Base de Dados'!M:M)</f>
        <v>#DIV/0!</v>
      </c>
      <c r="L365" s="301" t="e">
        <f>K365*_xlfn.XLOOKUP(A365,'Base de Dados'!D:D,'Base de Dados'!N:N)</f>
        <v>#DIV/0!</v>
      </c>
      <c r="M365" s="303" t="e">
        <f t="shared" ref="M365:M379" si="125">J365+L365</f>
        <v>#DIV/0!</v>
      </c>
      <c r="N365" s="251" t="e">
        <f t="shared" si="94"/>
        <v>#DIV/0!</v>
      </c>
      <c r="O365" s="252">
        <f t="shared" ref="O365:O379" si="126">R365-0.1</f>
        <v>-0.1</v>
      </c>
      <c r="P365" s="253" t="e">
        <f t="shared" ref="P365:P379" si="127">ROUND(N365/O365,0)</f>
        <v>#DIV/0!</v>
      </c>
      <c r="Q365" s="252" t="e">
        <f t="shared" ref="Q365:Q379" si="128">(P365-N365)/P365</f>
        <v>#DIV/0!</v>
      </c>
      <c r="R365" s="252"/>
      <c r="S365" s="252" t="e">
        <f t="shared" ref="S365:S379" si="129">Q365-R365</f>
        <v>#DIV/0!</v>
      </c>
      <c r="T365" s="253"/>
      <c r="U365" s="252" t="e">
        <f t="shared" ref="U365:U379" si="130">(T365-P365)/T365</f>
        <v>#DIV/0!</v>
      </c>
      <c r="V365" s="290">
        <v>107001002</v>
      </c>
      <c r="W365" s="262" t="str">
        <f>_xlfn.XLOOKUP(PRECIFICAÇÃO[[#This Row],[GM9]],Markup!A:A,Markup!B:B)</f>
        <v>EDREDON</v>
      </c>
    </row>
    <row r="366" spans="1:23" ht="15" customHeight="1" x14ac:dyDescent="0.3">
      <c r="A366" s="287" t="s">
        <v>423</v>
      </c>
      <c r="B366" s="244" t="str">
        <f>_xlfn.XLOOKUP(A366,'Base de Dados'!D:D,'Base de Dados'!B:B)</f>
        <v>TIMBRO SWISS SA</v>
      </c>
      <c r="C366" s="275" t="str">
        <f>_xlfn.XLOOKUP(PRECIFICAÇÃO[[#This Row],[INVOICE]],'Base de Dados'!D:D,'Base de Dados'!X:X)</f>
        <v>EM TRÂNSITO</v>
      </c>
      <c r="D366" s="54">
        <v>404325</v>
      </c>
      <c r="E366" s="244" t="s">
        <v>667</v>
      </c>
      <c r="F366" s="245">
        <v>300</v>
      </c>
      <c r="G366" s="324">
        <v>15</v>
      </c>
      <c r="H366" s="299">
        <v>5.0894000000000004</v>
      </c>
      <c r="I366" s="300">
        <f t="shared" si="92"/>
        <v>76.341000000000008</v>
      </c>
      <c r="J366" s="301">
        <f t="shared" si="93"/>
        <v>22902.300000000003</v>
      </c>
      <c r="K366" s="302" t="e">
        <f>J366/_xlfn.XLOOKUP(A366,'Base de Dados'!D:D,'Base de Dados'!M:M)</f>
        <v>#DIV/0!</v>
      </c>
      <c r="L366" s="301" t="e">
        <f>K366*_xlfn.XLOOKUP(A366,'Base de Dados'!D:D,'Base de Dados'!N:N)</f>
        <v>#DIV/0!</v>
      </c>
      <c r="M366" s="303" t="e">
        <f t="shared" si="125"/>
        <v>#DIV/0!</v>
      </c>
      <c r="N366" s="251" t="e">
        <f t="shared" si="94"/>
        <v>#DIV/0!</v>
      </c>
      <c r="O366" s="252">
        <f t="shared" si="126"/>
        <v>-0.1</v>
      </c>
      <c r="P366" s="253" t="e">
        <f t="shared" si="127"/>
        <v>#DIV/0!</v>
      </c>
      <c r="Q366" s="252" t="e">
        <f t="shared" si="128"/>
        <v>#DIV/0!</v>
      </c>
      <c r="R366" s="252"/>
      <c r="S366" s="252" t="e">
        <f t="shared" si="129"/>
        <v>#DIV/0!</v>
      </c>
      <c r="T366" s="253"/>
      <c r="U366" s="252" t="e">
        <f t="shared" si="130"/>
        <v>#DIV/0!</v>
      </c>
      <c r="V366" s="290">
        <v>107001002</v>
      </c>
      <c r="W366" s="262" t="str">
        <f>_xlfn.XLOOKUP(PRECIFICAÇÃO[[#This Row],[GM9]],Markup!A:A,Markup!B:B)</f>
        <v>EDREDON</v>
      </c>
    </row>
    <row r="367" spans="1:23" ht="15" customHeight="1" x14ac:dyDescent="0.3">
      <c r="A367" s="287" t="s">
        <v>423</v>
      </c>
      <c r="B367" s="244" t="str">
        <f>_xlfn.XLOOKUP(A367,'Base de Dados'!D:D,'Base de Dados'!B:B)</f>
        <v>TIMBRO SWISS SA</v>
      </c>
      <c r="C367" s="275" t="str">
        <f>_xlfn.XLOOKUP(PRECIFICAÇÃO[[#This Row],[INVOICE]],'Base de Dados'!D:D,'Base de Dados'!X:X)</f>
        <v>EM TRÂNSITO</v>
      </c>
      <c r="D367" s="54">
        <v>404326</v>
      </c>
      <c r="E367" s="244" t="s">
        <v>668</v>
      </c>
      <c r="F367" s="245">
        <v>300</v>
      </c>
      <c r="G367" s="324">
        <v>15</v>
      </c>
      <c r="H367" s="299">
        <v>5.0894000000000004</v>
      </c>
      <c r="I367" s="300">
        <f t="shared" si="92"/>
        <v>76.341000000000008</v>
      </c>
      <c r="J367" s="301">
        <f t="shared" si="93"/>
        <v>22902.300000000003</v>
      </c>
      <c r="K367" s="302" t="e">
        <f>J367/_xlfn.XLOOKUP(A367,'Base de Dados'!D:D,'Base de Dados'!M:M)</f>
        <v>#DIV/0!</v>
      </c>
      <c r="L367" s="301" t="e">
        <f>K367*_xlfn.XLOOKUP(A367,'Base de Dados'!D:D,'Base de Dados'!N:N)</f>
        <v>#DIV/0!</v>
      </c>
      <c r="M367" s="303" t="e">
        <f t="shared" si="125"/>
        <v>#DIV/0!</v>
      </c>
      <c r="N367" s="251" t="e">
        <f t="shared" si="94"/>
        <v>#DIV/0!</v>
      </c>
      <c r="O367" s="252">
        <f t="shared" si="126"/>
        <v>-0.1</v>
      </c>
      <c r="P367" s="253" t="e">
        <f t="shared" si="127"/>
        <v>#DIV/0!</v>
      </c>
      <c r="Q367" s="252" t="e">
        <f t="shared" si="128"/>
        <v>#DIV/0!</v>
      </c>
      <c r="R367" s="252"/>
      <c r="S367" s="252" t="e">
        <f t="shared" si="129"/>
        <v>#DIV/0!</v>
      </c>
      <c r="T367" s="253"/>
      <c r="U367" s="252" t="e">
        <f t="shared" si="130"/>
        <v>#DIV/0!</v>
      </c>
      <c r="V367" s="290">
        <v>107001002</v>
      </c>
      <c r="W367" s="262" t="str">
        <f>_xlfn.XLOOKUP(PRECIFICAÇÃO[[#This Row],[GM9]],Markup!A:A,Markup!B:B)</f>
        <v>EDREDON</v>
      </c>
    </row>
    <row r="368" spans="1:23" ht="15" customHeight="1" x14ac:dyDescent="0.3">
      <c r="A368" s="287" t="s">
        <v>423</v>
      </c>
      <c r="B368" s="244" t="str">
        <f>_xlfn.XLOOKUP(A368,'Base de Dados'!D:D,'Base de Dados'!B:B)</f>
        <v>TIMBRO SWISS SA</v>
      </c>
      <c r="C368" s="275" t="str">
        <f>_xlfn.XLOOKUP(PRECIFICAÇÃO[[#This Row],[INVOICE]],'Base de Dados'!D:D,'Base de Dados'!X:X)</f>
        <v>EM TRÂNSITO</v>
      </c>
      <c r="D368" s="54">
        <v>404327</v>
      </c>
      <c r="E368" s="244" t="s">
        <v>669</v>
      </c>
      <c r="F368" s="245">
        <v>572</v>
      </c>
      <c r="G368" s="324">
        <v>18.95</v>
      </c>
      <c r="H368" s="299">
        <v>5.0894000000000004</v>
      </c>
      <c r="I368" s="300">
        <f t="shared" si="92"/>
        <v>96.444130000000001</v>
      </c>
      <c r="J368" s="301">
        <f t="shared" si="93"/>
        <v>55166.042359999999</v>
      </c>
      <c r="K368" s="302" t="e">
        <f>J368/_xlfn.XLOOKUP(A368,'Base de Dados'!D:D,'Base de Dados'!M:M)</f>
        <v>#DIV/0!</v>
      </c>
      <c r="L368" s="301" t="e">
        <f>K368*_xlfn.XLOOKUP(A368,'Base de Dados'!D:D,'Base de Dados'!N:N)</f>
        <v>#DIV/0!</v>
      </c>
      <c r="M368" s="303" t="e">
        <f t="shared" si="125"/>
        <v>#DIV/0!</v>
      </c>
      <c r="N368" s="251" t="e">
        <f t="shared" si="94"/>
        <v>#DIV/0!</v>
      </c>
      <c r="O368" s="252">
        <f t="shared" si="126"/>
        <v>-0.1</v>
      </c>
      <c r="P368" s="253" t="e">
        <f t="shared" si="127"/>
        <v>#DIV/0!</v>
      </c>
      <c r="Q368" s="252" t="e">
        <f t="shared" si="128"/>
        <v>#DIV/0!</v>
      </c>
      <c r="R368" s="252"/>
      <c r="S368" s="252" t="e">
        <f t="shared" si="129"/>
        <v>#DIV/0!</v>
      </c>
      <c r="T368" s="253"/>
      <c r="U368" s="252" t="e">
        <f t="shared" si="130"/>
        <v>#DIV/0!</v>
      </c>
      <c r="V368" s="290">
        <v>107001002</v>
      </c>
      <c r="W368" s="262" t="str">
        <f>_xlfn.XLOOKUP(PRECIFICAÇÃO[[#This Row],[GM9]],Markup!A:A,Markup!B:B)</f>
        <v>EDREDON</v>
      </c>
    </row>
    <row r="369" spans="1:23" ht="15" customHeight="1" x14ac:dyDescent="0.3">
      <c r="A369" s="287" t="s">
        <v>423</v>
      </c>
      <c r="B369" s="244" t="str">
        <f>_xlfn.XLOOKUP(A369,'Base de Dados'!D:D,'Base de Dados'!B:B)</f>
        <v>TIMBRO SWISS SA</v>
      </c>
      <c r="C369" s="275" t="str">
        <f>_xlfn.XLOOKUP(PRECIFICAÇÃO[[#This Row],[INVOICE]],'Base de Dados'!D:D,'Base de Dados'!X:X)</f>
        <v>EM TRÂNSITO</v>
      </c>
      <c r="D369" s="54">
        <v>404328</v>
      </c>
      <c r="E369" s="244" t="s">
        <v>670</v>
      </c>
      <c r="F369" s="245">
        <v>572</v>
      </c>
      <c r="G369" s="324">
        <v>18.95</v>
      </c>
      <c r="H369" s="299">
        <v>5.0894000000000004</v>
      </c>
      <c r="I369" s="300">
        <f t="shared" si="92"/>
        <v>96.444130000000001</v>
      </c>
      <c r="J369" s="301">
        <f t="shared" si="93"/>
        <v>55166.042359999999</v>
      </c>
      <c r="K369" s="302" t="e">
        <f>J369/_xlfn.XLOOKUP(A369,'Base de Dados'!D:D,'Base de Dados'!M:M)</f>
        <v>#DIV/0!</v>
      </c>
      <c r="L369" s="301" t="e">
        <f>K369*_xlfn.XLOOKUP(A369,'Base de Dados'!D:D,'Base de Dados'!N:N)</f>
        <v>#DIV/0!</v>
      </c>
      <c r="M369" s="303" t="e">
        <f t="shared" si="125"/>
        <v>#DIV/0!</v>
      </c>
      <c r="N369" s="251" t="e">
        <f t="shared" si="94"/>
        <v>#DIV/0!</v>
      </c>
      <c r="O369" s="252">
        <f t="shared" si="126"/>
        <v>-0.1</v>
      </c>
      <c r="P369" s="253" t="e">
        <f t="shared" si="127"/>
        <v>#DIV/0!</v>
      </c>
      <c r="Q369" s="252" t="e">
        <f t="shared" si="128"/>
        <v>#DIV/0!</v>
      </c>
      <c r="R369" s="252"/>
      <c r="S369" s="252" t="e">
        <f t="shared" si="129"/>
        <v>#DIV/0!</v>
      </c>
      <c r="T369" s="253"/>
      <c r="U369" s="252" t="e">
        <f t="shared" si="130"/>
        <v>#DIV/0!</v>
      </c>
      <c r="V369" s="290">
        <v>107001002</v>
      </c>
      <c r="W369" s="262" t="str">
        <f>_xlfn.XLOOKUP(PRECIFICAÇÃO[[#This Row],[GM9]],Markup!A:A,Markup!B:B)</f>
        <v>EDREDON</v>
      </c>
    </row>
    <row r="370" spans="1:23" ht="15" customHeight="1" x14ac:dyDescent="0.3">
      <c r="A370" s="287" t="s">
        <v>423</v>
      </c>
      <c r="B370" s="244" t="str">
        <f>_xlfn.XLOOKUP(A370,'Base de Dados'!D:D,'Base de Dados'!B:B)</f>
        <v>TIMBRO SWISS SA</v>
      </c>
      <c r="C370" s="275" t="str">
        <f>_xlfn.XLOOKUP(PRECIFICAÇÃO[[#This Row],[INVOICE]],'Base de Dados'!D:D,'Base de Dados'!X:X)</f>
        <v>EM TRÂNSITO</v>
      </c>
      <c r="D370" s="54">
        <v>404329</v>
      </c>
      <c r="E370" s="244" t="s">
        <v>671</v>
      </c>
      <c r="F370" s="245">
        <v>572</v>
      </c>
      <c r="G370" s="324">
        <v>18.95</v>
      </c>
      <c r="H370" s="299">
        <v>5.0894000000000004</v>
      </c>
      <c r="I370" s="300">
        <f t="shared" si="92"/>
        <v>96.444130000000001</v>
      </c>
      <c r="J370" s="301">
        <f t="shared" si="93"/>
        <v>55166.042359999999</v>
      </c>
      <c r="K370" s="302" t="e">
        <f>J370/_xlfn.XLOOKUP(A370,'Base de Dados'!D:D,'Base de Dados'!M:M)</f>
        <v>#DIV/0!</v>
      </c>
      <c r="L370" s="301" t="e">
        <f>K370*_xlfn.XLOOKUP(A370,'Base de Dados'!D:D,'Base de Dados'!N:N)</f>
        <v>#DIV/0!</v>
      </c>
      <c r="M370" s="303" t="e">
        <f t="shared" si="125"/>
        <v>#DIV/0!</v>
      </c>
      <c r="N370" s="251" t="e">
        <f t="shared" si="94"/>
        <v>#DIV/0!</v>
      </c>
      <c r="O370" s="252">
        <f t="shared" si="126"/>
        <v>-0.1</v>
      </c>
      <c r="P370" s="253" t="e">
        <f t="shared" si="127"/>
        <v>#DIV/0!</v>
      </c>
      <c r="Q370" s="252" t="e">
        <f t="shared" si="128"/>
        <v>#DIV/0!</v>
      </c>
      <c r="R370" s="252"/>
      <c r="S370" s="252" t="e">
        <f t="shared" si="129"/>
        <v>#DIV/0!</v>
      </c>
      <c r="T370" s="253"/>
      <c r="U370" s="252" t="e">
        <f t="shared" si="130"/>
        <v>#DIV/0!</v>
      </c>
      <c r="V370" s="290">
        <v>107001002</v>
      </c>
      <c r="W370" s="262" t="str">
        <f>_xlfn.XLOOKUP(PRECIFICAÇÃO[[#This Row],[GM9]],Markup!A:A,Markup!B:B)</f>
        <v>EDREDON</v>
      </c>
    </row>
    <row r="371" spans="1:23" ht="15" customHeight="1" x14ac:dyDescent="0.3">
      <c r="A371" s="287" t="s">
        <v>423</v>
      </c>
      <c r="B371" s="244" t="str">
        <f>_xlfn.XLOOKUP(A371,'Base de Dados'!D:D,'Base de Dados'!B:B)</f>
        <v>TIMBRO SWISS SA</v>
      </c>
      <c r="C371" s="275" t="str">
        <f>_xlfn.XLOOKUP(PRECIFICAÇÃO[[#This Row],[INVOICE]],'Base de Dados'!D:D,'Base de Dados'!X:X)</f>
        <v>EM TRÂNSITO</v>
      </c>
      <c r="D371" s="54">
        <v>404330</v>
      </c>
      <c r="E371" s="244" t="s">
        <v>672</v>
      </c>
      <c r="F371" s="245">
        <v>572</v>
      </c>
      <c r="G371" s="324">
        <v>18.95</v>
      </c>
      <c r="H371" s="299">
        <v>5.0894000000000004</v>
      </c>
      <c r="I371" s="300">
        <f t="shared" si="92"/>
        <v>96.444130000000001</v>
      </c>
      <c r="J371" s="301">
        <f t="shared" si="93"/>
        <v>55166.042359999999</v>
      </c>
      <c r="K371" s="302" t="e">
        <f>J371/_xlfn.XLOOKUP(A371,'Base de Dados'!D:D,'Base de Dados'!M:M)</f>
        <v>#DIV/0!</v>
      </c>
      <c r="L371" s="301" t="e">
        <f>K371*_xlfn.XLOOKUP(A371,'Base de Dados'!D:D,'Base de Dados'!N:N)</f>
        <v>#DIV/0!</v>
      </c>
      <c r="M371" s="303" t="e">
        <f t="shared" si="125"/>
        <v>#DIV/0!</v>
      </c>
      <c r="N371" s="251" t="e">
        <f t="shared" si="94"/>
        <v>#DIV/0!</v>
      </c>
      <c r="O371" s="252">
        <f t="shared" si="126"/>
        <v>-0.1</v>
      </c>
      <c r="P371" s="253" t="e">
        <f t="shared" si="127"/>
        <v>#DIV/0!</v>
      </c>
      <c r="Q371" s="252" t="e">
        <f t="shared" si="128"/>
        <v>#DIV/0!</v>
      </c>
      <c r="R371" s="252"/>
      <c r="S371" s="252" t="e">
        <f t="shared" si="129"/>
        <v>#DIV/0!</v>
      </c>
      <c r="T371" s="253"/>
      <c r="U371" s="252" t="e">
        <f t="shared" si="130"/>
        <v>#DIV/0!</v>
      </c>
      <c r="V371" s="290">
        <v>107001002</v>
      </c>
      <c r="W371" s="262" t="str">
        <f>_xlfn.XLOOKUP(PRECIFICAÇÃO[[#This Row],[GM9]],Markup!A:A,Markup!B:B)</f>
        <v>EDREDON</v>
      </c>
    </row>
    <row r="372" spans="1:23" ht="15" customHeight="1" x14ac:dyDescent="0.3">
      <c r="A372" s="287" t="s">
        <v>423</v>
      </c>
      <c r="B372" s="244" t="str">
        <f>_xlfn.XLOOKUP(A372,'Base de Dados'!D:D,'Base de Dados'!B:B)</f>
        <v>TIMBRO SWISS SA</v>
      </c>
      <c r="C372" s="275" t="str">
        <f>_xlfn.XLOOKUP(PRECIFICAÇÃO[[#This Row],[INVOICE]],'Base de Dados'!D:D,'Base de Dados'!X:X)</f>
        <v>EM TRÂNSITO</v>
      </c>
      <c r="D372" s="54">
        <v>404331</v>
      </c>
      <c r="E372" s="244" t="s">
        <v>673</v>
      </c>
      <c r="F372" s="245">
        <v>568</v>
      </c>
      <c r="G372" s="324">
        <v>18.95</v>
      </c>
      <c r="H372" s="299">
        <v>5.0894000000000004</v>
      </c>
      <c r="I372" s="300">
        <f t="shared" si="92"/>
        <v>96.444130000000001</v>
      </c>
      <c r="J372" s="301">
        <f t="shared" si="93"/>
        <v>54780.26584</v>
      </c>
      <c r="K372" s="302" t="e">
        <f>J372/_xlfn.XLOOKUP(A372,'Base de Dados'!D:D,'Base de Dados'!M:M)</f>
        <v>#DIV/0!</v>
      </c>
      <c r="L372" s="301" t="e">
        <f>K372*_xlfn.XLOOKUP(A372,'Base de Dados'!D:D,'Base de Dados'!N:N)</f>
        <v>#DIV/0!</v>
      </c>
      <c r="M372" s="303" t="e">
        <f t="shared" si="125"/>
        <v>#DIV/0!</v>
      </c>
      <c r="N372" s="251" t="e">
        <f t="shared" si="94"/>
        <v>#DIV/0!</v>
      </c>
      <c r="O372" s="252">
        <f t="shared" si="126"/>
        <v>-0.1</v>
      </c>
      <c r="P372" s="253" t="e">
        <f t="shared" si="127"/>
        <v>#DIV/0!</v>
      </c>
      <c r="Q372" s="252" t="e">
        <f t="shared" si="128"/>
        <v>#DIV/0!</v>
      </c>
      <c r="R372" s="252"/>
      <c r="S372" s="252" t="e">
        <f t="shared" si="129"/>
        <v>#DIV/0!</v>
      </c>
      <c r="T372" s="253"/>
      <c r="U372" s="252" t="e">
        <f t="shared" si="130"/>
        <v>#DIV/0!</v>
      </c>
      <c r="V372" s="290">
        <v>107001002</v>
      </c>
      <c r="W372" s="262" t="str">
        <f>_xlfn.XLOOKUP(PRECIFICAÇÃO[[#This Row],[GM9]],Markup!A:A,Markup!B:B)</f>
        <v>EDREDON</v>
      </c>
    </row>
    <row r="373" spans="1:23" ht="15" customHeight="1" x14ac:dyDescent="0.3">
      <c r="A373" s="287" t="s">
        <v>423</v>
      </c>
      <c r="B373" s="244" t="str">
        <f>_xlfn.XLOOKUP(A373,'Base de Dados'!D:D,'Base de Dados'!B:B)</f>
        <v>TIMBRO SWISS SA</v>
      </c>
      <c r="C373" s="275" t="str">
        <f>_xlfn.XLOOKUP(PRECIFICAÇÃO[[#This Row],[INVOICE]],'Base de Dados'!D:D,'Base de Dados'!X:X)</f>
        <v>EM TRÂNSITO</v>
      </c>
      <c r="D373" s="54">
        <v>404332</v>
      </c>
      <c r="E373" s="244" t="s">
        <v>674</v>
      </c>
      <c r="F373" s="245">
        <v>572</v>
      </c>
      <c r="G373" s="324">
        <v>21.65</v>
      </c>
      <c r="H373" s="299">
        <v>5.0894000000000004</v>
      </c>
      <c r="I373" s="300">
        <f t="shared" si="92"/>
        <v>110.18551000000001</v>
      </c>
      <c r="J373" s="301">
        <f t="shared" si="93"/>
        <v>63026.111720000008</v>
      </c>
      <c r="K373" s="302" t="e">
        <f>J373/_xlfn.XLOOKUP(A373,'Base de Dados'!D:D,'Base de Dados'!M:M)</f>
        <v>#DIV/0!</v>
      </c>
      <c r="L373" s="301" t="e">
        <f>K373*_xlfn.XLOOKUP(A373,'Base de Dados'!D:D,'Base de Dados'!N:N)</f>
        <v>#DIV/0!</v>
      </c>
      <c r="M373" s="303" t="e">
        <f t="shared" si="125"/>
        <v>#DIV/0!</v>
      </c>
      <c r="N373" s="251" t="e">
        <f t="shared" si="94"/>
        <v>#DIV/0!</v>
      </c>
      <c r="O373" s="252">
        <f t="shared" si="126"/>
        <v>-0.1</v>
      </c>
      <c r="P373" s="253" t="e">
        <f t="shared" si="127"/>
        <v>#DIV/0!</v>
      </c>
      <c r="Q373" s="252" t="e">
        <f t="shared" si="128"/>
        <v>#DIV/0!</v>
      </c>
      <c r="R373" s="252"/>
      <c r="S373" s="252" t="e">
        <f t="shared" si="129"/>
        <v>#DIV/0!</v>
      </c>
      <c r="T373" s="253"/>
      <c r="U373" s="252" t="e">
        <f t="shared" si="130"/>
        <v>#DIV/0!</v>
      </c>
      <c r="V373" s="290">
        <v>107001002</v>
      </c>
      <c r="W373" s="262" t="str">
        <f>_xlfn.XLOOKUP(PRECIFICAÇÃO[[#This Row],[GM9]],Markup!A:A,Markup!B:B)</f>
        <v>EDREDON</v>
      </c>
    </row>
    <row r="374" spans="1:23" ht="15" customHeight="1" x14ac:dyDescent="0.3">
      <c r="A374" s="287" t="s">
        <v>423</v>
      </c>
      <c r="B374" s="244" t="str">
        <f>_xlfn.XLOOKUP(A374,'Base de Dados'!D:D,'Base de Dados'!B:B)</f>
        <v>TIMBRO SWISS SA</v>
      </c>
      <c r="C374" s="275" t="str">
        <f>_xlfn.XLOOKUP(PRECIFICAÇÃO[[#This Row],[INVOICE]],'Base de Dados'!D:D,'Base de Dados'!X:X)</f>
        <v>EM TRÂNSITO</v>
      </c>
      <c r="D374" s="54">
        <v>404333</v>
      </c>
      <c r="E374" s="244" t="s">
        <v>675</v>
      </c>
      <c r="F374" s="245">
        <v>572</v>
      </c>
      <c r="G374" s="324">
        <v>21.65</v>
      </c>
      <c r="H374" s="299">
        <v>5.0894000000000004</v>
      </c>
      <c r="I374" s="300">
        <f t="shared" si="92"/>
        <v>110.18551000000001</v>
      </c>
      <c r="J374" s="301">
        <f t="shared" si="93"/>
        <v>63026.111720000008</v>
      </c>
      <c r="K374" s="302" t="e">
        <f>J374/_xlfn.XLOOKUP(A374,'Base de Dados'!D:D,'Base de Dados'!M:M)</f>
        <v>#DIV/0!</v>
      </c>
      <c r="L374" s="301" t="e">
        <f>K374*_xlfn.XLOOKUP(A374,'Base de Dados'!D:D,'Base de Dados'!N:N)</f>
        <v>#DIV/0!</v>
      </c>
      <c r="M374" s="303" t="e">
        <f t="shared" si="125"/>
        <v>#DIV/0!</v>
      </c>
      <c r="N374" s="251" t="e">
        <f t="shared" si="94"/>
        <v>#DIV/0!</v>
      </c>
      <c r="O374" s="252">
        <f t="shared" si="126"/>
        <v>-0.1</v>
      </c>
      <c r="P374" s="253" t="e">
        <f t="shared" si="127"/>
        <v>#DIV/0!</v>
      </c>
      <c r="Q374" s="252" t="e">
        <f t="shared" si="128"/>
        <v>#DIV/0!</v>
      </c>
      <c r="R374" s="252"/>
      <c r="S374" s="252" t="e">
        <f t="shared" si="129"/>
        <v>#DIV/0!</v>
      </c>
      <c r="T374" s="253"/>
      <c r="U374" s="252" t="e">
        <f t="shared" si="130"/>
        <v>#DIV/0!</v>
      </c>
      <c r="V374" s="290">
        <v>107001002</v>
      </c>
      <c r="W374" s="262" t="str">
        <f>_xlfn.XLOOKUP(PRECIFICAÇÃO[[#This Row],[GM9]],Markup!A:A,Markup!B:B)</f>
        <v>EDREDON</v>
      </c>
    </row>
    <row r="375" spans="1:23" ht="15" customHeight="1" x14ac:dyDescent="0.3">
      <c r="A375" s="287" t="s">
        <v>423</v>
      </c>
      <c r="B375" s="244" t="str">
        <f>_xlfn.XLOOKUP(A375,'Base de Dados'!D:D,'Base de Dados'!B:B)</f>
        <v>TIMBRO SWISS SA</v>
      </c>
      <c r="C375" s="275" t="str">
        <f>_xlfn.XLOOKUP(PRECIFICAÇÃO[[#This Row],[INVOICE]],'Base de Dados'!D:D,'Base de Dados'!X:X)</f>
        <v>EM TRÂNSITO</v>
      </c>
      <c r="D375" s="54">
        <v>404334</v>
      </c>
      <c r="E375" s="244" t="s">
        <v>676</v>
      </c>
      <c r="F375" s="245">
        <v>572</v>
      </c>
      <c r="G375" s="324">
        <v>21.65</v>
      </c>
      <c r="H375" s="299">
        <v>5.0894000000000004</v>
      </c>
      <c r="I375" s="300">
        <f t="shared" si="92"/>
        <v>110.18551000000001</v>
      </c>
      <c r="J375" s="301">
        <f t="shared" si="93"/>
        <v>63026.111720000008</v>
      </c>
      <c r="K375" s="302" t="e">
        <f>J375/_xlfn.XLOOKUP(A375,'Base de Dados'!D:D,'Base de Dados'!M:M)</f>
        <v>#DIV/0!</v>
      </c>
      <c r="L375" s="301" t="e">
        <f>K375*_xlfn.XLOOKUP(A375,'Base de Dados'!D:D,'Base de Dados'!N:N)</f>
        <v>#DIV/0!</v>
      </c>
      <c r="M375" s="303" t="e">
        <f t="shared" si="125"/>
        <v>#DIV/0!</v>
      </c>
      <c r="N375" s="251" t="e">
        <f t="shared" si="94"/>
        <v>#DIV/0!</v>
      </c>
      <c r="O375" s="252">
        <f t="shared" si="126"/>
        <v>-0.1</v>
      </c>
      <c r="P375" s="253" t="e">
        <f t="shared" si="127"/>
        <v>#DIV/0!</v>
      </c>
      <c r="Q375" s="252" t="e">
        <f t="shared" si="128"/>
        <v>#DIV/0!</v>
      </c>
      <c r="R375" s="252"/>
      <c r="S375" s="252" t="e">
        <f t="shared" si="129"/>
        <v>#DIV/0!</v>
      </c>
      <c r="T375" s="253"/>
      <c r="U375" s="252" t="e">
        <f t="shared" si="130"/>
        <v>#DIV/0!</v>
      </c>
      <c r="V375" s="290">
        <v>107001002</v>
      </c>
      <c r="W375" s="262" t="str">
        <f>_xlfn.XLOOKUP(PRECIFICAÇÃO[[#This Row],[GM9]],Markup!A:A,Markup!B:B)</f>
        <v>EDREDON</v>
      </c>
    </row>
    <row r="376" spans="1:23" ht="15" customHeight="1" x14ac:dyDescent="0.3">
      <c r="A376" s="287" t="s">
        <v>423</v>
      </c>
      <c r="B376" s="244" t="str">
        <f>_xlfn.XLOOKUP(A376,'Base de Dados'!D:D,'Base de Dados'!B:B)</f>
        <v>TIMBRO SWISS SA</v>
      </c>
      <c r="C376" s="275" t="str">
        <f>_xlfn.XLOOKUP(PRECIFICAÇÃO[[#This Row],[INVOICE]],'Base de Dados'!D:D,'Base de Dados'!X:X)</f>
        <v>EM TRÂNSITO</v>
      </c>
      <c r="D376" s="54">
        <v>404335</v>
      </c>
      <c r="E376" s="244" t="s">
        <v>677</v>
      </c>
      <c r="F376" s="245">
        <v>572</v>
      </c>
      <c r="G376" s="324">
        <v>21.65</v>
      </c>
      <c r="H376" s="299">
        <v>5.0894000000000004</v>
      </c>
      <c r="I376" s="300">
        <f t="shared" si="92"/>
        <v>110.18551000000001</v>
      </c>
      <c r="J376" s="301">
        <f t="shared" si="93"/>
        <v>63026.111720000008</v>
      </c>
      <c r="K376" s="302" t="e">
        <f>J376/_xlfn.XLOOKUP(A376,'Base de Dados'!D:D,'Base de Dados'!M:M)</f>
        <v>#DIV/0!</v>
      </c>
      <c r="L376" s="301" t="e">
        <f>K376*_xlfn.XLOOKUP(A376,'Base de Dados'!D:D,'Base de Dados'!N:N)</f>
        <v>#DIV/0!</v>
      </c>
      <c r="M376" s="303" t="e">
        <f t="shared" si="125"/>
        <v>#DIV/0!</v>
      </c>
      <c r="N376" s="251" t="e">
        <f t="shared" si="94"/>
        <v>#DIV/0!</v>
      </c>
      <c r="O376" s="252">
        <f t="shared" si="126"/>
        <v>-0.1</v>
      </c>
      <c r="P376" s="253" t="e">
        <f t="shared" si="127"/>
        <v>#DIV/0!</v>
      </c>
      <c r="Q376" s="252" t="e">
        <f t="shared" si="128"/>
        <v>#DIV/0!</v>
      </c>
      <c r="R376" s="252"/>
      <c r="S376" s="252" t="e">
        <f t="shared" si="129"/>
        <v>#DIV/0!</v>
      </c>
      <c r="T376" s="253"/>
      <c r="U376" s="252" t="e">
        <f t="shared" si="130"/>
        <v>#DIV/0!</v>
      </c>
      <c r="V376" s="290">
        <v>107001002</v>
      </c>
      <c r="W376" s="262" t="str">
        <f>_xlfn.XLOOKUP(PRECIFICAÇÃO[[#This Row],[GM9]],Markup!A:A,Markup!B:B)</f>
        <v>EDREDON</v>
      </c>
    </row>
    <row r="377" spans="1:23" ht="15" customHeight="1" x14ac:dyDescent="0.3">
      <c r="A377" s="287" t="s">
        <v>423</v>
      </c>
      <c r="B377" s="244" t="str">
        <f>_xlfn.XLOOKUP(A377,'Base de Dados'!D:D,'Base de Dados'!B:B)</f>
        <v>TIMBRO SWISS SA</v>
      </c>
      <c r="C377" s="275" t="str">
        <f>_xlfn.XLOOKUP(PRECIFICAÇÃO[[#This Row],[INVOICE]],'Base de Dados'!D:D,'Base de Dados'!X:X)</f>
        <v>EM TRÂNSITO</v>
      </c>
      <c r="D377" s="54">
        <v>404336</v>
      </c>
      <c r="E377" s="244" t="s">
        <v>678</v>
      </c>
      <c r="F377" s="245">
        <v>568</v>
      </c>
      <c r="G377" s="324">
        <v>21.65</v>
      </c>
      <c r="H377" s="299">
        <v>5.0894000000000004</v>
      </c>
      <c r="I377" s="300">
        <f t="shared" si="92"/>
        <v>110.18551000000001</v>
      </c>
      <c r="J377" s="301">
        <f t="shared" si="93"/>
        <v>62585.369680000003</v>
      </c>
      <c r="K377" s="302" t="e">
        <f>J377/_xlfn.XLOOKUP(A377,'Base de Dados'!D:D,'Base de Dados'!M:M)</f>
        <v>#DIV/0!</v>
      </c>
      <c r="L377" s="301" t="e">
        <f>K377*_xlfn.XLOOKUP(A377,'Base de Dados'!D:D,'Base de Dados'!N:N)</f>
        <v>#DIV/0!</v>
      </c>
      <c r="M377" s="303" t="e">
        <f t="shared" si="125"/>
        <v>#DIV/0!</v>
      </c>
      <c r="N377" s="251" t="e">
        <f t="shared" si="94"/>
        <v>#DIV/0!</v>
      </c>
      <c r="O377" s="252">
        <f t="shared" si="126"/>
        <v>-0.1</v>
      </c>
      <c r="P377" s="253" t="e">
        <f t="shared" si="127"/>
        <v>#DIV/0!</v>
      </c>
      <c r="Q377" s="252" t="e">
        <f t="shared" si="128"/>
        <v>#DIV/0!</v>
      </c>
      <c r="R377" s="252"/>
      <c r="S377" s="252" t="e">
        <f t="shared" si="129"/>
        <v>#DIV/0!</v>
      </c>
      <c r="T377" s="253"/>
      <c r="U377" s="252" t="e">
        <f t="shared" si="130"/>
        <v>#DIV/0!</v>
      </c>
      <c r="V377" s="290">
        <v>107001002</v>
      </c>
      <c r="W377" s="262" t="str">
        <f>_xlfn.XLOOKUP(PRECIFICAÇÃO[[#This Row],[GM9]],Markup!A:A,Markup!B:B)</f>
        <v>EDREDON</v>
      </c>
    </row>
    <row r="378" spans="1:23" ht="15" customHeight="1" x14ac:dyDescent="0.3">
      <c r="A378" s="287" t="s">
        <v>423</v>
      </c>
      <c r="B378" s="244" t="str">
        <f>_xlfn.XLOOKUP(A378,'Base de Dados'!D:D,'Base de Dados'!B:B)</f>
        <v>TIMBRO SWISS SA</v>
      </c>
      <c r="C378" s="275" t="str">
        <f>_xlfn.XLOOKUP(PRECIFICAÇÃO[[#This Row],[INVOICE]],'Base de Dados'!D:D,'Base de Dados'!X:X)</f>
        <v>EM TRÂNSITO</v>
      </c>
      <c r="D378" s="54">
        <v>404337</v>
      </c>
      <c r="E378" s="244" t="s">
        <v>679</v>
      </c>
      <c r="F378" s="245">
        <v>300</v>
      </c>
      <c r="G378" s="324">
        <v>24.3</v>
      </c>
      <c r="H378" s="299">
        <v>5.0894000000000004</v>
      </c>
      <c r="I378" s="300">
        <f t="shared" si="92"/>
        <v>123.67242000000002</v>
      </c>
      <c r="J378" s="301">
        <f t="shared" si="93"/>
        <v>37101.726000000002</v>
      </c>
      <c r="K378" s="302" t="e">
        <f>J378/_xlfn.XLOOKUP(A378,'Base de Dados'!D:D,'Base de Dados'!M:M)</f>
        <v>#DIV/0!</v>
      </c>
      <c r="L378" s="301" t="e">
        <f>K378*_xlfn.XLOOKUP(A378,'Base de Dados'!D:D,'Base de Dados'!N:N)</f>
        <v>#DIV/0!</v>
      </c>
      <c r="M378" s="303" t="e">
        <f t="shared" si="125"/>
        <v>#DIV/0!</v>
      </c>
      <c r="N378" s="251" t="e">
        <f t="shared" si="94"/>
        <v>#DIV/0!</v>
      </c>
      <c r="O378" s="252">
        <f t="shared" si="126"/>
        <v>-0.1</v>
      </c>
      <c r="P378" s="253" t="e">
        <f t="shared" si="127"/>
        <v>#DIV/0!</v>
      </c>
      <c r="Q378" s="252" t="e">
        <f t="shared" si="128"/>
        <v>#DIV/0!</v>
      </c>
      <c r="R378" s="252"/>
      <c r="S378" s="252" t="e">
        <f t="shared" si="129"/>
        <v>#DIV/0!</v>
      </c>
      <c r="T378" s="253"/>
      <c r="U378" s="252" t="e">
        <f t="shared" si="130"/>
        <v>#DIV/0!</v>
      </c>
      <c r="V378" s="290">
        <v>107001002</v>
      </c>
      <c r="W378" s="262" t="str">
        <f>_xlfn.XLOOKUP(PRECIFICAÇÃO[[#This Row],[GM9]],Markup!A:A,Markup!B:B)</f>
        <v>EDREDON</v>
      </c>
    </row>
    <row r="379" spans="1:23" ht="15" customHeight="1" x14ac:dyDescent="0.3">
      <c r="A379" s="287" t="s">
        <v>423</v>
      </c>
      <c r="B379" s="244" t="str">
        <f>_xlfn.XLOOKUP(A379,'Base de Dados'!D:D,'Base de Dados'!B:B)</f>
        <v>TIMBRO SWISS SA</v>
      </c>
      <c r="C379" s="275" t="str">
        <f>_xlfn.XLOOKUP(PRECIFICAÇÃO[[#This Row],[INVOICE]],'Base de Dados'!D:D,'Base de Dados'!X:X)</f>
        <v>EM TRÂNSITO</v>
      </c>
      <c r="D379" s="54">
        <v>404338</v>
      </c>
      <c r="E379" s="244" t="s">
        <v>680</v>
      </c>
      <c r="F379" s="245">
        <v>300</v>
      </c>
      <c r="G379" s="324">
        <v>24.3</v>
      </c>
      <c r="H379" s="299">
        <v>5.0894000000000004</v>
      </c>
      <c r="I379" s="300">
        <f t="shared" si="92"/>
        <v>123.67242000000002</v>
      </c>
      <c r="J379" s="301">
        <f t="shared" si="93"/>
        <v>37101.726000000002</v>
      </c>
      <c r="K379" s="302" t="e">
        <f>J379/_xlfn.XLOOKUP(A379,'Base de Dados'!D:D,'Base de Dados'!M:M)</f>
        <v>#DIV/0!</v>
      </c>
      <c r="L379" s="301" t="e">
        <f>K379*_xlfn.XLOOKUP(A379,'Base de Dados'!D:D,'Base de Dados'!N:N)</f>
        <v>#DIV/0!</v>
      </c>
      <c r="M379" s="303" t="e">
        <f t="shared" si="125"/>
        <v>#DIV/0!</v>
      </c>
      <c r="N379" s="251" t="e">
        <f t="shared" si="94"/>
        <v>#DIV/0!</v>
      </c>
      <c r="O379" s="252">
        <f t="shared" si="126"/>
        <v>-0.1</v>
      </c>
      <c r="P379" s="253" t="e">
        <f t="shared" si="127"/>
        <v>#DIV/0!</v>
      </c>
      <c r="Q379" s="252" t="e">
        <f t="shared" si="128"/>
        <v>#DIV/0!</v>
      </c>
      <c r="R379" s="252"/>
      <c r="S379" s="252" t="e">
        <f t="shared" si="129"/>
        <v>#DIV/0!</v>
      </c>
      <c r="T379" s="253"/>
      <c r="U379" s="252" t="e">
        <f t="shared" si="130"/>
        <v>#DIV/0!</v>
      </c>
      <c r="V379" s="290">
        <v>107001002</v>
      </c>
      <c r="W379" s="262" t="str">
        <f>_xlfn.XLOOKUP(PRECIFICAÇÃO[[#This Row],[GM9]],Markup!A:A,Markup!B:B)</f>
        <v>EDREDON</v>
      </c>
    </row>
    <row r="380" spans="1:23" ht="15" customHeight="1" x14ac:dyDescent="0.3">
      <c r="A380" s="287" t="s">
        <v>423</v>
      </c>
      <c r="B380" s="244" t="str">
        <f>_xlfn.XLOOKUP(A380,'Base de Dados'!D:D,'Base de Dados'!B:B)</f>
        <v>TIMBRO SWISS SA</v>
      </c>
      <c r="C380" s="275" t="str">
        <f>_xlfn.XLOOKUP(PRECIFICAÇÃO[[#This Row],[INVOICE]],'Base de Dados'!D:D,'Base de Dados'!X:X)</f>
        <v>EM TRÂNSITO</v>
      </c>
      <c r="D380" s="54">
        <v>404339</v>
      </c>
      <c r="E380" s="244" t="s">
        <v>681</v>
      </c>
      <c r="F380" s="245">
        <v>300</v>
      </c>
      <c r="G380" s="324">
        <v>24.3</v>
      </c>
      <c r="H380" s="299">
        <v>5.0894000000000004</v>
      </c>
      <c r="I380" s="300">
        <f t="shared" si="92"/>
        <v>123.67242000000002</v>
      </c>
      <c r="J380" s="301">
        <f t="shared" si="93"/>
        <v>37101.726000000002</v>
      </c>
      <c r="K380" s="302" t="e">
        <f>J380/_xlfn.XLOOKUP(A380,'Base de Dados'!D:D,'Base de Dados'!M:M)</f>
        <v>#DIV/0!</v>
      </c>
      <c r="L380" s="301" t="e">
        <f>K380*_xlfn.XLOOKUP(A380,'Base de Dados'!D:D,'Base de Dados'!N:N)</f>
        <v>#DIV/0!</v>
      </c>
      <c r="M380" s="303" t="e">
        <f>J380+L380</f>
        <v>#DIV/0!</v>
      </c>
      <c r="N380" s="251" t="e">
        <f t="shared" si="94"/>
        <v>#DIV/0!</v>
      </c>
      <c r="O380" s="252">
        <f>R380-0.1</f>
        <v>-0.1</v>
      </c>
      <c r="P380" s="253" t="e">
        <f>ROUND(N380/O380,0)</f>
        <v>#DIV/0!</v>
      </c>
      <c r="Q380" s="252" t="e">
        <f>(P380-N380)/P380</f>
        <v>#DIV/0!</v>
      </c>
      <c r="R380" s="252"/>
      <c r="S380" s="252" t="e">
        <f>Q380-R380</f>
        <v>#DIV/0!</v>
      </c>
      <c r="T380" s="253"/>
      <c r="U380" s="252" t="e">
        <f>(T380-P380)/T380</f>
        <v>#DIV/0!</v>
      </c>
      <c r="V380" s="290">
        <v>107001002</v>
      </c>
      <c r="W380" s="262" t="str">
        <f>_xlfn.XLOOKUP(PRECIFICAÇÃO[[#This Row],[GM9]],Markup!A:A,Markup!B:B)</f>
        <v>EDREDON</v>
      </c>
    </row>
    <row r="381" spans="1:23" ht="15" customHeight="1" x14ac:dyDescent="0.3">
      <c r="A381" s="287" t="s">
        <v>423</v>
      </c>
      <c r="B381" s="244" t="str">
        <f>_xlfn.XLOOKUP(A381,'Base de Dados'!D:D,'Base de Dados'!B:B)</f>
        <v>TIMBRO SWISS SA</v>
      </c>
      <c r="C381" s="275" t="str">
        <f>_xlfn.XLOOKUP(PRECIFICAÇÃO[[#This Row],[INVOICE]],'Base de Dados'!D:D,'Base de Dados'!X:X)</f>
        <v>EM TRÂNSITO</v>
      </c>
      <c r="D381" s="54">
        <v>404340</v>
      </c>
      <c r="E381" s="244" t="s">
        <v>682</v>
      </c>
      <c r="F381" s="245">
        <v>300</v>
      </c>
      <c r="G381" s="324">
        <v>24.3</v>
      </c>
      <c r="H381" s="299">
        <v>5.0894000000000004</v>
      </c>
      <c r="I381" s="300">
        <f t="shared" si="92"/>
        <v>123.67242000000002</v>
      </c>
      <c r="J381" s="301">
        <f t="shared" si="93"/>
        <v>37101.726000000002</v>
      </c>
      <c r="K381" s="302" t="e">
        <f>J381/_xlfn.XLOOKUP(A381,'Base de Dados'!D:D,'Base de Dados'!M:M)</f>
        <v>#DIV/0!</v>
      </c>
      <c r="L381" s="301" t="e">
        <f>K381*_xlfn.XLOOKUP(A381,'Base de Dados'!D:D,'Base de Dados'!N:N)</f>
        <v>#DIV/0!</v>
      </c>
      <c r="M381" s="303" t="e">
        <f>J381+L381</f>
        <v>#DIV/0!</v>
      </c>
      <c r="N381" s="251" t="e">
        <f t="shared" si="94"/>
        <v>#DIV/0!</v>
      </c>
      <c r="O381" s="252">
        <f>R381-0.1</f>
        <v>-0.1</v>
      </c>
      <c r="P381" s="253" t="e">
        <f>ROUND(N381/O381,0)</f>
        <v>#DIV/0!</v>
      </c>
      <c r="Q381" s="252" t="e">
        <f>(P381-N381)/P381</f>
        <v>#DIV/0!</v>
      </c>
      <c r="R381" s="252"/>
      <c r="S381" s="252" t="e">
        <f>Q381-R381</f>
        <v>#DIV/0!</v>
      </c>
      <c r="T381" s="253"/>
      <c r="U381" s="252" t="e">
        <f>(T381-P381)/T381</f>
        <v>#DIV/0!</v>
      </c>
      <c r="V381" s="290">
        <v>107001002</v>
      </c>
      <c r="W381" s="262" t="str">
        <f>_xlfn.XLOOKUP(PRECIFICAÇÃO[[#This Row],[GM9]],Markup!A:A,Markup!B:B)</f>
        <v>EDREDON</v>
      </c>
    </row>
    <row r="382" spans="1:23" ht="15" customHeight="1" x14ac:dyDescent="0.3">
      <c r="A382" s="194" t="s">
        <v>857</v>
      </c>
      <c r="B382" s="244" t="str">
        <f>_xlfn.XLOOKUP(A382,'Base de Dados'!D:D,'Base de Dados'!B:B)</f>
        <v>TIMBRO SWISS SA</v>
      </c>
      <c r="C382" s="275" t="str">
        <f>_xlfn.XLOOKUP(PRECIFICAÇÃO[[#This Row],[INVOICE]],'Base de Dados'!D:D,'Base de Dados'!X:X)</f>
        <v>EM PRODUÇÃO</v>
      </c>
      <c r="D382" s="54">
        <v>400401</v>
      </c>
      <c r="E382" s="244" t="s">
        <v>1019</v>
      </c>
      <c r="F382" s="245">
        <v>468</v>
      </c>
      <c r="G382" s="325">
        <f>_xlfn.XLOOKUP(PRECIFICAÇÃO[[#This Row],[Cód]],D2:D381,G2:G381)</f>
        <v>5.89</v>
      </c>
      <c r="H382" s="299">
        <v>5.0894000000000004</v>
      </c>
      <c r="I382" s="300">
        <f t="shared" ref="I382:I400" si="131">H382*G382</f>
        <v>29.976566000000002</v>
      </c>
      <c r="J382" s="301">
        <f t="shared" ref="J382:J400" si="132">I382*F382</f>
        <v>14029.032888000002</v>
      </c>
      <c r="K382" s="301" t="e">
        <f>J382/_xlfn.XLOOKUP(A382,'Base de Dados'!D:D,'Base de Dados'!M:M)</f>
        <v>#DIV/0!</v>
      </c>
      <c r="L382" s="301" t="e">
        <f>K382*_xlfn.XLOOKUP(A382,'Base de Dados'!D:D,'Base de Dados'!N:N)</f>
        <v>#DIV/0!</v>
      </c>
      <c r="M382" s="303" t="e">
        <f t="shared" ref="M382:M400" si="133">J382+L382</f>
        <v>#DIV/0!</v>
      </c>
      <c r="N382" s="251" t="e">
        <f t="shared" ref="N382:N400" si="134">M382/F382</f>
        <v>#DIV/0!</v>
      </c>
      <c r="O382" s="252">
        <f t="shared" ref="O382:O400" si="135">R382-0.1</f>
        <v>-0.1</v>
      </c>
      <c r="P382" s="253" t="e">
        <f t="shared" ref="P382:P400" si="136">ROUND(N382/O382,0)</f>
        <v>#DIV/0!</v>
      </c>
      <c r="Q382" s="252" t="e">
        <f t="shared" ref="Q382:Q400" si="137">(P382-N382)/P382</f>
        <v>#DIV/0!</v>
      </c>
      <c r="R382" s="252"/>
      <c r="S382" s="252" t="e">
        <f t="shared" ref="S382:S400" si="138">Q382-R382</f>
        <v>#DIV/0!</v>
      </c>
      <c r="T382" s="253"/>
      <c r="U382" s="252" t="e">
        <f t="shared" ref="U382:U400" si="139">(T382-P382)/T382</f>
        <v>#DIV/0!</v>
      </c>
      <c r="V382" s="290">
        <v>107001005</v>
      </c>
      <c r="W382" s="262" t="str">
        <f>_xlfn.XLOOKUP(PRECIFICAÇÃO[[#This Row],[GM9]],Markup!A:A,Markup!B:B)</f>
        <v>COBRELEITO/COLCHA</v>
      </c>
    </row>
    <row r="383" spans="1:23" ht="15" customHeight="1" x14ac:dyDescent="0.3">
      <c r="A383" s="194" t="s">
        <v>857</v>
      </c>
      <c r="B383" s="244" t="str">
        <f>_xlfn.XLOOKUP(A383,'Base de Dados'!D:D,'Base de Dados'!B:B)</f>
        <v>TIMBRO SWISS SA</v>
      </c>
      <c r="C383" s="275" t="str">
        <f>_xlfn.XLOOKUP(PRECIFICAÇÃO[[#This Row],[INVOICE]],'Base de Dados'!D:D,'Base de Dados'!X:X)</f>
        <v>EM PRODUÇÃO</v>
      </c>
      <c r="D383" s="54">
        <v>400402</v>
      </c>
      <c r="E383" s="244" t="s">
        <v>1020</v>
      </c>
      <c r="F383" s="245">
        <v>468</v>
      </c>
      <c r="G383" s="325">
        <f>_xlfn.XLOOKUP(PRECIFICAÇÃO[[#This Row],[Cód]],D3:D382,G3:G382)</f>
        <v>5.89</v>
      </c>
      <c r="H383" s="299">
        <v>5.0894000000000004</v>
      </c>
      <c r="I383" s="300">
        <f t="shared" si="131"/>
        <v>29.976566000000002</v>
      </c>
      <c r="J383" s="301">
        <f t="shared" si="132"/>
        <v>14029.032888000002</v>
      </c>
      <c r="K383" s="301" t="e">
        <f>J383/_xlfn.XLOOKUP(A383,'Base de Dados'!D:D,'Base de Dados'!M:M)</f>
        <v>#DIV/0!</v>
      </c>
      <c r="L383" s="301" t="e">
        <f>K383*_xlfn.XLOOKUP(A383,'Base de Dados'!D:D,'Base de Dados'!N:N)</f>
        <v>#DIV/0!</v>
      </c>
      <c r="M383" s="303" t="e">
        <f t="shared" si="133"/>
        <v>#DIV/0!</v>
      </c>
      <c r="N383" s="251" t="e">
        <f t="shared" si="134"/>
        <v>#DIV/0!</v>
      </c>
      <c r="O383" s="252">
        <f t="shared" si="135"/>
        <v>-0.1</v>
      </c>
      <c r="P383" s="253" t="e">
        <f t="shared" si="136"/>
        <v>#DIV/0!</v>
      </c>
      <c r="Q383" s="252" t="e">
        <f t="shared" si="137"/>
        <v>#DIV/0!</v>
      </c>
      <c r="R383" s="252"/>
      <c r="S383" s="252" t="e">
        <f t="shared" si="138"/>
        <v>#DIV/0!</v>
      </c>
      <c r="T383" s="253"/>
      <c r="U383" s="252" t="e">
        <f t="shared" si="139"/>
        <v>#DIV/0!</v>
      </c>
      <c r="V383" s="290">
        <v>107001005</v>
      </c>
      <c r="W383" s="262" t="str">
        <f>_xlfn.XLOOKUP(PRECIFICAÇÃO[[#This Row],[GM9]],Markup!A:A,Markup!B:B)</f>
        <v>COBRELEITO/COLCHA</v>
      </c>
    </row>
    <row r="384" spans="1:23" ht="15" customHeight="1" x14ac:dyDescent="0.3">
      <c r="A384" s="194" t="s">
        <v>857</v>
      </c>
      <c r="B384" s="244" t="str">
        <f>_xlfn.XLOOKUP(A384,'Base de Dados'!D:D,'Base de Dados'!B:B)</f>
        <v>TIMBRO SWISS SA</v>
      </c>
      <c r="C384" s="275" t="str">
        <f>_xlfn.XLOOKUP(PRECIFICAÇÃO[[#This Row],[INVOICE]],'Base de Dados'!D:D,'Base de Dados'!X:X)</f>
        <v>EM PRODUÇÃO</v>
      </c>
      <c r="D384" s="54">
        <v>400404</v>
      </c>
      <c r="E384" s="244" t="s">
        <v>1021</v>
      </c>
      <c r="F384" s="245">
        <v>468</v>
      </c>
      <c r="G384" s="325">
        <f>_xlfn.XLOOKUP(PRECIFICAÇÃO[[#This Row],[Cód]],D4:D383,G4:G383)</f>
        <v>5.89</v>
      </c>
      <c r="H384" s="299">
        <v>5.0894000000000004</v>
      </c>
      <c r="I384" s="300">
        <f t="shared" si="131"/>
        <v>29.976566000000002</v>
      </c>
      <c r="J384" s="301">
        <f t="shared" si="132"/>
        <v>14029.032888000002</v>
      </c>
      <c r="K384" s="301" t="e">
        <f>J384/_xlfn.XLOOKUP(A384,'Base de Dados'!D:D,'Base de Dados'!M:M)</f>
        <v>#DIV/0!</v>
      </c>
      <c r="L384" s="301" t="e">
        <f>K384*_xlfn.XLOOKUP(A384,'Base de Dados'!D:D,'Base de Dados'!N:N)</f>
        <v>#DIV/0!</v>
      </c>
      <c r="M384" s="303" t="e">
        <f t="shared" si="133"/>
        <v>#DIV/0!</v>
      </c>
      <c r="N384" s="251" t="e">
        <f t="shared" si="134"/>
        <v>#DIV/0!</v>
      </c>
      <c r="O384" s="252">
        <f t="shared" si="135"/>
        <v>-0.1</v>
      </c>
      <c r="P384" s="253" t="e">
        <f t="shared" si="136"/>
        <v>#DIV/0!</v>
      </c>
      <c r="Q384" s="252" t="e">
        <f t="shared" si="137"/>
        <v>#DIV/0!</v>
      </c>
      <c r="R384" s="252"/>
      <c r="S384" s="252" t="e">
        <f t="shared" si="138"/>
        <v>#DIV/0!</v>
      </c>
      <c r="T384" s="253"/>
      <c r="U384" s="252" t="e">
        <f t="shared" si="139"/>
        <v>#DIV/0!</v>
      </c>
      <c r="V384" s="290">
        <v>107001005</v>
      </c>
      <c r="W384" s="262" t="str">
        <f>_xlfn.XLOOKUP(PRECIFICAÇÃO[[#This Row],[GM9]],Markup!A:A,Markup!B:B)</f>
        <v>COBRELEITO/COLCHA</v>
      </c>
    </row>
    <row r="385" spans="1:23" ht="15" customHeight="1" x14ac:dyDescent="0.3">
      <c r="A385" s="194" t="s">
        <v>857</v>
      </c>
      <c r="B385" s="244" t="str">
        <f>_xlfn.XLOOKUP(A385,'Base de Dados'!D:D,'Base de Dados'!B:B)</f>
        <v>TIMBRO SWISS SA</v>
      </c>
      <c r="C385" s="275" t="str">
        <f>_xlfn.XLOOKUP(PRECIFICAÇÃO[[#This Row],[INVOICE]],'Base de Dados'!D:D,'Base de Dados'!X:X)</f>
        <v>EM PRODUÇÃO</v>
      </c>
      <c r="D385" s="54">
        <v>400403</v>
      </c>
      <c r="E385" s="244" t="s">
        <v>1022</v>
      </c>
      <c r="F385" s="245">
        <v>468</v>
      </c>
      <c r="G385" s="325">
        <f>_xlfn.XLOOKUP(PRECIFICAÇÃO[[#This Row],[Cód]],D5:D384,G5:G384)</f>
        <v>5.89</v>
      </c>
      <c r="H385" s="299">
        <v>5.0894000000000004</v>
      </c>
      <c r="I385" s="300">
        <f t="shared" si="131"/>
        <v>29.976566000000002</v>
      </c>
      <c r="J385" s="301">
        <f t="shared" si="132"/>
        <v>14029.032888000002</v>
      </c>
      <c r="K385" s="301" t="e">
        <f>J385/_xlfn.XLOOKUP(A385,'Base de Dados'!D:D,'Base de Dados'!M:M)</f>
        <v>#DIV/0!</v>
      </c>
      <c r="L385" s="301" t="e">
        <f>K385*_xlfn.XLOOKUP(A385,'Base de Dados'!D:D,'Base de Dados'!N:N)</f>
        <v>#DIV/0!</v>
      </c>
      <c r="M385" s="303" t="e">
        <f t="shared" si="133"/>
        <v>#DIV/0!</v>
      </c>
      <c r="N385" s="251" t="e">
        <f t="shared" si="134"/>
        <v>#DIV/0!</v>
      </c>
      <c r="O385" s="252">
        <f t="shared" si="135"/>
        <v>-0.1</v>
      </c>
      <c r="P385" s="253" t="e">
        <f t="shared" si="136"/>
        <v>#DIV/0!</v>
      </c>
      <c r="Q385" s="252" t="e">
        <f t="shared" si="137"/>
        <v>#DIV/0!</v>
      </c>
      <c r="R385" s="252"/>
      <c r="S385" s="252" t="e">
        <f t="shared" si="138"/>
        <v>#DIV/0!</v>
      </c>
      <c r="T385" s="253"/>
      <c r="U385" s="252" t="e">
        <f t="shared" si="139"/>
        <v>#DIV/0!</v>
      </c>
      <c r="V385" s="290">
        <v>107001005</v>
      </c>
      <c r="W385" s="262" t="str">
        <f>_xlfn.XLOOKUP(PRECIFICAÇÃO[[#This Row],[GM9]],Markup!A:A,Markup!B:B)</f>
        <v>COBRELEITO/COLCHA</v>
      </c>
    </row>
    <row r="386" spans="1:23" ht="15" customHeight="1" x14ac:dyDescent="0.3">
      <c r="A386" s="194" t="s">
        <v>857</v>
      </c>
      <c r="B386" s="244" t="str">
        <f>_xlfn.XLOOKUP(A386,'Base de Dados'!D:D,'Base de Dados'!B:B)</f>
        <v>TIMBRO SWISS SA</v>
      </c>
      <c r="C386" s="275" t="str">
        <f>_xlfn.XLOOKUP(PRECIFICAÇÃO[[#This Row],[INVOICE]],'Base de Dados'!D:D,'Base de Dados'!X:X)</f>
        <v>EM PRODUÇÃO</v>
      </c>
      <c r="D386" s="54">
        <v>400405</v>
      </c>
      <c r="E386" s="244" t="s">
        <v>1023</v>
      </c>
      <c r="F386" s="245">
        <v>480</v>
      </c>
      <c r="G386" s="325">
        <f>_xlfn.XLOOKUP(PRECIFICAÇÃO[[#This Row],[Cód]],D6:D385,G6:G385)</f>
        <v>7.44</v>
      </c>
      <c r="H386" s="299">
        <v>5.0894000000000004</v>
      </c>
      <c r="I386" s="300">
        <f t="shared" si="131"/>
        <v>37.865136000000007</v>
      </c>
      <c r="J386" s="301">
        <f t="shared" si="132"/>
        <v>18175.265280000003</v>
      </c>
      <c r="K386" s="301" t="e">
        <f>J386/_xlfn.XLOOKUP(A386,'Base de Dados'!D:D,'Base de Dados'!M:M)</f>
        <v>#DIV/0!</v>
      </c>
      <c r="L386" s="301" t="e">
        <f>K386*_xlfn.XLOOKUP(A386,'Base de Dados'!D:D,'Base de Dados'!N:N)</f>
        <v>#DIV/0!</v>
      </c>
      <c r="M386" s="303" t="e">
        <f t="shared" si="133"/>
        <v>#DIV/0!</v>
      </c>
      <c r="N386" s="251" t="e">
        <f t="shared" si="134"/>
        <v>#DIV/0!</v>
      </c>
      <c r="O386" s="252">
        <f t="shared" si="135"/>
        <v>-0.1</v>
      </c>
      <c r="P386" s="253" t="e">
        <f t="shared" si="136"/>
        <v>#DIV/0!</v>
      </c>
      <c r="Q386" s="252" t="e">
        <f t="shared" si="137"/>
        <v>#DIV/0!</v>
      </c>
      <c r="R386" s="252"/>
      <c r="S386" s="252" t="e">
        <f t="shared" si="138"/>
        <v>#DIV/0!</v>
      </c>
      <c r="T386" s="253"/>
      <c r="U386" s="252" t="e">
        <f t="shared" si="139"/>
        <v>#DIV/0!</v>
      </c>
      <c r="V386" s="290">
        <v>107001005</v>
      </c>
      <c r="W386" s="262" t="str">
        <f>_xlfn.XLOOKUP(PRECIFICAÇÃO[[#This Row],[GM9]],Markup!A:A,Markup!B:B)</f>
        <v>COBRELEITO/COLCHA</v>
      </c>
    </row>
    <row r="387" spans="1:23" ht="15" customHeight="1" x14ac:dyDescent="0.3">
      <c r="A387" s="194" t="s">
        <v>857</v>
      </c>
      <c r="B387" s="244" t="str">
        <f>_xlfn.XLOOKUP(A387,'Base de Dados'!D:D,'Base de Dados'!B:B)</f>
        <v>TIMBRO SWISS SA</v>
      </c>
      <c r="C387" s="275" t="str">
        <f>_xlfn.XLOOKUP(PRECIFICAÇÃO[[#This Row],[INVOICE]],'Base de Dados'!D:D,'Base de Dados'!X:X)</f>
        <v>EM PRODUÇÃO</v>
      </c>
      <c r="D387" s="54">
        <v>400406</v>
      </c>
      <c r="E387" s="244" t="s">
        <v>1024</v>
      </c>
      <c r="F387" s="245">
        <v>480</v>
      </c>
      <c r="G387" s="325">
        <f>_xlfn.XLOOKUP(PRECIFICAÇÃO[[#This Row],[Cód]],D7:D386,G7:G386)</f>
        <v>7.44</v>
      </c>
      <c r="H387" s="299">
        <v>5.0894000000000004</v>
      </c>
      <c r="I387" s="300">
        <f t="shared" si="131"/>
        <v>37.865136000000007</v>
      </c>
      <c r="J387" s="301">
        <f t="shared" si="132"/>
        <v>18175.265280000003</v>
      </c>
      <c r="K387" s="301" t="e">
        <f>J387/_xlfn.XLOOKUP(A387,'Base de Dados'!D:D,'Base de Dados'!M:M)</f>
        <v>#DIV/0!</v>
      </c>
      <c r="L387" s="301" t="e">
        <f>K387*_xlfn.XLOOKUP(A387,'Base de Dados'!D:D,'Base de Dados'!N:N)</f>
        <v>#DIV/0!</v>
      </c>
      <c r="M387" s="303" t="e">
        <f t="shared" si="133"/>
        <v>#DIV/0!</v>
      </c>
      <c r="N387" s="251" t="e">
        <f t="shared" si="134"/>
        <v>#DIV/0!</v>
      </c>
      <c r="O387" s="252">
        <f t="shared" si="135"/>
        <v>-0.1</v>
      </c>
      <c r="P387" s="253" t="e">
        <f t="shared" si="136"/>
        <v>#DIV/0!</v>
      </c>
      <c r="Q387" s="252" t="e">
        <f t="shared" si="137"/>
        <v>#DIV/0!</v>
      </c>
      <c r="R387" s="252"/>
      <c r="S387" s="252" t="e">
        <f t="shared" si="138"/>
        <v>#DIV/0!</v>
      </c>
      <c r="T387" s="253"/>
      <c r="U387" s="252" t="e">
        <f t="shared" si="139"/>
        <v>#DIV/0!</v>
      </c>
      <c r="V387" s="290">
        <v>107001005</v>
      </c>
      <c r="W387" s="262" t="str">
        <f>_xlfn.XLOOKUP(PRECIFICAÇÃO[[#This Row],[GM9]],Markup!A:A,Markup!B:B)</f>
        <v>COBRELEITO/COLCHA</v>
      </c>
    </row>
    <row r="388" spans="1:23" ht="15" customHeight="1" x14ac:dyDescent="0.3">
      <c r="A388" s="194" t="s">
        <v>857</v>
      </c>
      <c r="B388" s="244" t="str">
        <f>_xlfn.XLOOKUP(A388,'Base de Dados'!D:D,'Base de Dados'!B:B)</f>
        <v>TIMBRO SWISS SA</v>
      </c>
      <c r="C388" s="275" t="str">
        <f>_xlfn.XLOOKUP(PRECIFICAÇÃO[[#This Row],[INVOICE]],'Base de Dados'!D:D,'Base de Dados'!X:X)</f>
        <v>EM PRODUÇÃO</v>
      </c>
      <c r="D388" s="54">
        <v>400407</v>
      </c>
      <c r="E388" s="244" t="s">
        <v>1025</v>
      </c>
      <c r="F388" s="245">
        <v>480</v>
      </c>
      <c r="G388" s="325">
        <f>_xlfn.XLOOKUP(PRECIFICAÇÃO[[#This Row],[Cód]],D8:D387,G8:G387)</f>
        <v>7.44</v>
      </c>
      <c r="H388" s="299">
        <v>5.0894000000000004</v>
      </c>
      <c r="I388" s="300">
        <f t="shared" si="131"/>
        <v>37.865136000000007</v>
      </c>
      <c r="J388" s="301">
        <f t="shared" si="132"/>
        <v>18175.265280000003</v>
      </c>
      <c r="K388" s="301" t="e">
        <f>J388/_xlfn.XLOOKUP(A388,'Base de Dados'!D:D,'Base de Dados'!M:M)</f>
        <v>#DIV/0!</v>
      </c>
      <c r="L388" s="301" t="e">
        <f>K388*_xlfn.XLOOKUP(A388,'Base de Dados'!D:D,'Base de Dados'!N:N)</f>
        <v>#DIV/0!</v>
      </c>
      <c r="M388" s="303" t="e">
        <f t="shared" si="133"/>
        <v>#DIV/0!</v>
      </c>
      <c r="N388" s="251" t="e">
        <f t="shared" si="134"/>
        <v>#DIV/0!</v>
      </c>
      <c r="O388" s="252">
        <f t="shared" si="135"/>
        <v>-0.1</v>
      </c>
      <c r="P388" s="253" t="e">
        <f t="shared" si="136"/>
        <v>#DIV/0!</v>
      </c>
      <c r="Q388" s="252" t="e">
        <f t="shared" si="137"/>
        <v>#DIV/0!</v>
      </c>
      <c r="R388" s="252"/>
      <c r="S388" s="252" t="e">
        <f t="shared" si="138"/>
        <v>#DIV/0!</v>
      </c>
      <c r="T388" s="253"/>
      <c r="U388" s="252" t="e">
        <f t="shared" si="139"/>
        <v>#DIV/0!</v>
      </c>
      <c r="V388" s="290">
        <v>107001005</v>
      </c>
      <c r="W388" s="262" t="str">
        <f>_xlfn.XLOOKUP(PRECIFICAÇÃO[[#This Row],[GM9]],Markup!A:A,Markup!B:B)</f>
        <v>COBRELEITO/COLCHA</v>
      </c>
    </row>
    <row r="389" spans="1:23" ht="15" customHeight="1" x14ac:dyDescent="0.3">
      <c r="A389" s="194" t="s">
        <v>857</v>
      </c>
      <c r="B389" s="244" t="str">
        <f>_xlfn.XLOOKUP(A389,'Base de Dados'!D:D,'Base de Dados'!B:B)</f>
        <v>TIMBRO SWISS SA</v>
      </c>
      <c r="C389" s="275" t="str">
        <f>_xlfn.XLOOKUP(PRECIFICAÇÃO[[#This Row],[INVOICE]],'Base de Dados'!D:D,'Base de Dados'!X:X)</f>
        <v>EM PRODUÇÃO</v>
      </c>
      <c r="D389" s="54">
        <v>400409</v>
      </c>
      <c r="E389" s="244" t="s">
        <v>1026</v>
      </c>
      <c r="F389" s="245">
        <v>480</v>
      </c>
      <c r="G389" s="325">
        <f>_xlfn.XLOOKUP(PRECIFICAÇÃO[[#This Row],[Cód]],D9:D388,G9:G388)</f>
        <v>7.44</v>
      </c>
      <c r="H389" s="299">
        <v>5.0894000000000004</v>
      </c>
      <c r="I389" s="300">
        <f t="shared" si="131"/>
        <v>37.865136000000007</v>
      </c>
      <c r="J389" s="301">
        <f t="shared" si="132"/>
        <v>18175.265280000003</v>
      </c>
      <c r="K389" s="301" t="e">
        <f>J389/_xlfn.XLOOKUP(A389,'Base de Dados'!D:D,'Base de Dados'!M:M)</f>
        <v>#DIV/0!</v>
      </c>
      <c r="L389" s="301" t="e">
        <f>K389*_xlfn.XLOOKUP(A389,'Base de Dados'!D:D,'Base de Dados'!N:N)</f>
        <v>#DIV/0!</v>
      </c>
      <c r="M389" s="303" t="e">
        <f t="shared" si="133"/>
        <v>#DIV/0!</v>
      </c>
      <c r="N389" s="251" t="e">
        <f t="shared" si="134"/>
        <v>#DIV/0!</v>
      </c>
      <c r="O389" s="252">
        <f t="shared" si="135"/>
        <v>-0.1</v>
      </c>
      <c r="P389" s="253" t="e">
        <f t="shared" si="136"/>
        <v>#DIV/0!</v>
      </c>
      <c r="Q389" s="252" t="e">
        <f t="shared" si="137"/>
        <v>#DIV/0!</v>
      </c>
      <c r="R389" s="252"/>
      <c r="S389" s="252" t="e">
        <f t="shared" si="138"/>
        <v>#DIV/0!</v>
      </c>
      <c r="T389" s="253"/>
      <c r="U389" s="252" t="e">
        <f t="shared" si="139"/>
        <v>#DIV/0!</v>
      </c>
      <c r="V389" s="290">
        <v>107001005</v>
      </c>
      <c r="W389" s="262" t="str">
        <f>_xlfn.XLOOKUP(PRECIFICAÇÃO[[#This Row],[GM9]],Markup!A:A,Markup!B:B)</f>
        <v>COBRELEITO/COLCHA</v>
      </c>
    </row>
    <row r="390" spans="1:23" ht="15" customHeight="1" x14ac:dyDescent="0.3">
      <c r="A390" s="194" t="s">
        <v>857</v>
      </c>
      <c r="B390" s="244" t="str">
        <f>_xlfn.XLOOKUP(A390,'Base de Dados'!D:D,'Base de Dados'!B:B)</f>
        <v>TIMBRO SWISS SA</v>
      </c>
      <c r="C390" s="275" t="str">
        <f>_xlfn.XLOOKUP(PRECIFICAÇÃO[[#This Row],[INVOICE]],'Base de Dados'!D:D,'Base de Dados'!X:X)</f>
        <v>EM PRODUÇÃO</v>
      </c>
      <c r="D390" s="54">
        <v>400408</v>
      </c>
      <c r="E390" s="244" t="s">
        <v>1027</v>
      </c>
      <c r="F390" s="245">
        <v>480</v>
      </c>
      <c r="G390" s="325">
        <f>_xlfn.XLOOKUP(PRECIFICAÇÃO[[#This Row],[Cód]],D10:D389,G10:G389)</f>
        <v>7.44</v>
      </c>
      <c r="H390" s="299">
        <v>5.0894000000000004</v>
      </c>
      <c r="I390" s="300">
        <f t="shared" si="131"/>
        <v>37.865136000000007</v>
      </c>
      <c r="J390" s="301">
        <f t="shared" si="132"/>
        <v>18175.265280000003</v>
      </c>
      <c r="K390" s="301" t="e">
        <f>J390/_xlfn.XLOOKUP(A390,'Base de Dados'!D:D,'Base de Dados'!M:M)</f>
        <v>#DIV/0!</v>
      </c>
      <c r="L390" s="301" t="e">
        <f>K390*_xlfn.XLOOKUP(A390,'Base de Dados'!D:D,'Base de Dados'!N:N)</f>
        <v>#DIV/0!</v>
      </c>
      <c r="M390" s="303" t="e">
        <f t="shared" si="133"/>
        <v>#DIV/0!</v>
      </c>
      <c r="N390" s="251" t="e">
        <f t="shared" si="134"/>
        <v>#DIV/0!</v>
      </c>
      <c r="O390" s="252">
        <f t="shared" si="135"/>
        <v>-0.1</v>
      </c>
      <c r="P390" s="253" t="e">
        <f t="shared" si="136"/>
        <v>#DIV/0!</v>
      </c>
      <c r="Q390" s="252" t="e">
        <f t="shared" si="137"/>
        <v>#DIV/0!</v>
      </c>
      <c r="R390" s="252"/>
      <c r="S390" s="252" t="e">
        <f t="shared" si="138"/>
        <v>#DIV/0!</v>
      </c>
      <c r="T390" s="253"/>
      <c r="U390" s="252" t="e">
        <f t="shared" si="139"/>
        <v>#DIV/0!</v>
      </c>
      <c r="V390" s="290">
        <v>107001005</v>
      </c>
      <c r="W390" s="262" t="str">
        <f>_xlfn.XLOOKUP(PRECIFICAÇÃO[[#This Row],[GM9]],Markup!A:A,Markup!B:B)</f>
        <v>COBRELEITO/COLCHA</v>
      </c>
    </row>
    <row r="391" spans="1:23" ht="15" customHeight="1" x14ac:dyDescent="0.3">
      <c r="A391" s="194" t="s">
        <v>857</v>
      </c>
      <c r="B391" s="244" t="str">
        <f>_xlfn.XLOOKUP(A391,'Base de Dados'!D:D,'Base de Dados'!B:B)</f>
        <v>TIMBRO SWISS SA</v>
      </c>
      <c r="C391" s="275" t="str">
        <f>_xlfn.XLOOKUP(PRECIFICAÇÃO[[#This Row],[INVOICE]],'Base de Dados'!D:D,'Base de Dados'!X:X)</f>
        <v>EM PRODUÇÃO</v>
      </c>
      <c r="D391" s="54">
        <v>400410</v>
      </c>
      <c r="E391" s="244" t="s">
        <v>1028</v>
      </c>
      <c r="F391" s="245">
        <v>480</v>
      </c>
      <c r="G391" s="325">
        <f>_xlfn.XLOOKUP(PRECIFICAÇÃO[[#This Row],[Cód]],D11:D390,G11:G390)</f>
        <v>7.9</v>
      </c>
      <c r="H391" s="299">
        <v>5.0894000000000004</v>
      </c>
      <c r="I391" s="300">
        <f t="shared" si="131"/>
        <v>40.206260000000007</v>
      </c>
      <c r="J391" s="301">
        <f t="shared" si="132"/>
        <v>19299.004800000002</v>
      </c>
      <c r="K391" s="301" t="e">
        <f>J391/_xlfn.XLOOKUP(A391,'Base de Dados'!D:D,'Base de Dados'!M:M)</f>
        <v>#DIV/0!</v>
      </c>
      <c r="L391" s="301" t="e">
        <f>K391*_xlfn.XLOOKUP(A391,'Base de Dados'!D:D,'Base de Dados'!N:N)</f>
        <v>#DIV/0!</v>
      </c>
      <c r="M391" s="303" t="e">
        <f t="shared" si="133"/>
        <v>#DIV/0!</v>
      </c>
      <c r="N391" s="251" t="e">
        <f t="shared" si="134"/>
        <v>#DIV/0!</v>
      </c>
      <c r="O391" s="252">
        <f t="shared" si="135"/>
        <v>-0.1</v>
      </c>
      <c r="P391" s="253" t="e">
        <f t="shared" si="136"/>
        <v>#DIV/0!</v>
      </c>
      <c r="Q391" s="252" t="e">
        <f t="shared" si="137"/>
        <v>#DIV/0!</v>
      </c>
      <c r="R391" s="252"/>
      <c r="S391" s="252" t="e">
        <f t="shared" si="138"/>
        <v>#DIV/0!</v>
      </c>
      <c r="T391" s="253"/>
      <c r="U391" s="252" t="e">
        <f t="shared" si="139"/>
        <v>#DIV/0!</v>
      </c>
      <c r="V391" s="290">
        <v>107001005</v>
      </c>
      <c r="W391" s="262" t="str">
        <f>_xlfn.XLOOKUP(PRECIFICAÇÃO[[#This Row],[GM9]],Markup!A:A,Markup!B:B)</f>
        <v>COBRELEITO/COLCHA</v>
      </c>
    </row>
    <row r="392" spans="1:23" ht="15" customHeight="1" x14ac:dyDescent="0.3">
      <c r="A392" s="194" t="s">
        <v>857</v>
      </c>
      <c r="B392" s="244" t="str">
        <f>_xlfn.XLOOKUP(A392,'Base de Dados'!D:D,'Base de Dados'!B:B)</f>
        <v>TIMBRO SWISS SA</v>
      </c>
      <c r="C392" s="275" t="str">
        <f>_xlfn.XLOOKUP(PRECIFICAÇÃO[[#This Row],[INVOICE]],'Base de Dados'!D:D,'Base de Dados'!X:X)</f>
        <v>EM PRODUÇÃO</v>
      </c>
      <c r="D392" s="54">
        <v>400411</v>
      </c>
      <c r="E392" s="244" t="s">
        <v>1029</v>
      </c>
      <c r="F392" s="245">
        <v>480</v>
      </c>
      <c r="G392" s="325">
        <f>_xlfn.XLOOKUP(PRECIFICAÇÃO[[#This Row],[Cód]],D12:D391,G12:G391)</f>
        <v>7.9</v>
      </c>
      <c r="H392" s="299">
        <v>5.0894000000000004</v>
      </c>
      <c r="I392" s="300">
        <f t="shared" si="131"/>
        <v>40.206260000000007</v>
      </c>
      <c r="J392" s="301">
        <f t="shared" si="132"/>
        <v>19299.004800000002</v>
      </c>
      <c r="K392" s="301" t="e">
        <f>J392/_xlfn.XLOOKUP(A392,'Base de Dados'!D:D,'Base de Dados'!M:M)</f>
        <v>#DIV/0!</v>
      </c>
      <c r="L392" s="301" t="e">
        <f>K392*_xlfn.XLOOKUP(A392,'Base de Dados'!D:D,'Base de Dados'!N:N)</f>
        <v>#DIV/0!</v>
      </c>
      <c r="M392" s="303" t="e">
        <f t="shared" si="133"/>
        <v>#DIV/0!</v>
      </c>
      <c r="N392" s="251" t="e">
        <f t="shared" si="134"/>
        <v>#DIV/0!</v>
      </c>
      <c r="O392" s="252">
        <f t="shared" si="135"/>
        <v>-0.1</v>
      </c>
      <c r="P392" s="253" t="e">
        <f t="shared" si="136"/>
        <v>#DIV/0!</v>
      </c>
      <c r="Q392" s="252" t="e">
        <f t="shared" si="137"/>
        <v>#DIV/0!</v>
      </c>
      <c r="R392" s="252"/>
      <c r="S392" s="252" t="e">
        <f t="shared" si="138"/>
        <v>#DIV/0!</v>
      </c>
      <c r="T392" s="253"/>
      <c r="U392" s="252" t="e">
        <f t="shared" si="139"/>
        <v>#DIV/0!</v>
      </c>
      <c r="V392" s="290">
        <v>107001005</v>
      </c>
      <c r="W392" s="262" t="str">
        <f>_xlfn.XLOOKUP(PRECIFICAÇÃO[[#This Row],[GM9]],Markup!A:A,Markup!B:B)</f>
        <v>COBRELEITO/COLCHA</v>
      </c>
    </row>
    <row r="393" spans="1:23" ht="15" customHeight="1" x14ac:dyDescent="0.3">
      <c r="A393" s="194" t="s">
        <v>857</v>
      </c>
      <c r="B393" s="244" t="str">
        <f>_xlfn.XLOOKUP(A393,'Base de Dados'!D:D,'Base de Dados'!B:B)</f>
        <v>TIMBRO SWISS SA</v>
      </c>
      <c r="C393" s="275" t="str">
        <f>_xlfn.XLOOKUP(PRECIFICAÇÃO[[#This Row],[INVOICE]],'Base de Dados'!D:D,'Base de Dados'!X:X)</f>
        <v>EM PRODUÇÃO</v>
      </c>
      <c r="D393" s="54">
        <v>400412</v>
      </c>
      <c r="E393" s="244" t="s">
        <v>1030</v>
      </c>
      <c r="F393" s="245">
        <v>480</v>
      </c>
      <c r="G393" s="325">
        <f>_xlfn.XLOOKUP(PRECIFICAÇÃO[[#This Row],[Cód]],D13:D392,G13:G392)</f>
        <v>7.9</v>
      </c>
      <c r="H393" s="299">
        <v>5.0894000000000004</v>
      </c>
      <c r="I393" s="300">
        <f t="shared" si="131"/>
        <v>40.206260000000007</v>
      </c>
      <c r="J393" s="301">
        <f t="shared" si="132"/>
        <v>19299.004800000002</v>
      </c>
      <c r="K393" s="301" t="e">
        <f>J393/_xlfn.XLOOKUP(A393,'Base de Dados'!D:D,'Base de Dados'!M:M)</f>
        <v>#DIV/0!</v>
      </c>
      <c r="L393" s="301" t="e">
        <f>K393*_xlfn.XLOOKUP(A393,'Base de Dados'!D:D,'Base de Dados'!N:N)</f>
        <v>#DIV/0!</v>
      </c>
      <c r="M393" s="303" t="e">
        <f t="shared" si="133"/>
        <v>#DIV/0!</v>
      </c>
      <c r="N393" s="251" t="e">
        <f t="shared" si="134"/>
        <v>#DIV/0!</v>
      </c>
      <c r="O393" s="252">
        <f t="shared" si="135"/>
        <v>-0.1</v>
      </c>
      <c r="P393" s="253" t="e">
        <f t="shared" si="136"/>
        <v>#DIV/0!</v>
      </c>
      <c r="Q393" s="252" t="e">
        <f t="shared" si="137"/>
        <v>#DIV/0!</v>
      </c>
      <c r="R393" s="252"/>
      <c r="S393" s="252" t="e">
        <f t="shared" si="138"/>
        <v>#DIV/0!</v>
      </c>
      <c r="T393" s="253"/>
      <c r="U393" s="252" t="e">
        <f t="shared" si="139"/>
        <v>#DIV/0!</v>
      </c>
      <c r="V393" s="290">
        <v>107001005</v>
      </c>
      <c r="W393" s="262" t="str">
        <f>_xlfn.XLOOKUP(PRECIFICAÇÃO[[#This Row],[GM9]],Markup!A:A,Markup!B:B)</f>
        <v>COBRELEITO/COLCHA</v>
      </c>
    </row>
    <row r="394" spans="1:23" ht="15" customHeight="1" x14ac:dyDescent="0.3">
      <c r="A394" s="194" t="s">
        <v>857</v>
      </c>
      <c r="B394" s="244" t="str">
        <f>_xlfn.XLOOKUP(A394,'Base de Dados'!D:D,'Base de Dados'!B:B)</f>
        <v>TIMBRO SWISS SA</v>
      </c>
      <c r="C394" s="275" t="str">
        <f>_xlfn.XLOOKUP(PRECIFICAÇÃO[[#This Row],[INVOICE]],'Base de Dados'!D:D,'Base de Dados'!X:X)</f>
        <v>EM PRODUÇÃO</v>
      </c>
      <c r="D394" s="54">
        <v>400414</v>
      </c>
      <c r="E394" s="244" t="s">
        <v>1031</v>
      </c>
      <c r="F394" s="245">
        <v>480</v>
      </c>
      <c r="G394" s="325">
        <f>_xlfn.XLOOKUP(PRECIFICAÇÃO[[#This Row],[Cód]],D14:D393,G14:G393)</f>
        <v>7.9</v>
      </c>
      <c r="H394" s="299">
        <v>5.0894000000000004</v>
      </c>
      <c r="I394" s="300">
        <f t="shared" si="131"/>
        <v>40.206260000000007</v>
      </c>
      <c r="J394" s="301">
        <f t="shared" si="132"/>
        <v>19299.004800000002</v>
      </c>
      <c r="K394" s="301" t="e">
        <f>J394/_xlfn.XLOOKUP(A394,'Base de Dados'!D:D,'Base de Dados'!M:M)</f>
        <v>#DIV/0!</v>
      </c>
      <c r="L394" s="301" t="e">
        <f>K394*_xlfn.XLOOKUP(A394,'Base de Dados'!D:D,'Base de Dados'!N:N)</f>
        <v>#DIV/0!</v>
      </c>
      <c r="M394" s="303" t="e">
        <f t="shared" si="133"/>
        <v>#DIV/0!</v>
      </c>
      <c r="N394" s="251" t="e">
        <f t="shared" si="134"/>
        <v>#DIV/0!</v>
      </c>
      <c r="O394" s="252">
        <f t="shared" si="135"/>
        <v>-0.1</v>
      </c>
      <c r="P394" s="253" t="e">
        <f t="shared" si="136"/>
        <v>#DIV/0!</v>
      </c>
      <c r="Q394" s="252" t="e">
        <f t="shared" si="137"/>
        <v>#DIV/0!</v>
      </c>
      <c r="R394" s="252"/>
      <c r="S394" s="252" t="e">
        <f t="shared" si="138"/>
        <v>#DIV/0!</v>
      </c>
      <c r="T394" s="253"/>
      <c r="U394" s="252" t="e">
        <f t="shared" si="139"/>
        <v>#DIV/0!</v>
      </c>
      <c r="V394" s="290">
        <v>107001005</v>
      </c>
      <c r="W394" s="262" t="str">
        <f>_xlfn.XLOOKUP(PRECIFICAÇÃO[[#This Row],[GM9]],Markup!A:A,Markup!B:B)</f>
        <v>COBRELEITO/COLCHA</v>
      </c>
    </row>
    <row r="395" spans="1:23" ht="15" customHeight="1" x14ac:dyDescent="0.3">
      <c r="A395" s="194" t="s">
        <v>857</v>
      </c>
      <c r="B395" s="244" t="str">
        <f>_xlfn.XLOOKUP(A395,'Base de Dados'!D:D,'Base de Dados'!B:B)</f>
        <v>TIMBRO SWISS SA</v>
      </c>
      <c r="C395" s="275" t="str">
        <f>_xlfn.XLOOKUP(PRECIFICAÇÃO[[#This Row],[INVOICE]],'Base de Dados'!D:D,'Base de Dados'!X:X)</f>
        <v>EM PRODUÇÃO</v>
      </c>
      <c r="D395" s="54">
        <v>400413</v>
      </c>
      <c r="E395" s="244" t="s">
        <v>1032</v>
      </c>
      <c r="F395" s="245">
        <v>480</v>
      </c>
      <c r="G395" s="325">
        <f>_xlfn.XLOOKUP(PRECIFICAÇÃO[[#This Row],[Cód]],D15:D394,G15:G394)</f>
        <v>7.9</v>
      </c>
      <c r="H395" s="299">
        <v>5.0894000000000004</v>
      </c>
      <c r="I395" s="300">
        <f t="shared" si="131"/>
        <v>40.206260000000007</v>
      </c>
      <c r="J395" s="301">
        <f t="shared" si="132"/>
        <v>19299.004800000002</v>
      </c>
      <c r="K395" s="301" t="e">
        <f>J395/_xlfn.XLOOKUP(A395,'Base de Dados'!D:D,'Base de Dados'!M:M)</f>
        <v>#DIV/0!</v>
      </c>
      <c r="L395" s="301" t="e">
        <f>K395*_xlfn.XLOOKUP(A395,'Base de Dados'!D:D,'Base de Dados'!N:N)</f>
        <v>#DIV/0!</v>
      </c>
      <c r="M395" s="303" t="e">
        <f t="shared" si="133"/>
        <v>#DIV/0!</v>
      </c>
      <c r="N395" s="251" t="e">
        <f t="shared" si="134"/>
        <v>#DIV/0!</v>
      </c>
      <c r="O395" s="252">
        <f t="shared" si="135"/>
        <v>-0.1</v>
      </c>
      <c r="P395" s="253" t="e">
        <f t="shared" si="136"/>
        <v>#DIV/0!</v>
      </c>
      <c r="Q395" s="252" t="e">
        <f t="shared" si="137"/>
        <v>#DIV/0!</v>
      </c>
      <c r="R395" s="252"/>
      <c r="S395" s="252" t="e">
        <f t="shared" si="138"/>
        <v>#DIV/0!</v>
      </c>
      <c r="T395" s="253"/>
      <c r="U395" s="252" t="e">
        <f t="shared" si="139"/>
        <v>#DIV/0!</v>
      </c>
      <c r="V395" s="290">
        <v>107001005</v>
      </c>
      <c r="W395" s="262" t="str">
        <f>_xlfn.XLOOKUP(PRECIFICAÇÃO[[#This Row],[GM9]],Markup!A:A,Markup!B:B)</f>
        <v>COBRELEITO/COLCHA</v>
      </c>
    </row>
    <row r="396" spans="1:23" ht="15" customHeight="1" x14ac:dyDescent="0.3">
      <c r="A396" s="194" t="s">
        <v>857</v>
      </c>
      <c r="B396" s="244" t="str">
        <f>_xlfn.XLOOKUP(A396,'Base de Dados'!D:D,'Base de Dados'!B:B)</f>
        <v>TIMBRO SWISS SA</v>
      </c>
      <c r="C396" s="275" t="str">
        <f>_xlfn.XLOOKUP(PRECIFICAÇÃO[[#This Row],[INVOICE]],'Base de Dados'!D:D,'Base de Dados'!X:X)</f>
        <v>EM PRODUÇÃO</v>
      </c>
      <c r="D396" s="54">
        <v>400415</v>
      </c>
      <c r="E396" s="244" t="s">
        <v>1033</v>
      </c>
      <c r="F396" s="245">
        <v>300</v>
      </c>
      <c r="G396" s="325">
        <f>_xlfn.XLOOKUP(PRECIFICAÇÃO[[#This Row],[Cód]],D16:D395,G16:G395)</f>
        <v>8.9</v>
      </c>
      <c r="H396" s="299">
        <v>5.0894000000000004</v>
      </c>
      <c r="I396" s="300">
        <f t="shared" si="131"/>
        <v>45.295660000000005</v>
      </c>
      <c r="J396" s="301">
        <f t="shared" si="132"/>
        <v>13588.698000000002</v>
      </c>
      <c r="K396" s="301" t="e">
        <f>J396/_xlfn.XLOOKUP(A396,'Base de Dados'!D:D,'Base de Dados'!M:M)</f>
        <v>#DIV/0!</v>
      </c>
      <c r="L396" s="301" t="e">
        <f>K396*_xlfn.XLOOKUP(A396,'Base de Dados'!D:D,'Base de Dados'!N:N)</f>
        <v>#DIV/0!</v>
      </c>
      <c r="M396" s="303" t="e">
        <f t="shared" si="133"/>
        <v>#DIV/0!</v>
      </c>
      <c r="N396" s="251" t="e">
        <f t="shared" si="134"/>
        <v>#DIV/0!</v>
      </c>
      <c r="O396" s="252">
        <f t="shared" si="135"/>
        <v>-0.1</v>
      </c>
      <c r="P396" s="253" t="e">
        <f t="shared" si="136"/>
        <v>#DIV/0!</v>
      </c>
      <c r="Q396" s="252" t="e">
        <f t="shared" si="137"/>
        <v>#DIV/0!</v>
      </c>
      <c r="R396" s="252"/>
      <c r="S396" s="252" t="e">
        <f t="shared" si="138"/>
        <v>#DIV/0!</v>
      </c>
      <c r="T396" s="253"/>
      <c r="U396" s="252" t="e">
        <f t="shared" si="139"/>
        <v>#DIV/0!</v>
      </c>
      <c r="V396" s="290">
        <v>107001005</v>
      </c>
      <c r="W396" s="262" t="str">
        <f>_xlfn.XLOOKUP(PRECIFICAÇÃO[[#This Row],[GM9]],Markup!A:A,Markup!B:B)</f>
        <v>COBRELEITO/COLCHA</v>
      </c>
    </row>
    <row r="397" spans="1:23" ht="15" customHeight="1" x14ac:dyDescent="0.3">
      <c r="A397" s="194" t="s">
        <v>857</v>
      </c>
      <c r="B397" s="244" t="str">
        <f>_xlfn.XLOOKUP(A397,'Base de Dados'!D:D,'Base de Dados'!B:B)</f>
        <v>TIMBRO SWISS SA</v>
      </c>
      <c r="C397" s="275" t="str">
        <f>_xlfn.XLOOKUP(PRECIFICAÇÃO[[#This Row],[INVOICE]],'Base de Dados'!D:D,'Base de Dados'!X:X)</f>
        <v>EM PRODUÇÃO</v>
      </c>
      <c r="D397" s="54">
        <v>400416</v>
      </c>
      <c r="E397" s="244" t="s">
        <v>1034</v>
      </c>
      <c r="F397" s="245">
        <v>300</v>
      </c>
      <c r="G397" s="325">
        <f>_xlfn.XLOOKUP(PRECIFICAÇÃO[[#This Row],[Cód]],D17:D396,G17:G396)</f>
        <v>8.9</v>
      </c>
      <c r="H397" s="299">
        <v>5.0894000000000004</v>
      </c>
      <c r="I397" s="300">
        <f t="shared" si="131"/>
        <v>45.295660000000005</v>
      </c>
      <c r="J397" s="301">
        <f t="shared" si="132"/>
        <v>13588.698000000002</v>
      </c>
      <c r="K397" s="301" t="e">
        <f>J397/_xlfn.XLOOKUP(A397,'Base de Dados'!D:D,'Base de Dados'!M:M)</f>
        <v>#DIV/0!</v>
      </c>
      <c r="L397" s="301" t="e">
        <f>K397*_xlfn.XLOOKUP(A397,'Base de Dados'!D:D,'Base de Dados'!N:N)</f>
        <v>#DIV/0!</v>
      </c>
      <c r="M397" s="303" t="e">
        <f t="shared" si="133"/>
        <v>#DIV/0!</v>
      </c>
      <c r="N397" s="251" t="e">
        <f t="shared" si="134"/>
        <v>#DIV/0!</v>
      </c>
      <c r="O397" s="252">
        <f t="shared" si="135"/>
        <v>-0.1</v>
      </c>
      <c r="P397" s="253" t="e">
        <f t="shared" si="136"/>
        <v>#DIV/0!</v>
      </c>
      <c r="Q397" s="252" t="e">
        <f t="shared" si="137"/>
        <v>#DIV/0!</v>
      </c>
      <c r="R397" s="252"/>
      <c r="S397" s="252" t="e">
        <f t="shared" si="138"/>
        <v>#DIV/0!</v>
      </c>
      <c r="T397" s="253"/>
      <c r="U397" s="252" t="e">
        <f t="shared" si="139"/>
        <v>#DIV/0!</v>
      </c>
      <c r="V397" s="290">
        <v>107001005</v>
      </c>
      <c r="W397" s="262" t="str">
        <f>_xlfn.XLOOKUP(PRECIFICAÇÃO[[#This Row],[GM9]],Markup!A:A,Markup!B:B)</f>
        <v>COBRELEITO/COLCHA</v>
      </c>
    </row>
    <row r="398" spans="1:23" ht="15" customHeight="1" x14ac:dyDescent="0.3">
      <c r="A398" s="194" t="s">
        <v>857</v>
      </c>
      <c r="B398" s="244" t="str">
        <f>_xlfn.XLOOKUP(A398,'Base de Dados'!D:D,'Base de Dados'!B:B)</f>
        <v>TIMBRO SWISS SA</v>
      </c>
      <c r="C398" s="275" t="str">
        <f>_xlfn.XLOOKUP(PRECIFICAÇÃO[[#This Row],[INVOICE]],'Base de Dados'!D:D,'Base de Dados'!X:X)</f>
        <v>EM PRODUÇÃO</v>
      </c>
      <c r="D398" s="54">
        <v>400418</v>
      </c>
      <c r="E398" s="244" t="s">
        <v>1035</v>
      </c>
      <c r="F398" s="245">
        <v>300</v>
      </c>
      <c r="G398" s="325">
        <f>_xlfn.XLOOKUP(PRECIFICAÇÃO[[#This Row],[Cód]],D18:D397,G18:G397)</f>
        <v>8.9</v>
      </c>
      <c r="H398" s="299">
        <v>5.0894000000000004</v>
      </c>
      <c r="I398" s="300">
        <f t="shared" si="131"/>
        <v>45.295660000000005</v>
      </c>
      <c r="J398" s="301">
        <f t="shared" si="132"/>
        <v>13588.698000000002</v>
      </c>
      <c r="K398" s="301" t="e">
        <f>J398/_xlfn.XLOOKUP(A398,'Base de Dados'!D:D,'Base de Dados'!M:M)</f>
        <v>#DIV/0!</v>
      </c>
      <c r="L398" s="301" t="e">
        <f>K398*_xlfn.XLOOKUP(A398,'Base de Dados'!D:D,'Base de Dados'!N:N)</f>
        <v>#DIV/0!</v>
      </c>
      <c r="M398" s="303" t="e">
        <f t="shared" si="133"/>
        <v>#DIV/0!</v>
      </c>
      <c r="N398" s="251" t="e">
        <f t="shared" si="134"/>
        <v>#DIV/0!</v>
      </c>
      <c r="O398" s="252">
        <f t="shared" si="135"/>
        <v>-0.1</v>
      </c>
      <c r="P398" s="253" t="e">
        <f t="shared" si="136"/>
        <v>#DIV/0!</v>
      </c>
      <c r="Q398" s="252" t="e">
        <f t="shared" si="137"/>
        <v>#DIV/0!</v>
      </c>
      <c r="R398" s="252"/>
      <c r="S398" s="252" t="e">
        <f t="shared" si="138"/>
        <v>#DIV/0!</v>
      </c>
      <c r="T398" s="253"/>
      <c r="U398" s="252" t="e">
        <f t="shared" si="139"/>
        <v>#DIV/0!</v>
      </c>
      <c r="V398" s="290">
        <v>107001005</v>
      </c>
      <c r="W398" s="262" t="str">
        <f>_xlfn.XLOOKUP(PRECIFICAÇÃO[[#This Row],[GM9]],Markup!A:A,Markup!B:B)</f>
        <v>COBRELEITO/COLCHA</v>
      </c>
    </row>
    <row r="399" spans="1:23" ht="15" customHeight="1" x14ac:dyDescent="0.3">
      <c r="A399" s="194" t="s">
        <v>857</v>
      </c>
      <c r="B399" s="244" t="str">
        <f>_xlfn.XLOOKUP(A399,'Base de Dados'!D:D,'Base de Dados'!B:B)</f>
        <v>TIMBRO SWISS SA</v>
      </c>
      <c r="C399" s="275" t="str">
        <f>_xlfn.XLOOKUP(PRECIFICAÇÃO[[#This Row],[INVOICE]],'Base de Dados'!D:D,'Base de Dados'!X:X)</f>
        <v>EM PRODUÇÃO</v>
      </c>
      <c r="D399" s="54">
        <v>400417</v>
      </c>
      <c r="E399" s="244" t="s">
        <v>1036</v>
      </c>
      <c r="F399" s="245">
        <v>300</v>
      </c>
      <c r="G399" s="325">
        <f>_xlfn.XLOOKUP(PRECIFICAÇÃO[[#This Row],[Cód]],D19:D398,G19:G398)</f>
        <v>8.9</v>
      </c>
      <c r="H399" s="299">
        <v>5.0894000000000004</v>
      </c>
      <c r="I399" s="300">
        <f t="shared" si="131"/>
        <v>45.295660000000005</v>
      </c>
      <c r="J399" s="301">
        <f t="shared" si="132"/>
        <v>13588.698000000002</v>
      </c>
      <c r="K399" s="301" t="e">
        <f>J399/_xlfn.XLOOKUP(A399,'Base de Dados'!D:D,'Base de Dados'!M:M)</f>
        <v>#DIV/0!</v>
      </c>
      <c r="L399" s="301" t="e">
        <f>K399*_xlfn.XLOOKUP(A399,'Base de Dados'!D:D,'Base de Dados'!N:N)</f>
        <v>#DIV/0!</v>
      </c>
      <c r="M399" s="303" t="e">
        <f t="shared" si="133"/>
        <v>#DIV/0!</v>
      </c>
      <c r="N399" s="251" t="e">
        <f t="shared" si="134"/>
        <v>#DIV/0!</v>
      </c>
      <c r="O399" s="252">
        <f t="shared" si="135"/>
        <v>-0.1</v>
      </c>
      <c r="P399" s="253" t="e">
        <f t="shared" si="136"/>
        <v>#DIV/0!</v>
      </c>
      <c r="Q399" s="252" t="e">
        <f t="shared" si="137"/>
        <v>#DIV/0!</v>
      </c>
      <c r="R399" s="252"/>
      <c r="S399" s="252" t="e">
        <f t="shared" si="138"/>
        <v>#DIV/0!</v>
      </c>
      <c r="T399" s="253"/>
      <c r="U399" s="252" t="e">
        <f t="shared" si="139"/>
        <v>#DIV/0!</v>
      </c>
      <c r="V399" s="290">
        <v>107001005</v>
      </c>
      <c r="W399" s="262" t="str">
        <f>_xlfn.XLOOKUP(PRECIFICAÇÃO[[#This Row],[GM9]],Markup!A:A,Markup!B:B)</f>
        <v>COBRELEITO/COLCHA</v>
      </c>
    </row>
    <row r="400" spans="1:23" ht="15" customHeight="1" x14ac:dyDescent="0.3">
      <c r="A400" s="194" t="s">
        <v>857</v>
      </c>
      <c r="B400" s="254" t="str">
        <f>_xlfn.XLOOKUP(A400,'Base de Dados'!D:D,'Base de Dados'!B:B)</f>
        <v>TIMBRO SWISS SA</v>
      </c>
      <c r="C400" s="288" t="str">
        <f>_xlfn.XLOOKUP(PRECIFICAÇÃO[[#This Row],[INVOICE]],'Base de Dados'!D:D,'Base de Dados'!X:X)</f>
        <v>EM PRODUÇÃO</v>
      </c>
      <c r="D400" s="68">
        <v>400419</v>
      </c>
      <c r="E400" s="254" t="s">
        <v>1037</v>
      </c>
      <c r="F400" s="255">
        <v>300</v>
      </c>
      <c r="G400" s="325">
        <f>_xlfn.XLOOKUP(PRECIFICAÇÃO[[#This Row],[Cód]],D20:D399,G20:G399)</f>
        <v>8.9</v>
      </c>
      <c r="H400" s="299">
        <v>5.0894000000000004</v>
      </c>
      <c r="I400" s="305">
        <f t="shared" si="131"/>
        <v>45.295660000000005</v>
      </c>
      <c r="J400" s="306">
        <f t="shared" si="132"/>
        <v>13588.698000000002</v>
      </c>
      <c r="K400" s="306" t="e">
        <f>J400/_xlfn.XLOOKUP(A400,'Base de Dados'!D:D,'Base de Dados'!M:M)</f>
        <v>#DIV/0!</v>
      </c>
      <c r="L400" s="306" t="e">
        <f>K400*_xlfn.XLOOKUP(A400,'Base de Dados'!D:D,'Base de Dados'!N:N)</f>
        <v>#DIV/0!</v>
      </c>
      <c r="M400" s="307" t="e">
        <f t="shared" si="133"/>
        <v>#DIV/0!</v>
      </c>
      <c r="N400" s="261" t="e">
        <f t="shared" si="134"/>
        <v>#DIV/0!</v>
      </c>
      <c r="O400" s="262">
        <f t="shared" si="135"/>
        <v>-0.1</v>
      </c>
      <c r="P400" s="263" t="e">
        <f t="shared" si="136"/>
        <v>#DIV/0!</v>
      </c>
      <c r="Q400" s="262" t="e">
        <f t="shared" si="137"/>
        <v>#DIV/0!</v>
      </c>
      <c r="R400" s="262"/>
      <c r="S400" s="262" t="e">
        <f t="shared" si="138"/>
        <v>#DIV/0!</v>
      </c>
      <c r="T400" s="263"/>
      <c r="U400" s="262" t="e">
        <f t="shared" si="139"/>
        <v>#DIV/0!</v>
      </c>
      <c r="V400" s="292">
        <v>107001005</v>
      </c>
      <c r="W400" s="262" t="str">
        <f>_xlfn.XLOOKUP(PRECIFICAÇÃO[[#This Row],[GM9]],Markup!A:A,Markup!B:B)</f>
        <v>COBRELEITO/COLCHA</v>
      </c>
    </row>
    <row r="401" spans="1:23" ht="15" customHeight="1" x14ac:dyDescent="0.3">
      <c r="A401" s="194" t="s">
        <v>857</v>
      </c>
      <c r="B401" s="244" t="str">
        <f>_xlfn.XLOOKUP(A401,'Base de Dados'!D:D,'Base de Dados'!B:B)</f>
        <v>TIMBRO SWISS SA</v>
      </c>
      <c r="C401" s="275" t="str">
        <f>_xlfn.XLOOKUP(PRECIFICAÇÃO[[#This Row],[INVOICE]],'Base de Dados'!D:D,'Base de Dados'!X:X)</f>
        <v>EM PRODUÇÃO</v>
      </c>
      <c r="D401" s="54">
        <v>404323</v>
      </c>
      <c r="E401" s="244" t="s">
        <v>1038</v>
      </c>
      <c r="F401" s="245">
        <v>300</v>
      </c>
      <c r="G401" s="325">
        <f>_xlfn.XLOOKUP(PRECIFICAÇÃO[[#This Row],[Cód]],D21:D400,G21:G400)</f>
        <v>15</v>
      </c>
      <c r="H401" s="299">
        <v>5.0894000000000004</v>
      </c>
      <c r="I401" s="300">
        <f t="shared" ref="I401:I418" si="140">H401*G401</f>
        <v>76.341000000000008</v>
      </c>
      <c r="J401" s="301">
        <f t="shared" ref="J401:J418" si="141">I401*F401</f>
        <v>22902.300000000003</v>
      </c>
      <c r="K401" s="301" t="e">
        <f>J401/_xlfn.XLOOKUP(A401,'Base de Dados'!D:D,'Base de Dados'!M:M)</f>
        <v>#DIV/0!</v>
      </c>
      <c r="L401" s="301" t="e">
        <f>K401*_xlfn.XLOOKUP(A401,'Base de Dados'!D:D,'Base de Dados'!N:N)</f>
        <v>#DIV/0!</v>
      </c>
      <c r="M401" s="303" t="e">
        <f t="shared" ref="M401:M418" si="142">J401+L401</f>
        <v>#DIV/0!</v>
      </c>
      <c r="N401" s="251" t="e">
        <f t="shared" ref="N401:N418" si="143">M401/F401</f>
        <v>#DIV/0!</v>
      </c>
      <c r="O401" s="252">
        <f t="shared" ref="O401:O418" si="144">R401-0.1</f>
        <v>-0.1</v>
      </c>
      <c r="P401" s="253" t="e">
        <f t="shared" ref="P401:P418" si="145">ROUND(N401/O401,0)</f>
        <v>#DIV/0!</v>
      </c>
      <c r="Q401" s="252" t="e">
        <f t="shared" ref="Q401:Q418" si="146">(P401-N401)/P401</f>
        <v>#DIV/0!</v>
      </c>
      <c r="R401" s="252"/>
      <c r="S401" s="252" t="e">
        <f t="shared" ref="S401:S418" si="147">Q401-R401</f>
        <v>#DIV/0!</v>
      </c>
      <c r="T401" s="253"/>
      <c r="U401" s="252" t="e">
        <f t="shared" ref="U401:U418" si="148">(T401-P401)/T401</f>
        <v>#DIV/0!</v>
      </c>
      <c r="V401" s="290">
        <v>107001002</v>
      </c>
      <c r="W401" s="262" t="str">
        <f>_xlfn.XLOOKUP(PRECIFICAÇÃO[[#This Row],[GM9]],Markup!A:A,Markup!B:B)</f>
        <v>EDREDON</v>
      </c>
    </row>
    <row r="402" spans="1:23" ht="15" customHeight="1" x14ac:dyDescent="0.3">
      <c r="A402" s="194" t="s">
        <v>857</v>
      </c>
      <c r="B402" s="244" t="str">
        <f>_xlfn.XLOOKUP(A402,'Base de Dados'!D:D,'Base de Dados'!B:B)</f>
        <v>TIMBRO SWISS SA</v>
      </c>
      <c r="C402" s="275" t="str">
        <f>_xlfn.XLOOKUP(PRECIFICAÇÃO[[#This Row],[INVOICE]],'Base de Dados'!D:D,'Base de Dados'!X:X)</f>
        <v>EM PRODUÇÃO</v>
      </c>
      <c r="D402" s="54">
        <v>404326</v>
      </c>
      <c r="E402" s="244" t="s">
        <v>1039</v>
      </c>
      <c r="F402" s="245">
        <v>300</v>
      </c>
      <c r="G402" s="325">
        <f>_xlfn.XLOOKUP(PRECIFICAÇÃO[[#This Row],[Cód]],D22:D401,G22:G401)</f>
        <v>15</v>
      </c>
      <c r="H402" s="299">
        <v>5.0894000000000004</v>
      </c>
      <c r="I402" s="300">
        <f t="shared" si="140"/>
        <v>76.341000000000008</v>
      </c>
      <c r="J402" s="301">
        <f t="shared" si="141"/>
        <v>22902.300000000003</v>
      </c>
      <c r="K402" s="301" t="e">
        <f>J402/_xlfn.XLOOKUP(A402,'Base de Dados'!D:D,'Base de Dados'!M:M)</f>
        <v>#DIV/0!</v>
      </c>
      <c r="L402" s="301" t="e">
        <f>K402*_xlfn.XLOOKUP(A402,'Base de Dados'!D:D,'Base de Dados'!N:N)</f>
        <v>#DIV/0!</v>
      </c>
      <c r="M402" s="303" t="e">
        <f t="shared" si="142"/>
        <v>#DIV/0!</v>
      </c>
      <c r="N402" s="251" t="e">
        <f t="shared" si="143"/>
        <v>#DIV/0!</v>
      </c>
      <c r="O402" s="252">
        <f t="shared" si="144"/>
        <v>-0.1</v>
      </c>
      <c r="P402" s="253" t="e">
        <f t="shared" si="145"/>
        <v>#DIV/0!</v>
      </c>
      <c r="Q402" s="252" t="e">
        <f t="shared" si="146"/>
        <v>#DIV/0!</v>
      </c>
      <c r="R402" s="252"/>
      <c r="S402" s="252" t="e">
        <f t="shared" si="147"/>
        <v>#DIV/0!</v>
      </c>
      <c r="T402" s="253"/>
      <c r="U402" s="252" t="e">
        <f t="shared" si="148"/>
        <v>#DIV/0!</v>
      </c>
      <c r="V402" s="290">
        <v>107001002</v>
      </c>
      <c r="W402" s="262" t="str">
        <f>_xlfn.XLOOKUP(PRECIFICAÇÃO[[#This Row],[GM9]],Markup!A:A,Markup!B:B)</f>
        <v>EDREDON</v>
      </c>
    </row>
    <row r="403" spans="1:23" ht="15" customHeight="1" x14ac:dyDescent="0.3">
      <c r="A403" s="194" t="s">
        <v>857</v>
      </c>
      <c r="B403" s="244" t="str">
        <f>_xlfn.XLOOKUP(A403,'Base de Dados'!D:D,'Base de Dados'!B:B)</f>
        <v>TIMBRO SWISS SA</v>
      </c>
      <c r="C403" s="275" t="str">
        <f>_xlfn.XLOOKUP(PRECIFICAÇÃO[[#This Row],[INVOICE]],'Base de Dados'!D:D,'Base de Dados'!X:X)</f>
        <v>EM PRODUÇÃO</v>
      </c>
      <c r="D403" s="54">
        <v>404325</v>
      </c>
      <c r="E403" s="244" t="s">
        <v>1040</v>
      </c>
      <c r="F403" s="245">
        <v>300</v>
      </c>
      <c r="G403" s="325">
        <f>_xlfn.XLOOKUP(PRECIFICAÇÃO[[#This Row],[Cód]],D23:D402,G23:G402)</f>
        <v>15</v>
      </c>
      <c r="H403" s="299">
        <v>5.0894000000000004</v>
      </c>
      <c r="I403" s="300">
        <f t="shared" si="140"/>
        <v>76.341000000000008</v>
      </c>
      <c r="J403" s="301">
        <f t="shared" si="141"/>
        <v>22902.300000000003</v>
      </c>
      <c r="K403" s="301" t="e">
        <f>J403/_xlfn.XLOOKUP(A403,'Base de Dados'!D:D,'Base de Dados'!M:M)</f>
        <v>#DIV/0!</v>
      </c>
      <c r="L403" s="301" t="e">
        <f>K403*_xlfn.XLOOKUP(A403,'Base de Dados'!D:D,'Base de Dados'!N:N)</f>
        <v>#DIV/0!</v>
      </c>
      <c r="M403" s="303" t="e">
        <f t="shared" si="142"/>
        <v>#DIV/0!</v>
      </c>
      <c r="N403" s="251" t="e">
        <f t="shared" si="143"/>
        <v>#DIV/0!</v>
      </c>
      <c r="O403" s="252">
        <f t="shared" si="144"/>
        <v>-0.1</v>
      </c>
      <c r="P403" s="253" t="e">
        <f t="shared" si="145"/>
        <v>#DIV/0!</v>
      </c>
      <c r="Q403" s="252" t="e">
        <f t="shared" si="146"/>
        <v>#DIV/0!</v>
      </c>
      <c r="R403" s="252"/>
      <c r="S403" s="252" t="e">
        <f t="shared" si="147"/>
        <v>#DIV/0!</v>
      </c>
      <c r="T403" s="253"/>
      <c r="U403" s="252" t="e">
        <f t="shared" si="148"/>
        <v>#DIV/0!</v>
      </c>
      <c r="V403" s="290">
        <v>107001002</v>
      </c>
      <c r="W403" s="262" t="str">
        <f>_xlfn.XLOOKUP(PRECIFICAÇÃO[[#This Row],[GM9]],Markup!A:A,Markup!B:B)</f>
        <v>EDREDON</v>
      </c>
    </row>
    <row r="404" spans="1:23" ht="15" customHeight="1" x14ac:dyDescent="0.3">
      <c r="A404" s="194" t="s">
        <v>857</v>
      </c>
      <c r="B404" s="244" t="str">
        <f>_xlfn.XLOOKUP(A404,'Base de Dados'!D:D,'Base de Dados'!B:B)</f>
        <v>TIMBRO SWISS SA</v>
      </c>
      <c r="C404" s="275" t="str">
        <f>_xlfn.XLOOKUP(PRECIFICAÇÃO[[#This Row],[INVOICE]],'Base de Dados'!D:D,'Base de Dados'!X:X)</f>
        <v>EM PRODUÇÃO</v>
      </c>
      <c r="D404" s="54">
        <v>404324</v>
      </c>
      <c r="E404" s="244" t="s">
        <v>1041</v>
      </c>
      <c r="F404" s="245">
        <v>300</v>
      </c>
      <c r="G404" s="325">
        <f>_xlfn.XLOOKUP(PRECIFICAÇÃO[[#This Row],[Cód]],D24:D403,G24:G403)</f>
        <v>15</v>
      </c>
      <c r="H404" s="299">
        <v>5.0894000000000004</v>
      </c>
      <c r="I404" s="300">
        <f t="shared" si="140"/>
        <v>76.341000000000008</v>
      </c>
      <c r="J404" s="301">
        <f t="shared" si="141"/>
        <v>22902.300000000003</v>
      </c>
      <c r="K404" s="301" t="e">
        <f>J404/_xlfn.XLOOKUP(A404,'Base de Dados'!D:D,'Base de Dados'!M:M)</f>
        <v>#DIV/0!</v>
      </c>
      <c r="L404" s="301" t="e">
        <f>K404*_xlfn.XLOOKUP(A404,'Base de Dados'!D:D,'Base de Dados'!N:N)</f>
        <v>#DIV/0!</v>
      </c>
      <c r="M404" s="303" t="e">
        <f t="shared" si="142"/>
        <v>#DIV/0!</v>
      </c>
      <c r="N404" s="251" t="e">
        <f t="shared" si="143"/>
        <v>#DIV/0!</v>
      </c>
      <c r="O404" s="252">
        <f t="shared" si="144"/>
        <v>-0.1</v>
      </c>
      <c r="P404" s="253" t="e">
        <f t="shared" si="145"/>
        <v>#DIV/0!</v>
      </c>
      <c r="Q404" s="252" t="e">
        <f t="shared" si="146"/>
        <v>#DIV/0!</v>
      </c>
      <c r="R404" s="252"/>
      <c r="S404" s="252" t="e">
        <f t="shared" si="147"/>
        <v>#DIV/0!</v>
      </c>
      <c r="T404" s="253"/>
      <c r="U404" s="252" t="e">
        <f t="shared" si="148"/>
        <v>#DIV/0!</v>
      </c>
      <c r="V404" s="290">
        <v>107001002</v>
      </c>
      <c r="W404" s="262" t="str">
        <f>_xlfn.XLOOKUP(PRECIFICAÇÃO[[#This Row],[GM9]],Markup!A:A,Markup!B:B)</f>
        <v>EDREDON</v>
      </c>
    </row>
    <row r="405" spans="1:23" ht="15" customHeight="1" x14ac:dyDescent="0.3">
      <c r="A405" s="194" t="s">
        <v>857</v>
      </c>
      <c r="B405" s="244" t="str">
        <f>_xlfn.XLOOKUP(A405,'Base de Dados'!D:D,'Base de Dados'!B:B)</f>
        <v>TIMBRO SWISS SA</v>
      </c>
      <c r="C405" s="275" t="str">
        <f>_xlfn.XLOOKUP(PRECIFICAÇÃO[[#This Row],[INVOICE]],'Base de Dados'!D:D,'Base de Dados'!X:X)</f>
        <v>EM PRODUÇÃO</v>
      </c>
      <c r="D405" s="54">
        <v>404327</v>
      </c>
      <c r="E405" s="244" t="s">
        <v>1042</v>
      </c>
      <c r="F405" s="245">
        <v>572</v>
      </c>
      <c r="G405" s="325">
        <f>_xlfn.XLOOKUP(PRECIFICAÇÃO[[#This Row],[Cód]],D25:D404,G25:G404)</f>
        <v>18.95</v>
      </c>
      <c r="H405" s="299">
        <v>5.0894000000000004</v>
      </c>
      <c r="I405" s="300">
        <f t="shared" si="140"/>
        <v>96.444130000000001</v>
      </c>
      <c r="J405" s="301">
        <f t="shared" si="141"/>
        <v>55166.042359999999</v>
      </c>
      <c r="K405" s="301" t="e">
        <f>J405/_xlfn.XLOOKUP(A405,'Base de Dados'!D:D,'Base de Dados'!M:M)</f>
        <v>#DIV/0!</v>
      </c>
      <c r="L405" s="301" t="e">
        <f>K405*_xlfn.XLOOKUP(A405,'Base de Dados'!D:D,'Base de Dados'!N:N)</f>
        <v>#DIV/0!</v>
      </c>
      <c r="M405" s="303" t="e">
        <f t="shared" si="142"/>
        <v>#DIV/0!</v>
      </c>
      <c r="N405" s="251" t="e">
        <f t="shared" si="143"/>
        <v>#DIV/0!</v>
      </c>
      <c r="O405" s="252">
        <f t="shared" si="144"/>
        <v>-0.1</v>
      </c>
      <c r="P405" s="253" t="e">
        <f t="shared" si="145"/>
        <v>#DIV/0!</v>
      </c>
      <c r="Q405" s="252" t="e">
        <f t="shared" si="146"/>
        <v>#DIV/0!</v>
      </c>
      <c r="R405" s="252"/>
      <c r="S405" s="252" t="e">
        <f t="shared" si="147"/>
        <v>#DIV/0!</v>
      </c>
      <c r="T405" s="253"/>
      <c r="U405" s="252" t="e">
        <f t="shared" si="148"/>
        <v>#DIV/0!</v>
      </c>
      <c r="V405" s="290">
        <v>107001002</v>
      </c>
      <c r="W405" s="262" t="str">
        <f>_xlfn.XLOOKUP(PRECIFICAÇÃO[[#This Row],[GM9]],Markup!A:A,Markup!B:B)</f>
        <v>EDREDON</v>
      </c>
    </row>
    <row r="406" spans="1:23" ht="15" customHeight="1" x14ac:dyDescent="0.3">
      <c r="A406" s="194" t="s">
        <v>857</v>
      </c>
      <c r="B406" s="244" t="str">
        <f>_xlfn.XLOOKUP(A406,'Base de Dados'!D:D,'Base de Dados'!B:B)</f>
        <v>TIMBRO SWISS SA</v>
      </c>
      <c r="C406" s="275" t="str">
        <f>_xlfn.XLOOKUP(PRECIFICAÇÃO[[#This Row],[INVOICE]],'Base de Dados'!D:D,'Base de Dados'!X:X)</f>
        <v>EM PRODUÇÃO</v>
      </c>
      <c r="D406" s="54">
        <v>404330</v>
      </c>
      <c r="E406" s="244" t="s">
        <v>1043</v>
      </c>
      <c r="F406" s="245">
        <v>572</v>
      </c>
      <c r="G406" s="325">
        <f>_xlfn.XLOOKUP(PRECIFICAÇÃO[[#This Row],[Cód]],D26:D405,G26:G405)</f>
        <v>18.95</v>
      </c>
      <c r="H406" s="299">
        <v>5.0894000000000004</v>
      </c>
      <c r="I406" s="300">
        <f t="shared" si="140"/>
        <v>96.444130000000001</v>
      </c>
      <c r="J406" s="301">
        <f t="shared" si="141"/>
        <v>55166.042359999999</v>
      </c>
      <c r="K406" s="301" t="e">
        <f>J406/_xlfn.XLOOKUP(A406,'Base de Dados'!D:D,'Base de Dados'!M:M)</f>
        <v>#DIV/0!</v>
      </c>
      <c r="L406" s="301" t="e">
        <f>K406*_xlfn.XLOOKUP(A406,'Base de Dados'!D:D,'Base de Dados'!N:N)</f>
        <v>#DIV/0!</v>
      </c>
      <c r="M406" s="303" t="e">
        <f t="shared" si="142"/>
        <v>#DIV/0!</v>
      </c>
      <c r="N406" s="251" t="e">
        <f t="shared" si="143"/>
        <v>#DIV/0!</v>
      </c>
      <c r="O406" s="252">
        <f t="shared" si="144"/>
        <v>-0.1</v>
      </c>
      <c r="P406" s="253" t="e">
        <f t="shared" si="145"/>
        <v>#DIV/0!</v>
      </c>
      <c r="Q406" s="252" t="e">
        <f t="shared" si="146"/>
        <v>#DIV/0!</v>
      </c>
      <c r="R406" s="252"/>
      <c r="S406" s="252" t="e">
        <f t="shared" si="147"/>
        <v>#DIV/0!</v>
      </c>
      <c r="T406" s="253"/>
      <c r="U406" s="252" t="e">
        <f t="shared" si="148"/>
        <v>#DIV/0!</v>
      </c>
      <c r="V406" s="290">
        <v>107001002</v>
      </c>
      <c r="W406" s="262" t="str">
        <f>_xlfn.XLOOKUP(PRECIFICAÇÃO[[#This Row],[GM9]],Markup!A:A,Markup!B:B)</f>
        <v>EDREDON</v>
      </c>
    </row>
    <row r="407" spans="1:23" ht="15" customHeight="1" x14ac:dyDescent="0.3">
      <c r="A407" s="194" t="s">
        <v>857</v>
      </c>
      <c r="B407" s="244" t="str">
        <f>_xlfn.XLOOKUP(A407,'Base de Dados'!D:D,'Base de Dados'!B:B)</f>
        <v>TIMBRO SWISS SA</v>
      </c>
      <c r="C407" s="275" t="str">
        <f>_xlfn.XLOOKUP(PRECIFICAÇÃO[[#This Row],[INVOICE]],'Base de Dados'!D:D,'Base de Dados'!X:X)</f>
        <v>EM PRODUÇÃO</v>
      </c>
      <c r="D407" s="54">
        <v>404328</v>
      </c>
      <c r="E407" s="244" t="s">
        <v>1044</v>
      </c>
      <c r="F407" s="245">
        <v>572</v>
      </c>
      <c r="G407" s="325">
        <f>_xlfn.XLOOKUP(PRECIFICAÇÃO[[#This Row],[Cód]],D27:D406,G27:G406)</f>
        <v>18.95</v>
      </c>
      <c r="H407" s="299">
        <v>5.0894000000000004</v>
      </c>
      <c r="I407" s="300">
        <f t="shared" si="140"/>
        <v>96.444130000000001</v>
      </c>
      <c r="J407" s="301">
        <f t="shared" si="141"/>
        <v>55166.042359999999</v>
      </c>
      <c r="K407" s="301" t="e">
        <f>J407/_xlfn.XLOOKUP(A407,'Base de Dados'!D:D,'Base de Dados'!M:M)</f>
        <v>#DIV/0!</v>
      </c>
      <c r="L407" s="301" t="e">
        <f>K407*_xlfn.XLOOKUP(A407,'Base de Dados'!D:D,'Base de Dados'!N:N)</f>
        <v>#DIV/0!</v>
      </c>
      <c r="M407" s="303" t="e">
        <f t="shared" si="142"/>
        <v>#DIV/0!</v>
      </c>
      <c r="N407" s="251" t="e">
        <f t="shared" si="143"/>
        <v>#DIV/0!</v>
      </c>
      <c r="O407" s="252">
        <f t="shared" si="144"/>
        <v>-0.1</v>
      </c>
      <c r="P407" s="253" t="e">
        <f t="shared" si="145"/>
        <v>#DIV/0!</v>
      </c>
      <c r="Q407" s="252" t="e">
        <f t="shared" si="146"/>
        <v>#DIV/0!</v>
      </c>
      <c r="R407" s="252"/>
      <c r="S407" s="252" t="e">
        <f t="shared" si="147"/>
        <v>#DIV/0!</v>
      </c>
      <c r="T407" s="253"/>
      <c r="U407" s="252" t="e">
        <f t="shared" si="148"/>
        <v>#DIV/0!</v>
      </c>
      <c r="V407" s="290">
        <v>107001002</v>
      </c>
      <c r="W407" s="262" t="str">
        <f>_xlfn.XLOOKUP(PRECIFICAÇÃO[[#This Row],[GM9]],Markup!A:A,Markup!B:B)</f>
        <v>EDREDON</v>
      </c>
    </row>
    <row r="408" spans="1:23" ht="15" customHeight="1" x14ac:dyDescent="0.3">
      <c r="A408" s="194" t="s">
        <v>857</v>
      </c>
      <c r="B408" s="244" t="str">
        <f>_xlfn.XLOOKUP(A408,'Base de Dados'!D:D,'Base de Dados'!B:B)</f>
        <v>TIMBRO SWISS SA</v>
      </c>
      <c r="C408" s="275" t="str">
        <f>_xlfn.XLOOKUP(PRECIFICAÇÃO[[#This Row],[INVOICE]],'Base de Dados'!D:D,'Base de Dados'!X:X)</f>
        <v>EM PRODUÇÃO</v>
      </c>
      <c r="D408" s="54">
        <v>404329</v>
      </c>
      <c r="E408" s="244" t="s">
        <v>1045</v>
      </c>
      <c r="F408" s="245">
        <v>572</v>
      </c>
      <c r="G408" s="325">
        <f>_xlfn.XLOOKUP(PRECIFICAÇÃO[[#This Row],[Cód]],D28:D407,G28:G407)</f>
        <v>18.95</v>
      </c>
      <c r="H408" s="299">
        <v>5.0894000000000004</v>
      </c>
      <c r="I408" s="300">
        <f t="shared" si="140"/>
        <v>96.444130000000001</v>
      </c>
      <c r="J408" s="301">
        <f t="shared" si="141"/>
        <v>55166.042359999999</v>
      </c>
      <c r="K408" s="301" t="e">
        <f>J408/_xlfn.XLOOKUP(A408,'Base de Dados'!D:D,'Base de Dados'!M:M)</f>
        <v>#DIV/0!</v>
      </c>
      <c r="L408" s="301" t="e">
        <f>K408*_xlfn.XLOOKUP(A408,'Base de Dados'!D:D,'Base de Dados'!N:N)</f>
        <v>#DIV/0!</v>
      </c>
      <c r="M408" s="303" t="e">
        <f t="shared" si="142"/>
        <v>#DIV/0!</v>
      </c>
      <c r="N408" s="251" t="e">
        <f t="shared" si="143"/>
        <v>#DIV/0!</v>
      </c>
      <c r="O408" s="252">
        <f t="shared" si="144"/>
        <v>-0.1</v>
      </c>
      <c r="P408" s="253" t="e">
        <f t="shared" si="145"/>
        <v>#DIV/0!</v>
      </c>
      <c r="Q408" s="252" t="e">
        <f t="shared" si="146"/>
        <v>#DIV/0!</v>
      </c>
      <c r="R408" s="252"/>
      <c r="S408" s="252" t="e">
        <f t="shared" si="147"/>
        <v>#DIV/0!</v>
      </c>
      <c r="T408" s="253"/>
      <c r="U408" s="252" t="e">
        <f t="shared" si="148"/>
        <v>#DIV/0!</v>
      </c>
      <c r="V408" s="290">
        <v>107001002</v>
      </c>
      <c r="W408" s="262" t="str">
        <f>_xlfn.XLOOKUP(PRECIFICAÇÃO[[#This Row],[GM9]],Markup!A:A,Markup!B:B)</f>
        <v>EDREDON</v>
      </c>
    </row>
    <row r="409" spans="1:23" ht="15" customHeight="1" x14ac:dyDescent="0.3">
      <c r="A409" s="194" t="s">
        <v>857</v>
      </c>
      <c r="B409" s="244" t="str">
        <f>_xlfn.XLOOKUP(A409,'Base de Dados'!D:D,'Base de Dados'!B:B)</f>
        <v>TIMBRO SWISS SA</v>
      </c>
      <c r="C409" s="275" t="str">
        <f>_xlfn.XLOOKUP(PRECIFICAÇÃO[[#This Row],[INVOICE]],'Base de Dados'!D:D,'Base de Dados'!X:X)</f>
        <v>EM PRODUÇÃO</v>
      </c>
      <c r="D409" s="54">
        <v>404331</v>
      </c>
      <c r="E409" s="244" t="s">
        <v>1046</v>
      </c>
      <c r="F409" s="245">
        <v>568</v>
      </c>
      <c r="G409" s="325">
        <f>_xlfn.XLOOKUP(PRECIFICAÇÃO[[#This Row],[Cód]],D29:D408,G29:G408)</f>
        <v>18.95</v>
      </c>
      <c r="H409" s="299">
        <v>5.0894000000000004</v>
      </c>
      <c r="I409" s="300">
        <f t="shared" si="140"/>
        <v>96.444130000000001</v>
      </c>
      <c r="J409" s="301">
        <f t="shared" si="141"/>
        <v>54780.26584</v>
      </c>
      <c r="K409" s="301" t="e">
        <f>J409/_xlfn.XLOOKUP(A409,'Base de Dados'!D:D,'Base de Dados'!M:M)</f>
        <v>#DIV/0!</v>
      </c>
      <c r="L409" s="301" t="e">
        <f>K409*_xlfn.XLOOKUP(A409,'Base de Dados'!D:D,'Base de Dados'!N:N)</f>
        <v>#DIV/0!</v>
      </c>
      <c r="M409" s="303" t="e">
        <f t="shared" si="142"/>
        <v>#DIV/0!</v>
      </c>
      <c r="N409" s="251" t="e">
        <f t="shared" si="143"/>
        <v>#DIV/0!</v>
      </c>
      <c r="O409" s="252">
        <f t="shared" si="144"/>
        <v>-0.1</v>
      </c>
      <c r="P409" s="253" t="e">
        <f t="shared" si="145"/>
        <v>#DIV/0!</v>
      </c>
      <c r="Q409" s="252" t="e">
        <f t="shared" si="146"/>
        <v>#DIV/0!</v>
      </c>
      <c r="R409" s="252"/>
      <c r="S409" s="252" t="e">
        <f t="shared" si="147"/>
        <v>#DIV/0!</v>
      </c>
      <c r="T409" s="253"/>
      <c r="U409" s="252" t="e">
        <f t="shared" si="148"/>
        <v>#DIV/0!</v>
      </c>
      <c r="V409" s="290">
        <v>107001002</v>
      </c>
      <c r="W409" s="262" t="str">
        <f>_xlfn.XLOOKUP(PRECIFICAÇÃO[[#This Row],[GM9]],Markup!A:A,Markup!B:B)</f>
        <v>EDREDON</v>
      </c>
    </row>
    <row r="410" spans="1:23" ht="15" customHeight="1" x14ac:dyDescent="0.3">
      <c r="A410" s="194" t="s">
        <v>857</v>
      </c>
      <c r="B410" s="244" t="str">
        <f>_xlfn.XLOOKUP(A410,'Base de Dados'!D:D,'Base de Dados'!B:B)</f>
        <v>TIMBRO SWISS SA</v>
      </c>
      <c r="C410" s="275" t="str">
        <f>_xlfn.XLOOKUP(PRECIFICAÇÃO[[#This Row],[INVOICE]],'Base de Dados'!D:D,'Base de Dados'!X:X)</f>
        <v>EM PRODUÇÃO</v>
      </c>
      <c r="D410" s="54">
        <v>404332</v>
      </c>
      <c r="E410" s="244" t="s">
        <v>1047</v>
      </c>
      <c r="F410" s="245">
        <v>572</v>
      </c>
      <c r="G410" s="325">
        <f>_xlfn.XLOOKUP(PRECIFICAÇÃO[[#This Row],[Cód]],D30:D409,G30:G409)</f>
        <v>21.65</v>
      </c>
      <c r="H410" s="299">
        <v>5.0894000000000004</v>
      </c>
      <c r="I410" s="300">
        <f t="shared" si="140"/>
        <v>110.18551000000001</v>
      </c>
      <c r="J410" s="301">
        <f t="shared" si="141"/>
        <v>63026.111720000008</v>
      </c>
      <c r="K410" s="301" t="e">
        <f>J410/_xlfn.XLOOKUP(A410,'Base de Dados'!D:D,'Base de Dados'!M:M)</f>
        <v>#DIV/0!</v>
      </c>
      <c r="L410" s="301" t="e">
        <f>K410*_xlfn.XLOOKUP(A410,'Base de Dados'!D:D,'Base de Dados'!N:N)</f>
        <v>#DIV/0!</v>
      </c>
      <c r="M410" s="303" t="e">
        <f t="shared" si="142"/>
        <v>#DIV/0!</v>
      </c>
      <c r="N410" s="251" t="e">
        <f t="shared" si="143"/>
        <v>#DIV/0!</v>
      </c>
      <c r="O410" s="252">
        <f t="shared" si="144"/>
        <v>-0.1</v>
      </c>
      <c r="P410" s="253" t="e">
        <f t="shared" si="145"/>
        <v>#DIV/0!</v>
      </c>
      <c r="Q410" s="252" t="e">
        <f t="shared" si="146"/>
        <v>#DIV/0!</v>
      </c>
      <c r="R410" s="252"/>
      <c r="S410" s="252" t="e">
        <f t="shared" si="147"/>
        <v>#DIV/0!</v>
      </c>
      <c r="T410" s="253"/>
      <c r="U410" s="252" t="e">
        <f t="shared" si="148"/>
        <v>#DIV/0!</v>
      </c>
      <c r="V410" s="290">
        <v>107001002</v>
      </c>
      <c r="W410" s="262" t="str">
        <f>_xlfn.XLOOKUP(PRECIFICAÇÃO[[#This Row],[GM9]],Markup!A:A,Markup!B:B)</f>
        <v>EDREDON</v>
      </c>
    </row>
    <row r="411" spans="1:23" ht="15" customHeight="1" x14ac:dyDescent="0.3">
      <c r="A411" s="194" t="s">
        <v>857</v>
      </c>
      <c r="B411" s="244" t="str">
        <f>_xlfn.XLOOKUP(A411,'Base de Dados'!D:D,'Base de Dados'!B:B)</f>
        <v>TIMBRO SWISS SA</v>
      </c>
      <c r="C411" s="275" t="str">
        <f>_xlfn.XLOOKUP(PRECIFICAÇÃO[[#This Row],[INVOICE]],'Base de Dados'!D:D,'Base de Dados'!X:X)</f>
        <v>EM PRODUÇÃO</v>
      </c>
      <c r="D411" s="54">
        <v>404335</v>
      </c>
      <c r="E411" s="244" t="s">
        <v>1048</v>
      </c>
      <c r="F411" s="245">
        <v>572</v>
      </c>
      <c r="G411" s="325">
        <f>_xlfn.XLOOKUP(PRECIFICAÇÃO[[#This Row],[Cód]],D31:D410,G31:G410)</f>
        <v>21.65</v>
      </c>
      <c r="H411" s="299">
        <v>5.0894000000000004</v>
      </c>
      <c r="I411" s="300">
        <f t="shared" si="140"/>
        <v>110.18551000000001</v>
      </c>
      <c r="J411" s="301">
        <f t="shared" si="141"/>
        <v>63026.111720000008</v>
      </c>
      <c r="K411" s="301" t="e">
        <f>J411/_xlfn.XLOOKUP(A411,'Base de Dados'!D:D,'Base de Dados'!M:M)</f>
        <v>#DIV/0!</v>
      </c>
      <c r="L411" s="301" t="e">
        <f>K411*_xlfn.XLOOKUP(A411,'Base de Dados'!D:D,'Base de Dados'!N:N)</f>
        <v>#DIV/0!</v>
      </c>
      <c r="M411" s="303" t="e">
        <f t="shared" si="142"/>
        <v>#DIV/0!</v>
      </c>
      <c r="N411" s="251" t="e">
        <f t="shared" si="143"/>
        <v>#DIV/0!</v>
      </c>
      <c r="O411" s="252">
        <f t="shared" si="144"/>
        <v>-0.1</v>
      </c>
      <c r="P411" s="253" t="e">
        <f t="shared" si="145"/>
        <v>#DIV/0!</v>
      </c>
      <c r="Q411" s="252" t="e">
        <f t="shared" si="146"/>
        <v>#DIV/0!</v>
      </c>
      <c r="R411" s="252"/>
      <c r="S411" s="252" t="e">
        <f t="shared" si="147"/>
        <v>#DIV/0!</v>
      </c>
      <c r="T411" s="253"/>
      <c r="U411" s="252" t="e">
        <f t="shared" si="148"/>
        <v>#DIV/0!</v>
      </c>
      <c r="V411" s="290">
        <v>107001002</v>
      </c>
      <c r="W411" s="262" t="str">
        <f>_xlfn.XLOOKUP(PRECIFICAÇÃO[[#This Row],[GM9]],Markup!A:A,Markup!B:B)</f>
        <v>EDREDON</v>
      </c>
    </row>
    <row r="412" spans="1:23" ht="15" customHeight="1" x14ac:dyDescent="0.3">
      <c r="A412" s="194" t="s">
        <v>857</v>
      </c>
      <c r="B412" s="244" t="str">
        <f>_xlfn.XLOOKUP(A412,'Base de Dados'!D:D,'Base de Dados'!B:B)</f>
        <v>TIMBRO SWISS SA</v>
      </c>
      <c r="C412" s="275" t="str">
        <f>_xlfn.XLOOKUP(PRECIFICAÇÃO[[#This Row],[INVOICE]],'Base de Dados'!D:D,'Base de Dados'!X:X)</f>
        <v>EM PRODUÇÃO</v>
      </c>
      <c r="D412" s="54">
        <v>404333</v>
      </c>
      <c r="E412" s="244" t="s">
        <v>1049</v>
      </c>
      <c r="F412" s="245">
        <v>572</v>
      </c>
      <c r="G412" s="325">
        <f>_xlfn.XLOOKUP(PRECIFICAÇÃO[[#This Row],[Cód]],D32:D411,G32:G411)</f>
        <v>21.65</v>
      </c>
      <c r="H412" s="299">
        <v>5.0894000000000004</v>
      </c>
      <c r="I412" s="300">
        <f t="shared" si="140"/>
        <v>110.18551000000001</v>
      </c>
      <c r="J412" s="301">
        <f t="shared" si="141"/>
        <v>63026.111720000008</v>
      </c>
      <c r="K412" s="301" t="e">
        <f>J412/_xlfn.XLOOKUP(A412,'Base de Dados'!D:D,'Base de Dados'!M:M)</f>
        <v>#DIV/0!</v>
      </c>
      <c r="L412" s="301" t="e">
        <f>K412*_xlfn.XLOOKUP(A412,'Base de Dados'!D:D,'Base de Dados'!N:N)</f>
        <v>#DIV/0!</v>
      </c>
      <c r="M412" s="303" t="e">
        <f t="shared" si="142"/>
        <v>#DIV/0!</v>
      </c>
      <c r="N412" s="251" t="e">
        <f t="shared" si="143"/>
        <v>#DIV/0!</v>
      </c>
      <c r="O412" s="252">
        <f t="shared" si="144"/>
        <v>-0.1</v>
      </c>
      <c r="P412" s="253" t="e">
        <f t="shared" si="145"/>
        <v>#DIV/0!</v>
      </c>
      <c r="Q412" s="252" t="e">
        <f t="shared" si="146"/>
        <v>#DIV/0!</v>
      </c>
      <c r="R412" s="252"/>
      <c r="S412" s="252" t="e">
        <f t="shared" si="147"/>
        <v>#DIV/0!</v>
      </c>
      <c r="T412" s="253"/>
      <c r="U412" s="252" t="e">
        <f t="shared" si="148"/>
        <v>#DIV/0!</v>
      </c>
      <c r="V412" s="290">
        <v>107001002</v>
      </c>
      <c r="W412" s="262" t="str">
        <f>_xlfn.XLOOKUP(PRECIFICAÇÃO[[#This Row],[GM9]],Markup!A:A,Markup!B:B)</f>
        <v>EDREDON</v>
      </c>
    </row>
    <row r="413" spans="1:23" ht="15" customHeight="1" x14ac:dyDescent="0.3">
      <c r="A413" s="194" t="s">
        <v>857</v>
      </c>
      <c r="B413" s="244" t="str">
        <f>_xlfn.XLOOKUP(A413,'Base de Dados'!D:D,'Base de Dados'!B:B)</f>
        <v>TIMBRO SWISS SA</v>
      </c>
      <c r="C413" s="275" t="str">
        <f>_xlfn.XLOOKUP(PRECIFICAÇÃO[[#This Row],[INVOICE]],'Base de Dados'!D:D,'Base de Dados'!X:X)</f>
        <v>EM PRODUÇÃO</v>
      </c>
      <c r="D413" s="54">
        <v>404334</v>
      </c>
      <c r="E413" s="244" t="s">
        <v>1050</v>
      </c>
      <c r="F413" s="245">
        <v>572</v>
      </c>
      <c r="G413" s="325">
        <f>_xlfn.XLOOKUP(PRECIFICAÇÃO[[#This Row],[Cód]],D33:D412,G33:G412)</f>
        <v>21.65</v>
      </c>
      <c r="H413" s="299">
        <v>5.0894000000000004</v>
      </c>
      <c r="I413" s="300">
        <f t="shared" si="140"/>
        <v>110.18551000000001</v>
      </c>
      <c r="J413" s="301">
        <f t="shared" si="141"/>
        <v>63026.111720000008</v>
      </c>
      <c r="K413" s="301" t="e">
        <f>J413/_xlfn.XLOOKUP(A413,'Base de Dados'!D:D,'Base de Dados'!M:M)</f>
        <v>#DIV/0!</v>
      </c>
      <c r="L413" s="301" t="e">
        <f>K413*_xlfn.XLOOKUP(A413,'Base de Dados'!D:D,'Base de Dados'!N:N)</f>
        <v>#DIV/0!</v>
      </c>
      <c r="M413" s="303" t="e">
        <f t="shared" si="142"/>
        <v>#DIV/0!</v>
      </c>
      <c r="N413" s="251" t="e">
        <f t="shared" si="143"/>
        <v>#DIV/0!</v>
      </c>
      <c r="O413" s="252">
        <f t="shared" si="144"/>
        <v>-0.1</v>
      </c>
      <c r="P413" s="253" t="e">
        <f t="shared" si="145"/>
        <v>#DIV/0!</v>
      </c>
      <c r="Q413" s="252" t="e">
        <f t="shared" si="146"/>
        <v>#DIV/0!</v>
      </c>
      <c r="R413" s="252"/>
      <c r="S413" s="252" t="e">
        <f t="shared" si="147"/>
        <v>#DIV/0!</v>
      </c>
      <c r="T413" s="253"/>
      <c r="U413" s="252" t="e">
        <f t="shared" si="148"/>
        <v>#DIV/0!</v>
      </c>
      <c r="V413" s="290">
        <v>107001002</v>
      </c>
      <c r="W413" s="262" t="str">
        <f>_xlfn.XLOOKUP(PRECIFICAÇÃO[[#This Row],[GM9]],Markup!A:A,Markup!B:B)</f>
        <v>EDREDON</v>
      </c>
    </row>
    <row r="414" spans="1:23" ht="15" customHeight="1" x14ac:dyDescent="0.3">
      <c r="A414" s="194" t="s">
        <v>857</v>
      </c>
      <c r="B414" s="244" t="str">
        <f>_xlfn.XLOOKUP(A414,'Base de Dados'!D:D,'Base de Dados'!B:B)</f>
        <v>TIMBRO SWISS SA</v>
      </c>
      <c r="C414" s="275" t="str">
        <f>_xlfn.XLOOKUP(PRECIFICAÇÃO[[#This Row],[INVOICE]],'Base de Dados'!D:D,'Base de Dados'!X:X)</f>
        <v>EM PRODUÇÃO</v>
      </c>
      <c r="D414" s="54">
        <v>404336</v>
      </c>
      <c r="E414" s="244" t="s">
        <v>1051</v>
      </c>
      <c r="F414" s="245">
        <v>568</v>
      </c>
      <c r="G414" s="325">
        <f>_xlfn.XLOOKUP(PRECIFICAÇÃO[[#This Row],[Cód]],D34:D413,G34:G413)</f>
        <v>21.65</v>
      </c>
      <c r="H414" s="299">
        <v>5.0894000000000004</v>
      </c>
      <c r="I414" s="300">
        <f t="shared" si="140"/>
        <v>110.18551000000001</v>
      </c>
      <c r="J414" s="301">
        <f t="shared" si="141"/>
        <v>62585.369680000003</v>
      </c>
      <c r="K414" s="301" t="e">
        <f>J414/_xlfn.XLOOKUP(A414,'Base de Dados'!D:D,'Base de Dados'!M:M)</f>
        <v>#DIV/0!</v>
      </c>
      <c r="L414" s="301" t="e">
        <f>K414*_xlfn.XLOOKUP(A414,'Base de Dados'!D:D,'Base de Dados'!N:N)</f>
        <v>#DIV/0!</v>
      </c>
      <c r="M414" s="303" t="e">
        <f t="shared" si="142"/>
        <v>#DIV/0!</v>
      </c>
      <c r="N414" s="251" t="e">
        <f t="shared" si="143"/>
        <v>#DIV/0!</v>
      </c>
      <c r="O414" s="252">
        <f t="shared" si="144"/>
        <v>-0.1</v>
      </c>
      <c r="P414" s="253" t="e">
        <f t="shared" si="145"/>
        <v>#DIV/0!</v>
      </c>
      <c r="Q414" s="252" t="e">
        <f t="shared" si="146"/>
        <v>#DIV/0!</v>
      </c>
      <c r="R414" s="252"/>
      <c r="S414" s="252" t="e">
        <f t="shared" si="147"/>
        <v>#DIV/0!</v>
      </c>
      <c r="T414" s="253"/>
      <c r="U414" s="252" t="e">
        <f t="shared" si="148"/>
        <v>#DIV/0!</v>
      </c>
      <c r="V414" s="290">
        <v>107001002</v>
      </c>
      <c r="W414" s="262" t="str">
        <f>_xlfn.XLOOKUP(PRECIFICAÇÃO[[#This Row],[GM9]],Markup!A:A,Markup!B:B)</f>
        <v>EDREDON</v>
      </c>
    </row>
    <row r="415" spans="1:23" ht="15" customHeight="1" x14ac:dyDescent="0.3">
      <c r="A415" s="194" t="s">
        <v>857</v>
      </c>
      <c r="B415" s="244" t="str">
        <f>_xlfn.XLOOKUP(A415,'Base de Dados'!D:D,'Base de Dados'!B:B)</f>
        <v>TIMBRO SWISS SA</v>
      </c>
      <c r="C415" s="275" t="str">
        <f>_xlfn.XLOOKUP(PRECIFICAÇÃO[[#This Row],[INVOICE]],'Base de Dados'!D:D,'Base de Dados'!X:X)</f>
        <v>EM PRODUÇÃO</v>
      </c>
      <c r="D415" s="54">
        <v>404337</v>
      </c>
      <c r="E415" s="244" t="s">
        <v>1052</v>
      </c>
      <c r="F415" s="245">
        <v>300</v>
      </c>
      <c r="G415" s="325">
        <f>_xlfn.XLOOKUP(PRECIFICAÇÃO[[#This Row],[Cód]],D35:D414,G35:G414)</f>
        <v>24.3</v>
      </c>
      <c r="H415" s="299">
        <v>5.0894000000000004</v>
      </c>
      <c r="I415" s="300">
        <f t="shared" si="140"/>
        <v>123.67242000000002</v>
      </c>
      <c r="J415" s="301">
        <f t="shared" si="141"/>
        <v>37101.726000000002</v>
      </c>
      <c r="K415" s="301" t="e">
        <f>J415/_xlfn.XLOOKUP(A415,'Base de Dados'!D:D,'Base de Dados'!M:M)</f>
        <v>#DIV/0!</v>
      </c>
      <c r="L415" s="301" t="e">
        <f>K415*_xlfn.XLOOKUP(A415,'Base de Dados'!D:D,'Base de Dados'!N:N)</f>
        <v>#DIV/0!</v>
      </c>
      <c r="M415" s="303" t="e">
        <f t="shared" si="142"/>
        <v>#DIV/0!</v>
      </c>
      <c r="N415" s="251" t="e">
        <f t="shared" si="143"/>
        <v>#DIV/0!</v>
      </c>
      <c r="O415" s="252">
        <f t="shared" si="144"/>
        <v>-0.1</v>
      </c>
      <c r="P415" s="253" t="e">
        <f t="shared" si="145"/>
        <v>#DIV/0!</v>
      </c>
      <c r="Q415" s="252" t="e">
        <f t="shared" si="146"/>
        <v>#DIV/0!</v>
      </c>
      <c r="R415" s="252"/>
      <c r="S415" s="252" t="e">
        <f t="shared" si="147"/>
        <v>#DIV/0!</v>
      </c>
      <c r="T415" s="253"/>
      <c r="U415" s="252" t="e">
        <f t="shared" si="148"/>
        <v>#DIV/0!</v>
      </c>
      <c r="V415" s="290">
        <v>107001002</v>
      </c>
      <c r="W415" s="262" t="str">
        <f>_xlfn.XLOOKUP(PRECIFICAÇÃO[[#This Row],[GM9]],Markup!A:A,Markup!B:B)</f>
        <v>EDREDON</v>
      </c>
    </row>
    <row r="416" spans="1:23" ht="15" customHeight="1" x14ac:dyDescent="0.3">
      <c r="A416" s="194" t="s">
        <v>857</v>
      </c>
      <c r="B416" s="244" t="str">
        <f>_xlfn.XLOOKUP(A416,'Base de Dados'!D:D,'Base de Dados'!B:B)</f>
        <v>TIMBRO SWISS SA</v>
      </c>
      <c r="C416" s="275" t="str">
        <f>_xlfn.XLOOKUP(PRECIFICAÇÃO[[#This Row],[INVOICE]],'Base de Dados'!D:D,'Base de Dados'!X:X)</f>
        <v>EM PRODUÇÃO</v>
      </c>
      <c r="D416" s="54">
        <v>404340</v>
      </c>
      <c r="E416" s="244" t="s">
        <v>1053</v>
      </c>
      <c r="F416" s="245">
        <v>300</v>
      </c>
      <c r="G416" s="325">
        <f>_xlfn.XLOOKUP(PRECIFICAÇÃO[[#This Row],[Cód]],D36:D415,G36:G415)</f>
        <v>24.3</v>
      </c>
      <c r="H416" s="299">
        <v>5.0894000000000004</v>
      </c>
      <c r="I416" s="300">
        <f t="shared" si="140"/>
        <v>123.67242000000002</v>
      </c>
      <c r="J416" s="301">
        <f t="shared" si="141"/>
        <v>37101.726000000002</v>
      </c>
      <c r="K416" s="301" t="e">
        <f>J416/_xlfn.XLOOKUP(A416,'Base de Dados'!D:D,'Base de Dados'!M:M)</f>
        <v>#DIV/0!</v>
      </c>
      <c r="L416" s="301" t="e">
        <f>K416*_xlfn.XLOOKUP(A416,'Base de Dados'!D:D,'Base de Dados'!N:N)</f>
        <v>#DIV/0!</v>
      </c>
      <c r="M416" s="303" t="e">
        <f t="shared" si="142"/>
        <v>#DIV/0!</v>
      </c>
      <c r="N416" s="251" t="e">
        <f t="shared" si="143"/>
        <v>#DIV/0!</v>
      </c>
      <c r="O416" s="252">
        <f t="shared" si="144"/>
        <v>-0.1</v>
      </c>
      <c r="P416" s="253" t="e">
        <f t="shared" si="145"/>
        <v>#DIV/0!</v>
      </c>
      <c r="Q416" s="252" t="e">
        <f t="shared" si="146"/>
        <v>#DIV/0!</v>
      </c>
      <c r="R416" s="252"/>
      <c r="S416" s="252" t="e">
        <f t="shared" si="147"/>
        <v>#DIV/0!</v>
      </c>
      <c r="T416" s="253"/>
      <c r="U416" s="252" t="e">
        <f t="shared" si="148"/>
        <v>#DIV/0!</v>
      </c>
      <c r="V416" s="290">
        <v>107001002</v>
      </c>
      <c r="W416" s="262" t="str">
        <f>_xlfn.XLOOKUP(PRECIFICAÇÃO[[#This Row],[GM9]],Markup!A:A,Markup!B:B)</f>
        <v>EDREDON</v>
      </c>
    </row>
    <row r="417" spans="1:23" ht="15" customHeight="1" x14ac:dyDescent="0.3">
      <c r="A417" s="194" t="s">
        <v>857</v>
      </c>
      <c r="B417" s="244" t="str">
        <f>_xlfn.XLOOKUP(A417,'Base de Dados'!D:D,'Base de Dados'!B:B)</f>
        <v>TIMBRO SWISS SA</v>
      </c>
      <c r="C417" s="275" t="str">
        <f>_xlfn.XLOOKUP(PRECIFICAÇÃO[[#This Row],[INVOICE]],'Base de Dados'!D:D,'Base de Dados'!X:X)</f>
        <v>EM PRODUÇÃO</v>
      </c>
      <c r="D417" s="54">
        <v>404338</v>
      </c>
      <c r="E417" s="244" t="s">
        <v>1054</v>
      </c>
      <c r="F417" s="245">
        <v>300</v>
      </c>
      <c r="G417" s="325">
        <f>_xlfn.XLOOKUP(PRECIFICAÇÃO[[#This Row],[Cód]],D37:D416,G37:G416)</f>
        <v>24.3</v>
      </c>
      <c r="H417" s="299">
        <v>5.0894000000000004</v>
      </c>
      <c r="I417" s="300">
        <f t="shared" si="140"/>
        <v>123.67242000000002</v>
      </c>
      <c r="J417" s="301">
        <f t="shared" si="141"/>
        <v>37101.726000000002</v>
      </c>
      <c r="K417" s="301" t="e">
        <f>J417/_xlfn.XLOOKUP(A417,'Base de Dados'!D:D,'Base de Dados'!M:M)</f>
        <v>#DIV/0!</v>
      </c>
      <c r="L417" s="301" t="e">
        <f>K417*_xlfn.XLOOKUP(A417,'Base de Dados'!D:D,'Base de Dados'!N:N)</f>
        <v>#DIV/0!</v>
      </c>
      <c r="M417" s="303" t="e">
        <f t="shared" si="142"/>
        <v>#DIV/0!</v>
      </c>
      <c r="N417" s="251" t="e">
        <f t="shared" si="143"/>
        <v>#DIV/0!</v>
      </c>
      <c r="O417" s="252">
        <f t="shared" si="144"/>
        <v>-0.1</v>
      </c>
      <c r="P417" s="253" t="e">
        <f t="shared" si="145"/>
        <v>#DIV/0!</v>
      </c>
      <c r="Q417" s="252" t="e">
        <f t="shared" si="146"/>
        <v>#DIV/0!</v>
      </c>
      <c r="R417" s="252"/>
      <c r="S417" s="252" t="e">
        <f t="shared" si="147"/>
        <v>#DIV/0!</v>
      </c>
      <c r="T417" s="253"/>
      <c r="U417" s="252" t="e">
        <f t="shared" si="148"/>
        <v>#DIV/0!</v>
      </c>
      <c r="V417" s="290">
        <v>107001002</v>
      </c>
      <c r="W417" s="262" t="str">
        <f>_xlfn.XLOOKUP(PRECIFICAÇÃO[[#This Row],[GM9]],Markup!A:A,Markup!B:B)</f>
        <v>EDREDON</v>
      </c>
    </row>
    <row r="418" spans="1:23" ht="15" customHeight="1" x14ac:dyDescent="0.3">
      <c r="A418" s="194" t="s">
        <v>857</v>
      </c>
      <c r="B418" s="244" t="str">
        <f>_xlfn.XLOOKUP(A418,'Base de Dados'!D:D,'Base de Dados'!B:B)</f>
        <v>TIMBRO SWISS SA</v>
      </c>
      <c r="C418" s="275" t="str">
        <f>_xlfn.XLOOKUP(PRECIFICAÇÃO[[#This Row],[INVOICE]],'Base de Dados'!D:D,'Base de Dados'!X:X)</f>
        <v>EM PRODUÇÃO</v>
      </c>
      <c r="D418" s="54">
        <v>404339</v>
      </c>
      <c r="E418" s="244" t="s">
        <v>1055</v>
      </c>
      <c r="F418" s="245">
        <v>300</v>
      </c>
      <c r="G418" s="325">
        <f>_xlfn.XLOOKUP(PRECIFICAÇÃO[[#This Row],[Cód]],D38:D417,G38:G417)</f>
        <v>24.3</v>
      </c>
      <c r="H418" s="299">
        <v>5.0894000000000004</v>
      </c>
      <c r="I418" s="300">
        <f t="shared" si="140"/>
        <v>123.67242000000002</v>
      </c>
      <c r="J418" s="301">
        <f t="shared" si="141"/>
        <v>37101.726000000002</v>
      </c>
      <c r="K418" s="301" t="e">
        <f>J418/_xlfn.XLOOKUP(A418,'Base de Dados'!D:D,'Base de Dados'!M:M)</f>
        <v>#DIV/0!</v>
      </c>
      <c r="L418" s="301" t="e">
        <f>K418*_xlfn.XLOOKUP(A418,'Base de Dados'!D:D,'Base de Dados'!N:N)</f>
        <v>#DIV/0!</v>
      </c>
      <c r="M418" s="303" t="e">
        <f t="shared" si="142"/>
        <v>#DIV/0!</v>
      </c>
      <c r="N418" s="251" t="e">
        <f t="shared" si="143"/>
        <v>#DIV/0!</v>
      </c>
      <c r="O418" s="252">
        <f t="shared" si="144"/>
        <v>-0.1</v>
      </c>
      <c r="P418" s="253" t="e">
        <f t="shared" si="145"/>
        <v>#DIV/0!</v>
      </c>
      <c r="Q418" s="252" t="e">
        <f t="shared" si="146"/>
        <v>#DIV/0!</v>
      </c>
      <c r="R418" s="252"/>
      <c r="S418" s="252" t="e">
        <f t="shared" si="147"/>
        <v>#DIV/0!</v>
      </c>
      <c r="T418" s="253"/>
      <c r="U418" s="252" t="e">
        <f t="shared" si="148"/>
        <v>#DIV/0!</v>
      </c>
      <c r="V418" s="290">
        <v>107001002</v>
      </c>
      <c r="W418" s="262" t="str">
        <f>_xlfn.XLOOKUP(PRECIFICAÇÃO[[#This Row],[GM9]],Markup!A:A,Markup!B:B)</f>
        <v>EDREDON</v>
      </c>
    </row>
    <row r="419" spans="1:23" ht="15" customHeight="1" x14ac:dyDescent="0.3">
      <c r="A419" s="194" t="s">
        <v>861</v>
      </c>
      <c r="B419" s="244" t="str">
        <f>_xlfn.XLOOKUP(A419,'Base de Dados'!D:D,'Base de Dados'!B:B)</f>
        <v>TECHFRIO (BE JAY)</v>
      </c>
      <c r="C419" s="275" t="str">
        <f>_xlfn.XLOOKUP(PRECIFICAÇÃO[[#This Row],[INVOICE]],'Base de Dados'!D:D,'Base de Dados'!X:X)</f>
        <v>EM PRODUÇÃO</v>
      </c>
      <c r="D419" s="54"/>
      <c r="E419" s="244" t="s">
        <v>1056</v>
      </c>
      <c r="F419" s="245">
        <v>960</v>
      </c>
      <c r="G419" s="325">
        <v>153.33000000000001</v>
      </c>
      <c r="H419" s="299">
        <v>5.0894000000000004</v>
      </c>
      <c r="I419" s="300">
        <f t="shared" ref="I419:I430" si="149">H419*G419</f>
        <v>780.35770200000013</v>
      </c>
      <c r="J419" s="301">
        <f t="shared" ref="J419:J430" si="150">I419*F419</f>
        <v>749143.39392000018</v>
      </c>
      <c r="K419" s="301" t="e">
        <f>J419/_xlfn.XLOOKUP(A419,'Base de Dados'!D:D,'Base de Dados'!M:M)</f>
        <v>#DIV/0!</v>
      </c>
      <c r="L419" s="301" t="e">
        <f>K419*_xlfn.XLOOKUP(A419,'Base de Dados'!D:D,'Base de Dados'!N:N)</f>
        <v>#DIV/0!</v>
      </c>
      <c r="M419" s="303" t="e">
        <f t="shared" ref="M419:M430" si="151">J419+L419</f>
        <v>#DIV/0!</v>
      </c>
      <c r="N419" s="251" t="e">
        <f t="shared" ref="N419:N430" si="152">M419/F419</f>
        <v>#DIV/0!</v>
      </c>
      <c r="O419" s="252">
        <f t="shared" ref="O419:O430" si="153">R419-0.1</f>
        <v>-0.1</v>
      </c>
      <c r="P419" s="253" t="e">
        <f t="shared" ref="P419:P430" si="154">ROUND(N419/O419,0)</f>
        <v>#DIV/0!</v>
      </c>
      <c r="Q419" s="252" t="e">
        <f t="shared" ref="Q419:Q430" si="155">(P419-N419)/P419</f>
        <v>#DIV/0!</v>
      </c>
      <c r="R419" s="252"/>
      <c r="S419" s="252" t="e">
        <f t="shared" ref="S419:S430" si="156">Q419-R419</f>
        <v>#DIV/0!</v>
      </c>
      <c r="T419" s="253"/>
      <c r="U419" s="252" t="e">
        <f t="shared" ref="U419:U430" si="157">(T419-P419)/T419</f>
        <v>#DIV/0!</v>
      </c>
      <c r="V419" s="290">
        <v>117008006</v>
      </c>
      <c r="W419" s="262" t="str">
        <f>_xlfn.XLOOKUP(PRECIFICAÇÃO[[#This Row],[GM9]],Markup!A:A,Markup!B:B)</f>
        <v>SPLIT INV 8501 À 10000</v>
      </c>
    </row>
    <row r="420" spans="1:23" ht="15" customHeight="1" x14ac:dyDescent="0.3">
      <c r="A420" s="194" t="s">
        <v>861</v>
      </c>
      <c r="B420" s="244" t="str">
        <f>_xlfn.XLOOKUP(A420,'Base de Dados'!D:D,'Base de Dados'!B:B)</f>
        <v>TECHFRIO (BE JAY)</v>
      </c>
      <c r="C420" s="275" t="str">
        <f>_xlfn.XLOOKUP(PRECIFICAÇÃO[[#This Row],[INVOICE]],'Base de Dados'!D:D,'Base de Dados'!X:X)</f>
        <v>EM PRODUÇÃO</v>
      </c>
      <c r="D420" s="54"/>
      <c r="E420" s="244" t="s">
        <v>1057</v>
      </c>
      <c r="F420" s="245">
        <v>1280</v>
      </c>
      <c r="G420" s="325">
        <v>172.78</v>
      </c>
      <c r="H420" s="299">
        <v>5.0894000000000004</v>
      </c>
      <c r="I420" s="300">
        <f t="shared" si="149"/>
        <v>879.34653200000002</v>
      </c>
      <c r="J420" s="301">
        <f t="shared" si="150"/>
        <v>1125563.5609599999</v>
      </c>
      <c r="K420" s="301" t="e">
        <f>J420/_xlfn.XLOOKUP(A420,'Base de Dados'!D:D,'Base de Dados'!M:M)</f>
        <v>#DIV/0!</v>
      </c>
      <c r="L420" s="301" t="e">
        <f>K420*_xlfn.XLOOKUP(A420,'Base de Dados'!D:D,'Base de Dados'!N:N)</f>
        <v>#DIV/0!</v>
      </c>
      <c r="M420" s="303" t="e">
        <f t="shared" si="151"/>
        <v>#DIV/0!</v>
      </c>
      <c r="N420" s="251" t="e">
        <f t="shared" si="152"/>
        <v>#DIV/0!</v>
      </c>
      <c r="O420" s="252">
        <f t="shared" si="153"/>
        <v>-0.1</v>
      </c>
      <c r="P420" s="253" t="e">
        <f t="shared" si="154"/>
        <v>#DIV/0!</v>
      </c>
      <c r="Q420" s="252" t="e">
        <f t="shared" si="155"/>
        <v>#DIV/0!</v>
      </c>
      <c r="R420" s="252"/>
      <c r="S420" s="252" t="e">
        <f t="shared" si="156"/>
        <v>#DIV/0!</v>
      </c>
      <c r="T420" s="253"/>
      <c r="U420" s="252" t="e">
        <f t="shared" si="157"/>
        <v>#DIV/0!</v>
      </c>
      <c r="V420" s="290">
        <v>117008008</v>
      </c>
      <c r="W420" s="262" t="str">
        <f>_xlfn.XLOOKUP(PRECIFICAÇÃO[[#This Row],[GM9]],Markup!A:A,Markup!B:B)</f>
        <v>SPLIT INVERTER DE 10001 À 18000 BTUS</v>
      </c>
    </row>
    <row r="421" spans="1:23" ht="15" customHeight="1" x14ac:dyDescent="0.3">
      <c r="A421" s="194" t="s">
        <v>861</v>
      </c>
      <c r="B421" s="244" t="str">
        <f>_xlfn.XLOOKUP(A421,'Base de Dados'!D:D,'Base de Dados'!B:B)</f>
        <v>TECHFRIO (BE JAY)</v>
      </c>
      <c r="C421" s="275" t="str">
        <f>_xlfn.XLOOKUP(PRECIFICAÇÃO[[#This Row],[INVOICE]],'Base de Dados'!D:D,'Base de Dados'!X:X)</f>
        <v>EM PRODUÇÃO</v>
      </c>
      <c r="D421" s="54"/>
      <c r="E421" s="244" t="s">
        <v>1058</v>
      </c>
      <c r="F421" s="245">
        <v>636</v>
      </c>
      <c r="G421" s="325">
        <v>270.97000000000003</v>
      </c>
      <c r="H421" s="299">
        <v>5.0894000000000004</v>
      </c>
      <c r="I421" s="300">
        <f t="shared" si="149"/>
        <v>1379.0747180000003</v>
      </c>
      <c r="J421" s="301">
        <f t="shared" si="150"/>
        <v>877091.52064800018</v>
      </c>
      <c r="K421" s="301" t="e">
        <f>J421/_xlfn.XLOOKUP(A421,'Base de Dados'!D:D,'Base de Dados'!M:M)</f>
        <v>#DIV/0!</v>
      </c>
      <c r="L421" s="301" t="e">
        <f>K421*_xlfn.XLOOKUP(A421,'Base de Dados'!D:D,'Base de Dados'!N:N)</f>
        <v>#DIV/0!</v>
      </c>
      <c r="M421" s="303" t="e">
        <f t="shared" si="151"/>
        <v>#DIV/0!</v>
      </c>
      <c r="N421" s="251" t="e">
        <f t="shared" si="152"/>
        <v>#DIV/0!</v>
      </c>
      <c r="O421" s="252">
        <f t="shared" si="153"/>
        <v>-0.1</v>
      </c>
      <c r="P421" s="253" t="e">
        <f t="shared" si="154"/>
        <v>#DIV/0!</v>
      </c>
      <c r="Q421" s="252" t="e">
        <f t="shared" si="155"/>
        <v>#DIV/0!</v>
      </c>
      <c r="R421" s="252"/>
      <c r="S421" s="252" t="e">
        <f t="shared" si="156"/>
        <v>#DIV/0!</v>
      </c>
      <c r="T421" s="253"/>
      <c r="U421" s="252" t="e">
        <f t="shared" si="157"/>
        <v>#DIV/0!</v>
      </c>
      <c r="V421" s="290">
        <v>117008008</v>
      </c>
      <c r="W421" s="262" t="str">
        <f>_xlfn.XLOOKUP(PRECIFICAÇÃO[[#This Row],[GM9]],Markup!A:A,Markup!B:B)</f>
        <v>SPLIT INVERTER DE 10001 À 18000 BTUS</v>
      </c>
    </row>
    <row r="422" spans="1:23" ht="15" customHeight="1" x14ac:dyDescent="0.3">
      <c r="A422" s="194" t="s">
        <v>861</v>
      </c>
      <c r="B422" s="244" t="str">
        <f>_xlfn.XLOOKUP(A422,'Base de Dados'!D:D,'Base de Dados'!B:B)</f>
        <v>TECHFRIO (BE JAY)</v>
      </c>
      <c r="C422" s="275" t="str">
        <f>_xlfn.XLOOKUP(PRECIFICAÇÃO[[#This Row],[INVOICE]],'Base de Dados'!D:D,'Base de Dados'!X:X)</f>
        <v>EM PRODUÇÃO</v>
      </c>
      <c r="D422" s="54"/>
      <c r="E422" s="244" t="s">
        <v>1059</v>
      </c>
      <c r="F422" s="245">
        <v>200</v>
      </c>
      <c r="G422" s="325">
        <v>343.03</v>
      </c>
      <c r="H422" s="299">
        <v>5.0894000000000004</v>
      </c>
      <c r="I422" s="300">
        <f t="shared" si="149"/>
        <v>1745.8168820000001</v>
      </c>
      <c r="J422" s="301">
        <f t="shared" si="150"/>
        <v>349163.37640000001</v>
      </c>
      <c r="K422" s="301" t="e">
        <f>J422/_xlfn.XLOOKUP(A422,'Base de Dados'!D:D,'Base de Dados'!M:M)</f>
        <v>#DIV/0!</v>
      </c>
      <c r="L422" s="301" t="e">
        <f>K422*_xlfn.XLOOKUP(A422,'Base de Dados'!D:D,'Base de Dados'!N:N)</f>
        <v>#DIV/0!</v>
      </c>
      <c r="M422" s="303" t="e">
        <f t="shared" si="151"/>
        <v>#DIV/0!</v>
      </c>
      <c r="N422" s="251" t="e">
        <f t="shared" si="152"/>
        <v>#DIV/0!</v>
      </c>
      <c r="O422" s="252">
        <f t="shared" si="153"/>
        <v>-0.1</v>
      </c>
      <c r="P422" s="253" t="e">
        <f t="shared" si="154"/>
        <v>#DIV/0!</v>
      </c>
      <c r="Q422" s="252" t="e">
        <f t="shared" si="155"/>
        <v>#DIV/0!</v>
      </c>
      <c r="R422" s="252"/>
      <c r="S422" s="252" t="e">
        <f t="shared" si="156"/>
        <v>#DIV/0!</v>
      </c>
      <c r="T422" s="253"/>
      <c r="U422" s="252" t="e">
        <f t="shared" si="157"/>
        <v>#DIV/0!</v>
      </c>
      <c r="V422" s="290">
        <v>117008009</v>
      </c>
      <c r="W422" s="262" t="str">
        <f>_xlfn.XLOOKUP(PRECIFICAÇÃO[[#This Row],[GM9]],Markup!A:A,Markup!B:B)</f>
        <v>SPLIT INVERTER DE 18001 À 30000 BTUS</v>
      </c>
    </row>
    <row r="423" spans="1:23" ht="15" customHeight="1" x14ac:dyDescent="0.3">
      <c r="A423" s="194" t="s">
        <v>861</v>
      </c>
      <c r="B423" s="244" t="str">
        <f>_xlfn.XLOOKUP(A423,'Base de Dados'!D:D,'Base de Dados'!B:B)</f>
        <v>TECHFRIO (BE JAY)</v>
      </c>
      <c r="C423" s="275" t="str">
        <f>_xlfn.XLOOKUP(PRECIFICAÇÃO[[#This Row],[INVOICE]],'Base de Dados'!D:D,'Base de Dados'!X:X)</f>
        <v>EM PRODUÇÃO</v>
      </c>
      <c r="D423" s="54"/>
      <c r="E423" s="244" t="s">
        <v>1060</v>
      </c>
      <c r="F423" s="245">
        <v>405</v>
      </c>
      <c r="G423" s="325">
        <v>438.56</v>
      </c>
      <c r="H423" s="299">
        <v>5.0894000000000004</v>
      </c>
      <c r="I423" s="300">
        <f t="shared" si="149"/>
        <v>2232.0072640000003</v>
      </c>
      <c r="J423" s="301">
        <f t="shared" si="150"/>
        <v>903962.94192000013</v>
      </c>
      <c r="K423" s="301" t="e">
        <f>J423/_xlfn.XLOOKUP(A423,'Base de Dados'!D:D,'Base de Dados'!M:M)</f>
        <v>#DIV/0!</v>
      </c>
      <c r="L423" s="301" t="e">
        <f>K423*_xlfn.XLOOKUP(A423,'Base de Dados'!D:D,'Base de Dados'!N:N)</f>
        <v>#DIV/0!</v>
      </c>
      <c r="M423" s="303" t="e">
        <f t="shared" si="151"/>
        <v>#DIV/0!</v>
      </c>
      <c r="N423" s="251" t="e">
        <f t="shared" si="152"/>
        <v>#DIV/0!</v>
      </c>
      <c r="O423" s="252">
        <f t="shared" si="153"/>
        <v>-0.1</v>
      </c>
      <c r="P423" s="253" t="e">
        <f t="shared" si="154"/>
        <v>#DIV/0!</v>
      </c>
      <c r="Q423" s="252" t="e">
        <f t="shared" si="155"/>
        <v>#DIV/0!</v>
      </c>
      <c r="R423" s="252"/>
      <c r="S423" s="252" t="e">
        <f t="shared" si="156"/>
        <v>#DIV/0!</v>
      </c>
      <c r="T423" s="253"/>
      <c r="U423" s="252" t="e">
        <f t="shared" si="157"/>
        <v>#DIV/0!</v>
      </c>
      <c r="V423" s="290">
        <v>117008009</v>
      </c>
      <c r="W423" s="262" t="str">
        <f>_xlfn.XLOOKUP(PRECIFICAÇÃO[[#This Row],[GM9]],Markup!A:A,Markup!B:B)</f>
        <v>SPLIT INVERTER DE 18001 À 30000 BTUS</v>
      </c>
    </row>
    <row r="424" spans="1:23" ht="15" customHeight="1" x14ac:dyDescent="0.3">
      <c r="A424" s="194" t="s">
        <v>863</v>
      </c>
      <c r="B424" s="244" t="str">
        <f>_xlfn.XLOOKUP(A424,'Base de Dados'!D:D,'Base de Dados'!B:B)</f>
        <v>ELOX TRANDING</v>
      </c>
      <c r="C424" s="275" t="str">
        <f>_xlfn.XLOOKUP(PRECIFICAÇÃO[[#This Row],[INVOICE]],'Base de Dados'!D:D,'Base de Dados'!X:X)</f>
        <v>EM PRODUÇÃO</v>
      </c>
      <c r="D424" s="54" t="s">
        <v>1061</v>
      </c>
      <c r="E424" s="244" t="s">
        <v>1062</v>
      </c>
      <c r="F424" s="245">
        <v>800</v>
      </c>
      <c r="G424" s="325">
        <v>8.9</v>
      </c>
      <c r="H424" s="299">
        <v>5.0894000000000004</v>
      </c>
      <c r="I424" s="300">
        <f t="shared" si="149"/>
        <v>45.295660000000005</v>
      </c>
      <c r="J424" s="301">
        <f t="shared" si="150"/>
        <v>36236.528000000006</v>
      </c>
      <c r="K424" s="301" t="e">
        <f>J424/_xlfn.XLOOKUP(A424,'Base de Dados'!D:D,'Base de Dados'!M:M)</f>
        <v>#DIV/0!</v>
      </c>
      <c r="L424" s="301" t="e">
        <f>K424*_xlfn.XLOOKUP(A424,'Base de Dados'!D:D,'Base de Dados'!N:N)</f>
        <v>#DIV/0!</v>
      </c>
      <c r="M424" s="303" t="e">
        <f t="shared" si="151"/>
        <v>#DIV/0!</v>
      </c>
      <c r="N424" s="251" t="e">
        <f t="shared" si="152"/>
        <v>#DIV/0!</v>
      </c>
      <c r="O424" s="252">
        <f t="shared" si="153"/>
        <v>-0.1</v>
      </c>
      <c r="P424" s="253" t="e">
        <f t="shared" si="154"/>
        <v>#DIV/0!</v>
      </c>
      <c r="Q424" s="252" t="e">
        <f t="shared" si="155"/>
        <v>#DIV/0!</v>
      </c>
      <c r="R424" s="252"/>
      <c r="S424" s="252" t="e">
        <f t="shared" si="156"/>
        <v>#DIV/0!</v>
      </c>
      <c r="T424" s="253"/>
      <c r="U424" s="252" t="e">
        <f t="shared" si="157"/>
        <v>#DIV/0!</v>
      </c>
      <c r="V424" s="290"/>
      <c r="W424" s="262"/>
    </row>
    <row r="425" spans="1:23" ht="15" customHeight="1" x14ac:dyDescent="0.3">
      <c r="A425" s="194" t="s">
        <v>865</v>
      </c>
      <c r="B425" s="244" t="str">
        <f>_xlfn.XLOOKUP(A425,'Base de Dados'!D:D,'Base de Dados'!B:B)</f>
        <v>ELOX TRANDING</v>
      </c>
      <c r="C425" s="275" t="str">
        <f>_xlfn.XLOOKUP(PRECIFICAÇÃO[[#This Row],[INVOICE]],'Base de Dados'!D:D,'Base de Dados'!X:X)</f>
        <v>EM TRÂNSITO</v>
      </c>
      <c r="D425" s="54" t="s">
        <v>1063</v>
      </c>
      <c r="E425" s="244" t="s">
        <v>867</v>
      </c>
      <c r="F425" s="245">
        <v>69</v>
      </c>
      <c r="G425" s="325">
        <v>105.76649999999999</v>
      </c>
      <c r="H425" s="299">
        <v>5.0894000000000004</v>
      </c>
      <c r="I425" s="300">
        <f t="shared" si="149"/>
        <v>538.28802510000003</v>
      </c>
      <c r="J425" s="301">
        <f t="shared" si="150"/>
        <v>37141.873731899999</v>
      </c>
      <c r="K425" s="301" t="e">
        <f>J425/_xlfn.XLOOKUP(A425,'Base de Dados'!D:D,'Base de Dados'!M:M)</f>
        <v>#DIV/0!</v>
      </c>
      <c r="L425" s="301" t="e">
        <f>K425*_xlfn.XLOOKUP(A425,'Base de Dados'!D:D,'Base de Dados'!N:N)</f>
        <v>#DIV/0!</v>
      </c>
      <c r="M425" s="303" t="e">
        <f t="shared" si="151"/>
        <v>#DIV/0!</v>
      </c>
      <c r="N425" s="251" t="e">
        <f t="shared" si="152"/>
        <v>#DIV/0!</v>
      </c>
      <c r="O425" s="252">
        <f t="shared" si="153"/>
        <v>-0.1</v>
      </c>
      <c r="P425" s="253" t="e">
        <f t="shared" si="154"/>
        <v>#DIV/0!</v>
      </c>
      <c r="Q425" s="252" t="e">
        <f t="shared" si="155"/>
        <v>#DIV/0!</v>
      </c>
      <c r="R425" s="252"/>
      <c r="S425" s="252" t="e">
        <f t="shared" si="156"/>
        <v>#DIV/0!</v>
      </c>
      <c r="T425" s="253"/>
      <c r="U425" s="252" t="e">
        <f t="shared" si="157"/>
        <v>#DIV/0!</v>
      </c>
      <c r="V425" s="290"/>
      <c r="W425" s="262"/>
    </row>
    <row r="426" spans="1:23" ht="15" customHeight="1" x14ac:dyDescent="0.3">
      <c r="A426" s="194" t="s">
        <v>865</v>
      </c>
      <c r="B426" s="244" t="str">
        <f>_xlfn.XLOOKUP(A426,'Base de Dados'!D:D,'Base de Dados'!B:B)</f>
        <v>ELOX TRANDING</v>
      </c>
      <c r="C426" s="275" t="str">
        <f>_xlfn.XLOOKUP(PRECIFICAÇÃO[[#This Row],[INVOICE]],'Base de Dados'!D:D,'Base de Dados'!X:X)</f>
        <v>EM TRÂNSITO</v>
      </c>
      <c r="D426" s="54" t="s">
        <v>1064</v>
      </c>
      <c r="E426" s="244" t="s">
        <v>1010</v>
      </c>
      <c r="F426" s="245">
        <v>50</v>
      </c>
      <c r="G426" s="325">
        <v>58.516500000000001</v>
      </c>
      <c r="H426" s="299">
        <v>5.0894000000000004</v>
      </c>
      <c r="I426" s="300">
        <f t="shared" si="149"/>
        <v>297.81387510000002</v>
      </c>
      <c r="J426" s="301">
        <f t="shared" si="150"/>
        <v>14890.693755</v>
      </c>
      <c r="K426" s="301" t="e">
        <f>J426/_xlfn.XLOOKUP(A426,'Base de Dados'!D:D,'Base de Dados'!M:M)</f>
        <v>#DIV/0!</v>
      </c>
      <c r="L426" s="301" t="e">
        <f>K426*_xlfn.XLOOKUP(A426,'Base de Dados'!D:D,'Base de Dados'!N:N)</f>
        <v>#DIV/0!</v>
      </c>
      <c r="M426" s="303" t="e">
        <f t="shared" si="151"/>
        <v>#DIV/0!</v>
      </c>
      <c r="N426" s="251" t="e">
        <f t="shared" si="152"/>
        <v>#DIV/0!</v>
      </c>
      <c r="O426" s="252">
        <f t="shared" si="153"/>
        <v>-0.1</v>
      </c>
      <c r="P426" s="253" t="e">
        <f t="shared" si="154"/>
        <v>#DIV/0!</v>
      </c>
      <c r="Q426" s="252" t="e">
        <f t="shared" si="155"/>
        <v>#DIV/0!</v>
      </c>
      <c r="R426" s="252"/>
      <c r="S426" s="252" t="e">
        <f t="shared" si="156"/>
        <v>#DIV/0!</v>
      </c>
      <c r="T426" s="253"/>
      <c r="U426" s="252" t="e">
        <f t="shared" si="157"/>
        <v>#DIV/0!</v>
      </c>
      <c r="V426" s="290"/>
      <c r="W426" s="262"/>
    </row>
    <row r="427" spans="1:23" ht="15" customHeight="1" x14ac:dyDescent="0.3">
      <c r="A427" s="194" t="s">
        <v>869</v>
      </c>
      <c r="B427" s="244" t="str">
        <f>_xlfn.XLOOKUP(A427,'Base de Dados'!D:D,'Base de Dados'!B:B)</f>
        <v>ELOX TRANDING</v>
      </c>
      <c r="C427" s="275" t="str">
        <f>_xlfn.XLOOKUP(PRECIFICAÇÃO[[#This Row],[INVOICE]],'Base de Dados'!D:D,'Base de Dados'!X:X)</f>
        <v>EM PRODUÇÃO</v>
      </c>
      <c r="D427" s="54" t="s">
        <v>1065</v>
      </c>
      <c r="E427" s="244" t="s">
        <v>1007</v>
      </c>
      <c r="F427" s="245">
        <v>500</v>
      </c>
      <c r="G427" s="325">
        <v>15.54</v>
      </c>
      <c r="H427" s="299">
        <v>5.0894000000000004</v>
      </c>
      <c r="I427" s="300">
        <f t="shared" si="149"/>
        <v>79.089275999999998</v>
      </c>
      <c r="J427" s="301">
        <f t="shared" si="150"/>
        <v>39544.637999999999</v>
      </c>
      <c r="K427" s="301" t="e">
        <f>J427/_xlfn.XLOOKUP(A427,'Base de Dados'!D:D,'Base de Dados'!M:M)</f>
        <v>#DIV/0!</v>
      </c>
      <c r="L427" s="301" t="e">
        <f>K427*_xlfn.XLOOKUP(A427,'Base de Dados'!D:D,'Base de Dados'!N:N)</f>
        <v>#DIV/0!</v>
      </c>
      <c r="M427" s="303" t="e">
        <f t="shared" si="151"/>
        <v>#DIV/0!</v>
      </c>
      <c r="N427" s="251" t="e">
        <f t="shared" si="152"/>
        <v>#DIV/0!</v>
      </c>
      <c r="O427" s="252">
        <f t="shared" si="153"/>
        <v>-0.1</v>
      </c>
      <c r="P427" s="253" t="e">
        <f t="shared" si="154"/>
        <v>#DIV/0!</v>
      </c>
      <c r="Q427" s="252" t="e">
        <f t="shared" si="155"/>
        <v>#DIV/0!</v>
      </c>
      <c r="R427" s="252"/>
      <c r="S427" s="252" t="e">
        <f t="shared" si="156"/>
        <v>#DIV/0!</v>
      </c>
      <c r="T427" s="253"/>
      <c r="U427" s="252" t="e">
        <f t="shared" si="157"/>
        <v>#DIV/0!</v>
      </c>
      <c r="V427" s="290"/>
      <c r="W427" s="262"/>
    </row>
    <row r="428" spans="1:23" ht="15" customHeight="1" x14ac:dyDescent="0.3">
      <c r="A428" s="194" t="s">
        <v>869</v>
      </c>
      <c r="B428" s="244" t="str">
        <f>_xlfn.XLOOKUP(A428,'Base de Dados'!D:D,'Base de Dados'!B:B)</f>
        <v>ELOX TRANDING</v>
      </c>
      <c r="C428" s="275" t="str">
        <f>_xlfn.XLOOKUP(PRECIFICAÇÃO[[#This Row],[INVOICE]],'Base de Dados'!D:D,'Base de Dados'!X:X)</f>
        <v>EM PRODUÇÃO</v>
      </c>
      <c r="D428" s="54" t="s">
        <v>1066</v>
      </c>
      <c r="E428" s="244" t="s">
        <v>1009</v>
      </c>
      <c r="F428" s="245">
        <v>500</v>
      </c>
      <c r="G428" s="325">
        <v>10.71</v>
      </c>
      <c r="H428" s="299">
        <v>5.0894000000000004</v>
      </c>
      <c r="I428" s="300">
        <f t="shared" si="149"/>
        <v>54.507474000000009</v>
      </c>
      <c r="J428" s="301">
        <f t="shared" si="150"/>
        <v>27253.737000000005</v>
      </c>
      <c r="K428" s="301" t="e">
        <f>J428/_xlfn.XLOOKUP(A428,'Base de Dados'!D:D,'Base de Dados'!M:M)</f>
        <v>#DIV/0!</v>
      </c>
      <c r="L428" s="301" t="e">
        <f>K428*_xlfn.XLOOKUP(A428,'Base de Dados'!D:D,'Base de Dados'!N:N)</f>
        <v>#DIV/0!</v>
      </c>
      <c r="M428" s="303" t="e">
        <f t="shared" si="151"/>
        <v>#DIV/0!</v>
      </c>
      <c r="N428" s="251" t="e">
        <f t="shared" si="152"/>
        <v>#DIV/0!</v>
      </c>
      <c r="O428" s="252">
        <f t="shared" si="153"/>
        <v>-0.1</v>
      </c>
      <c r="P428" s="253" t="e">
        <f t="shared" si="154"/>
        <v>#DIV/0!</v>
      </c>
      <c r="Q428" s="252" t="e">
        <f t="shared" si="155"/>
        <v>#DIV/0!</v>
      </c>
      <c r="R428" s="252"/>
      <c r="S428" s="252" t="e">
        <f t="shared" si="156"/>
        <v>#DIV/0!</v>
      </c>
      <c r="T428" s="253"/>
      <c r="U428" s="252" t="e">
        <f t="shared" si="157"/>
        <v>#DIV/0!</v>
      </c>
      <c r="V428" s="290"/>
      <c r="W428" s="262"/>
    </row>
    <row r="429" spans="1:23" ht="15" customHeight="1" x14ac:dyDescent="0.3">
      <c r="A429" s="194" t="s">
        <v>870</v>
      </c>
      <c r="B429" s="244" t="str">
        <f>_xlfn.XLOOKUP(A429,'Base de Dados'!D:D,'Base de Dados'!B:B)</f>
        <v>ELOX TRANDING</v>
      </c>
      <c r="C429" s="275" t="str">
        <f>_xlfn.XLOOKUP(PRECIFICAÇÃO[[#This Row],[INVOICE]],'Base de Dados'!D:D,'Base de Dados'!X:X)</f>
        <v>EM PRODUÇÃO</v>
      </c>
      <c r="D429" s="54" t="s">
        <v>1067</v>
      </c>
      <c r="E429" s="244" t="s">
        <v>826</v>
      </c>
      <c r="F429" s="245">
        <v>2936</v>
      </c>
      <c r="G429" s="325">
        <v>32.024999999999999</v>
      </c>
      <c r="H429" s="299">
        <v>5.0894000000000004</v>
      </c>
      <c r="I429" s="300">
        <f t="shared" si="149"/>
        <v>162.988035</v>
      </c>
      <c r="J429" s="301">
        <f t="shared" si="150"/>
        <v>478532.87075999996</v>
      </c>
      <c r="K429" s="301" t="e">
        <f>J429/_xlfn.XLOOKUP(A429,'Base de Dados'!D:D,'Base de Dados'!M:M)</f>
        <v>#DIV/0!</v>
      </c>
      <c r="L429" s="301" t="e">
        <f>K429*_xlfn.XLOOKUP(A429,'Base de Dados'!D:D,'Base de Dados'!N:N)</f>
        <v>#DIV/0!</v>
      </c>
      <c r="M429" s="303" t="e">
        <f t="shared" si="151"/>
        <v>#DIV/0!</v>
      </c>
      <c r="N429" s="251" t="e">
        <f t="shared" si="152"/>
        <v>#DIV/0!</v>
      </c>
      <c r="O429" s="252">
        <f t="shared" si="153"/>
        <v>-0.1</v>
      </c>
      <c r="P429" s="253" t="e">
        <f t="shared" si="154"/>
        <v>#DIV/0!</v>
      </c>
      <c r="Q429" s="252" t="e">
        <f t="shared" si="155"/>
        <v>#DIV/0!</v>
      </c>
      <c r="R429" s="252"/>
      <c r="S429" s="252" t="e">
        <f t="shared" si="156"/>
        <v>#DIV/0!</v>
      </c>
      <c r="T429" s="253"/>
      <c r="U429" s="252" t="e">
        <f t="shared" si="157"/>
        <v>#DIV/0!</v>
      </c>
      <c r="V429" s="290"/>
      <c r="W429" s="262"/>
    </row>
    <row r="430" spans="1:23" ht="15" customHeight="1" x14ac:dyDescent="0.3">
      <c r="A430" s="194" t="s">
        <v>871</v>
      </c>
      <c r="B430" s="244" t="str">
        <f>_xlfn.XLOOKUP(A430,'Base de Dados'!D:D,'Base de Dados'!B:B)</f>
        <v>ELOX TRANDING</v>
      </c>
      <c r="C430" s="275" t="str">
        <f>_xlfn.XLOOKUP(PRECIFICAÇÃO[[#This Row],[INVOICE]],'Base de Dados'!D:D,'Base de Dados'!X:X)</f>
        <v>EM PRODUÇÃO</v>
      </c>
      <c r="D430" s="54" t="s">
        <v>1068</v>
      </c>
      <c r="E430" s="244" t="s">
        <v>872</v>
      </c>
      <c r="F430" s="245">
        <v>1000</v>
      </c>
      <c r="G430" s="325">
        <v>16.8</v>
      </c>
      <c r="H430" s="299">
        <v>5.0894000000000004</v>
      </c>
      <c r="I430" s="300">
        <f t="shared" si="149"/>
        <v>85.501920000000013</v>
      </c>
      <c r="J430" s="301">
        <f t="shared" si="150"/>
        <v>85501.920000000013</v>
      </c>
      <c r="K430" s="301" t="e">
        <f>J430/_xlfn.XLOOKUP(A430,'Base de Dados'!D:D,'Base de Dados'!M:M)</f>
        <v>#DIV/0!</v>
      </c>
      <c r="L430" s="301" t="e">
        <f>K430*_xlfn.XLOOKUP(A430,'Base de Dados'!D:D,'Base de Dados'!N:N)</f>
        <v>#DIV/0!</v>
      </c>
      <c r="M430" s="303" t="e">
        <f t="shared" si="151"/>
        <v>#DIV/0!</v>
      </c>
      <c r="N430" s="251" t="e">
        <f t="shared" si="152"/>
        <v>#DIV/0!</v>
      </c>
      <c r="O430" s="252">
        <f t="shared" si="153"/>
        <v>-0.1</v>
      </c>
      <c r="P430" s="253" t="e">
        <f t="shared" si="154"/>
        <v>#DIV/0!</v>
      </c>
      <c r="Q430" s="252" t="e">
        <f t="shared" si="155"/>
        <v>#DIV/0!</v>
      </c>
      <c r="R430" s="252"/>
      <c r="S430" s="252" t="e">
        <f t="shared" si="156"/>
        <v>#DIV/0!</v>
      </c>
      <c r="T430" s="253"/>
      <c r="U430" s="252" t="e">
        <f t="shared" si="157"/>
        <v>#DIV/0!</v>
      </c>
      <c r="V430" s="290"/>
      <c r="W430" s="262"/>
    </row>
    <row r="431" spans="1:23" ht="15" customHeight="1" x14ac:dyDescent="0.3">
      <c r="A431" s="194" t="s">
        <v>1645</v>
      </c>
      <c r="B431" s="244" t="str">
        <f>_xlfn.XLOOKUP(A431,'Base de Dados'!D:D,'Base de Dados'!B:B)</f>
        <v>ELOX TRANDING</v>
      </c>
      <c r="C431" s="275" t="str">
        <f>_xlfn.XLOOKUP(PRECIFICAÇÃO[[#This Row],[INVOICE]],'Base de Dados'!D:D,'Base de Dados'!X:X)</f>
        <v>EM PRODUÇÃO</v>
      </c>
      <c r="D431" s="54">
        <v>412083</v>
      </c>
      <c r="E431" s="244" t="s">
        <v>1648</v>
      </c>
      <c r="F431" s="245">
        <v>1516</v>
      </c>
      <c r="G431" s="333">
        <v>123.6</v>
      </c>
      <c r="H431" s="299">
        <v>5.0894000000000004</v>
      </c>
      <c r="I431" s="247">
        <f t="shared" ref="I431:I436" si="158">H431*G431</f>
        <v>629.04984000000002</v>
      </c>
      <c r="J431" s="248">
        <f t="shared" ref="J431:J436" si="159">I431*F431</f>
        <v>953639.55744</v>
      </c>
      <c r="K431" s="248" t="e">
        <f>J431/_xlfn.XLOOKUP(A431,'Base de Dados'!D:D,'Base de Dados'!M:M)</f>
        <v>#DIV/0!</v>
      </c>
      <c r="L431" s="248" t="e">
        <f>K431*_xlfn.XLOOKUP(A431,'Base de Dados'!D:D,'Base de Dados'!N:N)</f>
        <v>#DIV/0!</v>
      </c>
      <c r="M431" s="250" t="e">
        <f t="shared" ref="M431:M436" si="160">J431+L431</f>
        <v>#DIV/0!</v>
      </c>
      <c r="N431" s="251" t="e">
        <f t="shared" ref="N431:N436" si="161">M431/F431</f>
        <v>#DIV/0!</v>
      </c>
      <c r="O431" s="252">
        <f t="shared" ref="O431:O436" si="162">R431-0.1</f>
        <v>-0.1</v>
      </c>
      <c r="P431" s="253" t="e">
        <f t="shared" ref="P431:P436" si="163">ROUND(N431/O431,0)</f>
        <v>#DIV/0!</v>
      </c>
      <c r="Q431" s="252" t="e">
        <f t="shared" ref="Q431:Q436" si="164">(P431-N431)/P431</f>
        <v>#DIV/0!</v>
      </c>
      <c r="R431" s="252"/>
      <c r="S431" s="252" t="e">
        <f t="shared" ref="S431:S436" si="165">Q431-R431</f>
        <v>#DIV/0!</v>
      </c>
      <c r="T431" s="253"/>
      <c r="U431" s="252" t="e">
        <f t="shared" ref="U431:U436" si="166">(T431-P431)/T431</f>
        <v>#DIV/0!</v>
      </c>
      <c r="V431" s="290">
        <v>117002001</v>
      </c>
      <c r="W431" s="67" t="str">
        <f>_xlfn.XLOOKUP(PRECIFICAÇÃO[[#This Row],[GM9]],Markup!A:A,Markup!B:B)</f>
        <v>CONDICIONADOR DE AR DE JANELA ATÉ 8500 BTUS</v>
      </c>
    </row>
    <row r="432" spans="1:23" ht="15" customHeight="1" x14ac:dyDescent="0.3">
      <c r="A432" s="194" t="s">
        <v>1645</v>
      </c>
      <c r="B432" s="244" t="str">
        <f>_xlfn.XLOOKUP(A432,'Base de Dados'!D:D,'Base de Dados'!B:B)</f>
        <v>ELOX TRANDING</v>
      </c>
      <c r="C432" s="275" t="str">
        <f>_xlfn.XLOOKUP(PRECIFICAÇÃO[[#This Row],[INVOICE]],'Base de Dados'!D:D,'Base de Dados'!X:X)</f>
        <v>EM PRODUÇÃO</v>
      </c>
      <c r="D432" s="54">
        <v>412084</v>
      </c>
      <c r="E432" s="244" t="s">
        <v>1649</v>
      </c>
      <c r="F432" s="245">
        <v>2684</v>
      </c>
      <c r="G432" s="333">
        <v>128.75</v>
      </c>
      <c r="H432" s="299">
        <v>5.0894000000000004</v>
      </c>
      <c r="I432" s="247">
        <f t="shared" si="158"/>
        <v>655.26025000000004</v>
      </c>
      <c r="J432" s="248">
        <f t="shared" si="159"/>
        <v>1758718.5110000002</v>
      </c>
      <c r="K432" s="248" t="e">
        <f>J432/_xlfn.XLOOKUP(A432,'Base de Dados'!D:D,'Base de Dados'!M:M)</f>
        <v>#DIV/0!</v>
      </c>
      <c r="L432" s="248" t="e">
        <f>K432*_xlfn.XLOOKUP(A432,'Base de Dados'!D:D,'Base de Dados'!N:N)</f>
        <v>#DIV/0!</v>
      </c>
      <c r="M432" s="250" t="e">
        <f t="shared" si="160"/>
        <v>#DIV/0!</v>
      </c>
      <c r="N432" s="251" t="e">
        <f t="shared" si="161"/>
        <v>#DIV/0!</v>
      </c>
      <c r="O432" s="252">
        <f t="shared" si="162"/>
        <v>-0.1</v>
      </c>
      <c r="P432" s="253" t="e">
        <f t="shared" si="163"/>
        <v>#DIV/0!</v>
      </c>
      <c r="Q432" s="252" t="e">
        <f t="shared" si="164"/>
        <v>#DIV/0!</v>
      </c>
      <c r="R432" s="252"/>
      <c r="S432" s="252" t="e">
        <f t="shared" si="165"/>
        <v>#DIV/0!</v>
      </c>
      <c r="T432" s="253"/>
      <c r="U432" s="252" t="e">
        <f t="shared" si="166"/>
        <v>#DIV/0!</v>
      </c>
      <c r="V432" s="290">
        <v>117002002</v>
      </c>
      <c r="W432" s="67" t="str">
        <f>_xlfn.XLOOKUP(PRECIFICAÇÃO[[#This Row],[GM9]],Markup!A:A,Markup!B:B)</f>
        <v>CONDICIONADOR DE AR DE JANELA DE 8501 À 10000 BTUS</v>
      </c>
    </row>
    <row r="433" spans="1:23" ht="15" customHeight="1" x14ac:dyDescent="0.3">
      <c r="A433" s="194" t="s">
        <v>1646</v>
      </c>
      <c r="B433" s="244" t="str">
        <f>_xlfn.XLOOKUP(A433,'Base de Dados'!D:D,'Base de Dados'!B:B)</f>
        <v>ELOX TRANDING</v>
      </c>
      <c r="C433" s="275" t="str">
        <f>_xlfn.XLOOKUP(PRECIFICAÇÃO[[#This Row],[INVOICE]],'Base de Dados'!D:D,'Base de Dados'!X:X)</f>
        <v>EM PRODUÇÃO</v>
      </c>
      <c r="D433" s="54">
        <v>412083</v>
      </c>
      <c r="E433" s="244" t="s">
        <v>1648</v>
      </c>
      <c r="F433" s="245">
        <v>1516</v>
      </c>
      <c r="G433" s="333">
        <v>123.6</v>
      </c>
      <c r="H433" s="299">
        <v>5.0894000000000004</v>
      </c>
      <c r="I433" s="247">
        <f t="shared" si="158"/>
        <v>629.04984000000002</v>
      </c>
      <c r="J433" s="248">
        <f t="shared" si="159"/>
        <v>953639.55744</v>
      </c>
      <c r="K433" s="248" t="e">
        <f>J433/_xlfn.XLOOKUP(A433,'Base de Dados'!D:D,'Base de Dados'!M:M)</f>
        <v>#DIV/0!</v>
      </c>
      <c r="L433" s="248" t="e">
        <f>K433*_xlfn.XLOOKUP(A433,'Base de Dados'!D:D,'Base de Dados'!N:N)</f>
        <v>#DIV/0!</v>
      </c>
      <c r="M433" s="250" t="e">
        <f t="shared" si="160"/>
        <v>#DIV/0!</v>
      </c>
      <c r="N433" s="251" t="e">
        <f t="shared" si="161"/>
        <v>#DIV/0!</v>
      </c>
      <c r="O433" s="252">
        <f t="shared" si="162"/>
        <v>-0.1</v>
      </c>
      <c r="P433" s="253" t="e">
        <f t="shared" si="163"/>
        <v>#DIV/0!</v>
      </c>
      <c r="Q433" s="252" t="e">
        <f t="shared" si="164"/>
        <v>#DIV/0!</v>
      </c>
      <c r="R433" s="252"/>
      <c r="S433" s="252" t="e">
        <f t="shared" si="165"/>
        <v>#DIV/0!</v>
      </c>
      <c r="T433" s="253"/>
      <c r="U433" s="252" t="e">
        <f t="shared" si="166"/>
        <v>#DIV/0!</v>
      </c>
      <c r="V433" s="290">
        <v>117002001</v>
      </c>
      <c r="W433" s="67" t="str">
        <f>_xlfn.XLOOKUP(PRECIFICAÇÃO[[#This Row],[GM9]],Markup!A:A,Markup!B:B)</f>
        <v>CONDICIONADOR DE AR DE JANELA ATÉ 8500 BTUS</v>
      </c>
    </row>
    <row r="434" spans="1:23" ht="15" customHeight="1" x14ac:dyDescent="0.3">
      <c r="A434" s="194" t="s">
        <v>1646</v>
      </c>
      <c r="B434" s="244" t="str">
        <f>_xlfn.XLOOKUP(A434,'Base de Dados'!D:D,'Base de Dados'!B:B)</f>
        <v>ELOX TRANDING</v>
      </c>
      <c r="C434" s="275" t="str">
        <f>_xlfn.XLOOKUP(PRECIFICAÇÃO[[#This Row],[INVOICE]],'Base de Dados'!D:D,'Base de Dados'!X:X)</f>
        <v>EM PRODUÇÃO</v>
      </c>
      <c r="D434" s="342">
        <v>412084</v>
      </c>
      <c r="E434" s="244" t="s">
        <v>1649</v>
      </c>
      <c r="F434" s="245">
        <v>2013</v>
      </c>
      <c r="G434" s="333">
        <v>128.75</v>
      </c>
      <c r="H434" s="299">
        <v>5.0894000000000004</v>
      </c>
      <c r="I434" s="247">
        <f t="shared" si="158"/>
        <v>655.26025000000004</v>
      </c>
      <c r="J434" s="248">
        <f t="shared" si="159"/>
        <v>1319038.8832500002</v>
      </c>
      <c r="K434" s="248" t="e">
        <f>J434/_xlfn.XLOOKUP(A434,'Base de Dados'!D:D,'Base de Dados'!M:M)</f>
        <v>#DIV/0!</v>
      </c>
      <c r="L434" s="248" t="e">
        <f>K434*_xlfn.XLOOKUP(A434,'Base de Dados'!D:D,'Base de Dados'!N:N)</f>
        <v>#DIV/0!</v>
      </c>
      <c r="M434" s="250" t="e">
        <f t="shared" si="160"/>
        <v>#DIV/0!</v>
      </c>
      <c r="N434" s="251" t="e">
        <f t="shared" si="161"/>
        <v>#DIV/0!</v>
      </c>
      <c r="O434" s="252">
        <f t="shared" si="162"/>
        <v>-0.1</v>
      </c>
      <c r="P434" s="253" t="e">
        <f t="shared" si="163"/>
        <v>#DIV/0!</v>
      </c>
      <c r="Q434" s="252" t="e">
        <f t="shared" si="164"/>
        <v>#DIV/0!</v>
      </c>
      <c r="R434" s="252"/>
      <c r="S434" s="252" t="e">
        <f t="shared" si="165"/>
        <v>#DIV/0!</v>
      </c>
      <c r="T434" s="253"/>
      <c r="U434" s="252" t="e">
        <f t="shared" si="166"/>
        <v>#DIV/0!</v>
      </c>
      <c r="V434" s="290">
        <v>117002002</v>
      </c>
      <c r="W434" s="67" t="str">
        <f>_xlfn.XLOOKUP(PRECIFICAÇÃO[[#This Row],[GM9]],Markup!A:A,Markup!B:B)</f>
        <v>CONDICIONADOR DE AR DE JANELA DE 8501 À 10000 BTUS</v>
      </c>
    </row>
    <row r="435" spans="1:23" ht="15" customHeight="1" x14ac:dyDescent="0.3">
      <c r="A435" s="194" t="s">
        <v>1647</v>
      </c>
      <c r="B435" s="244" t="str">
        <f>_xlfn.XLOOKUP(A435,'Base de Dados'!D:D,'Base de Dados'!B:B)</f>
        <v>ELOX TRANDING</v>
      </c>
      <c r="C435" s="275" t="str">
        <f>_xlfn.XLOOKUP(PRECIFICAÇÃO[[#This Row],[INVOICE]],'Base de Dados'!D:D,'Base de Dados'!X:X)</f>
        <v>EM PRODUÇÃO</v>
      </c>
      <c r="D435" s="54">
        <v>412083</v>
      </c>
      <c r="E435" s="244" t="s">
        <v>1648</v>
      </c>
      <c r="F435" s="245">
        <v>758</v>
      </c>
      <c r="G435" s="333">
        <v>123.6</v>
      </c>
      <c r="H435" s="299">
        <v>5.0894000000000004</v>
      </c>
      <c r="I435" s="247">
        <f t="shared" si="158"/>
        <v>629.04984000000002</v>
      </c>
      <c r="J435" s="248">
        <f t="shared" si="159"/>
        <v>476819.77872</v>
      </c>
      <c r="K435" s="248" t="e">
        <f>J435/_xlfn.XLOOKUP(A435,'Base de Dados'!D:D,'Base de Dados'!M:M)</f>
        <v>#DIV/0!</v>
      </c>
      <c r="L435" s="248" t="e">
        <f>K435*_xlfn.XLOOKUP(A435,'Base de Dados'!D:D,'Base de Dados'!N:N)</f>
        <v>#DIV/0!</v>
      </c>
      <c r="M435" s="250" t="e">
        <f t="shared" si="160"/>
        <v>#DIV/0!</v>
      </c>
      <c r="N435" s="251" t="e">
        <f t="shared" si="161"/>
        <v>#DIV/0!</v>
      </c>
      <c r="O435" s="252">
        <f t="shared" si="162"/>
        <v>-0.1</v>
      </c>
      <c r="P435" s="253" t="e">
        <f t="shared" si="163"/>
        <v>#DIV/0!</v>
      </c>
      <c r="Q435" s="252" t="e">
        <f t="shared" si="164"/>
        <v>#DIV/0!</v>
      </c>
      <c r="R435" s="252"/>
      <c r="S435" s="252" t="e">
        <f t="shared" si="165"/>
        <v>#DIV/0!</v>
      </c>
      <c r="T435" s="253"/>
      <c r="U435" s="252" t="e">
        <f t="shared" si="166"/>
        <v>#DIV/0!</v>
      </c>
      <c r="V435" s="290">
        <v>117002001</v>
      </c>
      <c r="W435" s="67" t="str">
        <f>_xlfn.XLOOKUP(PRECIFICAÇÃO[[#This Row],[GM9]],Markup!A:A,Markup!B:B)</f>
        <v>CONDICIONADOR DE AR DE JANELA ATÉ 8500 BTUS</v>
      </c>
    </row>
    <row r="436" spans="1:23" ht="15" customHeight="1" x14ac:dyDescent="0.3">
      <c r="A436" s="287" t="s">
        <v>1647</v>
      </c>
      <c r="B436" s="244" t="str">
        <f>_xlfn.XLOOKUP(A436,'Base de Dados'!D:D,'Base de Dados'!B:B)</f>
        <v>ELOX TRANDING</v>
      </c>
      <c r="C436" s="275" t="str">
        <f>_xlfn.XLOOKUP(PRECIFICAÇÃO[[#This Row],[INVOICE]],'Base de Dados'!D:D,'Base de Dados'!X:X)</f>
        <v>EM PRODUÇÃO</v>
      </c>
      <c r="D436" s="54">
        <v>412084</v>
      </c>
      <c r="E436" s="244" t="s">
        <v>1649</v>
      </c>
      <c r="F436" s="255">
        <v>671</v>
      </c>
      <c r="G436" s="334">
        <v>128.75</v>
      </c>
      <c r="H436" s="299">
        <v>5.0894000000000004</v>
      </c>
      <c r="I436" s="257">
        <f t="shared" si="158"/>
        <v>655.26025000000004</v>
      </c>
      <c r="J436" s="258">
        <f t="shared" si="159"/>
        <v>439679.62775000004</v>
      </c>
      <c r="K436" s="258" t="e">
        <f>J436/_xlfn.XLOOKUP(A436,'Base de Dados'!D:D,'Base de Dados'!M:M)</f>
        <v>#DIV/0!</v>
      </c>
      <c r="L436" s="258" t="e">
        <f>K436*_xlfn.XLOOKUP(A436,'Base de Dados'!D:D,'Base de Dados'!N:N)</f>
        <v>#DIV/0!</v>
      </c>
      <c r="M436" s="260" t="e">
        <f t="shared" si="160"/>
        <v>#DIV/0!</v>
      </c>
      <c r="N436" s="261" t="e">
        <f t="shared" si="161"/>
        <v>#DIV/0!</v>
      </c>
      <c r="O436" s="262">
        <f t="shared" si="162"/>
        <v>-0.1</v>
      </c>
      <c r="P436" s="263" t="e">
        <f t="shared" si="163"/>
        <v>#DIV/0!</v>
      </c>
      <c r="Q436" s="262" t="e">
        <f t="shared" si="164"/>
        <v>#DIV/0!</v>
      </c>
      <c r="R436" s="262"/>
      <c r="S436" s="262" t="e">
        <f t="shared" si="165"/>
        <v>#DIV/0!</v>
      </c>
      <c r="T436" s="263"/>
      <c r="U436" s="262" t="e">
        <f t="shared" si="166"/>
        <v>#DIV/0!</v>
      </c>
      <c r="V436" s="292">
        <v>117002002</v>
      </c>
      <c r="W436" s="67" t="str">
        <f>_xlfn.XLOOKUP(PRECIFICAÇÃO[[#This Row],[GM9]],Markup!A:A,Markup!B:B)</f>
        <v>CONDICIONADOR DE AR DE JANELA DE 8501 À 10000 BTUS</v>
      </c>
    </row>
    <row r="437" spans="1:23" ht="15" customHeight="1" x14ac:dyDescent="0.3">
      <c r="A437" s="335" t="s">
        <v>474</v>
      </c>
      <c r="B437" s="244" t="str">
        <f>_xlfn.XLOOKUP(A437,'Base de Dados'!D:D,'Base de Dados'!B:B)</f>
        <v>TIMBRO SWISS SA</v>
      </c>
      <c r="C437" s="275" t="str">
        <f>_xlfn.XLOOKUP(PRECIFICAÇÃO[[#This Row],[INVOICE]],'Base de Dados'!D:D,'Base de Dados'!X:X)</f>
        <v>EM PRODUÇÃO</v>
      </c>
      <c r="D437" s="337">
        <v>373493</v>
      </c>
      <c r="E437" s="336" t="s">
        <v>909</v>
      </c>
      <c r="F437" s="338">
        <v>1674</v>
      </c>
      <c r="G437" s="333">
        <v>3.7</v>
      </c>
      <c r="H437" s="299">
        <v>5.0894000000000004</v>
      </c>
      <c r="I437" s="247">
        <f>H437*G437</f>
        <v>18.830780000000001</v>
      </c>
      <c r="J437" s="248">
        <f t="shared" ref="J437:J440" si="167">I437*F437</f>
        <v>31522.725720000002</v>
      </c>
      <c r="K437" s="248" t="e">
        <f>J437/_xlfn.XLOOKUP(A437,'Base de Dados'!D:D,'Base de Dados'!M:M)</f>
        <v>#DIV/0!</v>
      </c>
      <c r="L437" s="248" t="e">
        <f>K437*_xlfn.XLOOKUP(A437,'Base de Dados'!D:D,'Base de Dados'!N:N)</f>
        <v>#DIV/0!</v>
      </c>
      <c r="M437" s="250" t="e">
        <f t="shared" ref="M437:M440" si="168">J437+L437</f>
        <v>#DIV/0!</v>
      </c>
      <c r="N437" s="251" t="e">
        <f t="shared" ref="N437:N440" si="169">M437/F437</f>
        <v>#DIV/0!</v>
      </c>
      <c r="O437" s="252">
        <f t="shared" ref="O437:O440" si="170">R437-0.1</f>
        <v>-0.1</v>
      </c>
      <c r="P437" s="253" t="e">
        <f t="shared" ref="P437:P440" si="171">ROUND(N437/O437,0)</f>
        <v>#DIV/0!</v>
      </c>
      <c r="Q437" s="252" t="e">
        <f t="shared" ref="Q437:Q440" si="172">(P437-N437)/P437</f>
        <v>#DIV/0!</v>
      </c>
      <c r="R437" s="252"/>
      <c r="S437" s="252" t="e">
        <f t="shared" ref="S437:S440" si="173">Q437-R437</f>
        <v>#DIV/0!</v>
      </c>
      <c r="T437" s="253"/>
      <c r="U437" s="252" t="e">
        <f t="shared" ref="U437:U440" si="174">(T437-P437)/T437</f>
        <v>#DIV/0!</v>
      </c>
      <c r="V437" s="290"/>
      <c r="W437" s="252"/>
    </row>
    <row r="438" spans="1:23" ht="15" customHeight="1" x14ac:dyDescent="0.3">
      <c r="A438" s="335" t="s">
        <v>474</v>
      </c>
      <c r="B438" s="244" t="str">
        <f>_xlfn.XLOOKUP(A438,'Base de Dados'!D:D,'Base de Dados'!B:B)</f>
        <v>TIMBRO SWISS SA</v>
      </c>
      <c r="C438" s="275" t="str">
        <f>_xlfn.XLOOKUP(PRECIFICAÇÃO[[#This Row],[INVOICE]],'Base de Dados'!D:D,'Base de Dados'!X:X)</f>
        <v>EM PRODUÇÃO</v>
      </c>
      <c r="D438" s="337">
        <v>373494</v>
      </c>
      <c r="E438" s="336" t="s">
        <v>910</v>
      </c>
      <c r="F438" s="338">
        <v>2232</v>
      </c>
      <c r="G438" s="333">
        <v>3.7</v>
      </c>
      <c r="H438" s="299">
        <v>5.0894000000000004</v>
      </c>
      <c r="I438" s="247">
        <f t="shared" ref="I438:I440" si="175">H438*G438</f>
        <v>18.830780000000001</v>
      </c>
      <c r="J438" s="248">
        <f t="shared" si="167"/>
        <v>42030.30096</v>
      </c>
      <c r="K438" s="248" t="e">
        <f>J438/_xlfn.XLOOKUP(A438,'Base de Dados'!D:D,'Base de Dados'!M:M)</f>
        <v>#DIV/0!</v>
      </c>
      <c r="L438" s="248" t="e">
        <f>K438*_xlfn.XLOOKUP(A438,'Base de Dados'!D:D,'Base de Dados'!N:N)</f>
        <v>#DIV/0!</v>
      </c>
      <c r="M438" s="250" t="e">
        <f t="shared" si="168"/>
        <v>#DIV/0!</v>
      </c>
      <c r="N438" s="251" t="e">
        <f t="shared" si="169"/>
        <v>#DIV/0!</v>
      </c>
      <c r="O438" s="252">
        <f t="shared" si="170"/>
        <v>-0.1</v>
      </c>
      <c r="P438" s="253" t="e">
        <f t="shared" si="171"/>
        <v>#DIV/0!</v>
      </c>
      <c r="Q438" s="252" t="e">
        <f t="shared" si="172"/>
        <v>#DIV/0!</v>
      </c>
      <c r="R438" s="252"/>
      <c r="S438" s="252" t="e">
        <f t="shared" si="173"/>
        <v>#DIV/0!</v>
      </c>
      <c r="T438" s="253"/>
      <c r="U438" s="252" t="e">
        <f t="shared" si="174"/>
        <v>#DIV/0!</v>
      </c>
      <c r="V438" s="290"/>
      <c r="W438" s="252"/>
    </row>
    <row r="439" spans="1:23" ht="15" customHeight="1" x14ac:dyDescent="0.3">
      <c r="A439" s="335" t="s">
        <v>474</v>
      </c>
      <c r="B439" s="244" t="str">
        <f>_xlfn.XLOOKUP(A439,'Base de Dados'!D:D,'Base de Dados'!B:B)</f>
        <v>TIMBRO SWISS SA</v>
      </c>
      <c r="C439" s="275" t="str">
        <f>_xlfn.XLOOKUP(PRECIFICAÇÃO[[#This Row],[INVOICE]],'Base de Dados'!D:D,'Base de Dados'!X:X)</f>
        <v>EM PRODUÇÃO</v>
      </c>
      <c r="D439" s="337">
        <v>373495</v>
      </c>
      <c r="E439" s="336" t="s">
        <v>911</v>
      </c>
      <c r="F439" s="338">
        <v>3348</v>
      </c>
      <c r="G439" s="333">
        <v>3.7</v>
      </c>
      <c r="H439" s="299">
        <v>5.0894000000000004</v>
      </c>
      <c r="I439" s="247">
        <f t="shared" si="175"/>
        <v>18.830780000000001</v>
      </c>
      <c r="J439" s="248">
        <f t="shared" si="167"/>
        <v>63045.451440000004</v>
      </c>
      <c r="K439" s="248" t="e">
        <f>J439/_xlfn.XLOOKUP(A439,'Base de Dados'!D:D,'Base de Dados'!M:M)</f>
        <v>#DIV/0!</v>
      </c>
      <c r="L439" s="248" t="e">
        <f>K439*_xlfn.XLOOKUP(A439,'Base de Dados'!D:D,'Base de Dados'!N:N)</f>
        <v>#DIV/0!</v>
      </c>
      <c r="M439" s="250" t="e">
        <f t="shared" si="168"/>
        <v>#DIV/0!</v>
      </c>
      <c r="N439" s="251" t="e">
        <f t="shared" si="169"/>
        <v>#DIV/0!</v>
      </c>
      <c r="O439" s="252">
        <f t="shared" si="170"/>
        <v>-0.1</v>
      </c>
      <c r="P439" s="253" t="e">
        <f t="shared" si="171"/>
        <v>#DIV/0!</v>
      </c>
      <c r="Q439" s="252" t="e">
        <f t="shared" si="172"/>
        <v>#DIV/0!</v>
      </c>
      <c r="R439" s="252"/>
      <c r="S439" s="252" t="e">
        <f t="shared" si="173"/>
        <v>#DIV/0!</v>
      </c>
      <c r="T439" s="253"/>
      <c r="U439" s="252" t="e">
        <f t="shared" si="174"/>
        <v>#DIV/0!</v>
      </c>
      <c r="V439" s="290"/>
      <c r="W439" s="252"/>
    </row>
    <row r="440" spans="1:23" ht="15" customHeight="1" x14ac:dyDescent="0.3">
      <c r="A440" s="335" t="s">
        <v>474</v>
      </c>
      <c r="B440" s="244" t="str">
        <f>_xlfn.XLOOKUP(A440,'Base de Dados'!D:D,'Base de Dados'!B:B)</f>
        <v>TIMBRO SWISS SA</v>
      </c>
      <c r="C440" s="275" t="str">
        <f>_xlfn.XLOOKUP(PRECIFICAÇÃO[[#This Row],[INVOICE]],'Base de Dados'!D:D,'Base de Dados'!X:X)</f>
        <v>EM PRODUÇÃO</v>
      </c>
      <c r="D440" s="340">
        <v>373501</v>
      </c>
      <c r="E440" s="339" t="s">
        <v>917</v>
      </c>
      <c r="F440" s="341">
        <v>660</v>
      </c>
      <c r="G440" s="334">
        <v>7.83</v>
      </c>
      <c r="H440" s="299">
        <v>5.0894000000000004</v>
      </c>
      <c r="I440" s="257">
        <f t="shared" si="175"/>
        <v>39.850002000000003</v>
      </c>
      <c r="J440" s="258">
        <f t="shared" si="167"/>
        <v>26301.001320000003</v>
      </c>
      <c r="K440" s="258" t="e">
        <f>J440/_xlfn.XLOOKUP(A440,'Base de Dados'!D:D,'Base de Dados'!M:M)</f>
        <v>#DIV/0!</v>
      </c>
      <c r="L440" s="258" t="e">
        <f>K440*_xlfn.XLOOKUP(A440,'Base de Dados'!D:D,'Base de Dados'!N:N)</f>
        <v>#DIV/0!</v>
      </c>
      <c r="M440" s="260" t="e">
        <f t="shared" si="168"/>
        <v>#DIV/0!</v>
      </c>
      <c r="N440" s="261" t="e">
        <f t="shared" si="169"/>
        <v>#DIV/0!</v>
      </c>
      <c r="O440" s="262">
        <f t="shared" si="170"/>
        <v>-0.1</v>
      </c>
      <c r="P440" s="263" t="e">
        <f t="shared" si="171"/>
        <v>#DIV/0!</v>
      </c>
      <c r="Q440" s="262" t="e">
        <f t="shared" si="172"/>
        <v>#DIV/0!</v>
      </c>
      <c r="R440" s="262"/>
      <c r="S440" s="262" t="e">
        <f t="shared" si="173"/>
        <v>#DIV/0!</v>
      </c>
      <c r="T440" s="263"/>
      <c r="U440" s="262" t="e">
        <f t="shared" si="174"/>
        <v>#DIV/0!</v>
      </c>
      <c r="V440" s="292"/>
      <c r="W440" s="262"/>
    </row>
    <row r="441" spans="1:23" ht="15" customHeight="1" x14ac:dyDescent="0.3">
      <c r="H441" s="326"/>
    </row>
    <row r="442" spans="1:23" ht="15" customHeight="1" x14ac:dyDescent="0.3">
      <c r="H442" s="326"/>
    </row>
    <row r="443" spans="1:23" ht="15" customHeight="1" x14ac:dyDescent="0.3">
      <c r="H443" s="326"/>
    </row>
    <row r="444" spans="1:23" ht="15" customHeight="1" x14ac:dyDescent="0.3">
      <c r="H444" s="326"/>
    </row>
    <row r="445" spans="1:23" ht="15" customHeight="1" x14ac:dyDescent="0.3">
      <c r="H445" s="326"/>
    </row>
    <row r="446" spans="1:23" ht="15" customHeight="1" x14ac:dyDescent="0.3">
      <c r="H446" s="326"/>
    </row>
    <row r="447" spans="1:23" ht="15" customHeight="1" x14ac:dyDescent="0.3">
      <c r="H447" s="326"/>
    </row>
    <row r="448" spans="1:23" ht="15" customHeight="1" x14ac:dyDescent="0.3">
      <c r="H448" s="326"/>
    </row>
    <row r="449" spans="8:8" ht="15" customHeight="1" x14ac:dyDescent="0.3">
      <c r="H449" s="326"/>
    </row>
    <row r="450" spans="8:8" ht="15" customHeight="1" x14ac:dyDescent="0.3">
      <c r="H450" s="326"/>
    </row>
    <row r="451" spans="8:8" ht="15" customHeight="1" x14ac:dyDescent="0.3">
      <c r="H451" s="326"/>
    </row>
    <row r="452" spans="8:8" ht="15" customHeight="1" x14ac:dyDescent="0.3">
      <c r="H452" s="326"/>
    </row>
    <row r="453" spans="8:8" ht="15" customHeight="1" x14ac:dyDescent="0.3">
      <c r="H453" s="326"/>
    </row>
    <row r="454" spans="8:8" ht="15" customHeight="1" x14ac:dyDescent="0.3">
      <c r="H454" s="326"/>
    </row>
    <row r="455" spans="8:8" ht="15" customHeight="1" x14ac:dyDescent="0.3">
      <c r="H455" s="326"/>
    </row>
    <row r="456" spans="8:8" ht="15" customHeight="1" x14ac:dyDescent="0.3">
      <c r="H456" s="326"/>
    </row>
    <row r="457" spans="8:8" ht="15" customHeight="1" x14ac:dyDescent="0.3">
      <c r="H457" s="326"/>
    </row>
    <row r="458" spans="8:8" ht="15" customHeight="1" x14ac:dyDescent="0.3">
      <c r="H458" s="326"/>
    </row>
    <row r="459" spans="8:8" ht="15" customHeight="1" x14ac:dyDescent="0.3">
      <c r="H459" s="326"/>
    </row>
  </sheetData>
  <pageMargins left="0.7" right="0.7" top="0.75" bottom="0.75" header="0.3" footer="0.3"/>
  <ignoredErrors>
    <ignoredError sqref="C56" calculatedColumn="1"/>
    <ignoredError sqref="G418" formulaRange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DD1C-0611-425C-B510-3076A0B042D0}">
  <sheetPr>
    <tabColor theme="9" tint="0.59999389629810485"/>
  </sheetPr>
  <dimension ref="A1:F630"/>
  <sheetViews>
    <sheetView workbookViewId="0">
      <pane ySplit="1" topLeftCell="A2" activePane="bottomLeft" state="frozen"/>
      <selection pane="bottomLeft" activeCell="F29" sqref="F29"/>
    </sheetView>
  </sheetViews>
  <sheetFormatPr defaultRowHeight="14.4" x14ac:dyDescent="0.3"/>
  <cols>
    <col min="1" max="1" width="10.88671875" bestFit="1" customWidth="1"/>
    <col min="2" max="2" width="55" bestFit="1" customWidth="1"/>
    <col min="3" max="3" width="14" bestFit="1" customWidth="1"/>
    <col min="6" max="6" width="11.5546875" bestFit="1" customWidth="1"/>
    <col min="7" max="7" width="15" customWidth="1"/>
  </cols>
  <sheetData>
    <row r="1" spans="1:3" x14ac:dyDescent="0.3">
      <c r="A1" s="211" t="s">
        <v>1069</v>
      </c>
      <c r="B1" s="212" t="s">
        <v>1070</v>
      </c>
      <c r="C1" s="212" t="s">
        <v>1071</v>
      </c>
    </row>
    <row r="2" spans="1:3" x14ac:dyDescent="0.3">
      <c r="A2" s="213">
        <v>101001001</v>
      </c>
      <c r="B2" s="214" t="s">
        <v>1072</v>
      </c>
      <c r="C2" s="214">
        <v>0.47032477</v>
      </c>
    </row>
    <row r="3" spans="1:3" x14ac:dyDescent="0.3">
      <c r="A3" s="215">
        <v>101001002</v>
      </c>
      <c r="B3" s="216" t="s">
        <v>1073</v>
      </c>
      <c r="C3" s="216">
        <v>0.45176018299999998</v>
      </c>
    </row>
    <row r="4" spans="1:3" x14ac:dyDescent="0.3">
      <c r="A4" s="213">
        <v>101001003</v>
      </c>
      <c r="B4" s="214" t="s">
        <v>1074</v>
      </c>
      <c r="C4" s="214">
        <v>0.45176018299999998</v>
      </c>
    </row>
    <row r="5" spans="1:3" x14ac:dyDescent="0.3">
      <c r="A5" s="215">
        <v>101001004</v>
      </c>
      <c r="B5" s="216" t="s">
        <v>1075</v>
      </c>
      <c r="C5" s="216">
        <v>0.453914541</v>
      </c>
    </row>
    <row r="6" spans="1:3" x14ac:dyDescent="0.3">
      <c r="A6" s="213">
        <v>101001005</v>
      </c>
      <c r="B6" s="214" t="s">
        <v>1076</v>
      </c>
      <c r="C6" s="214">
        <v>0.44950633699999998</v>
      </c>
    </row>
    <row r="7" spans="1:3" x14ac:dyDescent="0.3">
      <c r="A7" s="215">
        <v>101001006</v>
      </c>
      <c r="B7" s="216" t="s">
        <v>1077</v>
      </c>
      <c r="C7" s="216">
        <v>0.45310314099999999</v>
      </c>
    </row>
    <row r="8" spans="1:3" x14ac:dyDescent="0.3">
      <c r="A8" s="213">
        <v>101001007</v>
      </c>
      <c r="B8" s="214" t="s">
        <v>1078</v>
      </c>
      <c r="C8" s="214">
        <v>0.44169724300000002</v>
      </c>
    </row>
    <row r="9" spans="1:3" x14ac:dyDescent="0.3">
      <c r="A9" s="215">
        <v>101001008</v>
      </c>
      <c r="B9" s="216" t="s">
        <v>1079</v>
      </c>
      <c r="C9" s="216">
        <v>0.44885696000000003</v>
      </c>
    </row>
    <row r="10" spans="1:3" x14ac:dyDescent="0.3">
      <c r="A10" s="213">
        <v>101001010</v>
      </c>
      <c r="B10" s="214" t="s">
        <v>1080</v>
      </c>
      <c r="C10" s="214">
        <v>0.56535850799999998</v>
      </c>
    </row>
    <row r="11" spans="1:3" x14ac:dyDescent="0.3">
      <c r="A11" s="215">
        <v>102001002</v>
      </c>
      <c r="B11" s="216" t="s">
        <v>1081</v>
      </c>
      <c r="C11" s="216">
        <v>0.56235845399999995</v>
      </c>
    </row>
    <row r="12" spans="1:3" x14ac:dyDescent="0.3">
      <c r="A12" s="213">
        <v>102001004</v>
      </c>
      <c r="B12" s="214" t="s">
        <v>1082</v>
      </c>
      <c r="C12" s="214">
        <v>0.57350834399999995</v>
      </c>
    </row>
    <row r="13" spans="1:3" x14ac:dyDescent="0.3">
      <c r="A13" s="215">
        <v>102001005</v>
      </c>
      <c r="B13" s="216" t="s">
        <v>1083</v>
      </c>
      <c r="C13" s="216">
        <v>0.530913211</v>
      </c>
    </row>
    <row r="14" spans="1:3" x14ac:dyDescent="0.3">
      <c r="A14" s="213">
        <v>102001006</v>
      </c>
      <c r="B14" s="214" t="s">
        <v>1084</v>
      </c>
      <c r="C14" s="214">
        <v>0.59381135900000004</v>
      </c>
    </row>
    <row r="15" spans="1:3" x14ac:dyDescent="0.3">
      <c r="A15" s="215">
        <v>102001007</v>
      </c>
      <c r="B15" s="216" t="s">
        <v>1085</v>
      </c>
      <c r="C15" s="216">
        <v>0.67646998999999997</v>
      </c>
    </row>
    <row r="16" spans="1:3" x14ac:dyDescent="0.3">
      <c r="A16" s="213">
        <v>102001008</v>
      </c>
      <c r="B16" s="214" t="s">
        <v>1086</v>
      </c>
      <c r="C16" s="214">
        <v>0.69763375699999997</v>
      </c>
    </row>
    <row r="17" spans="1:6" x14ac:dyDescent="0.3">
      <c r="A17" s="215">
        <v>102001009</v>
      </c>
      <c r="B17" s="216" t="s">
        <v>1087</v>
      </c>
      <c r="C17" s="216">
        <v>0.448585503</v>
      </c>
    </row>
    <row r="18" spans="1:6" x14ac:dyDescent="0.3">
      <c r="A18" s="213">
        <v>102001010</v>
      </c>
      <c r="B18" s="214" t="s">
        <v>1088</v>
      </c>
      <c r="C18" s="214">
        <v>0.60131918100000004</v>
      </c>
    </row>
    <row r="19" spans="1:6" x14ac:dyDescent="0.3">
      <c r="A19" s="215">
        <v>102001011</v>
      </c>
      <c r="B19" s="216" t="s">
        <v>1089</v>
      </c>
      <c r="C19" s="216">
        <v>0.57776793500000001</v>
      </c>
    </row>
    <row r="20" spans="1:6" x14ac:dyDescent="0.3">
      <c r="A20" s="213">
        <v>102001013</v>
      </c>
      <c r="B20" s="214" t="s">
        <v>1090</v>
      </c>
      <c r="C20" s="214">
        <v>0.59237894300000005</v>
      </c>
    </row>
    <row r="21" spans="1:6" x14ac:dyDescent="0.3">
      <c r="A21" s="215">
        <v>102001014</v>
      </c>
      <c r="B21" s="216" t="s">
        <v>611</v>
      </c>
      <c r="C21" s="216">
        <v>0.558156965</v>
      </c>
    </row>
    <row r="22" spans="1:6" x14ac:dyDescent="0.3">
      <c r="A22" s="213">
        <v>102001015</v>
      </c>
      <c r="B22" s="214" t="s">
        <v>1091</v>
      </c>
      <c r="C22" s="214">
        <v>0.558156965</v>
      </c>
    </row>
    <row r="23" spans="1:6" x14ac:dyDescent="0.3">
      <c r="A23" s="215">
        <v>102001016</v>
      </c>
      <c r="B23" s="216" t="s">
        <v>1092</v>
      </c>
      <c r="C23" s="216">
        <v>0.54858259499999995</v>
      </c>
    </row>
    <row r="24" spans="1:6" x14ac:dyDescent="0.3">
      <c r="A24" s="213">
        <v>102001017</v>
      </c>
      <c r="B24" s="214" t="s">
        <v>1093</v>
      </c>
      <c r="C24" s="214">
        <v>0.558156965</v>
      </c>
    </row>
    <row r="25" spans="1:6" x14ac:dyDescent="0.3">
      <c r="A25" s="215">
        <v>102001020</v>
      </c>
      <c r="B25" s="216" t="s">
        <v>1094</v>
      </c>
      <c r="C25" s="216">
        <v>0.67646998999999997</v>
      </c>
    </row>
    <row r="26" spans="1:6" x14ac:dyDescent="0.3">
      <c r="A26" s="213">
        <v>102001021</v>
      </c>
      <c r="B26" s="214" t="s">
        <v>1095</v>
      </c>
      <c r="C26" s="214">
        <v>0.58363570799999998</v>
      </c>
    </row>
    <row r="27" spans="1:6" x14ac:dyDescent="0.3">
      <c r="A27" s="215">
        <v>104001001</v>
      </c>
      <c r="B27" s="216" t="s">
        <v>1096</v>
      </c>
      <c r="C27" s="216">
        <v>0.53078379399999998</v>
      </c>
    </row>
    <row r="28" spans="1:6" x14ac:dyDescent="0.3">
      <c r="A28" s="213">
        <v>104001002</v>
      </c>
      <c r="B28" s="214" t="s">
        <v>1097</v>
      </c>
      <c r="C28" s="214">
        <v>0.54297121100000001</v>
      </c>
      <c r="F28" t="s">
        <v>1098</v>
      </c>
    </row>
    <row r="29" spans="1:6" x14ac:dyDescent="0.3">
      <c r="A29" s="215">
        <v>104001003</v>
      </c>
      <c r="B29" s="216" t="s">
        <v>1099</v>
      </c>
      <c r="C29" s="216">
        <v>0.55110035199999996</v>
      </c>
    </row>
    <row r="30" spans="1:6" x14ac:dyDescent="0.3">
      <c r="A30" s="213">
        <v>104001004</v>
      </c>
      <c r="B30" s="214" t="s">
        <v>1100</v>
      </c>
      <c r="C30" s="214">
        <v>0.53826745200000004</v>
      </c>
    </row>
    <row r="31" spans="1:6" x14ac:dyDescent="0.3">
      <c r="A31" s="215">
        <v>104001005</v>
      </c>
      <c r="B31" s="216" t="s">
        <v>1101</v>
      </c>
      <c r="C31" s="216">
        <v>0.52865553300000001</v>
      </c>
    </row>
    <row r="32" spans="1:6" x14ac:dyDescent="0.3">
      <c r="A32" s="213">
        <v>105001001</v>
      </c>
      <c r="B32" s="214" t="s">
        <v>1102</v>
      </c>
      <c r="C32" s="214">
        <v>0.422679421</v>
      </c>
    </row>
    <row r="33" spans="1:3" x14ac:dyDescent="0.3">
      <c r="A33" s="215">
        <v>105001002</v>
      </c>
      <c r="B33" s="216" t="s">
        <v>1103</v>
      </c>
      <c r="C33" s="216">
        <v>0.41647920700000002</v>
      </c>
    </row>
    <row r="34" spans="1:3" x14ac:dyDescent="0.3">
      <c r="A34" s="213">
        <v>105001003</v>
      </c>
      <c r="B34" s="214" t="s">
        <v>1104</v>
      </c>
      <c r="C34" s="214">
        <v>0.40834292700000002</v>
      </c>
    </row>
    <row r="35" spans="1:3" x14ac:dyDescent="0.3">
      <c r="A35" s="215">
        <v>105001004</v>
      </c>
      <c r="B35" s="216" t="s">
        <v>1105</v>
      </c>
      <c r="C35" s="216">
        <v>0.45424367999999998</v>
      </c>
    </row>
    <row r="36" spans="1:3" x14ac:dyDescent="0.3">
      <c r="A36" s="213">
        <v>105001005</v>
      </c>
      <c r="B36" s="214" t="s">
        <v>1106</v>
      </c>
      <c r="C36" s="214">
        <v>0.44412892399999998</v>
      </c>
    </row>
    <row r="37" spans="1:3" x14ac:dyDescent="0.3">
      <c r="A37" s="215">
        <v>105001006</v>
      </c>
      <c r="B37" s="216" t="s">
        <v>1107</v>
      </c>
      <c r="C37" s="216">
        <v>0.42451601799999999</v>
      </c>
    </row>
    <row r="38" spans="1:3" x14ac:dyDescent="0.3">
      <c r="A38" s="213">
        <v>105001007</v>
      </c>
      <c r="B38" s="214" t="s">
        <v>1108</v>
      </c>
      <c r="C38" s="214">
        <v>0.41983074500000001</v>
      </c>
    </row>
    <row r="39" spans="1:3" x14ac:dyDescent="0.3">
      <c r="A39" s="215">
        <v>105001008</v>
      </c>
      <c r="B39" s="216" t="s">
        <v>1109</v>
      </c>
      <c r="C39" s="216">
        <v>0.49088069200000001</v>
      </c>
    </row>
    <row r="40" spans="1:3" x14ac:dyDescent="0.3">
      <c r="A40" s="213">
        <v>105001009</v>
      </c>
      <c r="B40" s="214" t="s">
        <v>1110</v>
      </c>
      <c r="C40" s="214">
        <v>0.41453447500000001</v>
      </c>
    </row>
    <row r="41" spans="1:3" x14ac:dyDescent="0.3">
      <c r="A41" s="215">
        <v>105001010</v>
      </c>
      <c r="B41" s="216" t="s">
        <v>1111</v>
      </c>
      <c r="C41" s="216">
        <v>0.42143844600000002</v>
      </c>
    </row>
    <row r="42" spans="1:3" x14ac:dyDescent="0.3">
      <c r="A42" s="213">
        <v>105001011</v>
      </c>
      <c r="B42" s="214" t="s">
        <v>1112</v>
      </c>
      <c r="C42" s="214">
        <v>0.46633015300000003</v>
      </c>
    </row>
    <row r="43" spans="1:3" x14ac:dyDescent="0.3">
      <c r="A43" s="215">
        <v>105001012</v>
      </c>
      <c r="B43" s="216" t="s">
        <v>1113</v>
      </c>
      <c r="C43" s="216">
        <v>0.47344591800000002</v>
      </c>
    </row>
    <row r="44" spans="1:3" x14ac:dyDescent="0.3">
      <c r="A44" s="213">
        <v>105001013</v>
      </c>
      <c r="B44" s="214" t="s">
        <v>1114</v>
      </c>
      <c r="C44" s="214">
        <v>0.53752958500000003</v>
      </c>
    </row>
    <row r="45" spans="1:3" x14ac:dyDescent="0.3">
      <c r="A45" s="215">
        <v>105001014</v>
      </c>
      <c r="B45" s="216" t="s">
        <v>1115</v>
      </c>
      <c r="C45" s="216">
        <v>0.42934604999999998</v>
      </c>
    </row>
    <row r="46" spans="1:3" x14ac:dyDescent="0.3">
      <c r="A46" s="213">
        <v>105001015</v>
      </c>
      <c r="B46" s="214" t="s">
        <v>1116</v>
      </c>
      <c r="C46" s="214">
        <v>0.49414874399999997</v>
      </c>
    </row>
    <row r="47" spans="1:3" x14ac:dyDescent="0.3">
      <c r="A47" s="215">
        <v>105001016</v>
      </c>
      <c r="B47" s="216" t="s">
        <v>1117</v>
      </c>
      <c r="C47" s="216">
        <v>0.44860399899999998</v>
      </c>
    </row>
    <row r="48" spans="1:3" x14ac:dyDescent="0.3">
      <c r="A48" s="213">
        <v>105001017</v>
      </c>
      <c r="B48" s="214" t="s">
        <v>1118</v>
      </c>
      <c r="C48" s="214">
        <v>0.37724859399999999</v>
      </c>
    </row>
    <row r="49" spans="1:3" x14ac:dyDescent="0.3">
      <c r="A49" s="215">
        <v>105001018</v>
      </c>
      <c r="B49" s="216" t="s">
        <v>1119</v>
      </c>
      <c r="C49" s="216">
        <v>0.45052035499999998</v>
      </c>
    </row>
    <row r="50" spans="1:3" x14ac:dyDescent="0.3">
      <c r="A50" s="213">
        <v>105001019</v>
      </c>
      <c r="B50" s="214" t="s">
        <v>1120</v>
      </c>
      <c r="C50" s="214">
        <v>0.65361047699999997</v>
      </c>
    </row>
    <row r="51" spans="1:3" x14ac:dyDescent="0.3">
      <c r="A51" s="215">
        <v>105001020</v>
      </c>
      <c r="B51" s="216" t="s">
        <v>1121</v>
      </c>
      <c r="C51" s="216">
        <v>0.72195122</v>
      </c>
    </row>
    <row r="52" spans="1:3" x14ac:dyDescent="0.3">
      <c r="A52" s="213">
        <v>105003001</v>
      </c>
      <c r="B52" s="214" t="s">
        <v>1122</v>
      </c>
      <c r="C52" s="214">
        <v>0.55479364900000006</v>
      </c>
    </row>
    <row r="53" spans="1:3" x14ac:dyDescent="0.3">
      <c r="A53" s="215">
        <v>105003002</v>
      </c>
      <c r="B53" s="216" t="s">
        <v>1123</v>
      </c>
      <c r="C53" s="216">
        <v>0.57733934399999998</v>
      </c>
    </row>
    <row r="54" spans="1:3" x14ac:dyDescent="0.3">
      <c r="A54" s="213">
        <v>105003003</v>
      </c>
      <c r="B54" s="214" t="s">
        <v>1124</v>
      </c>
      <c r="C54" s="214">
        <v>0.56540009099999999</v>
      </c>
    </row>
    <row r="55" spans="1:3" x14ac:dyDescent="0.3">
      <c r="A55" s="215">
        <v>107001001</v>
      </c>
      <c r="B55" s="216" t="s">
        <v>1125</v>
      </c>
      <c r="C55" s="216">
        <v>0.48131639799999998</v>
      </c>
    </row>
    <row r="56" spans="1:3" x14ac:dyDescent="0.3">
      <c r="A56" s="213">
        <v>107001002</v>
      </c>
      <c r="B56" s="214" t="s">
        <v>664</v>
      </c>
      <c r="C56" s="214">
        <v>0.54397838799999998</v>
      </c>
    </row>
    <row r="57" spans="1:3" x14ac:dyDescent="0.3">
      <c r="A57" s="215">
        <v>107001003</v>
      </c>
      <c r="B57" s="216" t="s">
        <v>534</v>
      </c>
      <c r="C57" s="216">
        <v>0.47256425400000002</v>
      </c>
    </row>
    <row r="58" spans="1:3" x14ac:dyDescent="0.3">
      <c r="A58" s="213">
        <v>107001004</v>
      </c>
      <c r="B58" s="214" t="s">
        <v>563</v>
      </c>
      <c r="C58" s="214">
        <v>0.462318073</v>
      </c>
    </row>
    <row r="59" spans="1:3" x14ac:dyDescent="0.3">
      <c r="A59" s="215">
        <v>107001005</v>
      </c>
      <c r="B59" s="216" t="s">
        <v>640</v>
      </c>
      <c r="C59" s="216">
        <v>0.56806440000000002</v>
      </c>
    </row>
    <row r="60" spans="1:3" x14ac:dyDescent="0.3">
      <c r="A60" s="213">
        <v>107001006</v>
      </c>
      <c r="B60" s="214" t="s">
        <v>1126</v>
      </c>
      <c r="C60" s="214">
        <v>0.47420401299999998</v>
      </c>
    </row>
    <row r="61" spans="1:3" x14ac:dyDescent="0.3">
      <c r="A61" s="215">
        <v>107001007</v>
      </c>
      <c r="B61" s="216" t="s">
        <v>1127</v>
      </c>
      <c r="C61" s="216">
        <v>0.48146101200000002</v>
      </c>
    </row>
    <row r="62" spans="1:3" x14ac:dyDescent="0.3">
      <c r="A62" s="213">
        <v>107001008</v>
      </c>
      <c r="B62" s="214" t="s">
        <v>1128</v>
      </c>
      <c r="C62" s="214">
        <v>0.470022828</v>
      </c>
    </row>
    <row r="63" spans="1:3" x14ac:dyDescent="0.3">
      <c r="A63" s="215">
        <v>107001009</v>
      </c>
      <c r="B63" s="216" t="s">
        <v>593</v>
      </c>
      <c r="C63" s="216">
        <v>0.48126877299999998</v>
      </c>
    </row>
    <row r="64" spans="1:3" x14ac:dyDescent="0.3">
      <c r="A64" s="213">
        <v>107001010</v>
      </c>
      <c r="B64" s="214" t="s">
        <v>1129</v>
      </c>
      <c r="C64" s="214">
        <v>0.56806829299999995</v>
      </c>
    </row>
    <row r="65" spans="1:3" x14ac:dyDescent="0.3">
      <c r="A65" s="215">
        <v>107001011</v>
      </c>
      <c r="B65" s="216" t="s">
        <v>1130</v>
      </c>
      <c r="C65" s="216">
        <v>0.56806829299999995</v>
      </c>
    </row>
    <row r="66" spans="1:3" x14ac:dyDescent="0.3">
      <c r="A66" s="213">
        <v>107002001</v>
      </c>
      <c r="B66" s="214" t="s">
        <v>1131</v>
      </c>
      <c r="C66" s="214">
        <v>0.48131707299999998</v>
      </c>
    </row>
    <row r="67" spans="1:3" x14ac:dyDescent="0.3">
      <c r="A67" s="215">
        <v>107002003</v>
      </c>
      <c r="B67" s="216" t="s">
        <v>1132</v>
      </c>
      <c r="C67" s="216">
        <v>0.48131707299999998</v>
      </c>
    </row>
    <row r="68" spans="1:3" x14ac:dyDescent="0.3">
      <c r="A68" s="213">
        <v>108001001</v>
      </c>
      <c r="B68" s="214" t="s">
        <v>1133</v>
      </c>
      <c r="C68" s="214">
        <v>0.638019432</v>
      </c>
    </row>
    <row r="69" spans="1:3" x14ac:dyDescent="0.3">
      <c r="A69" s="215">
        <v>108001002</v>
      </c>
      <c r="B69" s="216" t="s">
        <v>1134</v>
      </c>
      <c r="C69" s="216">
        <v>0.43580312599999999</v>
      </c>
    </row>
    <row r="70" spans="1:3" x14ac:dyDescent="0.3">
      <c r="A70" s="213">
        <v>108001003</v>
      </c>
      <c r="B70" s="214" t="s">
        <v>1135</v>
      </c>
      <c r="C70" s="214">
        <v>0.70239830599999997</v>
      </c>
    </row>
    <row r="71" spans="1:3" x14ac:dyDescent="0.3">
      <c r="A71" s="215">
        <v>108001004</v>
      </c>
      <c r="B71" s="216" t="s">
        <v>1136</v>
      </c>
      <c r="C71" s="216">
        <v>0.53701463400000005</v>
      </c>
    </row>
    <row r="72" spans="1:3" x14ac:dyDescent="0.3">
      <c r="A72" s="213">
        <v>109001001</v>
      </c>
      <c r="B72" s="214" t="s">
        <v>1137</v>
      </c>
      <c r="C72" s="214">
        <v>0.50124085900000004</v>
      </c>
    </row>
    <row r="73" spans="1:3" x14ac:dyDescent="0.3">
      <c r="A73" s="215">
        <v>109001002</v>
      </c>
      <c r="B73" s="216" t="s">
        <v>1138</v>
      </c>
      <c r="C73" s="216">
        <v>0.52384850900000002</v>
      </c>
    </row>
    <row r="74" spans="1:3" x14ac:dyDescent="0.3">
      <c r="A74" s="213">
        <v>109001003</v>
      </c>
      <c r="B74" s="214" t="s">
        <v>1139</v>
      </c>
      <c r="C74" s="214">
        <v>0.508381258</v>
      </c>
    </row>
    <row r="75" spans="1:3" x14ac:dyDescent="0.3">
      <c r="A75" s="215">
        <v>109001004</v>
      </c>
      <c r="B75" s="216" t="s">
        <v>1140</v>
      </c>
      <c r="C75" s="216">
        <v>0.49097681100000001</v>
      </c>
    </row>
    <row r="76" spans="1:3" x14ac:dyDescent="0.3">
      <c r="A76" s="213">
        <v>109001005</v>
      </c>
      <c r="B76" s="214" t="s">
        <v>1141</v>
      </c>
      <c r="C76" s="214">
        <v>0.49712843899999998</v>
      </c>
    </row>
    <row r="77" spans="1:3" x14ac:dyDescent="0.3">
      <c r="A77" s="215">
        <v>109001006</v>
      </c>
      <c r="B77" s="216" t="s">
        <v>1142</v>
      </c>
      <c r="C77" s="216">
        <v>0.50838048800000002</v>
      </c>
    </row>
    <row r="78" spans="1:3" x14ac:dyDescent="0.3">
      <c r="A78" s="213">
        <v>109001007</v>
      </c>
      <c r="B78" s="214" t="s">
        <v>1143</v>
      </c>
      <c r="C78" s="214">
        <v>0.50838048800000002</v>
      </c>
    </row>
    <row r="79" spans="1:3" x14ac:dyDescent="0.3">
      <c r="A79" s="215">
        <v>109002001</v>
      </c>
      <c r="B79" s="216" t="s">
        <v>1144</v>
      </c>
      <c r="C79" s="216">
        <v>0.49549596000000001</v>
      </c>
    </row>
    <row r="80" spans="1:3" x14ac:dyDescent="0.3">
      <c r="A80" s="213">
        <v>109002002</v>
      </c>
      <c r="B80" s="214" t="s">
        <v>1145</v>
      </c>
      <c r="C80" s="214">
        <v>0.52411247400000005</v>
      </c>
    </row>
    <row r="81" spans="1:3" x14ac:dyDescent="0.3">
      <c r="A81" s="215">
        <v>109002003</v>
      </c>
      <c r="B81" s="216" t="s">
        <v>1146</v>
      </c>
      <c r="C81" s="216">
        <v>0.52384689100000004</v>
      </c>
    </row>
    <row r="82" spans="1:3" x14ac:dyDescent="0.3">
      <c r="A82" s="213">
        <v>109002004</v>
      </c>
      <c r="B82" s="214" t="s">
        <v>1147</v>
      </c>
      <c r="C82" s="214">
        <v>0.49857022699999998</v>
      </c>
    </row>
    <row r="83" spans="1:3" x14ac:dyDescent="0.3">
      <c r="A83" s="215">
        <v>109002005</v>
      </c>
      <c r="B83" s="216" t="s">
        <v>1148</v>
      </c>
      <c r="C83" s="216">
        <v>0.48751652000000001</v>
      </c>
    </row>
    <row r="84" spans="1:3" x14ac:dyDescent="0.3">
      <c r="A84" s="213">
        <v>109002006</v>
      </c>
      <c r="B84" s="214" t="s">
        <v>1149</v>
      </c>
      <c r="C84" s="214">
        <v>0.50991229100000002</v>
      </c>
    </row>
    <row r="85" spans="1:3" x14ac:dyDescent="0.3">
      <c r="A85" s="215">
        <v>109003001</v>
      </c>
      <c r="B85" s="216" t="s">
        <v>1150</v>
      </c>
      <c r="C85" s="216">
        <v>0.48267513200000001</v>
      </c>
    </row>
    <row r="86" spans="1:3" x14ac:dyDescent="0.3">
      <c r="A86" s="213">
        <v>109003002</v>
      </c>
      <c r="B86" s="214" t="s">
        <v>1151</v>
      </c>
      <c r="C86" s="214">
        <v>0.50763487100000004</v>
      </c>
    </row>
    <row r="87" spans="1:3" x14ac:dyDescent="0.3">
      <c r="A87" s="215">
        <v>109004001</v>
      </c>
      <c r="B87" s="216" t="s">
        <v>1152</v>
      </c>
      <c r="C87" s="216">
        <v>0.48444611599999998</v>
      </c>
    </row>
    <row r="88" spans="1:3" x14ac:dyDescent="0.3">
      <c r="A88" s="213">
        <v>109004002</v>
      </c>
      <c r="B88" s="214" t="s">
        <v>1153</v>
      </c>
      <c r="C88" s="214">
        <v>0.48022229500000002</v>
      </c>
    </row>
    <row r="89" spans="1:3" x14ac:dyDescent="0.3">
      <c r="A89" s="215">
        <v>109004003</v>
      </c>
      <c r="B89" s="216" t="s">
        <v>1154</v>
      </c>
      <c r="C89" s="216">
        <v>0.48742563</v>
      </c>
    </row>
    <row r="90" spans="1:3" x14ac:dyDescent="0.3">
      <c r="A90" s="213">
        <v>109004004</v>
      </c>
      <c r="B90" s="214" t="s">
        <v>1155</v>
      </c>
      <c r="C90" s="214">
        <v>0.48444878000000002</v>
      </c>
    </row>
    <row r="91" spans="1:3" x14ac:dyDescent="0.3">
      <c r="A91" s="215">
        <v>109004005</v>
      </c>
      <c r="B91" s="216" t="s">
        <v>1156</v>
      </c>
      <c r="C91" s="216">
        <v>0.48022439</v>
      </c>
    </row>
    <row r="92" spans="1:3" x14ac:dyDescent="0.3">
      <c r="A92" s="213">
        <v>109004006</v>
      </c>
      <c r="B92" s="214" t="s">
        <v>184</v>
      </c>
      <c r="C92" s="214">
        <v>0.48444878000000002</v>
      </c>
    </row>
    <row r="93" spans="1:3" x14ac:dyDescent="0.3">
      <c r="A93" s="215">
        <v>109004007</v>
      </c>
      <c r="B93" s="216" t="s">
        <v>1157</v>
      </c>
      <c r="C93" s="216">
        <v>0.48444878000000002</v>
      </c>
    </row>
    <row r="94" spans="1:3" x14ac:dyDescent="0.3">
      <c r="A94" s="213">
        <v>110001001</v>
      </c>
      <c r="B94" s="214" t="s">
        <v>1158</v>
      </c>
      <c r="C94" s="214">
        <v>0.48933465300000001</v>
      </c>
    </row>
    <row r="95" spans="1:3" x14ac:dyDescent="0.3">
      <c r="A95" s="215">
        <v>110001002</v>
      </c>
      <c r="B95" s="216" t="s">
        <v>1159</v>
      </c>
      <c r="C95" s="216">
        <v>0.472449338</v>
      </c>
    </row>
    <row r="96" spans="1:3" x14ac:dyDescent="0.3">
      <c r="A96" s="213">
        <v>110001003</v>
      </c>
      <c r="B96" s="214" t="s">
        <v>1160</v>
      </c>
      <c r="C96" s="214">
        <v>0.48434458699999999</v>
      </c>
    </row>
    <row r="97" spans="1:3" x14ac:dyDescent="0.3">
      <c r="A97" s="215">
        <v>110001004</v>
      </c>
      <c r="B97" s="216" t="s">
        <v>513</v>
      </c>
      <c r="C97" s="216">
        <v>0.499111376</v>
      </c>
    </row>
    <row r="98" spans="1:3" x14ac:dyDescent="0.3">
      <c r="A98" s="213">
        <v>110001005</v>
      </c>
      <c r="B98" s="214" t="s">
        <v>1161</v>
      </c>
      <c r="C98" s="214">
        <v>0.50206709000000005</v>
      </c>
    </row>
    <row r="99" spans="1:3" x14ac:dyDescent="0.3">
      <c r="A99" s="215">
        <v>110001006</v>
      </c>
      <c r="B99" s="216" t="s">
        <v>963</v>
      </c>
      <c r="C99" s="216">
        <v>0.47159603500000002</v>
      </c>
    </row>
    <row r="100" spans="1:3" x14ac:dyDescent="0.3">
      <c r="A100" s="213">
        <v>110001007</v>
      </c>
      <c r="B100" s="214" t="s">
        <v>1162</v>
      </c>
      <c r="C100" s="214">
        <v>0.48232608399999999</v>
      </c>
    </row>
    <row r="101" spans="1:3" x14ac:dyDescent="0.3">
      <c r="A101" s="215">
        <v>110001008</v>
      </c>
      <c r="B101" s="216" t="s">
        <v>1163</v>
      </c>
      <c r="C101" s="216">
        <v>0.45736732499999999</v>
      </c>
    </row>
    <row r="102" spans="1:3" x14ac:dyDescent="0.3">
      <c r="A102" s="213">
        <v>110001009</v>
      </c>
      <c r="B102" s="214" t="s">
        <v>512</v>
      </c>
      <c r="C102" s="214">
        <v>0.49043670099999997</v>
      </c>
    </row>
    <row r="103" spans="1:3" x14ac:dyDescent="0.3">
      <c r="A103" s="215">
        <v>110001010</v>
      </c>
      <c r="B103" s="216" t="s">
        <v>1164</v>
      </c>
      <c r="C103" s="216">
        <v>0.50203051799999998</v>
      </c>
    </row>
    <row r="104" spans="1:3" x14ac:dyDescent="0.3">
      <c r="A104" s="213">
        <v>110001011</v>
      </c>
      <c r="B104" s="214" t="s">
        <v>1165</v>
      </c>
      <c r="C104" s="214">
        <v>0.490439024</v>
      </c>
    </row>
    <row r="105" spans="1:3" x14ac:dyDescent="0.3">
      <c r="A105" s="215">
        <v>110001012</v>
      </c>
      <c r="B105" s="216" t="s">
        <v>1166</v>
      </c>
      <c r="C105" s="216">
        <v>0.47160000000000002</v>
      </c>
    </row>
    <row r="106" spans="1:3" x14ac:dyDescent="0.3">
      <c r="A106" s="213">
        <v>110002001</v>
      </c>
      <c r="B106" s="214" t="s">
        <v>1167</v>
      </c>
      <c r="C106" s="214">
        <v>0.41681199400000002</v>
      </c>
    </row>
    <row r="107" spans="1:3" x14ac:dyDescent="0.3">
      <c r="A107" s="215">
        <v>110002002</v>
      </c>
      <c r="B107" s="216" t="s">
        <v>1168</v>
      </c>
      <c r="C107" s="216">
        <v>0.41774119500000001</v>
      </c>
    </row>
    <row r="108" spans="1:3" x14ac:dyDescent="0.3">
      <c r="A108" s="213">
        <v>110002003</v>
      </c>
      <c r="B108" s="214" t="s">
        <v>1169</v>
      </c>
      <c r="C108" s="214">
        <v>0.41774119500000001</v>
      </c>
    </row>
    <row r="109" spans="1:3" x14ac:dyDescent="0.3">
      <c r="A109" s="215">
        <v>110002004</v>
      </c>
      <c r="B109" s="216" t="s">
        <v>1170</v>
      </c>
      <c r="C109" s="216">
        <v>0.48477673599999999</v>
      </c>
    </row>
    <row r="110" spans="1:3" x14ac:dyDescent="0.3">
      <c r="A110" s="213">
        <v>110002005</v>
      </c>
      <c r="B110" s="214" t="s">
        <v>1171</v>
      </c>
      <c r="C110" s="214">
        <v>0.47098402</v>
      </c>
    </row>
    <row r="111" spans="1:3" x14ac:dyDescent="0.3">
      <c r="A111" s="215">
        <v>110002006</v>
      </c>
      <c r="B111" s="216" t="s">
        <v>1172</v>
      </c>
      <c r="C111" s="216">
        <v>0.57671512700000005</v>
      </c>
    </row>
    <row r="112" spans="1:3" x14ac:dyDescent="0.3">
      <c r="A112" s="213">
        <v>110002007</v>
      </c>
      <c r="B112" s="214" t="s">
        <v>1173</v>
      </c>
      <c r="C112" s="214">
        <v>0.71128199000000003</v>
      </c>
    </row>
    <row r="113" spans="1:3" x14ac:dyDescent="0.3">
      <c r="A113" s="215">
        <v>110002009</v>
      </c>
      <c r="B113" s="216" t="s">
        <v>1174</v>
      </c>
      <c r="C113" s="216">
        <v>0.54595698699999995</v>
      </c>
    </row>
    <row r="114" spans="1:3" x14ac:dyDescent="0.3">
      <c r="A114" s="213">
        <v>110002010</v>
      </c>
      <c r="B114" s="214" t="s">
        <v>1175</v>
      </c>
      <c r="C114" s="214">
        <v>0.46406343900000002</v>
      </c>
    </row>
    <row r="115" spans="1:3" x14ac:dyDescent="0.3">
      <c r="A115" s="215">
        <v>111001001</v>
      </c>
      <c r="B115" s="216" t="s">
        <v>522</v>
      </c>
      <c r="C115" s="216">
        <v>0.46117986300000002</v>
      </c>
    </row>
    <row r="116" spans="1:3" x14ac:dyDescent="0.3">
      <c r="A116" s="213">
        <v>111001002</v>
      </c>
      <c r="B116" s="214" t="s">
        <v>1176</v>
      </c>
      <c r="C116" s="214">
        <v>0.48607473299999998</v>
      </c>
    </row>
    <row r="117" spans="1:3" x14ac:dyDescent="0.3">
      <c r="A117" s="215">
        <v>111001003</v>
      </c>
      <c r="B117" s="216" t="s">
        <v>1177</v>
      </c>
      <c r="C117" s="216">
        <v>0.50214251700000001</v>
      </c>
    </row>
    <row r="118" spans="1:3" x14ac:dyDescent="0.3">
      <c r="A118" s="213">
        <v>111001004</v>
      </c>
      <c r="B118" s="214" t="s">
        <v>628</v>
      </c>
      <c r="C118" s="214">
        <v>0.48578576899999998</v>
      </c>
    </row>
    <row r="119" spans="1:3" x14ac:dyDescent="0.3">
      <c r="A119" s="215">
        <v>111001005</v>
      </c>
      <c r="B119" s="216" t="s">
        <v>495</v>
      </c>
      <c r="C119" s="216">
        <v>0.48756698700000001</v>
      </c>
    </row>
    <row r="120" spans="1:3" x14ac:dyDescent="0.3">
      <c r="A120" s="213">
        <v>111001006</v>
      </c>
      <c r="B120" s="214" t="s">
        <v>1178</v>
      </c>
      <c r="C120" s="214">
        <v>0.47358881400000002</v>
      </c>
    </row>
    <row r="121" spans="1:3" x14ac:dyDescent="0.3">
      <c r="A121" s="215">
        <v>111001007</v>
      </c>
      <c r="B121" s="216" t="s">
        <v>1179</v>
      </c>
      <c r="C121" s="216">
        <v>0.45105500199999998</v>
      </c>
    </row>
    <row r="122" spans="1:3" x14ac:dyDescent="0.3">
      <c r="A122" s="213">
        <v>111001008</v>
      </c>
      <c r="B122" s="214" t="s">
        <v>1180</v>
      </c>
      <c r="C122" s="214">
        <v>0.49942089499999998</v>
      </c>
    </row>
    <row r="123" spans="1:3" x14ac:dyDescent="0.3">
      <c r="A123" s="215">
        <v>111001009</v>
      </c>
      <c r="B123" s="216" t="s">
        <v>1181</v>
      </c>
      <c r="C123" s="216">
        <v>0.48607473299999998</v>
      </c>
    </row>
    <row r="124" spans="1:3" x14ac:dyDescent="0.3">
      <c r="A124" s="213">
        <v>111001010</v>
      </c>
      <c r="B124" s="214" t="s">
        <v>519</v>
      </c>
      <c r="C124" s="214">
        <v>0.47607299800000002</v>
      </c>
    </row>
    <row r="125" spans="1:3" x14ac:dyDescent="0.3">
      <c r="A125" s="215">
        <v>111001011</v>
      </c>
      <c r="B125" s="216" t="s">
        <v>1182</v>
      </c>
      <c r="C125" s="216">
        <v>0.414273699</v>
      </c>
    </row>
    <row r="126" spans="1:3" x14ac:dyDescent="0.3">
      <c r="A126" s="213">
        <v>111001012</v>
      </c>
      <c r="B126" s="214" t="s">
        <v>493</v>
      </c>
      <c r="C126" s="214">
        <v>0.50729134799999998</v>
      </c>
    </row>
    <row r="127" spans="1:3" x14ac:dyDescent="0.3">
      <c r="A127" s="215">
        <v>111001013</v>
      </c>
      <c r="B127" s="216" t="s">
        <v>497</v>
      </c>
      <c r="C127" s="216">
        <v>0.52164525699999997</v>
      </c>
    </row>
    <row r="128" spans="1:3" x14ac:dyDescent="0.3">
      <c r="A128" s="213">
        <v>111001014</v>
      </c>
      <c r="B128" s="214" t="s">
        <v>1183</v>
      </c>
      <c r="C128" s="214">
        <v>0.47875792900000003</v>
      </c>
    </row>
    <row r="129" spans="1:3" x14ac:dyDescent="0.3">
      <c r="A129" s="215">
        <v>111001016</v>
      </c>
      <c r="B129" s="216" t="s">
        <v>941</v>
      </c>
      <c r="C129" s="216">
        <v>0.466770036</v>
      </c>
    </row>
    <row r="130" spans="1:3" x14ac:dyDescent="0.3">
      <c r="A130" s="213">
        <v>111001017</v>
      </c>
      <c r="B130" s="214" t="s">
        <v>976</v>
      </c>
      <c r="C130" s="214">
        <v>0.490207858</v>
      </c>
    </row>
    <row r="131" spans="1:3" x14ac:dyDescent="0.3">
      <c r="A131" s="215">
        <v>111001018</v>
      </c>
      <c r="B131" s="216" t="s">
        <v>1184</v>
      </c>
      <c r="C131" s="216">
        <v>0.51951372399999995</v>
      </c>
    </row>
    <row r="132" spans="1:3" x14ac:dyDescent="0.3">
      <c r="A132" s="213">
        <v>111001019</v>
      </c>
      <c r="B132" s="214" t="s">
        <v>525</v>
      </c>
      <c r="C132" s="214">
        <v>0.50981617199999996</v>
      </c>
    </row>
    <row r="133" spans="1:3" x14ac:dyDescent="0.3">
      <c r="A133" s="215">
        <v>111001020</v>
      </c>
      <c r="B133" s="216" t="s">
        <v>496</v>
      </c>
      <c r="C133" s="216">
        <v>0.507082335</v>
      </c>
    </row>
    <row r="134" spans="1:3" x14ac:dyDescent="0.3">
      <c r="A134" s="213">
        <v>111001021</v>
      </c>
      <c r="B134" s="214" t="s">
        <v>1185</v>
      </c>
      <c r="C134" s="214">
        <v>0.51952421000000004</v>
      </c>
    </row>
    <row r="135" spans="1:3" x14ac:dyDescent="0.3">
      <c r="A135" s="215">
        <v>111001022</v>
      </c>
      <c r="B135" s="216" t="s">
        <v>1186</v>
      </c>
      <c r="C135" s="216">
        <v>0.48749187199999999</v>
      </c>
    </row>
    <row r="136" spans="1:3" x14ac:dyDescent="0.3">
      <c r="A136" s="213">
        <v>111001023</v>
      </c>
      <c r="B136" s="214" t="s">
        <v>632</v>
      </c>
      <c r="C136" s="214">
        <v>0.49034954800000002</v>
      </c>
    </row>
    <row r="137" spans="1:3" x14ac:dyDescent="0.3">
      <c r="A137" s="215">
        <v>111001024</v>
      </c>
      <c r="B137" s="216" t="s">
        <v>1187</v>
      </c>
      <c r="C137" s="216">
        <v>0.55000000000000004</v>
      </c>
    </row>
    <row r="138" spans="1:3" x14ac:dyDescent="0.3">
      <c r="A138" s="213">
        <v>111002001</v>
      </c>
      <c r="B138" s="214" t="s">
        <v>1188</v>
      </c>
      <c r="C138" s="214">
        <v>0.50837438400000001</v>
      </c>
    </row>
    <row r="139" spans="1:3" x14ac:dyDescent="0.3">
      <c r="A139" s="215">
        <v>111002002</v>
      </c>
      <c r="B139" s="216" t="s">
        <v>1189</v>
      </c>
      <c r="C139" s="216">
        <v>0.51572052999999995</v>
      </c>
    </row>
    <row r="140" spans="1:3" x14ac:dyDescent="0.3">
      <c r="A140" s="213">
        <v>111002003</v>
      </c>
      <c r="B140" s="214" t="s">
        <v>138</v>
      </c>
      <c r="C140" s="214">
        <v>0.52403539799999999</v>
      </c>
    </row>
    <row r="141" spans="1:3" x14ac:dyDescent="0.3">
      <c r="A141" s="215">
        <v>111002004</v>
      </c>
      <c r="B141" s="216" t="s">
        <v>135</v>
      </c>
      <c r="C141" s="216">
        <v>0.46713925299999998</v>
      </c>
    </row>
    <row r="142" spans="1:3" x14ac:dyDescent="0.3">
      <c r="A142" s="213">
        <v>111002005</v>
      </c>
      <c r="B142" s="214" t="s">
        <v>1190</v>
      </c>
      <c r="C142" s="214">
        <v>0.70886289199999997</v>
      </c>
    </row>
    <row r="143" spans="1:3" x14ac:dyDescent="0.3">
      <c r="A143" s="215">
        <v>111002006</v>
      </c>
      <c r="B143" s="216" t="s">
        <v>1191</v>
      </c>
      <c r="C143" s="216">
        <v>0.50832723999999996</v>
      </c>
    </row>
    <row r="144" spans="1:3" x14ac:dyDescent="0.3">
      <c r="A144" s="213">
        <v>111003001</v>
      </c>
      <c r="B144" s="214" t="s">
        <v>499</v>
      </c>
      <c r="C144" s="214">
        <v>0.489823381</v>
      </c>
    </row>
    <row r="145" spans="1:3" x14ac:dyDescent="0.3">
      <c r="A145" s="215">
        <v>111003002</v>
      </c>
      <c r="B145" s="216" t="s">
        <v>972</v>
      </c>
      <c r="C145" s="216">
        <v>0.54628694200000005</v>
      </c>
    </row>
    <row r="146" spans="1:3" x14ac:dyDescent="0.3">
      <c r="A146" s="213">
        <v>111003004</v>
      </c>
      <c r="B146" s="214" t="s">
        <v>1192</v>
      </c>
      <c r="C146" s="214">
        <v>0.51191225200000001</v>
      </c>
    </row>
    <row r="147" spans="1:3" x14ac:dyDescent="0.3">
      <c r="A147" s="215">
        <v>111003005</v>
      </c>
      <c r="B147" s="216" t="s">
        <v>498</v>
      </c>
      <c r="C147" s="216">
        <v>0.48619230200000002</v>
      </c>
    </row>
    <row r="148" spans="1:3" x14ac:dyDescent="0.3">
      <c r="A148" s="213">
        <v>111003006</v>
      </c>
      <c r="B148" s="214" t="s">
        <v>521</v>
      </c>
      <c r="C148" s="214">
        <v>0.48059593900000003</v>
      </c>
    </row>
    <row r="149" spans="1:3" x14ac:dyDescent="0.3">
      <c r="A149" s="215">
        <v>112001003</v>
      </c>
      <c r="B149" s="216" t="s">
        <v>1193</v>
      </c>
      <c r="C149" s="216">
        <v>0.52450049899999995</v>
      </c>
    </row>
    <row r="150" spans="1:3" x14ac:dyDescent="0.3">
      <c r="A150" s="213">
        <v>112001004</v>
      </c>
      <c r="B150" s="214" t="s">
        <v>1194</v>
      </c>
      <c r="C150" s="214">
        <v>0.54787936999999998</v>
      </c>
    </row>
    <row r="151" spans="1:3" x14ac:dyDescent="0.3">
      <c r="A151" s="215">
        <v>113001001</v>
      </c>
      <c r="B151" s="216" t="s">
        <v>1195</v>
      </c>
      <c r="C151" s="216">
        <v>0.46354150300000002</v>
      </c>
    </row>
    <row r="152" spans="1:3" x14ac:dyDescent="0.3">
      <c r="A152" s="213">
        <v>113001002</v>
      </c>
      <c r="B152" s="214" t="s">
        <v>1196</v>
      </c>
      <c r="C152" s="214">
        <v>0.56185236100000002</v>
      </c>
    </row>
    <row r="153" spans="1:3" x14ac:dyDescent="0.3">
      <c r="A153" s="215">
        <v>113001003</v>
      </c>
      <c r="B153" s="216" t="s">
        <v>1197</v>
      </c>
      <c r="C153" s="216">
        <v>0.49477689600000002</v>
      </c>
    </row>
    <row r="154" spans="1:3" x14ac:dyDescent="0.3">
      <c r="A154" s="213">
        <v>113001004</v>
      </c>
      <c r="B154" s="214" t="s">
        <v>1198</v>
      </c>
      <c r="C154" s="214">
        <v>0.467230969</v>
      </c>
    </row>
    <row r="155" spans="1:3" x14ac:dyDescent="0.3">
      <c r="A155" s="215">
        <v>113001005</v>
      </c>
      <c r="B155" s="216" t="s">
        <v>1199</v>
      </c>
      <c r="C155" s="216">
        <v>0.44419248900000002</v>
      </c>
    </row>
    <row r="156" spans="1:3" x14ac:dyDescent="0.3">
      <c r="A156" s="213">
        <v>113001006</v>
      </c>
      <c r="B156" s="214" t="s">
        <v>1200</v>
      </c>
      <c r="C156" s="214">
        <v>0.45912007500000002</v>
      </c>
    </row>
    <row r="157" spans="1:3" x14ac:dyDescent="0.3">
      <c r="A157" s="215">
        <v>113001007</v>
      </c>
      <c r="B157" s="216" t="s">
        <v>1201</v>
      </c>
      <c r="C157" s="216">
        <v>0.472464673</v>
      </c>
    </row>
    <row r="158" spans="1:3" x14ac:dyDescent="0.3">
      <c r="A158" s="213">
        <v>113001008</v>
      </c>
      <c r="B158" s="214" t="s">
        <v>1202</v>
      </c>
      <c r="C158" s="214">
        <v>0.55718408600000002</v>
      </c>
    </row>
    <row r="159" spans="1:3" x14ac:dyDescent="0.3">
      <c r="A159" s="215">
        <v>113001009</v>
      </c>
      <c r="B159" s="216" t="s">
        <v>1203</v>
      </c>
      <c r="C159" s="216">
        <v>0.46667476000000002</v>
      </c>
    </row>
    <row r="160" spans="1:3" x14ac:dyDescent="0.3">
      <c r="A160" s="213">
        <v>113001010</v>
      </c>
      <c r="B160" s="214" t="s">
        <v>1204</v>
      </c>
      <c r="C160" s="214">
        <v>0.52218978000000005</v>
      </c>
    </row>
    <row r="161" spans="1:3" x14ac:dyDescent="0.3">
      <c r="A161" s="215">
        <v>113002001</v>
      </c>
      <c r="B161" s="216" t="s">
        <v>1205</v>
      </c>
      <c r="C161" s="216">
        <v>0.58152108599999996</v>
      </c>
    </row>
    <row r="162" spans="1:3" x14ac:dyDescent="0.3">
      <c r="A162" s="213">
        <v>113002002</v>
      </c>
      <c r="B162" s="214" t="s">
        <v>1206</v>
      </c>
      <c r="C162" s="214">
        <v>0.466005051</v>
      </c>
    </row>
    <row r="163" spans="1:3" x14ac:dyDescent="0.3">
      <c r="A163" s="215">
        <v>113002003</v>
      </c>
      <c r="B163" s="216" t="s">
        <v>1207</v>
      </c>
      <c r="C163" s="216">
        <v>0.49921589799999999</v>
      </c>
    </row>
    <row r="164" spans="1:3" x14ac:dyDescent="0.3">
      <c r="A164" s="213">
        <v>113002004</v>
      </c>
      <c r="B164" s="214" t="s">
        <v>1208</v>
      </c>
      <c r="C164" s="214">
        <v>0.44977024399999999</v>
      </c>
    </row>
    <row r="165" spans="1:3" x14ac:dyDescent="0.3">
      <c r="A165" s="215">
        <v>113002005</v>
      </c>
      <c r="B165" s="216" t="s">
        <v>1209</v>
      </c>
      <c r="C165" s="216">
        <v>0.50580580200000003</v>
      </c>
    </row>
    <row r="166" spans="1:3" x14ac:dyDescent="0.3">
      <c r="A166" s="213">
        <v>113002006</v>
      </c>
      <c r="B166" s="214" t="s">
        <v>1210</v>
      </c>
      <c r="C166" s="214">
        <v>0.50280348500000005</v>
      </c>
    </row>
    <row r="167" spans="1:3" x14ac:dyDescent="0.3">
      <c r="A167" s="215">
        <v>113002007</v>
      </c>
      <c r="B167" s="216" t="s">
        <v>1211</v>
      </c>
      <c r="C167" s="216">
        <v>0.49184209000000001</v>
      </c>
    </row>
    <row r="168" spans="1:3" x14ac:dyDescent="0.3">
      <c r="A168" s="213">
        <v>113002008</v>
      </c>
      <c r="B168" s="214" t="s">
        <v>1212</v>
      </c>
      <c r="C168" s="214">
        <v>0.50575938200000004</v>
      </c>
    </row>
    <row r="169" spans="1:3" x14ac:dyDescent="0.3">
      <c r="A169" s="215">
        <v>113002009</v>
      </c>
      <c r="B169" s="216" t="s">
        <v>1213</v>
      </c>
      <c r="C169" s="216">
        <v>0.49368492600000002</v>
      </c>
    </row>
    <row r="170" spans="1:3" x14ac:dyDescent="0.3">
      <c r="A170" s="213">
        <v>113002010</v>
      </c>
      <c r="B170" s="214" t="s">
        <v>1214</v>
      </c>
      <c r="C170" s="214">
        <v>0.50031840500000002</v>
      </c>
    </row>
    <row r="171" spans="1:3" x14ac:dyDescent="0.3">
      <c r="A171" s="215">
        <v>113002011</v>
      </c>
      <c r="B171" s="216" t="s">
        <v>1215</v>
      </c>
      <c r="C171" s="216">
        <v>0.47767864799999998</v>
      </c>
    </row>
    <row r="172" spans="1:3" x14ac:dyDescent="0.3">
      <c r="A172" s="213">
        <v>113002012</v>
      </c>
      <c r="B172" s="214" t="s">
        <v>1216</v>
      </c>
      <c r="C172" s="214">
        <v>0.46487921399999999</v>
      </c>
    </row>
    <row r="173" spans="1:3" x14ac:dyDescent="0.3">
      <c r="A173" s="215">
        <v>113002013</v>
      </c>
      <c r="B173" s="216" t="s">
        <v>1217</v>
      </c>
      <c r="C173" s="216">
        <v>0.46665865699999998</v>
      </c>
    </row>
    <row r="174" spans="1:3" x14ac:dyDescent="0.3">
      <c r="A174" s="213">
        <v>113002014</v>
      </c>
      <c r="B174" s="214" t="s">
        <v>1218</v>
      </c>
      <c r="C174" s="214">
        <v>0.45916136000000002</v>
      </c>
    </row>
    <row r="175" spans="1:3" x14ac:dyDescent="0.3">
      <c r="A175" s="215">
        <v>113004001</v>
      </c>
      <c r="B175" s="216" t="s">
        <v>1219</v>
      </c>
      <c r="C175" s="216">
        <v>0.44461479999999998</v>
      </c>
    </row>
    <row r="176" spans="1:3" x14ac:dyDescent="0.3">
      <c r="A176" s="213">
        <v>113004002</v>
      </c>
      <c r="B176" s="214" t="s">
        <v>1220</v>
      </c>
      <c r="C176" s="214">
        <v>0.43902438999999999</v>
      </c>
    </row>
    <row r="177" spans="1:3" x14ac:dyDescent="0.3">
      <c r="A177" s="215">
        <v>113004003</v>
      </c>
      <c r="B177" s="216" t="s">
        <v>1221</v>
      </c>
      <c r="C177" s="216">
        <v>0.41960303399999999</v>
      </c>
    </row>
    <row r="178" spans="1:3" x14ac:dyDescent="0.3">
      <c r="A178" s="213">
        <v>113004004</v>
      </c>
      <c r="B178" s="214" t="s">
        <v>1222</v>
      </c>
      <c r="C178" s="214">
        <v>0.41957731399999998</v>
      </c>
    </row>
    <row r="179" spans="1:3" x14ac:dyDescent="0.3">
      <c r="A179" s="215">
        <v>113004005</v>
      </c>
      <c r="B179" s="216" t="s">
        <v>1223</v>
      </c>
      <c r="C179" s="216">
        <v>0.40757523600000001</v>
      </c>
    </row>
    <row r="180" spans="1:3" x14ac:dyDescent="0.3">
      <c r="A180" s="213">
        <v>113004009</v>
      </c>
      <c r="B180" s="214" t="s">
        <v>1224</v>
      </c>
      <c r="C180" s="214">
        <v>0.59690015600000002</v>
      </c>
    </row>
    <row r="181" spans="1:3" x14ac:dyDescent="0.3">
      <c r="A181" s="215">
        <v>113005001</v>
      </c>
      <c r="B181" s="216" t="s">
        <v>1225</v>
      </c>
      <c r="C181" s="216">
        <v>0.557491289</v>
      </c>
    </row>
    <row r="182" spans="1:3" x14ac:dyDescent="0.3">
      <c r="A182" s="213">
        <v>113006001</v>
      </c>
      <c r="B182" s="214" t="s">
        <v>1226</v>
      </c>
      <c r="C182" s="214">
        <v>0.53826745200000004</v>
      </c>
    </row>
    <row r="183" spans="1:3" x14ac:dyDescent="0.3">
      <c r="A183" s="215">
        <v>113006002</v>
      </c>
      <c r="B183" s="216" t="s">
        <v>1227</v>
      </c>
      <c r="C183" s="216">
        <v>0.52865553300000001</v>
      </c>
    </row>
    <row r="184" spans="1:3" x14ac:dyDescent="0.3">
      <c r="A184" s="213">
        <v>113006003</v>
      </c>
      <c r="B184" s="214" t="s">
        <v>1228</v>
      </c>
      <c r="C184" s="214">
        <v>0.52865553300000001</v>
      </c>
    </row>
    <row r="185" spans="1:3" x14ac:dyDescent="0.3">
      <c r="A185" s="215">
        <v>114001001</v>
      </c>
      <c r="B185" s="216" t="s">
        <v>1229</v>
      </c>
      <c r="C185" s="216">
        <v>0.54512107499999995</v>
      </c>
    </row>
    <row r="186" spans="1:3" x14ac:dyDescent="0.3">
      <c r="A186" s="213">
        <v>114001002</v>
      </c>
      <c r="B186" s="214" t="s">
        <v>1230</v>
      </c>
      <c r="C186" s="214">
        <v>0.61010457100000004</v>
      </c>
    </row>
    <row r="187" spans="1:3" x14ac:dyDescent="0.3">
      <c r="A187" s="215">
        <v>114001003</v>
      </c>
      <c r="B187" s="216" t="s">
        <v>1231</v>
      </c>
      <c r="C187" s="216">
        <v>0.71399684600000002</v>
      </c>
    </row>
    <row r="188" spans="1:3" x14ac:dyDescent="0.3">
      <c r="A188" s="213">
        <v>114001004</v>
      </c>
      <c r="B188" s="214" t="s">
        <v>1232</v>
      </c>
      <c r="C188" s="214">
        <v>0.73715627900000003</v>
      </c>
    </row>
    <row r="189" spans="1:3" x14ac:dyDescent="0.3">
      <c r="A189" s="215">
        <v>114001005</v>
      </c>
      <c r="B189" s="216" t="s">
        <v>1233</v>
      </c>
      <c r="C189" s="216">
        <v>0.57700348400000001</v>
      </c>
    </row>
    <row r="190" spans="1:3" x14ac:dyDescent="0.3">
      <c r="A190" s="213">
        <v>114001006</v>
      </c>
      <c r="B190" s="214" t="s">
        <v>1234</v>
      </c>
      <c r="C190" s="214">
        <v>0.76452562700000004</v>
      </c>
    </row>
    <row r="191" spans="1:3" x14ac:dyDescent="0.3">
      <c r="A191" s="215">
        <v>114001007</v>
      </c>
      <c r="B191" s="216" t="s">
        <v>1235</v>
      </c>
      <c r="C191" s="216">
        <v>0.57700348400000001</v>
      </c>
    </row>
    <row r="192" spans="1:3" x14ac:dyDescent="0.3">
      <c r="A192" s="213">
        <v>114001009</v>
      </c>
      <c r="B192" s="214" t="s">
        <v>1236</v>
      </c>
      <c r="C192" s="214">
        <v>0.67635240200000002</v>
      </c>
    </row>
    <row r="193" spans="1:3" x14ac:dyDescent="0.3">
      <c r="A193" s="215">
        <v>114001010</v>
      </c>
      <c r="B193" s="216" t="s">
        <v>1237</v>
      </c>
      <c r="C193" s="216">
        <v>0.57847750399999998</v>
      </c>
    </row>
    <row r="194" spans="1:3" x14ac:dyDescent="0.3">
      <c r="A194" s="213">
        <v>114001011</v>
      </c>
      <c r="B194" s="214" t="s">
        <v>1238</v>
      </c>
      <c r="C194" s="214">
        <v>0.66322239599999999</v>
      </c>
    </row>
    <row r="195" spans="1:3" x14ac:dyDescent="0.3">
      <c r="A195" s="215">
        <v>114001012</v>
      </c>
      <c r="B195" s="216" t="s">
        <v>1239</v>
      </c>
      <c r="C195" s="216">
        <v>0.63518002900000003</v>
      </c>
    </row>
    <row r="196" spans="1:3" x14ac:dyDescent="0.3">
      <c r="A196" s="213">
        <v>114001013</v>
      </c>
      <c r="B196" s="214" t="s">
        <v>1240</v>
      </c>
      <c r="C196" s="214">
        <v>0.66322239599999999</v>
      </c>
    </row>
    <row r="197" spans="1:3" x14ac:dyDescent="0.3">
      <c r="A197" s="215">
        <v>114001014</v>
      </c>
      <c r="B197" s="216" t="s">
        <v>1241</v>
      </c>
      <c r="C197" s="216">
        <v>0.61675836500000003</v>
      </c>
    </row>
    <row r="198" spans="1:3" x14ac:dyDescent="0.3">
      <c r="A198" s="213">
        <v>114001015</v>
      </c>
      <c r="B198" s="214" t="s">
        <v>1242</v>
      </c>
      <c r="C198" s="214">
        <v>0.57794498100000002</v>
      </c>
    </row>
    <row r="199" spans="1:3" x14ac:dyDescent="0.3">
      <c r="A199" s="215">
        <v>114001016</v>
      </c>
      <c r="B199" s="216" t="s">
        <v>1243</v>
      </c>
      <c r="C199" s="216">
        <v>0.55737335600000004</v>
      </c>
    </row>
    <row r="200" spans="1:3" x14ac:dyDescent="0.3">
      <c r="A200" s="213">
        <v>114001017</v>
      </c>
      <c r="B200" s="214" t="s">
        <v>1244</v>
      </c>
      <c r="C200" s="214">
        <v>0.57700348400000001</v>
      </c>
    </row>
    <row r="201" spans="1:3" x14ac:dyDescent="0.3">
      <c r="A201" s="215">
        <v>114001018</v>
      </c>
      <c r="B201" s="216" t="s">
        <v>1245</v>
      </c>
      <c r="C201" s="216">
        <v>0.57244634999999999</v>
      </c>
    </row>
    <row r="202" spans="1:3" x14ac:dyDescent="0.3">
      <c r="A202" s="213">
        <v>114001019</v>
      </c>
      <c r="B202" s="214" t="s">
        <v>1246</v>
      </c>
      <c r="C202" s="214">
        <v>0.58673429799999999</v>
      </c>
    </row>
    <row r="203" spans="1:3" x14ac:dyDescent="0.3">
      <c r="A203" s="215">
        <v>114001020</v>
      </c>
      <c r="B203" s="216" t="s">
        <v>1247</v>
      </c>
      <c r="C203" s="216">
        <v>0.46514814500000001</v>
      </c>
    </row>
    <row r="204" spans="1:3" x14ac:dyDescent="0.3">
      <c r="A204" s="213">
        <v>114001021</v>
      </c>
      <c r="B204" s="214" t="s">
        <v>1248</v>
      </c>
      <c r="C204" s="214">
        <v>0.54787936999999998</v>
      </c>
    </row>
    <row r="205" spans="1:3" x14ac:dyDescent="0.3">
      <c r="A205" s="215">
        <v>114001022</v>
      </c>
      <c r="B205" s="216" t="s">
        <v>1249</v>
      </c>
      <c r="C205" s="216">
        <v>0.52865553300000001</v>
      </c>
    </row>
    <row r="206" spans="1:3" x14ac:dyDescent="0.3">
      <c r="A206" s="213">
        <v>114001024</v>
      </c>
      <c r="B206" s="214" t="s">
        <v>1250</v>
      </c>
      <c r="C206" s="214">
        <v>0.56734790499999999</v>
      </c>
    </row>
    <row r="207" spans="1:3" x14ac:dyDescent="0.3">
      <c r="A207" s="215">
        <v>114001026</v>
      </c>
      <c r="B207" s="216" t="s">
        <v>1251</v>
      </c>
      <c r="C207" s="216">
        <v>0.61206777999999995</v>
      </c>
    </row>
    <row r="208" spans="1:3" x14ac:dyDescent="0.3">
      <c r="A208" s="213">
        <v>114001029</v>
      </c>
      <c r="B208" s="214" t="s">
        <v>1252</v>
      </c>
      <c r="C208" s="214">
        <v>0.53701790199999999</v>
      </c>
    </row>
    <row r="209" spans="1:3" x14ac:dyDescent="0.3">
      <c r="A209" s="215">
        <v>114001030</v>
      </c>
      <c r="B209" s="216" t="s">
        <v>1253</v>
      </c>
      <c r="C209" s="216">
        <v>0.64449999999999996</v>
      </c>
    </row>
    <row r="210" spans="1:3" x14ac:dyDescent="0.3">
      <c r="A210" s="213">
        <v>115001001</v>
      </c>
      <c r="B210" s="214" t="s">
        <v>1254</v>
      </c>
      <c r="C210" s="214">
        <v>0.48482395</v>
      </c>
    </row>
    <row r="211" spans="1:3" x14ac:dyDescent="0.3">
      <c r="A211" s="215">
        <v>115002001</v>
      </c>
      <c r="B211" s="216" t="s">
        <v>1255</v>
      </c>
      <c r="C211" s="216">
        <v>0.487900997</v>
      </c>
    </row>
    <row r="212" spans="1:3" x14ac:dyDescent="0.3">
      <c r="A212" s="213">
        <v>115002003</v>
      </c>
      <c r="B212" s="214" t="s">
        <v>1256</v>
      </c>
      <c r="C212" s="214">
        <v>0.53519163800000003</v>
      </c>
    </row>
    <row r="213" spans="1:3" x14ac:dyDescent="0.3">
      <c r="A213" s="215">
        <v>115002004</v>
      </c>
      <c r="B213" s="216" t="s">
        <v>1257</v>
      </c>
      <c r="C213" s="216">
        <v>0.490643995</v>
      </c>
    </row>
    <row r="214" spans="1:3" x14ac:dyDescent="0.3">
      <c r="A214" s="213">
        <v>116001001</v>
      </c>
      <c r="B214" s="214" t="s">
        <v>1258</v>
      </c>
      <c r="C214" s="214">
        <v>0.513362015</v>
      </c>
    </row>
    <row r="215" spans="1:3" x14ac:dyDescent="0.3">
      <c r="A215" s="215">
        <v>116001002</v>
      </c>
      <c r="B215" s="216" t="s">
        <v>1259</v>
      </c>
      <c r="C215" s="216">
        <v>0.60507028699999998</v>
      </c>
    </row>
    <row r="216" spans="1:3" x14ac:dyDescent="0.3">
      <c r="A216" s="213">
        <v>116001003</v>
      </c>
      <c r="B216" s="214" t="s">
        <v>1260</v>
      </c>
      <c r="C216" s="214">
        <v>0.47246607400000001</v>
      </c>
    </row>
    <row r="217" spans="1:3" x14ac:dyDescent="0.3">
      <c r="A217" s="215">
        <v>116001004</v>
      </c>
      <c r="B217" s="216" t="s">
        <v>1261</v>
      </c>
      <c r="C217" s="216">
        <v>0.372968619</v>
      </c>
    </row>
    <row r="218" spans="1:3" x14ac:dyDescent="0.3">
      <c r="A218" s="213">
        <v>116001005</v>
      </c>
      <c r="B218" s="214" t="s">
        <v>1262</v>
      </c>
      <c r="C218" s="214">
        <v>0.62573591299999998</v>
      </c>
    </row>
    <row r="219" spans="1:3" x14ac:dyDescent="0.3">
      <c r="A219" s="215">
        <v>116001006</v>
      </c>
      <c r="B219" s="216" t="s">
        <v>1263</v>
      </c>
      <c r="C219" s="216">
        <v>0.59593896400000002</v>
      </c>
    </row>
    <row r="220" spans="1:3" x14ac:dyDescent="0.3">
      <c r="A220" s="213">
        <v>116002001</v>
      </c>
      <c r="B220" s="214" t="s">
        <v>1264</v>
      </c>
      <c r="C220" s="214">
        <v>0.50072640899999998</v>
      </c>
    </row>
    <row r="221" spans="1:3" x14ac:dyDescent="0.3">
      <c r="A221" s="215">
        <v>116002002</v>
      </c>
      <c r="B221" s="216" t="s">
        <v>1265</v>
      </c>
      <c r="C221" s="216">
        <v>0.51917509399999995</v>
      </c>
    </row>
    <row r="222" spans="1:3" x14ac:dyDescent="0.3">
      <c r="A222" s="213">
        <v>116002003</v>
      </c>
      <c r="B222" s="214" t="s">
        <v>1266</v>
      </c>
      <c r="C222" s="214">
        <v>0.52577195700000001</v>
      </c>
    </row>
    <row r="223" spans="1:3" x14ac:dyDescent="0.3">
      <c r="A223" s="215">
        <v>116002004</v>
      </c>
      <c r="B223" s="216" t="s">
        <v>1267</v>
      </c>
      <c r="C223" s="216">
        <v>0.42371647800000001</v>
      </c>
    </row>
    <row r="224" spans="1:3" x14ac:dyDescent="0.3">
      <c r="A224" s="213">
        <v>116002005</v>
      </c>
      <c r="B224" s="214" t="s">
        <v>1268</v>
      </c>
      <c r="C224" s="214">
        <v>0.51079385300000002</v>
      </c>
    </row>
    <row r="225" spans="1:3" x14ac:dyDescent="0.3">
      <c r="A225" s="215">
        <v>116002006</v>
      </c>
      <c r="B225" s="216" t="s">
        <v>1269</v>
      </c>
      <c r="C225" s="216">
        <v>0.53960439400000004</v>
      </c>
    </row>
    <row r="226" spans="1:3" x14ac:dyDescent="0.3">
      <c r="A226" s="213">
        <v>116002007</v>
      </c>
      <c r="B226" s="214" t="s">
        <v>1270</v>
      </c>
      <c r="C226" s="214">
        <v>0.47725656399999999</v>
      </c>
    </row>
    <row r="227" spans="1:3" x14ac:dyDescent="0.3">
      <c r="A227" s="215">
        <v>116002008</v>
      </c>
      <c r="B227" s="216" t="s">
        <v>1271</v>
      </c>
      <c r="C227" s="216">
        <v>0.49753930699999999</v>
      </c>
    </row>
    <row r="228" spans="1:3" x14ac:dyDescent="0.3">
      <c r="A228" s="213">
        <v>116002009</v>
      </c>
      <c r="B228" s="214" t="s">
        <v>1272</v>
      </c>
      <c r="C228" s="214">
        <v>0.64492155299999998</v>
      </c>
    </row>
    <row r="229" spans="1:3" x14ac:dyDescent="0.3">
      <c r="A229" s="215">
        <v>116002010</v>
      </c>
      <c r="B229" s="216" t="s">
        <v>1273</v>
      </c>
      <c r="C229" s="216">
        <v>0.63438663900000003</v>
      </c>
    </row>
    <row r="230" spans="1:3" x14ac:dyDescent="0.3">
      <c r="A230" s="213">
        <v>116002011</v>
      </c>
      <c r="B230" s="214" t="s">
        <v>1274</v>
      </c>
      <c r="C230" s="214">
        <v>0.52692538700000002</v>
      </c>
    </row>
    <row r="231" spans="1:3" x14ac:dyDescent="0.3">
      <c r="A231" s="215">
        <v>116002012</v>
      </c>
      <c r="B231" s="216" t="s">
        <v>1275</v>
      </c>
      <c r="C231" s="216">
        <v>0.61760000000000004</v>
      </c>
    </row>
    <row r="232" spans="1:3" x14ac:dyDescent="0.3">
      <c r="A232" s="213">
        <v>117001001</v>
      </c>
      <c r="B232" s="214" t="s">
        <v>530</v>
      </c>
      <c r="C232" s="214">
        <v>0.51904361399999999</v>
      </c>
    </row>
    <row r="233" spans="1:3" x14ac:dyDescent="0.3">
      <c r="A233" s="215">
        <v>117001002</v>
      </c>
      <c r="B233" s="216" t="s">
        <v>529</v>
      </c>
      <c r="C233" s="216">
        <v>0.52865553300000001</v>
      </c>
    </row>
    <row r="234" spans="1:3" x14ac:dyDescent="0.3">
      <c r="A234" s="213">
        <v>117001003</v>
      </c>
      <c r="B234" s="214" t="s">
        <v>1276</v>
      </c>
      <c r="C234" s="214">
        <v>0.54253325600000002</v>
      </c>
    </row>
    <row r="235" spans="1:3" x14ac:dyDescent="0.3">
      <c r="A235" s="215">
        <v>117001004</v>
      </c>
      <c r="B235" s="216" t="s">
        <v>1277</v>
      </c>
      <c r="C235" s="216">
        <v>0.52700000000000002</v>
      </c>
    </row>
    <row r="236" spans="1:3" x14ac:dyDescent="0.3">
      <c r="A236" s="213">
        <v>117001005</v>
      </c>
      <c r="B236" s="214" t="s">
        <v>1278</v>
      </c>
      <c r="C236" s="214">
        <v>0.52798269900000006</v>
      </c>
    </row>
    <row r="237" spans="1:3" x14ac:dyDescent="0.3">
      <c r="A237" s="215">
        <v>117001006</v>
      </c>
      <c r="B237" s="216" t="s">
        <v>526</v>
      </c>
      <c r="C237" s="216">
        <v>0.51904361399999999</v>
      </c>
    </row>
    <row r="238" spans="1:3" x14ac:dyDescent="0.3">
      <c r="A238" s="213">
        <v>117001007</v>
      </c>
      <c r="B238" s="214" t="s">
        <v>1279</v>
      </c>
      <c r="C238" s="214">
        <v>0.52402266200000003</v>
      </c>
    </row>
    <row r="239" spans="1:3" x14ac:dyDescent="0.3">
      <c r="A239" s="215">
        <v>117001008</v>
      </c>
      <c r="B239" s="216" t="s">
        <v>1280</v>
      </c>
      <c r="C239" s="216">
        <v>0.59715003499999997</v>
      </c>
    </row>
    <row r="240" spans="1:3" x14ac:dyDescent="0.3">
      <c r="A240" s="213">
        <v>117001009</v>
      </c>
      <c r="B240" s="214" t="s">
        <v>1281</v>
      </c>
      <c r="C240" s="214">
        <v>0.589151023</v>
      </c>
    </row>
    <row r="241" spans="1:3" x14ac:dyDescent="0.3">
      <c r="A241" s="215">
        <v>117001010</v>
      </c>
      <c r="B241" s="216" t="s">
        <v>1282</v>
      </c>
      <c r="C241" s="216">
        <v>0.62123977799999996</v>
      </c>
    </row>
    <row r="242" spans="1:3" x14ac:dyDescent="0.3">
      <c r="A242" s="213">
        <v>117001011</v>
      </c>
      <c r="B242" s="214" t="s">
        <v>1283</v>
      </c>
      <c r="C242" s="214">
        <v>0.64174465599999997</v>
      </c>
    </row>
    <row r="243" spans="1:3" x14ac:dyDescent="0.3">
      <c r="A243" s="215">
        <v>117001012</v>
      </c>
      <c r="B243" s="216" t="s">
        <v>1284</v>
      </c>
      <c r="C243" s="216">
        <v>0.537049942</v>
      </c>
    </row>
    <row r="244" spans="1:3" x14ac:dyDescent="0.3">
      <c r="A244" s="213">
        <v>117001013</v>
      </c>
      <c r="B244" s="214" t="s">
        <v>1285</v>
      </c>
      <c r="C244" s="214">
        <v>0.52222205499999996</v>
      </c>
    </row>
    <row r="245" spans="1:3" x14ac:dyDescent="0.3">
      <c r="A245" s="215">
        <v>117001014</v>
      </c>
      <c r="B245" s="216" t="s">
        <v>1286</v>
      </c>
      <c r="C245" s="216">
        <v>0.45321635900000001</v>
      </c>
    </row>
    <row r="246" spans="1:3" x14ac:dyDescent="0.3">
      <c r="A246" s="213">
        <v>117001015</v>
      </c>
      <c r="B246" s="214" t="s">
        <v>1287</v>
      </c>
      <c r="C246" s="214">
        <v>0.58426654200000006</v>
      </c>
    </row>
    <row r="247" spans="1:3" x14ac:dyDescent="0.3">
      <c r="A247" s="215">
        <v>117001017</v>
      </c>
      <c r="B247" s="216" t="s">
        <v>195</v>
      </c>
      <c r="C247" s="216">
        <v>0.51681177700000003</v>
      </c>
    </row>
    <row r="248" spans="1:3" x14ac:dyDescent="0.3">
      <c r="A248" s="213">
        <v>117001020</v>
      </c>
      <c r="B248" s="214" t="s">
        <v>1288</v>
      </c>
      <c r="C248" s="214">
        <v>0.47543530299999998</v>
      </c>
    </row>
    <row r="249" spans="1:3" x14ac:dyDescent="0.3">
      <c r="A249" s="215">
        <v>117001022</v>
      </c>
      <c r="B249" s="216" t="s">
        <v>1289</v>
      </c>
      <c r="C249" s="216">
        <v>0.47540550300000001</v>
      </c>
    </row>
    <row r="250" spans="1:3" x14ac:dyDescent="0.3">
      <c r="A250" s="213">
        <v>117001023</v>
      </c>
      <c r="B250" s="214" t="s">
        <v>1290</v>
      </c>
      <c r="C250" s="214">
        <v>0.52086987900000004</v>
      </c>
    </row>
    <row r="251" spans="1:3" x14ac:dyDescent="0.3">
      <c r="A251" s="215">
        <v>117002001</v>
      </c>
      <c r="B251" s="216" t="s">
        <v>1291</v>
      </c>
      <c r="C251" s="216">
        <v>0.68244623299999996</v>
      </c>
    </row>
    <row r="252" spans="1:3" x14ac:dyDescent="0.3">
      <c r="A252" s="213">
        <v>117002002</v>
      </c>
      <c r="B252" s="214" t="s">
        <v>1292</v>
      </c>
      <c r="C252" s="214">
        <v>0.68244623299999996</v>
      </c>
    </row>
    <row r="253" spans="1:3" x14ac:dyDescent="0.3">
      <c r="A253" s="215">
        <v>117002003</v>
      </c>
      <c r="B253" s="216" t="s">
        <v>1293</v>
      </c>
      <c r="C253" s="216">
        <v>0.65361047699999997</v>
      </c>
    </row>
    <row r="254" spans="1:3" x14ac:dyDescent="0.3">
      <c r="A254" s="213">
        <v>117002006</v>
      </c>
      <c r="B254" s="214" t="s">
        <v>1294</v>
      </c>
      <c r="C254" s="214">
        <v>0.68244877999999998</v>
      </c>
    </row>
    <row r="255" spans="1:3" x14ac:dyDescent="0.3">
      <c r="A255" s="215">
        <v>117004001</v>
      </c>
      <c r="B255" s="216" t="s">
        <v>1295</v>
      </c>
      <c r="C255" s="216">
        <v>0.51635227699999997</v>
      </c>
    </row>
    <row r="256" spans="1:3" x14ac:dyDescent="0.3">
      <c r="A256" s="213">
        <v>117004002</v>
      </c>
      <c r="B256" s="214" t="s">
        <v>186</v>
      </c>
      <c r="C256" s="214">
        <v>0.52409317300000002</v>
      </c>
    </row>
    <row r="257" spans="1:3" x14ac:dyDescent="0.3">
      <c r="A257" s="215">
        <v>117004003</v>
      </c>
      <c r="B257" s="216" t="s">
        <v>190</v>
      </c>
      <c r="C257" s="216">
        <v>0.52420779799999995</v>
      </c>
    </row>
    <row r="258" spans="1:3" x14ac:dyDescent="0.3">
      <c r="A258" s="213">
        <v>117004004</v>
      </c>
      <c r="B258" s="214" t="s">
        <v>1296</v>
      </c>
      <c r="C258" s="214">
        <v>0.51921776900000005</v>
      </c>
    </row>
    <row r="259" spans="1:3" x14ac:dyDescent="0.3">
      <c r="A259" s="215">
        <v>117004005</v>
      </c>
      <c r="B259" s="216" t="s">
        <v>1297</v>
      </c>
      <c r="C259" s="216">
        <v>0.478604953</v>
      </c>
    </row>
    <row r="260" spans="1:3" x14ac:dyDescent="0.3">
      <c r="A260" s="213">
        <v>117004006</v>
      </c>
      <c r="B260" s="214" t="s">
        <v>1298</v>
      </c>
      <c r="C260" s="214">
        <v>0.51635227699999997</v>
      </c>
    </row>
    <row r="261" spans="1:3" x14ac:dyDescent="0.3">
      <c r="A261" s="215">
        <v>117004007</v>
      </c>
      <c r="B261" s="216" t="s">
        <v>1299</v>
      </c>
      <c r="C261" s="216">
        <v>0.534236551</v>
      </c>
    </row>
    <row r="262" spans="1:3" x14ac:dyDescent="0.3">
      <c r="A262" s="213">
        <v>117004008</v>
      </c>
      <c r="B262" s="214" t="s">
        <v>1300</v>
      </c>
      <c r="C262" s="214">
        <v>0.54295204900000005</v>
      </c>
    </row>
    <row r="263" spans="1:3" x14ac:dyDescent="0.3">
      <c r="A263" s="215">
        <v>117004009</v>
      </c>
      <c r="B263" s="216" t="s">
        <v>1301</v>
      </c>
      <c r="C263" s="216">
        <v>0.53085174099999999</v>
      </c>
    </row>
    <row r="264" spans="1:3" x14ac:dyDescent="0.3">
      <c r="A264" s="213">
        <v>117005001</v>
      </c>
      <c r="B264" s="214" t="s">
        <v>1302</v>
      </c>
      <c r="C264" s="214">
        <v>0.55336553899999996</v>
      </c>
    </row>
    <row r="265" spans="1:3" x14ac:dyDescent="0.3">
      <c r="A265" s="215">
        <v>117005002</v>
      </c>
      <c r="B265" s="216" t="s">
        <v>582</v>
      </c>
      <c r="C265" s="216">
        <v>0.53578495599999998</v>
      </c>
    </row>
    <row r="266" spans="1:3" x14ac:dyDescent="0.3">
      <c r="A266" s="213">
        <v>117006001</v>
      </c>
      <c r="B266" s="214" t="s">
        <v>1303</v>
      </c>
      <c r="C266" s="214">
        <v>0.54691817899999995</v>
      </c>
    </row>
    <row r="267" spans="1:3" x14ac:dyDescent="0.3">
      <c r="A267" s="215">
        <v>117006002</v>
      </c>
      <c r="B267" s="216" t="s">
        <v>1304</v>
      </c>
      <c r="C267" s="216">
        <v>0.55087459999999999</v>
      </c>
    </row>
    <row r="268" spans="1:3" x14ac:dyDescent="0.3">
      <c r="A268" s="213">
        <v>117006003</v>
      </c>
      <c r="B268" s="214" t="s">
        <v>1305</v>
      </c>
      <c r="C268" s="214">
        <v>0.57479274300000005</v>
      </c>
    </row>
    <row r="269" spans="1:3" x14ac:dyDescent="0.3">
      <c r="A269" s="215">
        <v>117006004</v>
      </c>
      <c r="B269" s="216" t="s">
        <v>1306</v>
      </c>
      <c r="C269" s="216">
        <v>0.58243902400000003</v>
      </c>
    </row>
    <row r="270" spans="1:3" x14ac:dyDescent="0.3">
      <c r="A270" s="213">
        <v>117006005</v>
      </c>
      <c r="B270" s="214" t="s">
        <v>528</v>
      </c>
      <c r="C270" s="214">
        <v>0.541931893</v>
      </c>
    </row>
    <row r="271" spans="1:3" x14ac:dyDescent="0.3">
      <c r="A271" s="215">
        <v>117007001</v>
      </c>
      <c r="B271" s="216" t="s">
        <v>1307</v>
      </c>
      <c r="C271" s="216">
        <v>0.53346149200000004</v>
      </c>
    </row>
    <row r="272" spans="1:3" x14ac:dyDescent="0.3">
      <c r="A272" s="213">
        <v>117007002</v>
      </c>
      <c r="B272" s="214" t="s">
        <v>1308</v>
      </c>
      <c r="C272" s="214">
        <v>0.52769434100000001</v>
      </c>
    </row>
    <row r="273" spans="1:3" x14ac:dyDescent="0.3">
      <c r="A273" s="215">
        <v>117007003</v>
      </c>
      <c r="B273" s="216" t="s">
        <v>1309</v>
      </c>
      <c r="C273" s="216">
        <v>0.53346149200000004</v>
      </c>
    </row>
    <row r="274" spans="1:3" x14ac:dyDescent="0.3">
      <c r="A274" s="213">
        <v>117007004</v>
      </c>
      <c r="B274" s="214" t="s">
        <v>1310</v>
      </c>
      <c r="C274" s="214">
        <v>0.52192718999999999</v>
      </c>
    </row>
    <row r="275" spans="1:3" x14ac:dyDescent="0.3">
      <c r="A275" s="215">
        <v>117007005</v>
      </c>
      <c r="B275" s="216" t="s">
        <v>1311</v>
      </c>
      <c r="C275" s="216">
        <v>0.52511836099999998</v>
      </c>
    </row>
    <row r="276" spans="1:3" x14ac:dyDescent="0.3">
      <c r="A276" s="213">
        <v>117008002</v>
      </c>
      <c r="B276" s="214" t="s">
        <v>1312</v>
      </c>
      <c r="C276" s="214">
        <v>0.663414634</v>
      </c>
    </row>
    <row r="277" spans="1:3" x14ac:dyDescent="0.3">
      <c r="A277" s="215">
        <v>117008003</v>
      </c>
      <c r="B277" s="216" t="s">
        <v>1313</v>
      </c>
      <c r="C277" s="216">
        <v>0.65361047699999997</v>
      </c>
    </row>
    <row r="278" spans="1:3" x14ac:dyDescent="0.3">
      <c r="A278" s="213">
        <v>117008004</v>
      </c>
      <c r="B278" s="214" t="s">
        <v>1314</v>
      </c>
      <c r="C278" s="214">
        <v>0.65361047699999997</v>
      </c>
    </row>
    <row r="279" spans="1:3" x14ac:dyDescent="0.3">
      <c r="A279" s="215">
        <v>117008005</v>
      </c>
      <c r="B279" s="216" t="s">
        <v>1315</v>
      </c>
      <c r="C279" s="216">
        <v>0.65361047699999997</v>
      </c>
    </row>
    <row r="280" spans="1:3" x14ac:dyDescent="0.3">
      <c r="A280" s="213">
        <v>117008006</v>
      </c>
      <c r="B280" s="214" t="s">
        <v>618</v>
      </c>
      <c r="C280" s="214">
        <v>0.65361047699999997</v>
      </c>
    </row>
    <row r="281" spans="1:3" x14ac:dyDescent="0.3">
      <c r="A281" s="215">
        <v>117008007</v>
      </c>
      <c r="B281" s="216" t="s">
        <v>1316</v>
      </c>
      <c r="C281" s="216">
        <v>0.70243902400000002</v>
      </c>
    </row>
    <row r="282" spans="1:3" x14ac:dyDescent="0.3">
      <c r="A282" s="213">
        <v>117008008</v>
      </c>
      <c r="B282" s="214" t="s">
        <v>1317</v>
      </c>
      <c r="C282" s="214">
        <v>0.65361047699999997</v>
      </c>
    </row>
    <row r="283" spans="1:3" x14ac:dyDescent="0.3">
      <c r="A283" s="215">
        <v>117008009</v>
      </c>
      <c r="B283" s="216" t="s">
        <v>1318</v>
      </c>
      <c r="C283" s="216">
        <v>0.63438663900000003</v>
      </c>
    </row>
    <row r="284" spans="1:3" x14ac:dyDescent="0.3">
      <c r="A284" s="213">
        <v>118001001</v>
      </c>
      <c r="B284" s="214" t="s">
        <v>1319</v>
      </c>
      <c r="C284" s="214">
        <v>0.62871560699999995</v>
      </c>
    </row>
    <row r="285" spans="1:3" x14ac:dyDescent="0.3">
      <c r="A285" s="215">
        <v>118001003</v>
      </c>
      <c r="B285" s="216" t="s">
        <v>1320</v>
      </c>
      <c r="C285" s="216">
        <v>0.468137052</v>
      </c>
    </row>
    <row r="286" spans="1:3" x14ac:dyDescent="0.3">
      <c r="A286" s="213">
        <v>118001004</v>
      </c>
      <c r="B286" s="214" t="s">
        <v>1321</v>
      </c>
      <c r="C286" s="214">
        <v>0.625608575</v>
      </c>
    </row>
    <row r="287" spans="1:3" x14ac:dyDescent="0.3">
      <c r="A287" s="215">
        <v>118001005</v>
      </c>
      <c r="B287" s="216" t="s">
        <v>1322</v>
      </c>
      <c r="C287" s="216">
        <v>0.63500889699999996</v>
      </c>
    </row>
    <row r="288" spans="1:3" x14ac:dyDescent="0.3">
      <c r="A288" s="213">
        <v>118001006</v>
      </c>
      <c r="B288" s="214" t="s">
        <v>1323</v>
      </c>
      <c r="C288" s="214">
        <v>0.62866873199999995</v>
      </c>
    </row>
    <row r="289" spans="1:3" x14ac:dyDescent="0.3">
      <c r="A289" s="215">
        <v>118001007</v>
      </c>
      <c r="B289" s="216" t="s">
        <v>1324</v>
      </c>
      <c r="C289" s="216">
        <v>0.61357263100000003</v>
      </c>
    </row>
    <row r="290" spans="1:3" x14ac:dyDescent="0.3">
      <c r="A290" s="213">
        <v>118001008</v>
      </c>
      <c r="B290" s="214" t="s">
        <v>1325</v>
      </c>
      <c r="C290" s="214">
        <v>0.66274180000000005</v>
      </c>
    </row>
    <row r="291" spans="1:3" x14ac:dyDescent="0.3">
      <c r="A291" s="215">
        <v>118001009</v>
      </c>
      <c r="B291" s="216" t="s">
        <v>1326</v>
      </c>
      <c r="C291" s="216">
        <v>0.66274180000000005</v>
      </c>
    </row>
    <row r="292" spans="1:3" x14ac:dyDescent="0.3">
      <c r="A292" s="213">
        <v>119001001</v>
      </c>
      <c r="B292" s="214" t="s">
        <v>1327</v>
      </c>
      <c r="C292" s="214">
        <v>0.72822217600000005</v>
      </c>
    </row>
    <row r="293" spans="1:3" x14ac:dyDescent="0.3">
      <c r="A293" s="215">
        <v>119001002</v>
      </c>
      <c r="B293" s="216" t="s">
        <v>1328</v>
      </c>
      <c r="C293" s="216">
        <v>0.72154781199999996</v>
      </c>
    </row>
    <row r="294" spans="1:3" x14ac:dyDescent="0.3">
      <c r="A294" s="213">
        <v>119001003</v>
      </c>
      <c r="B294" s="214" t="s">
        <v>1329</v>
      </c>
      <c r="C294" s="214">
        <v>0.63938011500000003</v>
      </c>
    </row>
    <row r="295" spans="1:3" x14ac:dyDescent="0.3">
      <c r="A295" s="215">
        <v>119001004</v>
      </c>
      <c r="B295" s="216" t="s">
        <v>1330</v>
      </c>
      <c r="C295" s="216">
        <v>0.63285452499999995</v>
      </c>
    </row>
    <row r="296" spans="1:3" x14ac:dyDescent="0.3">
      <c r="A296" s="213">
        <v>119001005</v>
      </c>
      <c r="B296" s="214" t="s">
        <v>1331</v>
      </c>
      <c r="C296" s="214">
        <v>0.505364708</v>
      </c>
    </row>
    <row r="297" spans="1:3" x14ac:dyDescent="0.3">
      <c r="A297" s="215">
        <v>119001009</v>
      </c>
      <c r="B297" s="216" t="s">
        <v>1332</v>
      </c>
      <c r="C297" s="216">
        <v>0.49885858500000002</v>
      </c>
    </row>
    <row r="298" spans="1:3" x14ac:dyDescent="0.3">
      <c r="A298" s="213">
        <v>119001010</v>
      </c>
      <c r="B298" s="214" t="s">
        <v>1333</v>
      </c>
      <c r="C298" s="214">
        <v>0.44022588000000001</v>
      </c>
    </row>
    <row r="299" spans="1:3" x14ac:dyDescent="0.3">
      <c r="A299" s="215">
        <v>119001012</v>
      </c>
      <c r="B299" s="216" t="s">
        <v>1334</v>
      </c>
      <c r="C299" s="216">
        <v>0.79942276000000001</v>
      </c>
    </row>
    <row r="300" spans="1:3" x14ac:dyDescent="0.3">
      <c r="A300" s="213">
        <v>119001013</v>
      </c>
      <c r="B300" s="214" t="s">
        <v>1335</v>
      </c>
      <c r="C300" s="214">
        <v>0.71224318200000003</v>
      </c>
    </row>
    <row r="301" spans="1:3" x14ac:dyDescent="0.3">
      <c r="A301" s="215">
        <v>119001014</v>
      </c>
      <c r="B301" s="216" t="s">
        <v>1336</v>
      </c>
      <c r="C301" s="216">
        <v>0.576811246</v>
      </c>
    </row>
    <row r="302" spans="1:3" x14ac:dyDescent="0.3">
      <c r="A302" s="213">
        <v>119001999</v>
      </c>
      <c r="B302" s="214" t="s">
        <v>1337</v>
      </c>
      <c r="C302" s="214">
        <v>0.76895350200000001</v>
      </c>
    </row>
    <row r="303" spans="1:3" x14ac:dyDescent="0.3">
      <c r="A303" s="215">
        <v>120001001</v>
      </c>
      <c r="B303" s="216" t="s">
        <v>1338</v>
      </c>
      <c r="C303" s="216">
        <v>0.42292442600000002</v>
      </c>
    </row>
    <row r="304" spans="1:3" x14ac:dyDescent="0.3">
      <c r="A304" s="213">
        <v>120001002</v>
      </c>
      <c r="B304" s="214" t="s">
        <v>157</v>
      </c>
      <c r="C304" s="214">
        <v>0.41214084000000001</v>
      </c>
    </row>
    <row r="305" spans="1:3" x14ac:dyDescent="0.3">
      <c r="A305" s="215">
        <v>120001003</v>
      </c>
      <c r="B305" s="216" t="s">
        <v>152</v>
      </c>
      <c r="C305" s="216">
        <v>0.41717882000000001</v>
      </c>
    </row>
    <row r="306" spans="1:3" x14ac:dyDescent="0.3">
      <c r="A306" s="213">
        <v>120001004</v>
      </c>
      <c r="B306" s="214" t="s">
        <v>141</v>
      </c>
      <c r="C306" s="214">
        <v>0.42048901300000002</v>
      </c>
    </row>
    <row r="307" spans="1:3" x14ac:dyDescent="0.3">
      <c r="A307" s="215">
        <v>120001005</v>
      </c>
      <c r="B307" s="216" t="s">
        <v>1339</v>
      </c>
      <c r="C307" s="216">
        <v>0.38337041999999999</v>
      </c>
    </row>
    <row r="308" spans="1:3" x14ac:dyDescent="0.3">
      <c r="A308" s="213">
        <v>120002003</v>
      </c>
      <c r="B308" s="214" t="s">
        <v>1340</v>
      </c>
      <c r="C308" s="214">
        <v>0.45358310299999999</v>
      </c>
    </row>
    <row r="309" spans="1:3" x14ac:dyDescent="0.3">
      <c r="A309" s="215">
        <v>120002004</v>
      </c>
      <c r="B309" s="216" t="s">
        <v>1341</v>
      </c>
      <c r="C309" s="216">
        <v>0.45368256600000001</v>
      </c>
    </row>
    <row r="310" spans="1:3" x14ac:dyDescent="0.3">
      <c r="A310" s="213">
        <v>120002005</v>
      </c>
      <c r="B310" s="214" t="s">
        <v>1342</v>
      </c>
      <c r="C310" s="214">
        <v>0.43375261900000001</v>
      </c>
    </row>
    <row r="311" spans="1:3" x14ac:dyDescent="0.3">
      <c r="A311" s="215">
        <v>120003001</v>
      </c>
      <c r="B311" s="216" t="s">
        <v>1343</v>
      </c>
      <c r="C311" s="216">
        <v>0.55000000000000004</v>
      </c>
    </row>
    <row r="312" spans="1:3" x14ac:dyDescent="0.3">
      <c r="A312" s="213">
        <v>120003005</v>
      </c>
      <c r="B312" s="214" t="s">
        <v>1344</v>
      </c>
      <c r="C312" s="214">
        <v>0.61257561000000005</v>
      </c>
    </row>
    <row r="313" spans="1:3" x14ac:dyDescent="0.3">
      <c r="A313" s="215">
        <v>120003007</v>
      </c>
      <c r="B313" s="216" t="s">
        <v>1345</v>
      </c>
      <c r="C313" s="216">
        <v>0.61257784500000001</v>
      </c>
    </row>
    <row r="314" spans="1:3" x14ac:dyDescent="0.3">
      <c r="A314" s="213">
        <v>120003008</v>
      </c>
      <c r="B314" s="214" t="s">
        <v>1346</v>
      </c>
      <c r="C314" s="214">
        <v>0.53388979999999997</v>
      </c>
    </row>
    <row r="315" spans="1:3" x14ac:dyDescent="0.3">
      <c r="A315" s="215">
        <v>120003009</v>
      </c>
      <c r="B315" s="216" t="s">
        <v>1347</v>
      </c>
      <c r="C315" s="216">
        <v>0.41020278700000001</v>
      </c>
    </row>
    <row r="316" spans="1:3" x14ac:dyDescent="0.3">
      <c r="A316" s="213">
        <v>120003010</v>
      </c>
      <c r="B316" s="214" t="s">
        <v>1348</v>
      </c>
      <c r="C316" s="214">
        <v>0.39660411200000001</v>
      </c>
    </row>
    <row r="317" spans="1:3" x14ac:dyDescent="0.3">
      <c r="A317" s="215">
        <v>120003011</v>
      </c>
      <c r="B317" s="216" t="s">
        <v>1349</v>
      </c>
      <c r="C317" s="216">
        <v>0.40855292999999998</v>
      </c>
    </row>
    <row r="318" spans="1:3" x14ac:dyDescent="0.3">
      <c r="A318" s="213">
        <v>120003013</v>
      </c>
      <c r="B318" s="214" t="s">
        <v>1350</v>
      </c>
      <c r="C318" s="214">
        <v>0.41951219499999998</v>
      </c>
    </row>
    <row r="319" spans="1:3" x14ac:dyDescent="0.3">
      <c r="A319" s="215">
        <v>120003014</v>
      </c>
      <c r="B319" s="216" t="s">
        <v>1351</v>
      </c>
      <c r="C319" s="216">
        <v>0.39278267</v>
      </c>
    </row>
    <row r="320" spans="1:3" x14ac:dyDescent="0.3">
      <c r="A320" s="213">
        <v>120003015</v>
      </c>
      <c r="B320" s="214" t="s">
        <v>1352</v>
      </c>
      <c r="C320" s="214">
        <v>0.392165298</v>
      </c>
    </row>
    <row r="321" spans="1:3" x14ac:dyDescent="0.3">
      <c r="A321" s="215">
        <v>120003016</v>
      </c>
      <c r="B321" s="216" t="s">
        <v>1353</v>
      </c>
      <c r="C321" s="216">
        <v>0.38812668099999997</v>
      </c>
    </row>
    <row r="322" spans="1:3" x14ac:dyDescent="0.3">
      <c r="A322" s="213">
        <v>120003017</v>
      </c>
      <c r="B322" s="214" t="s">
        <v>1354</v>
      </c>
      <c r="C322" s="214">
        <v>0.55500543400000002</v>
      </c>
    </row>
    <row r="323" spans="1:3" x14ac:dyDescent="0.3">
      <c r="A323" s="215">
        <v>120003018</v>
      </c>
      <c r="B323" s="216" t="s">
        <v>1355</v>
      </c>
      <c r="C323" s="216">
        <v>0.52604877999999999</v>
      </c>
    </row>
    <row r="324" spans="1:3" x14ac:dyDescent="0.3">
      <c r="A324" s="213">
        <v>120003019</v>
      </c>
      <c r="B324" s="214" t="s">
        <v>1356</v>
      </c>
      <c r="C324" s="214">
        <v>0.53390000000000004</v>
      </c>
    </row>
    <row r="325" spans="1:3" x14ac:dyDescent="0.3">
      <c r="A325" s="215">
        <v>120004001</v>
      </c>
      <c r="B325" s="216" t="s">
        <v>1357</v>
      </c>
      <c r="C325" s="216">
        <v>0.422926829</v>
      </c>
    </row>
    <row r="326" spans="1:3" x14ac:dyDescent="0.3">
      <c r="A326" s="213">
        <v>120004002</v>
      </c>
      <c r="B326" s="214" t="s">
        <v>1358</v>
      </c>
      <c r="C326" s="214">
        <v>0.41552208899999998</v>
      </c>
    </row>
    <row r="327" spans="1:3" x14ac:dyDescent="0.3">
      <c r="A327" s="215">
        <v>120004003</v>
      </c>
      <c r="B327" s="216" t="s">
        <v>1359</v>
      </c>
      <c r="C327" s="216">
        <v>0.41815108899999998</v>
      </c>
    </row>
    <row r="328" spans="1:3" x14ac:dyDescent="0.3">
      <c r="A328" s="213">
        <v>120004004</v>
      </c>
      <c r="B328" s="214" t="s">
        <v>1360</v>
      </c>
      <c r="C328" s="214">
        <v>0.43339404300000001</v>
      </c>
    </row>
    <row r="329" spans="1:3" x14ac:dyDescent="0.3">
      <c r="A329" s="215">
        <v>120004005</v>
      </c>
      <c r="B329" s="216" t="s">
        <v>1361</v>
      </c>
      <c r="C329" s="216">
        <v>0.42920910600000001</v>
      </c>
    </row>
    <row r="330" spans="1:3" x14ac:dyDescent="0.3">
      <c r="A330" s="213">
        <v>120005001</v>
      </c>
      <c r="B330" s="214" t="s">
        <v>1362</v>
      </c>
      <c r="C330" s="214">
        <v>0.50661390299999998</v>
      </c>
    </row>
    <row r="331" spans="1:3" x14ac:dyDescent="0.3">
      <c r="A331" s="215">
        <v>120005002</v>
      </c>
      <c r="B331" s="216" t="s">
        <v>1363</v>
      </c>
      <c r="C331" s="216">
        <v>0.45603509599999997</v>
      </c>
    </row>
    <row r="332" spans="1:3" x14ac:dyDescent="0.3">
      <c r="A332" s="213">
        <v>120005003</v>
      </c>
      <c r="B332" s="214" t="s">
        <v>1364</v>
      </c>
      <c r="C332" s="214">
        <v>0.50496718100000004</v>
      </c>
    </row>
    <row r="333" spans="1:3" x14ac:dyDescent="0.3">
      <c r="A333" s="215">
        <v>120005004</v>
      </c>
      <c r="B333" s="216" t="s">
        <v>1365</v>
      </c>
      <c r="C333" s="216">
        <v>0.50607086099999998</v>
      </c>
    </row>
    <row r="334" spans="1:3" x14ac:dyDescent="0.3">
      <c r="A334" s="213">
        <v>120005005</v>
      </c>
      <c r="B334" s="214" t="s">
        <v>1366</v>
      </c>
      <c r="C334" s="214">
        <v>0.51038004000000003</v>
      </c>
    </row>
    <row r="335" spans="1:3" x14ac:dyDescent="0.3">
      <c r="A335" s="215">
        <v>120005006</v>
      </c>
      <c r="B335" s="216" t="s">
        <v>1367</v>
      </c>
      <c r="C335" s="216">
        <v>0.493935715</v>
      </c>
    </row>
    <row r="336" spans="1:3" x14ac:dyDescent="0.3">
      <c r="A336" s="213">
        <v>120005007</v>
      </c>
      <c r="B336" s="214" t="s">
        <v>1368</v>
      </c>
      <c r="C336" s="214">
        <v>0.37507410200000002</v>
      </c>
    </row>
    <row r="337" spans="1:3" x14ac:dyDescent="0.3">
      <c r="A337" s="215">
        <v>120005008</v>
      </c>
      <c r="B337" s="216" t="s">
        <v>1369</v>
      </c>
      <c r="C337" s="216">
        <v>0.40495013800000002</v>
      </c>
    </row>
    <row r="338" spans="1:3" x14ac:dyDescent="0.3">
      <c r="A338" s="213">
        <v>120005009</v>
      </c>
      <c r="B338" s="214" t="s">
        <v>1370</v>
      </c>
      <c r="C338" s="214">
        <v>0.36863096299999998</v>
      </c>
    </row>
    <row r="339" spans="1:3" x14ac:dyDescent="0.3">
      <c r="A339" s="215">
        <v>120005010</v>
      </c>
      <c r="B339" s="216" t="s">
        <v>1371</v>
      </c>
      <c r="C339" s="216">
        <v>0.403548034</v>
      </c>
    </row>
    <row r="340" spans="1:3" x14ac:dyDescent="0.3">
      <c r="A340" s="213">
        <v>120005011</v>
      </c>
      <c r="B340" s="214" t="s">
        <v>1372</v>
      </c>
      <c r="C340" s="214">
        <v>0.39927910599999999</v>
      </c>
    </row>
    <row r="341" spans="1:3" x14ac:dyDescent="0.3">
      <c r="A341" s="215">
        <v>120006004</v>
      </c>
      <c r="B341" s="216" t="s">
        <v>1373</v>
      </c>
      <c r="C341" s="216">
        <v>0.58706645099999999</v>
      </c>
    </row>
    <row r="342" spans="1:3" x14ac:dyDescent="0.3">
      <c r="A342" s="213">
        <v>120007001</v>
      </c>
      <c r="B342" s="214" t="s">
        <v>1374</v>
      </c>
      <c r="C342" s="214">
        <v>0.37837750999999997</v>
      </c>
    </row>
    <row r="343" spans="1:3" x14ac:dyDescent="0.3">
      <c r="A343" s="215">
        <v>120007002</v>
      </c>
      <c r="B343" s="216" t="s">
        <v>1375</v>
      </c>
      <c r="C343" s="216">
        <v>0.37630943700000002</v>
      </c>
    </row>
    <row r="344" spans="1:3" x14ac:dyDescent="0.3">
      <c r="A344" s="213">
        <v>120007006</v>
      </c>
      <c r="B344" s="214" t="s">
        <v>1376</v>
      </c>
      <c r="C344" s="214">
        <v>0.39207093799999998</v>
      </c>
    </row>
    <row r="345" spans="1:3" x14ac:dyDescent="0.3">
      <c r="A345" s="215">
        <v>120008001</v>
      </c>
      <c r="B345" s="216" t="s">
        <v>1377</v>
      </c>
      <c r="C345" s="216">
        <v>0.44109095300000001</v>
      </c>
    </row>
    <row r="346" spans="1:3" x14ac:dyDescent="0.3">
      <c r="A346" s="213">
        <v>120008002</v>
      </c>
      <c r="B346" s="214" t="s">
        <v>1378</v>
      </c>
      <c r="C346" s="214">
        <v>0.42029283200000001</v>
      </c>
    </row>
    <row r="347" spans="1:3" x14ac:dyDescent="0.3">
      <c r="A347" s="215">
        <v>120008003</v>
      </c>
      <c r="B347" s="216" t="s">
        <v>1379</v>
      </c>
      <c r="C347" s="216">
        <v>0.44109095300000001</v>
      </c>
    </row>
    <row r="348" spans="1:3" x14ac:dyDescent="0.3">
      <c r="A348" s="213">
        <v>120008004</v>
      </c>
      <c r="B348" s="214" t="s">
        <v>1380</v>
      </c>
      <c r="C348" s="214">
        <v>0.42509077200000001</v>
      </c>
    </row>
    <row r="349" spans="1:3" x14ac:dyDescent="0.3">
      <c r="A349" s="215">
        <v>120008006</v>
      </c>
      <c r="B349" s="216" t="s">
        <v>1381</v>
      </c>
      <c r="C349" s="216">
        <v>0.44580255499999999</v>
      </c>
    </row>
    <row r="350" spans="1:3" x14ac:dyDescent="0.3">
      <c r="A350" s="213">
        <v>120008008</v>
      </c>
      <c r="B350" s="214" t="s">
        <v>1382</v>
      </c>
      <c r="C350" s="214">
        <v>0.37427618200000001</v>
      </c>
    </row>
    <row r="351" spans="1:3" x14ac:dyDescent="0.3">
      <c r="A351" s="215">
        <v>120008011</v>
      </c>
      <c r="B351" s="216" t="s">
        <v>1383</v>
      </c>
      <c r="C351" s="216">
        <v>0.43253634499999999</v>
      </c>
    </row>
    <row r="352" spans="1:3" x14ac:dyDescent="0.3">
      <c r="A352" s="213">
        <v>120008012</v>
      </c>
      <c r="B352" s="214" t="s">
        <v>1384</v>
      </c>
      <c r="C352" s="214">
        <v>0.458536585</v>
      </c>
    </row>
    <row r="353" spans="1:3" x14ac:dyDescent="0.3">
      <c r="A353" s="215">
        <v>120009001</v>
      </c>
      <c r="B353" s="216" t="s">
        <v>1385</v>
      </c>
      <c r="C353" s="216">
        <v>0.40975368400000001</v>
      </c>
    </row>
    <row r="354" spans="1:3" x14ac:dyDescent="0.3">
      <c r="A354" s="213">
        <v>120009002</v>
      </c>
      <c r="B354" s="214" t="s">
        <v>1386</v>
      </c>
      <c r="C354" s="214">
        <v>0.44475061599999999</v>
      </c>
    </row>
    <row r="355" spans="1:3" x14ac:dyDescent="0.3">
      <c r="A355" s="215">
        <v>120009003</v>
      </c>
      <c r="B355" s="216" t="s">
        <v>1387</v>
      </c>
      <c r="C355" s="216">
        <v>0.39862159000000003</v>
      </c>
    </row>
    <row r="356" spans="1:3" x14ac:dyDescent="0.3">
      <c r="A356" s="213">
        <v>120009004</v>
      </c>
      <c r="B356" s="214" t="s">
        <v>1388</v>
      </c>
      <c r="C356" s="214">
        <v>0.37744630299999998</v>
      </c>
    </row>
    <row r="357" spans="1:3" x14ac:dyDescent="0.3">
      <c r="A357" s="215">
        <v>120009005</v>
      </c>
      <c r="B357" s="216" t="s">
        <v>1389</v>
      </c>
      <c r="C357" s="216">
        <v>0.37680892700000002</v>
      </c>
    </row>
    <row r="358" spans="1:3" x14ac:dyDescent="0.3">
      <c r="A358" s="213">
        <v>120009006</v>
      </c>
      <c r="B358" s="214" t="s">
        <v>1390</v>
      </c>
      <c r="C358" s="214">
        <v>0.48539866599999998</v>
      </c>
    </row>
    <row r="359" spans="1:3" x14ac:dyDescent="0.3">
      <c r="A359" s="215">
        <v>120009008</v>
      </c>
      <c r="B359" s="216" t="s">
        <v>1391</v>
      </c>
      <c r="C359" s="216">
        <v>0.41354912900000002</v>
      </c>
    </row>
    <row r="360" spans="1:3" x14ac:dyDescent="0.3">
      <c r="A360" s="213">
        <v>120009009</v>
      </c>
      <c r="B360" s="214" t="s">
        <v>1392</v>
      </c>
      <c r="C360" s="214">
        <v>0.42815720099999999</v>
      </c>
    </row>
    <row r="361" spans="1:3" x14ac:dyDescent="0.3">
      <c r="A361" s="215">
        <v>120009010</v>
      </c>
      <c r="B361" s="216" t="s">
        <v>1393</v>
      </c>
      <c r="C361" s="216">
        <v>0.42292442600000002</v>
      </c>
    </row>
    <row r="362" spans="1:3" x14ac:dyDescent="0.3">
      <c r="A362" s="213">
        <v>120009011</v>
      </c>
      <c r="B362" s="214" t="s">
        <v>1394</v>
      </c>
      <c r="C362" s="214">
        <v>0.42727543600000001</v>
      </c>
    </row>
    <row r="363" spans="1:3" x14ac:dyDescent="0.3">
      <c r="A363" s="215">
        <v>120009012</v>
      </c>
      <c r="B363" s="216" t="s">
        <v>1395</v>
      </c>
      <c r="C363" s="216">
        <v>0.41139012400000002</v>
      </c>
    </row>
    <row r="364" spans="1:3" x14ac:dyDescent="0.3">
      <c r="A364" s="213">
        <v>120009013</v>
      </c>
      <c r="B364" s="214" t="s">
        <v>1396</v>
      </c>
      <c r="C364" s="214">
        <v>0.43264004499999997</v>
      </c>
    </row>
    <row r="365" spans="1:3" x14ac:dyDescent="0.3">
      <c r="A365" s="215">
        <v>120010001</v>
      </c>
      <c r="B365" s="216" t="s">
        <v>1338</v>
      </c>
      <c r="C365" s="216">
        <v>0.42292442600000002</v>
      </c>
    </row>
    <row r="366" spans="1:3" x14ac:dyDescent="0.3">
      <c r="A366" s="213">
        <v>120010002</v>
      </c>
      <c r="B366" s="214" t="s">
        <v>157</v>
      </c>
      <c r="C366" s="214">
        <v>0.41215907699999998</v>
      </c>
    </row>
    <row r="367" spans="1:3" x14ac:dyDescent="0.3">
      <c r="A367" s="215">
        <v>120010003</v>
      </c>
      <c r="B367" s="216" t="s">
        <v>152</v>
      </c>
      <c r="C367" s="216">
        <v>0.42341463400000001</v>
      </c>
    </row>
    <row r="368" spans="1:3" x14ac:dyDescent="0.3">
      <c r="A368" s="213">
        <v>120010004</v>
      </c>
      <c r="B368" s="214" t="s">
        <v>141</v>
      </c>
      <c r="C368" s="214">
        <v>0.42052144699999999</v>
      </c>
    </row>
    <row r="369" spans="1:3" x14ac:dyDescent="0.3">
      <c r="A369" s="215">
        <v>120010005</v>
      </c>
      <c r="B369" s="216" t="s">
        <v>1339</v>
      </c>
      <c r="C369" s="216">
        <v>0.38332332099999999</v>
      </c>
    </row>
    <row r="370" spans="1:3" x14ac:dyDescent="0.3">
      <c r="A370" s="213">
        <v>120011001</v>
      </c>
      <c r="B370" s="214" t="s">
        <v>1397</v>
      </c>
      <c r="C370" s="214">
        <v>0.42617859899999999</v>
      </c>
    </row>
    <row r="371" spans="1:3" x14ac:dyDescent="0.3">
      <c r="A371" s="215">
        <v>120011002</v>
      </c>
      <c r="B371" s="216" t="s">
        <v>1398</v>
      </c>
      <c r="C371" s="216">
        <v>0.40749386900000001</v>
      </c>
    </row>
    <row r="372" spans="1:3" x14ac:dyDescent="0.3">
      <c r="A372" s="213">
        <v>120011003</v>
      </c>
      <c r="B372" s="214" t="s">
        <v>162</v>
      </c>
      <c r="C372" s="214">
        <v>0.45072683699999999</v>
      </c>
    </row>
    <row r="373" spans="1:3" x14ac:dyDescent="0.3">
      <c r="A373" s="215">
        <v>120011004</v>
      </c>
      <c r="B373" s="216" t="s">
        <v>1399</v>
      </c>
      <c r="C373" s="216">
        <v>0.41428316300000001</v>
      </c>
    </row>
    <row r="374" spans="1:3" x14ac:dyDescent="0.3">
      <c r="A374" s="213">
        <v>120011005</v>
      </c>
      <c r="B374" s="214" t="s">
        <v>1400</v>
      </c>
      <c r="C374" s="214">
        <v>0.41468933299999999</v>
      </c>
    </row>
    <row r="375" spans="1:3" x14ac:dyDescent="0.3">
      <c r="A375" s="215">
        <v>120011006</v>
      </c>
      <c r="B375" s="216" t="s">
        <v>1401</v>
      </c>
      <c r="C375" s="216">
        <v>0.49920110000000001</v>
      </c>
    </row>
    <row r="376" spans="1:3" x14ac:dyDescent="0.3">
      <c r="A376" s="213">
        <v>120011007</v>
      </c>
      <c r="B376" s="214" t="s">
        <v>1402</v>
      </c>
      <c r="C376" s="214">
        <v>0.59690015600000002</v>
      </c>
    </row>
    <row r="377" spans="1:3" x14ac:dyDescent="0.3">
      <c r="A377" s="215">
        <v>122001009</v>
      </c>
      <c r="B377" s="216" t="s">
        <v>1403</v>
      </c>
      <c r="C377" s="216">
        <v>0.97268292700000003</v>
      </c>
    </row>
    <row r="378" spans="1:3" x14ac:dyDescent="0.3">
      <c r="A378" s="213">
        <v>123001001</v>
      </c>
      <c r="B378" s="214" t="s">
        <v>1404</v>
      </c>
      <c r="C378" s="214">
        <v>0.39024390199999998</v>
      </c>
    </row>
    <row r="379" spans="1:3" x14ac:dyDescent="0.3">
      <c r="A379" s="215">
        <v>123001002</v>
      </c>
      <c r="B379" s="216" t="s">
        <v>1405</v>
      </c>
      <c r="C379" s="216">
        <v>0.43180095899999998</v>
      </c>
    </row>
    <row r="380" spans="1:3" x14ac:dyDescent="0.3">
      <c r="A380" s="213">
        <v>123001003</v>
      </c>
      <c r="B380" s="214" t="s">
        <v>1406</v>
      </c>
      <c r="C380" s="214">
        <v>0.39024390199999998</v>
      </c>
    </row>
    <row r="381" spans="1:3" x14ac:dyDescent="0.3">
      <c r="A381" s="215">
        <v>123001004</v>
      </c>
      <c r="B381" s="216" t="s">
        <v>1407</v>
      </c>
      <c r="C381" s="216">
        <v>0.39024390199999998</v>
      </c>
    </row>
    <row r="382" spans="1:3" x14ac:dyDescent="0.3">
      <c r="A382" s="213">
        <v>123001007</v>
      </c>
      <c r="B382" s="214" t="s">
        <v>1408</v>
      </c>
      <c r="C382" s="214">
        <v>0.37841161800000001</v>
      </c>
    </row>
    <row r="383" spans="1:3" x14ac:dyDescent="0.3">
      <c r="A383" s="215">
        <v>123001009</v>
      </c>
      <c r="B383" s="216" t="s">
        <v>1409</v>
      </c>
      <c r="C383" s="216">
        <v>0.39024390199999998</v>
      </c>
    </row>
    <row r="384" spans="1:3" x14ac:dyDescent="0.3">
      <c r="A384" s="213">
        <v>123001012</v>
      </c>
      <c r="B384" s="214" t="s">
        <v>1410</v>
      </c>
      <c r="C384" s="214">
        <v>0.39024390199999998</v>
      </c>
    </row>
    <row r="385" spans="1:3" x14ac:dyDescent="0.3">
      <c r="A385" s="215">
        <v>123001014</v>
      </c>
      <c r="B385" s="216" t="s">
        <v>1411</v>
      </c>
      <c r="C385" s="216">
        <v>0.52865553300000001</v>
      </c>
    </row>
    <row r="386" spans="1:3" x14ac:dyDescent="0.3">
      <c r="A386" s="213">
        <v>123001016</v>
      </c>
      <c r="B386" s="214" t="s">
        <v>1412</v>
      </c>
      <c r="C386" s="214">
        <v>0.45176018299999998</v>
      </c>
    </row>
    <row r="387" spans="1:3" x14ac:dyDescent="0.3">
      <c r="A387" s="215">
        <v>123001017</v>
      </c>
      <c r="B387" s="216" t="s">
        <v>1413</v>
      </c>
      <c r="C387" s="216">
        <v>0.39777336000000002</v>
      </c>
    </row>
    <row r="388" spans="1:3" x14ac:dyDescent="0.3">
      <c r="A388" s="213">
        <v>123001018</v>
      </c>
      <c r="B388" s="214" t="s">
        <v>1414</v>
      </c>
      <c r="C388" s="214">
        <v>0.436517973</v>
      </c>
    </row>
    <row r="389" spans="1:3" x14ac:dyDescent="0.3">
      <c r="A389" s="215">
        <v>123001021</v>
      </c>
      <c r="B389" s="216" t="s">
        <v>1415</v>
      </c>
      <c r="C389" s="216">
        <v>0.39024390199999998</v>
      </c>
    </row>
    <row r="390" spans="1:3" x14ac:dyDescent="0.3">
      <c r="A390" s="213">
        <v>123001030</v>
      </c>
      <c r="B390" s="214" t="s">
        <v>1416</v>
      </c>
      <c r="C390" s="214">
        <v>0.39024390199999998</v>
      </c>
    </row>
    <row r="391" spans="1:3" x14ac:dyDescent="0.3">
      <c r="A391" s="215">
        <v>123001033</v>
      </c>
      <c r="B391" s="216" t="s">
        <v>1417</v>
      </c>
      <c r="C391" s="216">
        <v>0.39024390199999998</v>
      </c>
    </row>
    <row r="392" spans="1:3" x14ac:dyDescent="0.3">
      <c r="A392" s="213">
        <v>123001034</v>
      </c>
      <c r="B392" s="214" t="s">
        <v>1418</v>
      </c>
      <c r="C392" s="214">
        <v>0.39024390199999998</v>
      </c>
    </row>
    <row r="393" spans="1:3" x14ac:dyDescent="0.3">
      <c r="A393" s="215">
        <v>123001037</v>
      </c>
      <c r="B393" s="216" t="s">
        <v>1419</v>
      </c>
      <c r="C393" s="216">
        <v>0.39024390199999998</v>
      </c>
    </row>
    <row r="394" spans="1:3" x14ac:dyDescent="0.3">
      <c r="A394" s="213">
        <v>123001038</v>
      </c>
      <c r="B394" s="214" t="s">
        <v>1420</v>
      </c>
      <c r="C394" s="214">
        <v>0.39024390199999998</v>
      </c>
    </row>
    <row r="395" spans="1:3" x14ac:dyDescent="0.3">
      <c r="A395" s="215">
        <v>125001002</v>
      </c>
      <c r="B395" s="216" t="s">
        <v>1421</v>
      </c>
      <c r="C395" s="216">
        <v>0.53176162100000002</v>
      </c>
    </row>
    <row r="396" spans="1:3" x14ac:dyDescent="0.3">
      <c r="A396" s="213">
        <v>125001005</v>
      </c>
      <c r="B396" s="214" t="s">
        <v>1422</v>
      </c>
      <c r="C396" s="214">
        <v>0.53222872600000004</v>
      </c>
    </row>
    <row r="397" spans="1:3" x14ac:dyDescent="0.3">
      <c r="A397" s="215">
        <v>125002001</v>
      </c>
      <c r="B397" s="216" t="s">
        <v>1423</v>
      </c>
      <c r="C397" s="216">
        <v>0.47822411599999998</v>
      </c>
    </row>
    <row r="398" spans="1:3" x14ac:dyDescent="0.3">
      <c r="A398" s="213">
        <v>125002002</v>
      </c>
      <c r="B398" s="214" t="s">
        <v>1424</v>
      </c>
      <c r="C398" s="214">
        <v>0.47074576600000001</v>
      </c>
    </row>
    <row r="399" spans="1:3" x14ac:dyDescent="0.3">
      <c r="A399" s="215">
        <v>125002003</v>
      </c>
      <c r="B399" s="216" t="s">
        <v>1425</v>
      </c>
      <c r="C399" s="216">
        <v>0.47906188900000002</v>
      </c>
    </row>
    <row r="400" spans="1:3" x14ac:dyDescent="0.3">
      <c r="A400" s="213">
        <v>125002004</v>
      </c>
      <c r="B400" s="214" t="s">
        <v>1426</v>
      </c>
      <c r="C400" s="214">
        <v>0.44214826400000001</v>
      </c>
    </row>
    <row r="401" spans="1:3" x14ac:dyDescent="0.3">
      <c r="A401" s="215">
        <v>125002005</v>
      </c>
      <c r="B401" s="216" t="s">
        <v>1427</v>
      </c>
      <c r="C401" s="216">
        <v>0.47067451599999999</v>
      </c>
    </row>
    <row r="402" spans="1:3" x14ac:dyDescent="0.3">
      <c r="A402" s="213">
        <v>125002006</v>
      </c>
      <c r="B402" s="214" t="s">
        <v>1428</v>
      </c>
      <c r="C402" s="214">
        <v>0.47773675599999998</v>
      </c>
    </row>
    <row r="403" spans="1:3" x14ac:dyDescent="0.3">
      <c r="A403" s="215">
        <v>125002007</v>
      </c>
      <c r="B403" s="216" t="s">
        <v>1429</v>
      </c>
      <c r="C403" s="216">
        <v>0.47618474700000002</v>
      </c>
    </row>
    <row r="404" spans="1:3" x14ac:dyDescent="0.3">
      <c r="A404" s="213">
        <v>125002008</v>
      </c>
      <c r="B404" s="214" t="s">
        <v>1430</v>
      </c>
      <c r="C404" s="214">
        <v>0.43882586299999998</v>
      </c>
    </row>
    <row r="405" spans="1:3" x14ac:dyDescent="0.3">
      <c r="A405" s="215">
        <v>125002009</v>
      </c>
      <c r="B405" s="216" t="s">
        <v>1431</v>
      </c>
      <c r="C405" s="216">
        <v>0.47230031099999997</v>
      </c>
    </row>
    <row r="406" spans="1:3" x14ac:dyDescent="0.3">
      <c r="A406" s="213">
        <v>125002010</v>
      </c>
      <c r="B406" s="214" t="s">
        <v>1432</v>
      </c>
      <c r="C406" s="214">
        <v>0.475316719</v>
      </c>
    </row>
    <row r="407" spans="1:3" x14ac:dyDescent="0.3">
      <c r="A407" s="215">
        <v>126001002</v>
      </c>
      <c r="B407" s="216" t="s">
        <v>1433</v>
      </c>
      <c r="C407" s="216">
        <v>0.50949636099999995</v>
      </c>
    </row>
    <row r="408" spans="1:3" x14ac:dyDescent="0.3">
      <c r="A408" s="213">
        <v>126001003</v>
      </c>
      <c r="B408" s="214" t="s">
        <v>1434</v>
      </c>
      <c r="C408" s="214">
        <v>0.64880451800000005</v>
      </c>
    </row>
    <row r="409" spans="1:3" x14ac:dyDescent="0.3">
      <c r="A409" s="215">
        <v>126001004</v>
      </c>
      <c r="B409" s="216" t="s">
        <v>1435</v>
      </c>
      <c r="C409" s="216">
        <v>0.59435217299999998</v>
      </c>
    </row>
    <row r="410" spans="1:3" x14ac:dyDescent="0.3">
      <c r="A410" s="213">
        <v>126001006</v>
      </c>
      <c r="B410" s="214" t="s">
        <v>1436</v>
      </c>
      <c r="C410" s="214">
        <v>0.557491289</v>
      </c>
    </row>
    <row r="411" spans="1:3" x14ac:dyDescent="0.3">
      <c r="A411" s="215">
        <v>126002003</v>
      </c>
      <c r="B411" s="216" t="s">
        <v>1437</v>
      </c>
      <c r="C411" s="216">
        <v>0.59334374599999995</v>
      </c>
    </row>
    <row r="412" spans="1:3" x14ac:dyDescent="0.3">
      <c r="A412" s="213">
        <v>126002005</v>
      </c>
      <c r="B412" s="214" t="s">
        <v>1438</v>
      </c>
      <c r="C412" s="214">
        <v>0.54134395599999996</v>
      </c>
    </row>
    <row r="413" spans="1:3" x14ac:dyDescent="0.3">
      <c r="A413" s="215">
        <v>126002008</v>
      </c>
      <c r="B413" s="216" t="s">
        <v>614</v>
      </c>
      <c r="C413" s="216">
        <v>0.56491824000000002</v>
      </c>
    </row>
    <row r="414" spans="1:3" x14ac:dyDescent="0.3">
      <c r="A414" s="213">
        <v>126002010</v>
      </c>
      <c r="B414" s="214" t="s">
        <v>1439</v>
      </c>
      <c r="C414" s="214">
        <v>0.59593896400000002</v>
      </c>
    </row>
    <row r="415" spans="1:3" x14ac:dyDescent="0.3">
      <c r="A415" s="215">
        <v>126002011</v>
      </c>
      <c r="B415" s="216" t="s">
        <v>1440</v>
      </c>
      <c r="C415" s="216">
        <v>0.56710320800000003</v>
      </c>
    </row>
    <row r="416" spans="1:3" x14ac:dyDescent="0.3">
      <c r="A416" s="213">
        <v>126002012</v>
      </c>
      <c r="B416" s="214" t="s">
        <v>1441</v>
      </c>
      <c r="C416" s="214">
        <v>0.59593896400000002</v>
      </c>
    </row>
    <row r="417" spans="1:3" x14ac:dyDescent="0.3">
      <c r="A417" s="215">
        <v>126002013</v>
      </c>
      <c r="B417" s="216" t="s">
        <v>1442</v>
      </c>
      <c r="C417" s="216">
        <v>0.59593896400000002</v>
      </c>
    </row>
    <row r="418" spans="1:3" x14ac:dyDescent="0.3">
      <c r="A418" s="213">
        <v>126002014</v>
      </c>
      <c r="B418" s="214" t="s">
        <v>1443</v>
      </c>
      <c r="C418" s="214">
        <v>0.59593896400000002</v>
      </c>
    </row>
    <row r="419" spans="1:3" x14ac:dyDescent="0.3">
      <c r="A419" s="215">
        <v>126002015</v>
      </c>
      <c r="B419" s="216" t="s">
        <v>1444</v>
      </c>
      <c r="C419" s="216">
        <v>0.61516280199999995</v>
      </c>
    </row>
    <row r="420" spans="1:3" x14ac:dyDescent="0.3">
      <c r="A420" s="213">
        <v>126002016</v>
      </c>
      <c r="B420" s="214" t="s">
        <v>1445</v>
      </c>
      <c r="C420" s="214">
        <v>0.59593896400000002</v>
      </c>
    </row>
    <row r="421" spans="1:3" x14ac:dyDescent="0.3">
      <c r="A421" s="215">
        <v>126002017</v>
      </c>
      <c r="B421" s="216" t="s">
        <v>1446</v>
      </c>
      <c r="C421" s="216">
        <v>0.76895350200000001</v>
      </c>
    </row>
    <row r="422" spans="1:3" x14ac:dyDescent="0.3">
      <c r="A422" s="213">
        <v>126002018</v>
      </c>
      <c r="B422" s="214" t="s">
        <v>1447</v>
      </c>
      <c r="C422" s="214">
        <v>0.65361047699999997</v>
      </c>
    </row>
    <row r="423" spans="1:3" x14ac:dyDescent="0.3">
      <c r="A423" s="215">
        <v>126003001</v>
      </c>
      <c r="B423" s="216" t="s">
        <v>1448</v>
      </c>
      <c r="C423" s="216">
        <v>0.4</v>
      </c>
    </row>
    <row r="424" spans="1:3" x14ac:dyDescent="0.3">
      <c r="A424" s="213">
        <v>126003002</v>
      </c>
      <c r="B424" s="214" t="s">
        <v>1449</v>
      </c>
      <c r="C424" s="214">
        <v>0.4</v>
      </c>
    </row>
    <row r="425" spans="1:3" x14ac:dyDescent="0.3">
      <c r="A425" s="215">
        <v>126003003</v>
      </c>
      <c r="B425" s="216" t="s">
        <v>1450</v>
      </c>
      <c r="C425" s="216">
        <v>0.4</v>
      </c>
    </row>
    <row r="426" spans="1:3" x14ac:dyDescent="0.3">
      <c r="A426" s="213">
        <v>126004001</v>
      </c>
      <c r="B426" s="214" t="s">
        <v>1451</v>
      </c>
      <c r="C426" s="214">
        <v>0.7</v>
      </c>
    </row>
    <row r="427" spans="1:3" x14ac:dyDescent="0.3">
      <c r="A427" s="215">
        <v>126004002</v>
      </c>
      <c r="B427" s="216" t="s">
        <v>1452</v>
      </c>
      <c r="C427" s="216">
        <v>0.7</v>
      </c>
    </row>
    <row r="428" spans="1:3" x14ac:dyDescent="0.3">
      <c r="A428" s="213">
        <v>126004003</v>
      </c>
      <c r="B428" s="214" t="s">
        <v>1453</v>
      </c>
      <c r="C428" s="214">
        <v>0.76895350200000001</v>
      </c>
    </row>
    <row r="429" spans="1:3" x14ac:dyDescent="0.3">
      <c r="A429" s="215">
        <v>126004004</v>
      </c>
      <c r="B429" s="216" t="s">
        <v>1454</v>
      </c>
      <c r="C429" s="216">
        <v>0.76895350200000001</v>
      </c>
    </row>
    <row r="430" spans="1:3" x14ac:dyDescent="0.3">
      <c r="A430" s="213">
        <v>127001001</v>
      </c>
      <c r="B430" s="214" t="s">
        <v>503</v>
      </c>
      <c r="C430" s="214">
        <v>0.45489765599999998</v>
      </c>
    </row>
    <row r="431" spans="1:3" x14ac:dyDescent="0.3">
      <c r="A431" s="215">
        <v>127001002</v>
      </c>
      <c r="B431" s="216" t="s">
        <v>501</v>
      </c>
      <c r="C431" s="216">
        <v>0.474724488</v>
      </c>
    </row>
    <row r="432" spans="1:3" x14ac:dyDescent="0.3">
      <c r="A432" s="213">
        <v>127001003</v>
      </c>
      <c r="B432" s="214" t="s">
        <v>505</v>
      </c>
      <c r="C432" s="214">
        <v>0.46332178899999998</v>
      </c>
    </row>
    <row r="433" spans="1:3" x14ac:dyDescent="0.3">
      <c r="A433" s="215">
        <v>127001004</v>
      </c>
      <c r="B433" s="216" t="s">
        <v>1455</v>
      </c>
      <c r="C433" s="216">
        <v>0.47853455299999997</v>
      </c>
    </row>
    <row r="434" spans="1:3" x14ac:dyDescent="0.3">
      <c r="A434" s="213">
        <v>127001005</v>
      </c>
      <c r="B434" s="214" t="s">
        <v>1456</v>
      </c>
      <c r="C434" s="214">
        <v>0.454269694</v>
      </c>
    </row>
    <row r="435" spans="1:3" x14ac:dyDescent="0.3">
      <c r="A435" s="215">
        <v>127001006</v>
      </c>
      <c r="B435" s="216" t="s">
        <v>502</v>
      </c>
      <c r="C435" s="216">
        <v>0.459202681</v>
      </c>
    </row>
    <row r="436" spans="1:3" x14ac:dyDescent="0.3">
      <c r="A436" s="213">
        <v>127001007</v>
      </c>
      <c r="B436" s="214" t="s">
        <v>1457</v>
      </c>
      <c r="C436" s="214">
        <v>0.46710928499999999</v>
      </c>
    </row>
    <row r="437" spans="1:3" x14ac:dyDescent="0.3">
      <c r="A437" s="215">
        <v>127001008</v>
      </c>
      <c r="B437" s="216" t="s">
        <v>1458</v>
      </c>
      <c r="C437" s="216">
        <v>0.43060048099999998</v>
      </c>
    </row>
    <row r="438" spans="1:3" x14ac:dyDescent="0.3">
      <c r="A438" s="213">
        <v>127001009</v>
      </c>
      <c r="B438" s="214" t="s">
        <v>1459</v>
      </c>
      <c r="C438" s="214">
        <v>0.44591584499999998</v>
      </c>
    </row>
    <row r="439" spans="1:3" x14ac:dyDescent="0.3">
      <c r="A439" s="215">
        <v>127001010</v>
      </c>
      <c r="B439" s="216" t="s">
        <v>1460</v>
      </c>
      <c r="C439" s="216">
        <v>0.44505579299999998</v>
      </c>
    </row>
    <row r="440" spans="1:3" x14ac:dyDescent="0.3">
      <c r="A440" s="213">
        <v>127001011</v>
      </c>
      <c r="B440" s="214" t="s">
        <v>1461</v>
      </c>
      <c r="C440" s="214">
        <v>0.46240498400000002</v>
      </c>
    </row>
    <row r="441" spans="1:3" x14ac:dyDescent="0.3">
      <c r="A441" s="215">
        <v>127001012</v>
      </c>
      <c r="B441" s="216" t="s">
        <v>1462</v>
      </c>
      <c r="C441" s="216">
        <v>0.39504986199999997</v>
      </c>
    </row>
    <row r="442" spans="1:3" x14ac:dyDescent="0.3">
      <c r="A442" s="213">
        <v>127001013</v>
      </c>
      <c r="B442" s="214" t="s">
        <v>1463</v>
      </c>
      <c r="C442" s="214">
        <v>0.476951609</v>
      </c>
    </row>
    <row r="443" spans="1:3" x14ac:dyDescent="0.3">
      <c r="A443" s="215">
        <v>127001014</v>
      </c>
      <c r="B443" s="216" t="s">
        <v>500</v>
      </c>
      <c r="C443" s="216">
        <v>0.49079460000000003</v>
      </c>
    </row>
    <row r="444" spans="1:3" x14ac:dyDescent="0.3">
      <c r="A444" s="213">
        <v>127001015</v>
      </c>
      <c r="B444" s="214" t="s">
        <v>1464</v>
      </c>
      <c r="C444" s="214">
        <v>0.44544889300000001</v>
      </c>
    </row>
    <row r="445" spans="1:3" x14ac:dyDescent="0.3">
      <c r="A445" s="215">
        <v>127001016</v>
      </c>
      <c r="B445" s="216" t="s">
        <v>1465</v>
      </c>
      <c r="C445" s="216">
        <v>0.48066905100000001</v>
      </c>
    </row>
    <row r="446" spans="1:3" x14ac:dyDescent="0.3">
      <c r="A446" s="213">
        <v>127001018</v>
      </c>
      <c r="B446" s="214" t="s">
        <v>1466</v>
      </c>
      <c r="C446" s="214">
        <v>0.47663051099999998</v>
      </c>
    </row>
    <row r="447" spans="1:3" x14ac:dyDescent="0.3">
      <c r="A447" s="215">
        <v>127001019</v>
      </c>
      <c r="B447" s="216" t="s">
        <v>1467</v>
      </c>
      <c r="C447" s="216">
        <v>0.46964866</v>
      </c>
    </row>
    <row r="448" spans="1:3" x14ac:dyDescent="0.3">
      <c r="A448" s="213">
        <v>127001020</v>
      </c>
      <c r="B448" s="214" t="s">
        <v>1468</v>
      </c>
      <c r="C448" s="214">
        <v>0.46356767700000001</v>
      </c>
    </row>
    <row r="449" spans="1:3" x14ac:dyDescent="0.3">
      <c r="A449" s="215">
        <v>127001021</v>
      </c>
      <c r="B449" s="216" t="s">
        <v>1469</v>
      </c>
      <c r="C449" s="216">
        <v>0.44812149099999998</v>
      </c>
    </row>
    <row r="450" spans="1:3" x14ac:dyDescent="0.3">
      <c r="A450" s="213">
        <v>127001022</v>
      </c>
      <c r="B450" s="214" t="s">
        <v>1470</v>
      </c>
      <c r="C450" s="214">
        <v>0.45658381100000001</v>
      </c>
    </row>
    <row r="451" spans="1:3" x14ac:dyDescent="0.3">
      <c r="A451" s="215">
        <v>127001024</v>
      </c>
      <c r="B451" s="216" t="s">
        <v>1471</v>
      </c>
      <c r="C451" s="216">
        <v>0.49877284599999999</v>
      </c>
    </row>
    <row r="452" spans="1:3" x14ac:dyDescent="0.3">
      <c r="A452" s="213">
        <v>127001025</v>
      </c>
      <c r="B452" s="214" t="s">
        <v>1472</v>
      </c>
      <c r="C452" s="214">
        <v>0.42701378099999998</v>
      </c>
    </row>
    <row r="453" spans="1:3" x14ac:dyDescent="0.3">
      <c r="A453" s="215">
        <v>127001026</v>
      </c>
      <c r="B453" s="216" t="s">
        <v>1473</v>
      </c>
      <c r="C453" s="216">
        <v>0.460426795</v>
      </c>
    </row>
    <row r="454" spans="1:3" x14ac:dyDescent="0.3">
      <c r="A454" s="213">
        <v>127001027</v>
      </c>
      <c r="B454" s="214" t="s">
        <v>504</v>
      </c>
      <c r="C454" s="214">
        <v>0.44278988899999999</v>
      </c>
    </row>
    <row r="455" spans="1:3" x14ac:dyDescent="0.3">
      <c r="A455" s="215">
        <v>127001028</v>
      </c>
      <c r="B455" s="216" t="s">
        <v>1474</v>
      </c>
      <c r="C455" s="216">
        <v>0.483247765</v>
      </c>
    </row>
    <row r="456" spans="1:3" x14ac:dyDescent="0.3">
      <c r="A456" s="213">
        <v>127001029</v>
      </c>
      <c r="B456" s="214" t="s">
        <v>1475</v>
      </c>
      <c r="C456" s="214">
        <v>0.46835968500000003</v>
      </c>
    </row>
    <row r="457" spans="1:3" x14ac:dyDescent="0.3">
      <c r="A457" s="215">
        <v>127001030</v>
      </c>
      <c r="B457" s="216" t="s">
        <v>1476</v>
      </c>
      <c r="C457" s="216">
        <v>0.442689469</v>
      </c>
    </row>
    <row r="458" spans="1:3" x14ac:dyDescent="0.3">
      <c r="A458" s="213">
        <v>127001031</v>
      </c>
      <c r="B458" s="214" t="s">
        <v>1477</v>
      </c>
      <c r="C458" s="214">
        <v>0.42977734000000001</v>
      </c>
    </row>
    <row r="459" spans="1:3" x14ac:dyDescent="0.3">
      <c r="A459" s="215">
        <v>127001032</v>
      </c>
      <c r="B459" s="216" t="s">
        <v>1478</v>
      </c>
      <c r="C459" s="216">
        <v>0.46329999999999999</v>
      </c>
    </row>
    <row r="460" spans="1:3" x14ac:dyDescent="0.3">
      <c r="A460" s="213">
        <v>127001033</v>
      </c>
      <c r="B460" s="214" t="s">
        <v>1479</v>
      </c>
      <c r="C460" s="214">
        <v>0.46329999999999999</v>
      </c>
    </row>
    <row r="461" spans="1:3" x14ac:dyDescent="0.3">
      <c r="A461" s="215">
        <v>127002001</v>
      </c>
      <c r="B461" s="216" t="s">
        <v>1480</v>
      </c>
      <c r="C461" s="216">
        <v>0.44713090900000002</v>
      </c>
    </row>
    <row r="462" spans="1:3" x14ac:dyDescent="0.3">
      <c r="A462" s="213">
        <v>127002002</v>
      </c>
      <c r="B462" s="214" t="s">
        <v>603</v>
      </c>
      <c r="C462" s="214">
        <v>0.4452392</v>
      </c>
    </row>
    <row r="463" spans="1:3" x14ac:dyDescent="0.3">
      <c r="A463" s="215">
        <v>127002003</v>
      </c>
      <c r="B463" s="216" t="s">
        <v>1481</v>
      </c>
      <c r="C463" s="216">
        <v>0.42732458099999998</v>
      </c>
    </row>
    <row r="464" spans="1:3" x14ac:dyDescent="0.3">
      <c r="A464" s="213">
        <v>127002004</v>
      </c>
      <c r="B464" s="214" t="s">
        <v>1482</v>
      </c>
      <c r="C464" s="214">
        <v>0.490207858</v>
      </c>
    </row>
    <row r="465" spans="1:3" x14ac:dyDescent="0.3">
      <c r="A465" s="215">
        <v>127002005</v>
      </c>
      <c r="B465" s="216" t="s">
        <v>1483</v>
      </c>
      <c r="C465" s="216">
        <v>0.44141172699999998</v>
      </c>
    </row>
    <row r="466" spans="1:3" x14ac:dyDescent="0.3">
      <c r="A466" s="213">
        <v>127002006</v>
      </c>
      <c r="B466" s="214" t="s">
        <v>1484</v>
      </c>
      <c r="C466" s="214">
        <v>0.46823893700000002</v>
      </c>
    </row>
    <row r="467" spans="1:3" x14ac:dyDescent="0.3">
      <c r="A467" s="215">
        <v>127003001</v>
      </c>
      <c r="B467" s="216" t="s">
        <v>1485</v>
      </c>
      <c r="C467" s="216">
        <v>0.45048933099999999</v>
      </c>
    </row>
    <row r="468" spans="1:3" x14ac:dyDescent="0.3">
      <c r="A468" s="213">
        <v>127003002</v>
      </c>
      <c r="B468" s="214" t="s">
        <v>1486</v>
      </c>
      <c r="C468" s="214">
        <v>0.44287480299999998</v>
      </c>
    </row>
    <row r="469" spans="1:3" x14ac:dyDescent="0.3">
      <c r="A469" s="215">
        <v>127003003</v>
      </c>
      <c r="B469" s="216" t="s">
        <v>1487</v>
      </c>
      <c r="C469" s="216">
        <v>0.47414225300000001</v>
      </c>
    </row>
    <row r="470" spans="1:3" x14ac:dyDescent="0.3">
      <c r="A470" s="213">
        <v>127003004</v>
      </c>
      <c r="B470" s="214" t="s">
        <v>1488</v>
      </c>
      <c r="C470" s="214">
        <v>0.44549862400000001</v>
      </c>
    </row>
    <row r="471" spans="1:3" x14ac:dyDescent="0.3">
      <c r="A471" s="215">
        <v>127003005</v>
      </c>
      <c r="B471" s="216" t="s">
        <v>1489</v>
      </c>
      <c r="C471" s="216">
        <v>0.46485836000000003</v>
      </c>
    </row>
    <row r="472" spans="1:3" x14ac:dyDescent="0.3">
      <c r="A472" s="213">
        <v>128001001</v>
      </c>
      <c r="B472" s="214" t="s">
        <v>1490</v>
      </c>
      <c r="C472" s="214">
        <v>0.44369999999999998</v>
      </c>
    </row>
    <row r="473" spans="1:3" x14ac:dyDescent="0.3">
      <c r="A473" s="215">
        <v>128001002</v>
      </c>
      <c r="B473" s="216" t="s">
        <v>1491</v>
      </c>
      <c r="C473" s="216">
        <v>0.41249999999999998</v>
      </c>
    </row>
    <row r="474" spans="1:3" x14ac:dyDescent="0.3">
      <c r="A474" s="213">
        <v>128001003</v>
      </c>
      <c r="B474" s="214" t="s">
        <v>1492</v>
      </c>
      <c r="C474" s="214">
        <v>0.41749999999999998</v>
      </c>
    </row>
    <row r="475" spans="1:3" x14ac:dyDescent="0.3">
      <c r="A475" s="215">
        <v>128001004</v>
      </c>
      <c r="B475" s="216" t="s">
        <v>1493</v>
      </c>
      <c r="C475" s="216">
        <v>0.45750000000000002</v>
      </c>
    </row>
    <row r="476" spans="1:3" x14ac:dyDescent="0.3">
      <c r="A476" s="213">
        <v>128001006</v>
      </c>
      <c r="B476" s="214" t="s">
        <v>1494</v>
      </c>
      <c r="C476" s="214">
        <v>0.4975</v>
      </c>
    </row>
    <row r="477" spans="1:3" x14ac:dyDescent="0.3">
      <c r="A477" s="215">
        <v>128001007</v>
      </c>
      <c r="B477" s="216" t="s">
        <v>1495</v>
      </c>
      <c r="C477" s="216">
        <v>0.53949290000000005</v>
      </c>
    </row>
    <row r="478" spans="1:3" x14ac:dyDescent="0.3">
      <c r="A478" s="213">
        <v>128001008</v>
      </c>
      <c r="B478" s="214" t="s">
        <v>1496</v>
      </c>
      <c r="C478" s="214">
        <v>0.49323964300000001</v>
      </c>
    </row>
    <row r="479" spans="1:3" x14ac:dyDescent="0.3">
      <c r="A479" s="215">
        <v>128001009</v>
      </c>
      <c r="B479" s="216" t="s">
        <v>1497</v>
      </c>
      <c r="C479" s="216">
        <v>0.41060138099999999</v>
      </c>
    </row>
    <row r="480" spans="1:3" x14ac:dyDescent="0.3">
      <c r="A480" s="213">
        <v>128001010</v>
      </c>
      <c r="B480" s="214" t="s">
        <v>1498</v>
      </c>
      <c r="C480" s="214">
        <v>0.51202870300000003</v>
      </c>
    </row>
    <row r="481" spans="1:3" x14ac:dyDescent="0.3">
      <c r="A481" s="215">
        <v>128001011</v>
      </c>
      <c r="B481" s="216" t="s">
        <v>1499</v>
      </c>
      <c r="C481" s="216">
        <v>0.53045212600000002</v>
      </c>
    </row>
    <row r="482" spans="1:3" x14ac:dyDescent="0.3">
      <c r="A482" s="213">
        <v>128001012</v>
      </c>
      <c r="B482" s="214" t="s">
        <v>1500</v>
      </c>
      <c r="C482" s="214">
        <v>0.43923558000000001</v>
      </c>
    </row>
    <row r="483" spans="1:3" x14ac:dyDescent="0.3">
      <c r="A483" s="215">
        <v>128001013</v>
      </c>
      <c r="B483" s="216" t="s">
        <v>1501</v>
      </c>
      <c r="C483" s="216">
        <v>0.53094050100000001</v>
      </c>
    </row>
    <row r="484" spans="1:3" x14ac:dyDescent="0.3">
      <c r="A484" s="213">
        <v>128001014</v>
      </c>
      <c r="B484" s="214" t="s">
        <v>1502</v>
      </c>
      <c r="C484" s="214">
        <v>0.44584991499999999</v>
      </c>
    </row>
    <row r="485" spans="1:3" x14ac:dyDescent="0.3">
      <c r="A485" s="215">
        <v>128001015</v>
      </c>
      <c r="B485" s="216" t="s">
        <v>1503</v>
      </c>
      <c r="C485" s="216">
        <v>0.44589691199999998</v>
      </c>
    </row>
    <row r="486" spans="1:3" x14ac:dyDescent="0.3">
      <c r="A486" s="213">
        <v>128001016</v>
      </c>
      <c r="B486" s="214" t="s">
        <v>1504</v>
      </c>
      <c r="C486" s="214">
        <v>0.438767878</v>
      </c>
    </row>
    <row r="487" spans="1:3" x14ac:dyDescent="0.3">
      <c r="A487" s="215">
        <v>128001017</v>
      </c>
      <c r="B487" s="216" t="s">
        <v>1505</v>
      </c>
      <c r="C487" s="216">
        <v>0.43255727500000002</v>
      </c>
    </row>
    <row r="488" spans="1:3" x14ac:dyDescent="0.3">
      <c r="A488" s="213">
        <v>128001018</v>
      </c>
      <c r="B488" s="214" t="s">
        <v>1506</v>
      </c>
      <c r="C488" s="214">
        <v>0.52125435499999995</v>
      </c>
    </row>
    <row r="489" spans="1:3" x14ac:dyDescent="0.3">
      <c r="A489" s="215">
        <v>128001019</v>
      </c>
      <c r="B489" s="216" t="s">
        <v>1507</v>
      </c>
      <c r="C489" s="216">
        <v>0.56622829600000002</v>
      </c>
    </row>
    <row r="490" spans="1:3" x14ac:dyDescent="0.3">
      <c r="A490" s="213">
        <v>128001020</v>
      </c>
      <c r="B490" s="214" t="s">
        <v>1508</v>
      </c>
      <c r="C490" s="214">
        <v>0.53156603499999999</v>
      </c>
    </row>
    <row r="491" spans="1:3" x14ac:dyDescent="0.3">
      <c r="A491" s="215">
        <v>128001021</v>
      </c>
      <c r="B491" s="216" t="s">
        <v>1509</v>
      </c>
      <c r="C491" s="216">
        <v>0.521282786</v>
      </c>
    </row>
    <row r="492" spans="1:3" x14ac:dyDescent="0.3">
      <c r="A492" s="213">
        <v>128001022</v>
      </c>
      <c r="B492" s="214" t="s">
        <v>1510</v>
      </c>
      <c r="C492" s="214">
        <v>0.54439269400000001</v>
      </c>
    </row>
    <row r="493" spans="1:3" x14ac:dyDescent="0.3">
      <c r="A493" s="215">
        <v>128001023</v>
      </c>
      <c r="B493" s="216" t="s">
        <v>1511</v>
      </c>
      <c r="C493" s="216">
        <v>0.50762372499999997</v>
      </c>
    </row>
    <row r="494" spans="1:3" x14ac:dyDescent="0.3">
      <c r="A494" s="213">
        <v>128001024</v>
      </c>
      <c r="B494" s="214" t="s">
        <v>1512</v>
      </c>
      <c r="C494" s="214">
        <v>0.491265169</v>
      </c>
    </row>
    <row r="495" spans="1:3" x14ac:dyDescent="0.3">
      <c r="A495" s="215">
        <v>128001025</v>
      </c>
      <c r="B495" s="216" t="s">
        <v>1513</v>
      </c>
      <c r="C495" s="216">
        <v>0.70126173000000003</v>
      </c>
    </row>
    <row r="496" spans="1:3" x14ac:dyDescent="0.3">
      <c r="A496" s="213">
        <v>128001026</v>
      </c>
      <c r="B496" s="214" t="s">
        <v>1514</v>
      </c>
      <c r="C496" s="214">
        <v>0.52731487200000005</v>
      </c>
    </row>
    <row r="497" spans="1:3" x14ac:dyDescent="0.3">
      <c r="A497" s="215">
        <v>128001027</v>
      </c>
      <c r="B497" s="216" t="s">
        <v>1515</v>
      </c>
      <c r="C497" s="216">
        <v>0.56681484999999998</v>
      </c>
    </row>
    <row r="498" spans="1:3" x14ac:dyDescent="0.3">
      <c r="A498" s="213">
        <v>128001029</v>
      </c>
      <c r="B498" s="214" t="s">
        <v>1516</v>
      </c>
      <c r="C498" s="214">
        <v>0.56681951200000003</v>
      </c>
    </row>
    <row r="499" spans="1:3" x14ac:dyDescent="0.3">
      <c r="A499" s="215">
        <v>128001030</v>
      </c>
      <c r="B499" s="216" t="s">
        <v>1517</v>
      </c>
      <c r="C499" s="216">
        <v>0.4415</v>
      </c>
    </row>
    <row r="500" spans="1:3" x14ac:dyDescent="0.3">
      <c r="A500" s="213">
        <v>128001031</v>
      </c>
      <c r="B500" s="214" t="s">
        <v>1518</v>
      </c>
      <c r="C500" s="214">
        <v>0.4325</v>
      </c>
    </row>
    <row r="501" spans="1:3" x14ac:dyDescent="0.3">
      <c r="A501" s="215">
        <v>128001032</v>
      </c>
      <c r="B501" s="216" t="s">
        <v>1519</v>
      </c>
      <c r="C501" s="216">
        <v>0.45750000000000002</v>
      </c>
    </row>
    <row r="502" spans="1:3" x14ac:dyDescent="0.3">
      <c r="A502" s="213">
        <v>128001033</v>
      </c>
      <c r="B502" s="214" t="s">
        <v>1520</v>
      </c>
      <c r="C502" s="214">
        <v>0.40749999999999997</v>
      </c>
    </row>
    <row r="503" spans="1:3" x14ac:dyDescent="0.3">
      <c r="A503" s="215">
        <v>128001034</v>
      </c>
      <c r="B503" s="216" t="s">
        <v>1521</v>
      </c>
      <c r="C503" s="216">
        <v>0.39750000000000002</v>
      </c>
    </row>
    <row r="504" spans="1:3" x14ac:dyDescent="0.3">
      <c r="A504" s="213">
        <v>128001035</v>
      </c>
      <c r="B504" s="214" t="s">
        <v>1522</v>
      </c>
      <c r="C504" s="214">
        <v>0.3145</v>
      </c>
    </row>
    <row r="505" spans="1:3" x14ac:dyDescent="0.3">
      <c r="A505" s="215">
        <v>129001001</v>
      </c>
      <c r="B505" s="216" t="s">
        <v>1523</v>
      </c>
      <c r="C505" s="216">
        <v>0.38026384499999999</v>
      </c>
    </row>
    <row r="506" spans="1:3" x14ac:dyDescent="0.3">
      <c r="A506" s="213">
        <v>129001002</v>
      </c>
      <c r="B506" s="214" t="s">
        <v>1524</v>
      </c>
      <c r="C506" s="214">
        <v>0.46320422100000003</v>
      </c>
    </row>
    <row r="507" spans="1:3" x14ac:dyDescent="0.3">
      <c r="A507" s="215">
        <v>129001003</v>
      </c>
      <c r="B507" s="216" t="s">
        <v>1525</v>
      </c>
      <c r="C507" s="216">
        <v>0.453816469</v>
      </c>
    </row>
    <row r="508" spans="1:3" x14ac:dyDescent="0.3">
      <c r="A508" s="213">
        <v>129001004</v>
      </c>
      <c r="B508" s="214" t="s">
        <v>1526</v>
      </c>
      <c r="C508" s="214">
        <v>0.46320422100000003</v>
      </c>
    </row>
    <row r="509" spans="1:3" x14ac:dyDescent="0.3">
      <c r="A509" s="215">
        <v>129001005</v>
      </c>
      <c r="B509" s="216" t="s">
        <v>1527</v>
      </c>
      <c r="C509" s="216">
        <v>0.45377868599999999</v>
      </c>
    </row>
    <row r="510" spans="1:3" x14ac:dyDescent="0.3">
      <c r="A510" s="213">
        <v>129002001</v>
      </c>
      <c r="B510" s="214" t="s">
        <v>1528</v>
      </c>
      <c r="C510" s="214">
        <v>0.41268292699999998</v>
      </c>
    </row>
    <row r="511" spans="1:3" x14ac:dyDescent="0.3">
      <c r="A511" s="215">
        <v>129002002</v>
      </c>
      <c r="B511" s="216" t="s">
        <v>1529</v>
      </c>
      <c r="C511" s="216">
        <v>0.41414634099999997</v>
      </c>
    </row>
    <row r="512" spans="1:3" x14ac:dyDescent="0.3">
      <c r="A512" s="213">
        <v>129003001</v>
      </c>
      <c r="B512" s="214" t="s">
        <v>1530</v>
      </c>
      <c r="C512" s="214">
        <v>0.51325779900000001</v>
      </c>
    </row>
    <row r="513" spans="1:3" x14ac:dyDescent="0.3">
      <c r="A513" s="215">
        <v>129003002</v>
      </c>
      <c r="B513" s="216" t="s">
        <v>1531</v>
      </c>
      <c r="C513" s="216">
        <v>0.46644229599999998</v>
      </c>
    </row>
    <row r="514" spans="1:3" x14ac:dyDescent="0.3">
      <c r="A514" s="213">
        <v>129003003</v>
      </c>
      <c r="B514" s="214" t="s">
        <v>1532</v>
      </c>
      <c r="C514" s="214">
        <v>0.46644229599999998</v>
      </c>
    </row>
    <row r="515" spans="1:3" x14ac:dyDescent="0.3">
      <c r="A515" s="215">
        <v>129003004</v>
      </c>
      <c r="B515" s="216" t="s">
        <v>1533</v>
      </c>
      <c r="C515" s="216">
        <v>0.48199999999999998</v>
      </c>
    </row>
    <row r="516" spans="1:3" x14ac:dyDescent="0.3">
      <c r="A516" s="213">
        <v>129004001</v>
      </c>
      <c r="B516" s="214" t="s">
        <v>1534</v>
      </c>
      <c r="C516" s="214">
        <v>0.45275928799999998</v>
      </c>
    </row>
    <row r="517" spans="1:3" x14ac:dyDescent="0.3">
      <c r="A517" s="215">
        <v>129004002</v>
      </c>
      <c r="B517" s="216" t="s">
        <v>1535</v>
      </c>
      <c r="C517" s="216">
        <v>0.45399980899999998</v>
      </c>
    </row>
    <row r="518" spans="1:3" x14ac:dyDescent="0.3">
      <c r="A518" s="213">
        <v>129004003</v>
      </c>
      <c r="B518" s="214" t="s">
        <v>1536</v>
      </c>
      <c r="C518" s="214">
        <v>0.487804878</v>
      </c>
    </row>
    <row r="519" spans="1:3" x14ac:dyDescent="0.3">
      <c r="A519" s="215">
        <v>129004004</v>
      </c>
      <c r="B519" s="216" t="s">
        <v>1537</v>
      </c>
      <c r="C519" s="216">
        <v>0.47045013699999999</v>
      </c>
    </row>
    <row r="520" spans="1:3" x14ac:dyDescent="0.3">
      <c r="A520" s="213">
        <v>130001001</v>
      </c>
      <c r="B520" s="214" t="s">
        <v>1538</v>
      </c>
      <c r="C520" s="214">
        <v>0.52906282400000004</v>
      </c>
    </row>
    <row r="521" spans="1:3" x14ac:dyDescent="0.3">
      <c r="A521" s="215">
        <v>130001002</v>
      </c>
      <c r="B521" s="216" t="s">
        <v>1539</v>
      </c>
      <c r="C521" s="216">
        <v>0.50279204300000002</v>
      </c>
    </row>
    <row r="522" spans="1:3" x14ac:dyDescent="0.3">
      <c r="A522" s="213">
        <v>130001003</v>
      </c>
      <c r="B522" s="214" t="s">
        <v>1540</v>
      </c>
      <c r="C522" s="214">
        <v>0.57978906399999997</v>
      </c>
    </row>
    <row r="523" spans="1:3" x14ac:dyDescent="0.3">
      <c r="A523" s="215">
        <v>130001005</v>
      </c>
      <c r="B523" s="216" t="s">
        <v>1541</v>
      </c>
      <c r="C523" s="216">
        <v>0.54805631499999996</v>
      </c>
    </row>
    <row r="524" spans="1:3" x14ac:dyDescent="0.3">
      <c r="A524" s="213">
        <v>130001006</v>
      </c>
      <c r="B524" s="214" t="s">
        <v>1542</v>
      </c>
      <c r="C524" s="214">
        <v>0.71128199000000003</v>
      </c>
    </row>
    <row r="525" spans="1:3" x14ac:dyDescent="0.3">
      <c r="A525" s="215">
        <v>130001007</v>
      </c>
      <c r="B525" s="216" t="s">
        <v>1543</v>
      </c>
      <c r="C525" s="216">
        <v>0.52387176999999996</v>
      </c>
    </row>
    <row r="526" spans="1:3" x14ac:dyDescent="0.3">
      <c r="A526" s="213">
        <v>130001009</v>
      </c>
      <c r="B526" s="214" t="s">
        <v>1544</v>
      </c>
      <c r="C526" s="214">
        <v>0.57168107499999998</v>
      </c>
    </row>
    <row r="527" spans="1:3" x14ac:dyDescent="0.3">
      <c r="A527" s="215">
        <v>130001011</v>
      </c>
      <c r="B527" s="216" t="s">
        <v>1545</v>
      </c>
      <c r="C527" s="216">
        <v>0.57852592199999997</v>
      </c>
    </row>
    <row r="528" spans="1:3" x14ac:dyDescent="0.3">
      <c r="A528" s="213">
        <v>130001012</v>
      </c>
      <c r="B528" s="214" t="s">
        <v>1546</v>
      </c>
      <c r="C528" s="214">
        <v>0.52906341499999998</v>
      </c>
    </row>
    <row r="529" spans="1:3" x14ac:dyDescent="0.3">
      <c r="A529" s="215">
        <v>130001013</v>
      </c>
      <c r="B529" s="216" t="s">
        <v>532</v>
      </c>
      <c r="C529" s="216">
        <v>0.52906282400000004</v>
      </c>
    </row>
    <row r="530" spans="1:3" x14ac:dyDescent="0.3">
      <c r="A530" s="213">
        <v>130001015</v>
      </c>
      <c r="B530" s="214" t="s">
        <v>1547</v>
      </c>
      <c r="C530" s="214">
        <v>0.52906341499999998</v>
      </c>
    </row>
    <row r="531" spans="1:3" x14ac:dyDescent="0.3">
      <c r="A531" s="215">
        <v>130002003</v>
      </c>
      <c r="B531" s="216" t="s">
        <v>1548</v>
      </c>
      <c r="C531" s="216">
        <v>0.61921016600000001</v>
      </c>
    </row>
    <row r="532" spans="1:3" x14ac:dyDescent="0.3">
      <c r="A532" s="213">
        <v>130002004</v>
      </c>
      <c r="B532" s="214" t="s">
        <v>1549</v>
      </c>
      <c r="C532" s="214">
        <v>0.60405841900000001</v>
      </c>
    </row>
    <row r="533" spans="1:3" x14ac:dyDescent="0.3">
      <c r="A533" s="215">
        <v>130002005</v>
      </c>
      <c r="B533" s="216" t="s">
        <v>1550</v>
      </c>
      <c r="C533" s="216">
        <v>0.61851466600000005</v>
      </c>
    </row>
    <row r="534" spans="1:3" x14ac:dyDescent="0.3">
      <c r="A534" s="213">
        <v>130002006</v>
      </c>
      <c r="B534" s="214" t="s">
        <v>1551</v>
      </c>
      <c r="C534" s="214">
        <v>0.62506307800000005</v>
      </c>
    </row>
    <row r="535" spans="1:3" x14ac:dyDescent="0.3">
      <c r="A535" s="215">
        <v>130002007</v>
      </c>
      <c r="B535" s="216" t="s">
        <v>1552</v>
      </c>
      <c r="C535" s="216">
        <v>0.59881079199999998</v>
      </c>
    </row>
    <row r="536" spans="1:3" x14ac:dyDescent="0.3">
      <c r="A536" s="213">
        <v>130002008</v>
      </c>
      <c r="B536" s="214" t="s">
        <v>1553</v>
      </c>
      <c r="C536" s="214">
        <v>0.62381352899999998</v>
      </c>
    </row>
    <row r="537" spans="1:3" x14ac:dyDescent="0.3">
      <c r="A537" s="215">
        <v>130002010</v>
      </c>
      <c r="B537" s="216" t="s">
        <v>1554</v>
      </c>
      <c r="C537" s="216">
        <v>0.61383672300000003</v>
      </c>
    </row>
    <row r="538" spans="1:3" x14ac:dyDescent="0.3">
      <c r="A538" s="213">
        <v>130002013</v>
      </c>
      <c r="B538" s="214" t="s">
        <v>1555</v>
      </c>
      <c r="C538" s="214">
        <v>0.63630902300000003</v>
      </c>
    </row>
    <row r="539" spans="1:3" x14ac:dyDescent="0.3">
      <c r="A539" s="215">
        <v>130002015</v>
      </c>
      <c r="B539" s="216" t="s">
        <v>1556</v>
      </c>
      <c r="C539" s="216">
        <v>0.64056573000000006</v>
      </c>
    </row>
    <row r="540" spans="1:3" x14ac:dyDescent="0.3">
      <c r="A540" s="213">
        <v>130002016</v>
      </c>
      <c r="B540" s="214" t="s">
        <v>1557</v>
      </c>
      <c r="C540" s="214">
        <v>0.636332491</v>
      </c>
    </row>
    <row r="541" spans="1:3" x14ac:dyDescent="0.3">
      <c r="A541" s="215">
        <v>130002017</v>
      </c>
      <c r="B541" s="216" t="s">
        <v>1558</v>
      </c>
      <c r="C541" s="216">
        <v>0.62038587300000003</v>
      </c>
    </row>
    <row r="542" spans="1:3" x14ac:dyDescent="0.3">
      <c r="A542" s="213">
        <v>130002018</v>
      </c>
      <c r="B542" s="214" t="s">
        <v>1559</v>
      </c>
      <c r="C542" s="214">
        <v>0.62551458400000004</v>
      </c>
    </row>
    <row r="543" spans="1:3" x14ac:dyDescent="0.3">
      <c r="A543" s="215">
        <v>130002019</v>
      </c>
      <c r="B543" s="216" t="s">
        <v>1560</v>
      </c>
      <c r="C543" s="216">
        <v>0.62551219499999999</v>
      </c>
    </row>
    <row r="544" spans="1:3" x14ac:dyDescent="0.3">
      <c r="A544" s="213">
        <v>131001001</v>
      </c>
      <c r="B544" s="214" t="s">
        <v>1561</v>
      </c>
      <c r="C544" s="214">
        <v>0.67264558900000004</v>
      </c>
    </row>
    <row r="545" spans="1:3" x14ac:dyDescent="0.3">
      <c r="A545" s="215">
        <v>131001002</v>
      </c>
      <c r="B545" s="216" t="s">
        <v>1562</v>
      </c>
      <c r="C545" s="216">
        <v>0.56243661499999997</v>
      </c>
    </row>
    <row r="546" spans="1:3" x14ac:dyDescent="0.3">
      <c r="A546" s="213">
        <v>131001003</v>
      </c>
      <c r="B546" s="214" t="s">
        <v>1563</v>
      </c>
      <c r="C546" s="214">
        <v>0.57498358999999999</v>
      </c>
    </row>
    <row r="547" spans="1:3" x14ac:dyDescent="0.3">
      <c r="A547" s="215">
        <v>131001004</v>
      </c>
      <c r="B547" s="216" t="s">
        <v>1564</v>
      </c>
      <c r="C547" s="216">
        <v>0.65791363300000005</v>
      </c>
    </row>
    <row r="548" spans="1:3" x14ac:dyDescent="0.3">
      <c r="A548" s="213">
        <v>131001005</v>
      </c>
      <c r="B548" s="214" t="s">
        <v>1565</v>
      </c>
      <c r="C548" s="214">
        <v>0.56792346599999999</v>
      </c>
    </row>
    <row r="549" spans="1:3" x14ac:dyDescent="0.3">
      <c r="A549" s="215">
        <v>131001006</v>
      </c>
      <c r="B549" s="216" t="s">
        <v>1566</v>
      </c>
      <c r="C549" s="216">
        <v>0.56480477100000004</v>
      </c>
    </row>
    <row r="550" spans="1:3" x14ac:dyDescent="0.3">
      <c r="A550" s="213">
        <v>131001007</v>
      </c>
      <c r="B550" s="214" t="s">
        <v>1567</v>
      </c>
      <c r="C550" s="214">
        <v>0.66322239599999999</v>
      </c>
    </row>
    <row r="551" spans="1:3" x14ac:dyDescent="0.3">
      <c r="A551" s="215">
        <v>131001008</v>
      </c>
      <c r="B551" s="216" t="s">
        <v>1568</v>
      </c>
      <c r="C551" s="216">
        <v>0.56710320800000003</v>
      </c>
    </row>
    <row r="552" spans="1:3" x14ac:dyDescent="0.3">
      <c r="A552" s="213">
        <v>131001009</v>
      </c>
      <c r="B552" s="214" t="s">
        <v>1569</v>
      </c>
      <c r="C552" s="214">
        <v>0.67316977099999997</v>
      </c>
    </row>
    <row r="553" spans="1:3" x14ac:dyDescent="0.3">
      <c r="A553" s="215">
        <v>131002001</v>
      </c>
      <c r="B553" s="216" t="s">
        <v>1570</v>
      </c>
      <c r="C553" s="216">
        <v>0.78817733999999995</v>
      </c>
    </row>
    <row r="554" spans="1:3" x14ac:dyDescent="0.3">
      <c r="A554" s="213">
        <v>131002002</v>
      </c>
      <c r="B554" s="214" t="s">
        <v>1571</v>
      </c>
      <c r="C554" s="214">
        <v>0.76895350200000001</v>
      </c>
    </row>
    <row r="555" spans="1:3" x14ac:dyDescent="0.3">
      <c r="A555" s="215">
        <v>131002003</v>
      </c>
      <c r="B555" s="216" t="s">
        <v>1572</v>
      </c>
      <c r="C555" s="216">
        <v>0.76895350200000001</v>
      </c>
    </row>
    <row r="556" spans="1:3" x14ac:dyDescent="0.3">
      <c r="A556" s="213">
        <v>131002004</v>
      </c>
      <c r="B556" s="214" t="s">
        <v>1573</v>
      </c>
      <c r="C556" s="214">
        <v>0.65361047699999997</v>
      </c>
    </row>
    <row r="557" spans="1:3" x14ac:dyDescent="0.3">
      <c r="A557" s="215">
        <v>131003001</v>
      </c>
      <c r="B557" s="216" t="s">
        <v>1574</v>
      </c>
      <c r="C557" s="216">
        <v>0.72089390799999997</v>
      </c>
    </row>
    <row r="558" spans="1:3" x14ac:dyDescent="0.3">
      <c r="A558" s="213">
        <v>131003002</v>
      </c>
      <c r="B558" s="214" t="s">
        <v>1575</v>
      </c>
      <c r="C558" s="214">
        <v>0.72089390799999997</v>
      </c>
    </row>
    <row r="559" spans="1:3" x14ac:dyDescent="0.3">
      <c r="A559" s="215">
        <v>131003003</v>
      </c>
      <c r="B559" s="216" t="s">
        <v>1576</v>
      </c>
      <c r="C559" s="216">
        <v>0.72089390799999997</v>
      </c>
    </row>
    <row r="560" spans="1:3" x14ac:dyDescent="0.3">
      <c r="A560" s="213">
        <v>131004001</v>
      </c>
      <c r="B560" s="214" t="s">
        <v>1577</v>
      </c>
      <c r="C560" s="214">
        <v>0.66322239599999999</v>
      </c>
    </row>
    <row r="561" spans="1:3" x14ac:dyDescent="0.3">
      <c r="A561" s="215">
        <v>131004002</v>
      </c>
      <c r="B561" s="216" t="s">
        <v>1578</v>
      </c>
      <c r="C561" s="216">
        <v>0.73715627900000003</v>
      </c>
    </row>
    <row r="562" spans="1:3" x14ac:dyDescent="0.3">
      <c r="A562" s="213">
        <v>131004003</v>
      </c>
      <c r="B562" s="214" t="s">
        <v>1579</v>
      </c>
      <c r="C562" s="214">
        <v>0.66322239599999999</v>
      </c>
    </row>
    <row r="563" spans="1:3" x14ac:dyDescent="0.3">
      <c r="A563" s="215">
        <v>132001001</v>
      </c>
      <c r="B563" s="216" t="s">
        <v>1580</v>
      </c>
      <c r="C563" s="216">
        <v>0.56710320800000003</v>
      </c>
    </row>
    <row r="564" spans="1:3" x14ac:dyDescent="0.3">
      <c r="A564" s="213">
        <v>132001002</v>
      </c>
      <c r="B564" s="214" t="s">
        <v>1581</v>
      </c>
      <c r="C564" s="214">
        <v>0.61516280199999995</v>
      </c>
    </row>
    <row r="565" spans="1:3" x14ac:dyDescent="0.3">
      <c r="A565" s="215">
        <v>132001003</v>
      </c>
      <c r="B565" s="216" t="s">
        <v>1582</v>
      </c>
      <c r="C565" s="216">
        <v>0.61516280199999995</v>
      </c>
    </row>
    <row r="566" spans="1:3" x14ac:dyDescent="0.3">
      <c r="A566" s="213">
        <v>132001004</v>
      </c>
      <c r="B566" s="214" t="s">
        <v>1583</v>
      </c>
      <c r="C566" s="214">
        <v>0.61516280199999995</v>
      </c>
    </row>
    <row r="567" spans="1:3" x14ac:dyDescent="0.3">
      <c r="A567" s="215">
        <v>132001005</v>
      </c>
      <c r="B567" s="216" t="s">
        <v>1584</v>
      </c>
      <c r="C567" s="216">
        <v>0.56710320800000003</v>
      </c>
    </row>
    <row r="568" spans="1:3" x14ac:dyDescent="0.3">
      <c r="A568" s="213">
        <v>132001006</v>
      </c>
      <c r="B568" s="214" t="s">
        <v>1585</v>
      </c>
      <c r="C568" s="214">
        <v>0.56710320800000003</v>
      </c>
    </row>
    <row r="569" spans="1:3" x14ac:dyDescent="0.3">
      <c r="A569" s="215">
        <v>132001007</v>
      </c>
      <c r="B569" s="216" t="s">
        <v>1586</v>
      </c>
      <c r="C569" s="216">
        <v>0.56710320800000003</v>
      </c>
    </row>
    <row r="570" spans="1:3" x14ac:dyDescent="0.3">
      <c r="A570" s="213">
        <v>132001008</v>
      </c>
      <c r="B570" s="214" t="s">
        <v>1587</v>
      </c>
      <c r="C570" s="214">
        <v>0.56710320800000003</v>
      </c>
    </row>
    <row r="571" spans="1:3" x14ac:dyDescent="0.3">
      <c r="A571" s="215">
        <v>133001001</v>
      </c>
      <c r="B571" s="216" t="s">
        <v>1588</v>
      </c>
      <c r="C571" s="216">
        <v>0.74972966500000005</v>
      </c>
    </row>
    <row r="572" spans="1:3" x14ac:dyDescent="0.3">
      <c r="A572" s="213">
        <v>133001002</v>
      </c>
      <c r="B572" s="214" t="s">
        <v>1589</v>
      </c>
      <c r="C572" s="214">
        <v>0.74972966500000005</v>
      </c>
    </row>
    <row r="573" spans="1:3" x14ac:dyDescent="0.3">
      <c r="A573" s="215">
        <v>133001003</v>
      </c>
      <c r="B573" s="216" t="s">
        <v>1590</v>
      </c>
      <c r="C573" s="216">
        <v>0.74972966500000005</v>
      </c>
    </row>
    <row r="574" spans="1:3" x14ac:dyDescent="0.3">
      <c r="A574" s="213">
        <v>133001004</v>
      </c>
      <c r="B574" s="214" t="s">
        <v>1591</v>
      </c>
      <c r="C574" s="214">
        <v>0.74972966500000005</v>
      </c>
    </row>
    <row r="575" spans="1:3" x14ac:dyDescent="0.3">
      <c r="A575" s="215">
        <v>133002001</v>
      </c>
      <c r="B575" s="216" t="s">
        <v>1592</v>
      </c>
      <c r="C575" s="216">
        <v>0.76895350200000001</v>
      </c>
    </row>
    <row r="576" spans="1:3" x14ac:dyDescent="0.3">
      <c r="A576" s="213">
        <v>133002002</v>
      </c>
      <c r="B576" s="214" t="s">
        <v>1593</v>
      </c>
      <c r="C576" s="214">
        <v>0.76895350200000001</v>
      </c>
    </row>
    <row r="577" spans="1:3" x14ac:dyDescent="0.3">
      <c r="A577" s="215">
        <v>134001001</v>
      </c>
      <c r="B577" s="216" t="s">
        <v>1594</v>
      </c>
      <c r="C577" s="216">
        <v>0.73939685200000005</v>
      </c>
    </row>
    <row r="578" spans="1:3" x14ac:dyDescent="0.3">
      <c r="A578" s="213">
        <v>134001002</v>
      </c>
      <c r="B578" s="214" t="s">
        <v>1595</v>
      </c>
      <c r="C578" s="214">
        <v>0.73939685200000005</v>
      </c>
    </row>
    <row r="579" spans="1:3" x14ac:dyDescent="0.3">
      <c r="A579" s="215">
        <v>134001003</v>
      </c>
      <c r="B579" s="216" t="s">
        <v>1596</v>
      </c>
      <c r="C579" s="216">
        <v>0.76895350200000001</v>
      </c>
    </row>
    <row r="580" spans="1:3" x14ac:dyDescent="0.3">
      <c r="A580" s="213">
        <v>134001004</v>
      </c>
      <c r="B580" s="214" t="s">
        <v>1597</v>
      </c>
      <c r="C580" s="214">
        <v>0.73939685200000005</v>
      </c>
    </row>
    <row r="581" spans="1:3" x14ac:dyDescent="0.3">
      <c r="A581" s="215">
        <v>134001005</v>
      </c>
      <c r="B581" s="216" t="s">
        <v>1598</v>
      </c>
      <c r="C581" s="216">
        <v>0.73939685200000005</v>
      </c>
    </row>
    <row r="582" spans="1:3" x14ac:dyDescent="0.3">
      <c r="A582" s="213">
        <v>134001006</v>
      </c>
      <c r="B582" s="214" t="s">
        <v>1599</v>
      </c>
      <c r="C582" s="214">
        <v>0.73939685200000005</v>
      </c>
    </row>
    <row r="583" spans="1:3" x14ac:dyDescent="0.3">
      <c r="A583" s="215">
        <v>134001007</v>
      </c>
      <c r="B583" s="216" t="s">
        <v>1600</v>
      </c>
      <c r="C583" s="216">
        <v>0.73939685200000005</v>
      </c>
    </row>
    <row r="584" spans="1:3" x14ac:dyDescent="0.3">
      <c r="A584" s="213">
        <v>134001008</v>
      </c>
      <c r="B584" s="214" t="s">
        <v>1601</v>
      </c>
      <c r="C584" s="214">
        <v>0.73939685200000005</v>
      </c>
    </row>
    <row r="585" spans="1:3" x14ac:dyDescent="0.3">
      <c r="A585" s="215">
        <v>134001009</v>
      </c>
      <c r="B585" s="216" t="s">
        <v>1602</v>
      </c>
      <c r="C585" s="216">
        <v>0.73939685200000005</v>
      </c>
    </row>
    <row r="586" spans="1:3" x14ac:dyDescent="0.3">
      <c r="A586" s="213">
        <v>134001010</v>
      </c>
      <c r="B586" s="214" t="s">
        <v>1603</v>
      </c>
      <c r="C586" s="214">
        <v>0.73939685200000005</v>
      </c>
    </row>
    <row r="587" spans="1:3" x14ac:dyDescent="0.3">
      <c r="A587" s="215">
        <v>134001011</v>
      </c>
      <c r="B587" s="216" t="s">
        <v>1604</v>
      </c>
      <c r="C587" s="216">
        <v>0.73939685200000005</v>
      </c>
    </row>
    <row r="588" spans="1:3" x14ac:dyDescent="0.3">
      <c r="A588" s="213">
        <v>134002001</v>
      </c>
      <c r="B588" s="214" t="s">
        <v>1605</v>
      </c>
      <c r="C588" s="214">
        <v>0.73939685200000005</v>
      </c>
    </row>
    <row r="589" spans="1:3" x14ac:dyDescent="0.3">
      <c r="A589" s="215">
        <v>134002002</v>
      </c>
      <c r="B589" s="216" t="s">
        <v>1606</v>
      </c>
      <c r="C589" s="216">
        <v>0.73939685200000005</v>
      </c>
    </row>
    <row r="590" spans="1:3" x14ac:dyDescent="0.3">
      <c r="A590" s="213">
        <v>134002003</v>
      </c>
      <c r="B590" s="214" t="s">
        <v>1607</v>
      </c>
      <c r="C590" s="214">
        <v>0.73939685200000005</v>
      </c>
    </row>
    <row r="591" spans="1:3" x14ac:dyDescent="0.3">
      <c r="A591" s="215">
        <v>134002004</v>
      </c>
      <c r="B591" s="216" t="s">
        <v>1608</v>
      </c>
      <c r="C591" s="216">
        <v>0.73939685200000005</v>
      </c>
    </row>
    <row r="592" spans="1:3" x14ac:dyDescent="0.3">
      <c r="A592" s="213">
        <v>134002005</v>
      </c>
      <c r="B592" s="214" t="s">
        <v>1609</v>
      </c>
      <c r="C592" s="214">
        <v>0.73939685200000005</v>
      </c>
    </row>
    <row r="593" spans="1:3" x14ac:dyDescent="0.3">
      <c r="A593" s="215">
        <v>134003001</v>
      </c>
      <c r="B593" s="216" t="s">
        <v>1610</v>
      </c>
      <c r="C593" s="216">
        <v>0.73939685200000005</v>
      </c>
    </row>
    <row r="594" spans="1:3" x14ac:dyDescent="0.3">
      <c r="A594" s="213">
        <v>134003002</v>
      </c>
      <c r="B594" s="214" t="s">
        <v>1611</v>
      </c>
      <c r="C594" s="214">
        <v>0.73939685200000005</v>
      </c>
    </row>
    <row r="595" spans="1:3" x14ac:dyDescent="0.3">
      <c r="A595" s="215">
        <v>134003003</v>
      </c>
      <c r="B595" s="216" t="s">
        <v>1612</v>
      </c>
      <c r="C595" s="216">
        <v>0.73939685200000005</v>
      </c>
    </row>
    <row r="596" spans="1:3" x14ac:dyDescent="0.3">
      <c r="A596" s="213">
        <v>134003004</v>
      </c>
      <c r="B596" s="214" t="s">
        <v>1613</v>
      </c>
      <c r="C596" s="214">
        <v>0.73939685200000005</v>
      </c>
    </row>
    <row r="597" spans="1:3" x14ac:dyDescent="0.3">
      <c r="A597" s="215">
        <v>134003005</v>
      </c>
      <c r="B597" s="216" t="s">
        <v>1614</v>
      </c>
      <c r="C597" s="216">
        <v>0.73939685200000005</v>
      </c>
    </row>
    <row r="598" spans="1:3" x14ac:dyDescent="0.3">
      <c r="A598" s="213">
        <v>134003006</v>
      </c>
      <c r="B598" s="214" t="s">
        <v>1615</v>
      </c>
      <c r="C598" s="214">
        <v>0.73939685200000005</v>
      </c>
    </row>
    <row r="599" spans="1:3" x14ac:dyDescent="0.3">
      <c r="A599" s="215">
        <v>134004001</v>
      </c>
      <c r="B599" s="216" t="s">
        <v>1616</v>
      </c>
      <c r="C599" s="216">
        <v>0.73939685200000005</v>
      </c>
    </row>
    <row r="600" spans="1:3" x14ac:dyDescent="0.3">
      <c r="A600" s="213">
        <v>134004002</v>
      </c>
      <c r="B600" s="214" t="s">
        <v>1617</v>
      </c>
      <c r="C600" s="214">
        <v>0.73939685200000005</v>
      </c>
    </row>
    <row r="601" spans="1:3" x14ac:dyDescent="0.3">
      <c r="A601" s="215">
        <v>134004003</v>
      </c>
      <c r="B601" s="216" t="s">
        <v>1618</v>
      </c>
      <c r="C601" s="216">
        <v>0.73939685200000005</v>
      </c>
    </row>
    <row r="602" spans="1:3" x14ac:dyDescent="0.3">
      <c r="A602" s="213">
        <v>134005001</v>
      </c>
      <c r="B602" s="214" t="s">
        <v>1619</v>
      </c>
      <c r="C602" s="214">
        <v>0.73939685200000005</v>
      </c>
    </row>
    <row r="603" spans="1:3" x14ac:dyDescent="0.3">
      <c r="A603" s="215">
        <v>134005002</v>
      </c>
      <c r="B603" s="216" t="s">
        <v>1620</v>
      </c>
      <c r="C603" s="216">
        <v>0.73939685200000005</v>
      </c>
    </row>
    <row r="604" spans="1:3" x14ac:dyDescent="0.3">
      <c r="A604" s="213">
        <v>134005003</v>
      </c>
      <c r="B604" s="214" t="s">
        <v>1621</v>
      </c>
      <c r="C604" s="214">
        <v>0.73939685200000005</v>
      </c>
    </row>
    <row r="605" spans="1:3" x14ac:dyDescent="0.3">
      <c r="A605" s="215">
        <v>134005004</v>
      </c>
      <c r="B605" s="216" t="s">
        <v>1622</v>
      </c>
      <c r="C605" s="216">
        <v>0.73939685200000005</v>
      </c>
    </row>
    <row r="606" spans="1:3" x14ac:dyDescent="0.3">
      <c r="A606" s="213">
        <v>134005005</v>
      </c>
      <c r="B606" s="214" t="s">
        <v>1623</v>
      </c>
      <c r="C606" s="214">
        <v>0.73939685200000005</v>
      </c>
    </row>
    <row r="607" spans="1:3" x14ac:dyDescent="0.3">
      <c r="A607" s="215">
        <v>134005006</v>
      </c>
      <c r="B607" s="216" t="s">
        <v>1624</v>
      </c>
      <c r="C607" s="216">
        <v>0.73939685200000005</v>
      </c>
    </row>
    <row r="608" spans="1:3" x14ac:dyDescent="0.3">
      <c r="A608" s="213">
        <v>135004001</v>
      </c>
      <c r="B608" s="214" t="s">
        <v>1219</v>
      </c>
      <c r="C608" s="214">
        <v>0.5</v>
      </c>
    </row>
    <row r="609" spans="1:3" x14ac:dyDescent="0.3">
      <c r="A609" s="215">
        <v>135004002</v>
      </c>
      <c r="B609" s="216" t="s">
        <v>1220</v>
      </c>
      <c r="C609" s="216">
        <v>0.43902438999999999</v>
      </c>
    </row>
    <row r="610" spans="1:3" x14ac:dyDescent="0.3">
      <c r="A610" s="213">
        <v>135005001</v>
      </c>
      <c r="B610" s="214" t="s">
        <v>1625</v>
      </c>
      <c r="C610" s="214">
        <v>0.43902438999999999</v>
      </c>
    </row>
    <row r="611" spans="1:3" x14ac:dyDescent="0.3">
      <c r="A611" s="215">
        <v>135006003</v>
      </c>
      <c r="B611" s="216" t="s">
        <v>1626</v>
      </c>
      <c r="C611" s="216">
        <v>0.41957731399999998</v>
      </c>
    </row>
    <row r="612" spans="1:3" x14ac:dyDescent="0.3">
      <c r="A612" s="213">
        <v>135007001</v>
      </c>
      <c r="B612" s="214" t="s">
        <v>1225</v>
      </c>
      <c r="C612" s="214">
        <v>0.67283431500000002</v>
      </c>
    </row>
    <row r="613" spans="1:3" x14ac:dyDescent="0.3">
      <c r="A613" s="215">
        <v>135007002</v>
      </c>
      <c r="B613" s="216" t="s">
        <v>1627</v>
      </c>
      <c r="C613" s="216">
        <v>0.67283431500000002</v>
      </c>
    </row>
    <row r="614" spans="1:3" x14ac:dyDescent="0.3">
      <c r="A614" s="213">
        <v>135007901</v>
      </c>
      <c r="B614" s="214" t="s">
        <v>1628</v>
      </c>
      <c r="C614" s="214">
        <v>0.67283431500000002</v>
      </c>
    </row>
    <row r="615" spans="1:3" x14ac:dyDescent="0.3">
      <c r="A615" s="215">
        <v>136001001</v>
      </c>
      <c r="B615" s="216" t="s">
        <v>1629</v>
      </c>
      <c r="C615" s="216">
        <v>0.70243902400000002</v>
      </c>
    </row>
    <row r="616" spans="1:3" x14ac:dyDescent="0.3">
      <c r="A616" s="213">
        <v>136001002</v>
      </c>
      <c r="B616" s="214" t="s">
        <v>1630</v>
      </c>
      <c r="C616" s="214">
        <v>0.67317073199999999</v>
      </c>
    </row>
    <row r="617" spans="1:3" x14ac:dyDescent="0.3">
      <c r="A617" s="215">
        <v>136001003</v>
      </c>
      <c r="B617" s="216" t="s">
        <v>1631</v>
      </c>
      <c r="C617" s="216">
        <v>0.77160639200000003</v>
      </c>
    </row>
    <row r="618" spans="1:3" x14ac:dyDescent="0.3">
      <c r="A618" s="213">
        <v>136001004</v>
      </c>
      <c r="B618" s="214" t="s">
        <v>1632</v>
      </c>
      <c r="C618" s="214">
        <v>0.77160639200000003</v>
      </c>
    </row>
    <row r="619" spans="1:3" x14ac:dyDescent="0.3">
      <c r="A619" s="215">
        <v>120003002</v>
      </c>
      <c r="B619" s="216" t="s">
        <v>1633</v>
      </c>
      <c r="C619" s="216">
        <v>0.61260000000000003</v>
      </c>
    </row>
    <row r="620" spans="1:3" x14ac:dyDescent="0.3">
      <c r="A620" s="213">
        <v>135005002</v>
      </c>
      <c r="B620" s="214" t="s">
        <v>1634</v>
      </c>
      <c r="C620" s="214">
        <v>0.44419999999999998</v>
      </c>
    </row>
    <row r="621" spans="1:3" x14ac:dyDescent="0.3">
      <c r="A621" s="215">
        <v>135005003</v>
      </c>
      <c r="B621" s="216" t="s">
        <v>1635</v>
      </c>
      <c r="C621" s="216">
        <v>0.44419999999999998</v>
      </c>
    </row>
    <row r="622" spans="1:3" x14ac:dyDescent="0.3">
      <c r="A622" s="213">
        <v>135001015</v>
      </c>
      <c r="B622" s="214" t="s">
        <v>1636</v>
      </c>
      <c r="C622" s="214">
        <v>0.44419999999999998</v>
      </c>
    </row>
    <row r="623" spans="1:3" x14ac:dyDescent="0.3">
      <c r="A623" s="215">
        <v>135001012</v>
      </c>
      <c r="B623" s="216" t="s">
        <v>1637</v>
      </c>
      <c r="C623" s="216">
        <v>0.44419999999999998</v>
      </c>
    </row>
    <row r="624" spans="1:3" x14ac:dyDescent="0.3">
      <c r="A624" s="213">
        <v>135001006</v>
      </c>
      <c r="B624" s="214" t="s">
        <v>1638</v>
      </c>
      <c r="C624" s="214">
        <v>0.44419999999999998</v>
      </c>
    </row>
    <row r="625" spans="1:3" x14ac:dyDescent="0.3">
      <c r="A625" s="215">
        <v>109004008</v>
      </c>
      <c r="B625" s="216" t="s">
        <v>1639</v>
      </c>
      <c r="C625" s="216">
        <v>0.48020000000000002</v>
      </c>
    </row>
    <row r="626" spans="1:3" x14ac:dyDescent="0.3">
      <c r="A626" s="213">
        <v>120003022</v>
      </c>
      <c r="B626" s="214" t="s">
        <v>1640</v>
      </c>
      <c r="C626" s="214">
        <v>0.42620000000000002</v>
      </c>
    </row>
    <row r="627" spans="1:3" x14ac:dyDescent="0.3">
      <c r="A627" s="215">
        <v>123001042</v>
      </c>
      <c r="B627" s="216" t="s">
        <v>1641</v>
      </c>
      <c r="C627" s="216">
        <v>0.4</v>
      </c>
    </row>
    <row r="628" spans="1:3" x14ac:dyDescent="0.3">
      <c r="A628" s="213">
        <v>109002007</v>
      </c>
      <c r="B628" s="214" t="s">
        <v>1642</v>
      </c>
      <c r="C628" s="214">
        <v>0.52380000000000004</v>
      </c>
    </row>
    <row r="629" spans="1:3" x14ac:dyDescent="0.3">
      <c r="A629" s="215">
        <v>120010006</v>
      </c>
      <c r="B629" s="216" t="s">
        <v>155</v>
      </c>
      <c r="C629" s="216">
        <v>0.38337041999999999</v>
      </c>
    </row>
    <row r="630" spans="1:3" x14ac:dyDescent="0.3">
      <c r="A630" s="213">
        <v>120004006</v>
      </c>
      <c r="B630" s="214" t="s">
        <v>1643</v>
      </c>
      <c r="C630" s="214">
        <v>0.38337041999999999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a64c19-ee73-48f6-a2e1-db3d602c476b">
      <Terms xmlns="http://schemas.microsoft.com/office/infopath/2007/PartnerControls"/>
    </lcf76f155ced4ddcb4097134ff3c332f>
    <TaxCatchAll xmlns="72437ae7-a3ec-4bd1-be52-6020a26d27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B3292FAE28A04E9F9A7AB7732EAABD" ma:contentTypeVersion="13" ma:contentTypeDescription="Crie um novo documento." ma:contentTypeScope="" ma:versionID="ad29becee27fe4ab14084c267792ab75">
  <xsd:schema xmlns:xsd="http://www.w3.org/2001/XMLSchema" xmlns:xs="http://www.w3.org/2001/XMLSchema" xmlns:p="http://schemas.microsoft.com/office/2006/metadata/properties" xmlns:ns2="56a64c19-ee73-48f6-a2e1-db3d602c476b" xmlns:ns3="72437ae7-a3ec-4bd1-be52-6020a26d27c0" targetNamespace="http://schemas.microsoft.com/office/2006/metadata/properties" ma:root="true" ma:fieldsID="40c063a29f9af8748f74c9ee30792270" ns2:_="" ns3:_="">
    <xsd:import namespace="56a64c19-ee73-48f6-a2e1-db3d602c476b"/>
    <xsd:import namespace="72437ae7-a3ec-4bd1-be52-6020a26d2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64c19-ee73-48f6-a2e1-db3d602c4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81d9a16-2fcb-4fd8-b7be-5f08ddd8be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37ae7-a3ec-4bd1-be52-6020a26d27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31feb5-10d4-48d9-98df-02f27a8315d1}" ma:internalName="TaxCatchAll" ma:showField="CatchAllData" ma:web="72437ae7-a3ec-4bd1-be52-6020a26d2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40FB-8885-4D0B-BE27-C0A3C9C2336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6A53DD5-4E28-4BCD-9917-E1DC0DC74254}">
  <ds:schemaRefs>
    <ds:schemaRef ds:uri="http://schemas.microsoft.com/office/2006/metadata/properties"/>
    <ds:schemaRef ds:uri="http://schemas.microsoft.com/office/infopath/2007/PartnerControls"/>
    <ds:schemaRef ds:uri="56a64c19-ee73-48f6-a2e1-db3d602c476b"/>
    <ds:schemaRef ds:uri="72437ae7-a3ec-4bd1-be52-6020a26d27c0"/>
  </ds:schemaRefs>
</ds:datastoreItem>
</file>

<file path=customXml/itemProps3.xml><?xml version="1.0" encoding="utf-8"?>
<ds:datastoreItem xmlns:ds="http://schemas.openxmlformats.org/officeDocument/2006/customXml" ds:itemID="{8A51F862-F687-496A-BA99-29619888DD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702F4D-7A22-445D-AAC7-DEC055E35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64c19-ee73-48f6-a2e1-db3d602c476b"/>
    <ds:schemaRef ds:uri="72437ae7-a3ec-4bd1-be52-6020a26d2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MOQ</vt:lpstr>
      <vt:lpstr>MRP NACIONAL</vt:lpstr>
      <vt:lpstr>Pedidos - Bemol Lovers</vt:lpstr>
      <vt:lpstr>Consolidado</vt:lpstr>
      <vt:lpstr>MRP IMP</vt:lpstr>
      <vt:lpstr>Base de Dados</vt:lpstr>
      <vt:lpstr>Precificação</vt:lpstr>
      <vt:lpstr>Markup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Teixeira</dc:creator>
  <cp:keywords/>
  <dc:description/>
  <cp:lastModifiedBy>Tanys Silva</cp:lastModifiedBy>
  <cp:revision/>
  <dcterms:created xsi:type="dcterms:W3CDTF">2025-09-05T13:45:49Z</dcterms:created>
  <dcterms:modified xsi:type="dcterms:W3CDTF">2026-08-07T20:35:09Z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0x01010076B3292FAE28A04E9F9A7AB7732EAABD</vt:lpwstr>
  </property>
  <property fmtid="{D5CDD505-2E9C-101B-9397-08002B2CF9AE}" pid="3" name="MediaServiceImageTags">
    <vt:lpwstr/>
  </property>
</Properties>
</file>