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ndusbpos-my.sharepoint.com/personal/taraneh_askarzadeh_ndus_edu/Documents/Desktop/Projects/DB/"/>
    </mc:Choice>
  </mc:AlternateContent>
  <xr:revisionPtr revIDLastSave="3585" documentId="11_F25DC773A252ABDACC1048E231DD66765BDE58E6" xr6:coauthVersionLast="47" xr6:coauthVersionMax="47" xr10:uidLastSave="{5647D14F-C16A-4948-ADC4-8092A08CECAE}"/>
  <bookViews>
    <workbookView xWindow="-110" yWindow="-110" windowWidth="19420" windowHeight="11500" xr2:uid="{00000000-000D-0000-FFFF-FFFF00000000}"/>
  </bookViews>
  <sheets>
    <sheet name="Battery-Only Winged" sheetId="1" r:id="rId1"/>
    <sheet name="Hybrid" sheetId="2" r:id="rId2"/>
    <sheet name="Regression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V98" i="1" l="1"/>
  <c r="BW98" i="1"/>
  <c r="BW96" i="1"/>
  <c r="AS95" i="1"/>
  <c r="BV95" i="1" s="1"/>
  <c r="AS96" i="1"/>
  <c r="BV96" i="1" s="1"/>
  <c r="AS97" i="1"/>
  <c r="BV97" i="1" s="1"/>
  <c r="BV94" i="1"/>
  <c r="BW94" i="1"/>
  <c r="AS93" i="1"/>
  <c r="BW93" i="1" s="1"/>
  <c r="AS94" i="1"/>
  <c r="BV92" i="1"/>
  <c r="BW92" i="1"/>
  <c r="BW97" i="1" l="1"/>
  <c r="BV93" i="1"/>
  <c r="BW95" i="1"/>
  <c r="AS91" i="1" l="1"/>
  <c r="BW91" i="1" s="1"/>
  <c r="AS90" i="1"/>
  <c r="BW90" i="1" s="1"/>
  <c r="AS89" i="1"/>
  <c r="BV89" i="1" s="1"/>
  <c r="AS88" i="1"/>
  <c r="BV88" i="1" s="1"/>
  <c r="AS87" i="1"/>
  <c r="BW87" i="1" s="1"/>
  <c r="AS86" i="1"/>
  <c r="BW86" i="1" s="1"/>
  <c r="AS85" i="1"/>
  <c r="BV85" i="1" s="1"/>
  <c r="AS84" i="1"/>
  <c r="BW84" i="1" s="1"/>
  <c r="AS83" i="1"/>
  <c r="BW83" i="1" s="1"/>
  <c r="AS82" i="1"/>
  <c r="BW82" i="1" s="1"/>
  <c r="AS81" i="1"/>
  <c r="BV81" i="1" s="1"/>
  <c r="AS80" i="1"/>
  <c r="BW80" i="1" s="1"/>
  <c r="AS79" i="1"/>
  <c r="BW79" i="1" s="1"/>
  <c r="AS78" i="1"/>
  <c r="BW78" i="1" s="1"/>
  <c r="AS77" i="1"/>
  <c r="BV77" i="1" s="1"/>
  <c r="AS76" i="1"/>
  <c r="BV76" i="1" s="1"/>
  <c r="AS75" i="1"/>
  <c r="BW75" i="1" s="1"/>
  <c r="AS74" i="1"/>
  <c r="BW74" i="1" s="1"/>
  <c r="AS73" i="1"/>
  <c r="BV73" i="1" s="1"/>
  <c r="AS72" i="1"/>
  <c r="AS71" i="1"/>
  <c r="BW71" i="1" s="1"/>
  <c r="AS70" i="1"/>
  <c r="BW70" i="1" s="1"/>
  <c r="AS68" i="1"/>
  <c r="BV68" i="1" s="1"/>
  <c r="AS67" i="1"/>
  <c r="BW67" i="1" s="1"/>
  <c r="AS65" i="1"/>
  <c r="BW65" i="1" s="1"/>
  <c r="AS63" i="1"/>
  <c r="BW63" i="1" s="1"/>
  <c r="AS61" i="1"/>
  <c r="BW61" i="1" s="1"/>
  <c r="AS60" i="1"/>
  <c r="BW60" i="1" s="1"/>
  <c r="AS58" i="1"/>
  <c r="BW58" i="1" s="1"/>
  <c r="AS57" i="1"/>
  <c r="BW57" i="1" s="1"/>
  <c r="AS55" i="1"/>
  <c r="BV55" i="1" s="1"/>
  <c r="AS53" i="1"/>
  <c r="BV53" i="1" s="1"/>
  <c r="AS52" i="1"/>
  <c r="BW52" i="1" s="1"/>
  <c r="AS51" i="1"/>
  <c r="AS50" i="1"/>
  <c r="AS49" i="1"/>
  <c r="AS48" i="1"/>
  <c r="AS42" i="1"/>
  <c r="AS43" i="1"/>
  <c r="AS44" i="1"/>
  <c r="AS37" i="1"/>
  <c r="BW37" i="1" s="1"/>
  <c r="AS38" i="1"/>
  <c r="BV38" i="1" s="1"/>
  <c r="AS39" i="1"/>
  <c r="BV39" i="1" s="1"/>
  <c r="BH35" i="1"/>
  <c r="BH34" i="1"/>
  <c r="BH37" i="1"/>
  <c r="BH36" i="1"/>
  <c r="C3" i="3"/>
  <c r="C6" i="3"/>
  <c r="C9" i="3"/>
  <c r="C10" i="3"/>
  <c r="C11" i="3"/>
  <c r="C12" i="3"/>
  <c r="C13" i="3"/>
  <c r="C14" i="3"/>
  <c r="C15" i="3"/>
  <c r="C16" i="3"/>
  <c r="C17" i="3"/>
  <c r="C18" i="3"/>
  <c r="C19" i="3"/>
  <c r="C20" i="3"/>
  <c r="C21" i="3"/>
  <c r="C22" i="3"/>
  <c r="C23" i="3"/>
  <c r="C24" i="3"/>
  <c r="C26" i="3"/>
  <c r="C29" i="3"/>
  <c r="C30" i="3"/>
  <c r="C32" i="3"/>
  <c r="B3" i="3"/>
  <c r="B7" i="3"/>
  <c r="B12" i="3"/>
  <c r="B29" i="3"/>
  <c r="B31" i="3"/>
  <c r="B32" i="3"/>
  <c r="BV90" i="1"/>
  <c r="BW89" i="1"/>
  <c r="BW88" i="1"/>
  <c r="BV83" i="1"/>
  <c r="BV82" i="1"/>
  <c r="BV75" i="1"/>
  <c r="BW72" i="1"/>
  <c r="BV72" i="1"/>
  <c r="BV61" i="1"/>
  <c r="BV60" i="1"/>
  <c r="BV58" i="1"/>
  <c r="BV52" i="1"/>
  <c r="BW38" i="1"/>
  <c r="AS69" i="1"/>
  <c r="BW69" i="1" s="1"/>
  <c r="AS66" i="1"/>
  <c r="BV66" i="1" s="1"/>
  <c r="AS64" i="1"/>
  <c r="BV64" i="1" s="1"/>
  <c r="AS62" i="1"/>
  <c r="BV62" i="1" s="1"/>
  <c r="AS59" i="1"/>
  <c r="BW59" i="1" s="1"/>
  <c r="AS56" i="1"/>
  <c r="BV56" i="1" s="1"/>
  <c r="AS54" i="1"/>
  <c r="BV54" i="1" s="1"/>
  <c r="BH5" i="1"/>
  <c r="B5" i="3" s="1"/>
  <c r="BB5" i="1"/>
  <c r="AX5" i="1"/>
  <c r="AY5" i="1"/>
  <c r="BA31" i="1"/>
  <c r="C31" i="3" s="1"/>
  <c r="BB31" i="1"/>
  <c r="AX31" i="1"/>
  <c r="AY31" i="1"/>
  <c r="AS28" i="1"/>
  <c r="AS34" i="1"/>
  <c r="BW34" i="1" s="1"/>
  <c r="AS5" i="1"/>
  <c r="AS36" i="1"/>
  <c r="BW36" i="1" s="1"/>
  <c r="AS35" i="1"/>
  <c r="BV35" i="1" s="1"/>
  <c r="AS31" i="1"/>
  <c r="BV65" i="1" l="1"/>
  <c r="BW73" i="1"/>
  <c r="BV74" i="1"/>
  <c r="BV70" i="1"/>
  <c r="BV57" i="1"/>
  <c r="BW77" i="1"/>
  <c r="BV71" i="1"/>
  <c r="BV78" i="1"/>
  <c r="BV91" i="1"/>
  <c r="BW39" i="1"/>
  <c r="BV37" i="1"/>
  <c r="BW53" i="1"/>
  <c r="BV80" i="1"/>
  <c r="BW54" i="1"/>
  <c r="BW62" i="1"/>
  <c r="BV87" i="1"/>
  <c r="BV5" i="1"/>
  <c r="A5" i="3" s="1"/>
  <c r="BW85" i="1"/>
  <c r="BV79" i="1"/>
  <c r="BV86" i="1"/>
  <c r="BV36" i="1"/>
  <c r="BW55" i="1"/>
  <c r="BW81" i="1"/>
  <c r="BV84" i="1"/>
  <c r="BW76" i="1"/>
  <c r="BW68" i="1"/>
  <c r="BV67" i="1"/>
  <c r="BV63" i="1"/>
  <c r="BW64" i="1"/>
  <c r="BA5" i="1"/>
  <c r="BW5" i="1" s="1"/>
  <c r="BV31" i="1"/>
  <c r="A31" i="3" s="1"/>
  <c r="BW66" i="1"/>
  <c r="BW31" i="1"/>
  <c r="BW56" i="1"/>
  <c r="BV69" i="1"/>
  <c r="BV59" i="1"/>
  <c r="BV34" i="1"/>
  <c r="BW35" i="1"/>
  <c r="C1" i="3"/>
  <c r="C5" i="3" l="1"/>
  <c r="B1" i="3"/>
  <c r="A1" i="3"/>
  <c r="BC7" i="1" l="1"/>
  <c r="AP6" i="1" l="1"/>
  <c r="AG28" i="1" l="1"/>
  <c r="BA28" i="1"/>
  <c r="C28" i="3" s="1"/>
  <c r="AY28" i="1"/>
  <c r="BB28" i="1"/>
  <c r="AX28" i="1"/>
  <c r="BW13" i="2"/>
  <c r="BV13" i="2"/>
  <c r="AW43" i="1"/>
  <c r="AX43" i="1" s="1"/>
  <c r="BW43" i="1" l="1"/>
  <c r="BV43" i="1"/>
  <c r="BW28" i="1"/>
  <c r="BH28" i="1"/>
  <c r="B28" i="3" s="1"/>
  <c r="BH4" i="1"/>
  <c r="B4" i="3" s="1"/>
  <c r="BV28" i="1" l="1"/>
  <c r="A28" i="3" s="1"/>
  <c r="BD12" i="2"/>
  <c r="BB12" i="2"/>
  <c r="BA12" i="2"/>
  <c r="AY12" i="2"/>
  <c r="AW12" i="2" s="1"/>
  <c r="O12" i="2"/>
  <c r="BW12" i="2" l="1"/>
  <c r="BV12" i="2"/>
  <c r="AS47" i="1"/>
  <c r="BW47" i="1" s="1"/>
  <c r="BH47" i="1"/>
  <c r="BV47" i="1" s="1"/>
  <c r="AY4" i="1"/>
  <c r="AX4" i="1" s="1"/>
  <c r="BA4" i="1"/>
  <c r="C4" i="3" s="1"/>
  <c r="BB4" i="1"/>
  <c r="BW5" i="2"/>
  <c r="BV5" i="2"/>
  <c r="AS5" i="2"/>
  <c r="AS25" i="1"/>
  <c r="AS23" i="1"/>
  <c r="BA25" i="1"/>
  <c r="C25" i="3" s="1"/>
  <c r="AY25" i="1"/>
  <c r="AX25" i="1"/>
  <c r="BH16" i="1"/>
  <c r="B16" i="3" s="1"/>
  <c r="BH25" i="1" l="1"/>
  <c r="B25" i="3" s="1"/>
  <c r="BW25" i="1"/>
  <c r="BH18" i="1"/>
  <c r="B18" i="3" s="1"/>
  <c r="O7" i="1"/>
  <c r="AY7" i="1"/>
  <c r="AG7" i="1"/>
  <c r="BB7" i="1"/>
  <c r="BA7" i="1" s="1"/>
  <c r="C7" i="3" s="1"/>
  <c r="AX7" i="1"/>
  <c r="AS7" i="1"/>
  <c r="AY46" i="1"/>
  <c r="N46" i="1"/>
  <c r="BA46" i="1"/>
  <c r="BB46" i="1"/>
  <c r="AS41" i="1"/>
  <c r="AS46" i="1"/>
  <c r="AS4" i="1"/>
  <c r="AS18" i="1"/>
  <c r="AS16" i="1"/>
  <c r="AS8" i="1"/>
  <c r="AS32" i="1"/>
  <c r="AF45" i="1"/>
  <c r="AS45" i="1" s="1"/>
  <c r="BH45" i="1"/>
  <c r="BW46" i="1" l="1"/>
  <c r="BV45" i="1"/>
  <c r="BW45" i="1"/>
  <c r="BV44" i="1"/>
  <c r="BW44" i="1"/>
  <c r="BW41" i="1"/>
  <c r="BV41" i="1"/>
  <c r="BJ18" i="1"/>
  <c r="BV25" i="1"/>
  <c r="A25" i="3" s="1"/>
  <c r="BV32" i="1"/>
  <c r="A32" i="3" s="1"/>
  <c r="BW32" i="1"/>
  <c r="BV16" i="1"/>
  <c r="A16" i="3" s="1"/>
  <c r="BW16" i="1"/>
  <c r="BW18" i="1"/>
  <c r="BV18" i="1"/>
  <c r="A18" i="3" s="1"/>
  <c r="BV4" i="1"/>
  <c r="A4" i="3" s="1"/>
  <c r="BW4" i="1"/>
  <c r="BV7" i="1"/>
  <c r="A7" i="3" s="1"/>
  <c r="BW7" i="1"/>
  <c r="BH46" i="1"/>
  <c r="BV46" i="1" s="1"/>
  <c r="AY42" i="1"/>
  <c r="O11" i="1"/>
  <c r="BH42" i="1"/>
  <c r="BH11" i="1"/>
  <c r="B11" i="3" s="1"/>
  <c r="AP11" i="1"/>
  <c r="AF11" i="1"/>
  <c r="AY11" i="1"/>
  <c r="Y3" i="1"/>
  <c r="X3" i="1"/>
  <c r="AP3" i="1"/>
  <c r="AH3" i="1"/>
  <c r="AF3" i="1"/>
  <c r="BB3" i="1"/>
  <c r="BV14" i="2"/>
  <c r="BW14" i="2"/>
  <c r="BV15" i="2"/>
  <c r="BW15" i="2"/>
  <c r="BV16" i="2"/>
  <c r="BW16" i="2"/>
  <c r="BV17" i="2"/>
  <c r="BW17" i="2"/>
  <c r="BV18" i="2"/>
  <c r="BW18" i="2"/>
  <c r="BV19" i="2"/>
  <c r="BW19" i="2"/>
  <c r="BV20" i="2"/>
  <c r="BW20" i="2"/>
  <c r="BV21" i="2"/>
  <c r="BW21" i="2"/>
  <c r="BV22" i="2"/>
  <c r="BW22" i="2"/>
  <c r="BV3" i="2"/>
  <c r="BW3" i="2"/>
  <c r="BV4" i="2"/>
  <c r="BW4" i="2"/>
  <c r="BV7" i="2"/>
  <c r="BW7" i="2"/>
  <c r="BV8" i="2"/>
  <c r="BW8" i="2"/>
  <c r="BV9" i="2"/>
  <c r="BW9" i="2"/>
  <c r="BV10" i="2"/>
  <c r="BW10" i="2"/>
  <c r="BW2" i="2"/>
  <c r="BV2" i="2"/>
  <c r="BD11" i="2"/>
  <c r="BB11" i="2"/>
  <c r="BA11" i="2"/>
  <c r="BW11" i="2" s="1"/>
  <c r="AS3" i="1" l="1"/>
  <c r="AS11" i="1"/>
  <c r="AX42" i="1"/>
  <c r="BW42" i="1" s="1"/>
  <c r="AG3" i="1"/>
  <c r="BH11" i="2"/>
  <c r="BV11" i="2" s="1"/>
  <c r="BJ8" i="1"/>
  <c r="BK8" i="1" s="1"/>
  <c r="BC8" i="1"/>
  <c r="AG8" i="1"/>
  <c r="AY8" i="1"/>
  <c r="BH8" i="1"/>
  <c r="B8" i="3" s="1"/>
  <c r="BA8" i="1"/>
  <c r="C8" i="3" s="1"/>
  <c r="BB8" i="1"/>
  <c r="AX8" i="1"/>
  <c r="AF6" i="1"/>
  <c r="AY6" i="1"/>
  <c r="AX6" i="1"/>
  <c r="BV42" i="1" l="1"/>
  <c r="BV8" i="1"/>
  <c r="A8" i="3" s="1"/>
  <c r="BW11" i="1"/>
  <c r="BV11" i="1"/>
  <c r="A11" i="3" s="1"/>
  <c r="BW8" i="1"/>
  <c r="BV3" i="1"/>
  <c r="A3" i="3" s="1"/>
  <c r="BW3" i="1"/>
  <c r="AW6" i="1"/>
  <c r="AP2" i="1"/>
  <c r="AS2" i="1" s="1"/>
  <c r="AY2" i="1"/>
  <c r="AX2" i="1"/>
  <c r="BA2" i="1"/>
  <c r="C2" i="3" s="1"/>
  <c r="AY23" i="1"/>
  <c r="BH23" i="1"/>
  <c r="B23" i="3" s="1"/>
  <c r="BW2" i="1" l="1"/>
  <c r="AX23" i="1"/>
  <c r="BV23" i="1" s="1"/>
  <c r="A23" i="3" s="1"/>
  <c r="BH2" i="1"/>
  <c r="B2" i="3" s="1"/>
  <c r="BW23" i="1" l="1"/>
  <c r="BV2" i="1"/>
  <c r="A2" i="3" s="1"/>
  <c r="AY24" i="1"/>
  <c r="AY9" i="1"/>
  <c r="AY20" i="1" l="1"/>
  <c r="AY14" i="1"/>
  <c r="AY10" i="1"/>
  <c r="AY26" i="1"/>
  <c r="AS12" i="1"/>
  <c r="AX12" i="1"/>
  <c r="BW12" i="1" l="1"/>
  <c r="BV12" i="1"/>
  <c r="A12" i="3" s="1"/>
  <c r="AX17" i="1"/>
  <c r="BW17" i="1" s="1"/>
  <c r="AX30" i="1"/>
  <c r="AX22" i="1"/>
  <c r="N19" i="1" l="1"/>
  <c r="AS29" i="1" l="1"/>
  <c r="AS13" i="1"/>
  <c r="AS26" i="1"/>
  <c r="AS10" i="1"/>
  <c r="AS19" i="1"/>
  <c r="AS14" i="1"/>
  <c r="AS24" i="1"/>
  <c r="AS21" i="1"/>
  <c r="AS15" i="1"/>
  <c r="AS20" i="1"/>
  <c r="AS22" i="1"/>
  <c r="AS30" i="1"/>
  <c r="AS27" i="1"/>
  <c r="AS9" i="1"/>
  <c r="BJ24" i="1"/>
  <c r="BW20" i="1" l="1"/>
  <c r="BW21" i="1"/>
  <c r="BW15" i="1"/>
  <c r="BW6" i="1"/>
  <c r="BW24" i="1"/>
  <c r="BW9" i="1"/>
  <c r="BW30" i="1"/>
  <c r="BW10" i="1"/>
  <c r="BW22" i="1"/>
  <c r="AX13" i="1"/>
  <c r="BW13" i="1" s="1"/>
  <c r="AX14" i="1" l="1"/>
  <c r="BW14" i="1" s="1"/>
  <c r="BH17" i="1"/>
  <c r="B17" i="3" s="1"/>
  <c r="BH26" i="1"/>
  <c r="B26" i="3" s="1"/>
  <c r="BH10" i="1"/>
  <c r="B10" i="3" s="1"/>
  <c r="BH19" i="1"/>
  <c r="B19" i="3" s="1"/>
  <c r="BH14" i="1"/>
  <c r="B14" i="3" s="1"/>
  <c r="BH24" i="1"/>
  <c r="B24" i="3" s="1"/>
  <c r="BH21" i="1"/>
  <c r="B21" i="3" s="1"/>
  <c r="BH15" i="1"/>
  <c r="B15" i="3" s="1"/>
  <c r="BH20" i="1"/>
  <c r="B20" i="3" s="1"/>
  <c r="BH22" i="1"/>
  <c r="B22" i="3" s="1"/>
  <c r="BH30" i="1"/>
  <c r="B30" i="3" s="1"/>
  <c r="BH6" i="1"/>
  <c r="B6" i="3" s="1"/>
  <c r="BH9" i="1"/>
  <c r="B9" i="3" s="1"/>
  <c r="BV15" i="1" l="1"/>
  <c r="A15" i="3" s="1"/>
  <c r="BV21" i="1"/>
  <c r="A21" i="3" s="1"/>
  <c r="BV24" i="1"/>
  <c r="A24" i="3" s="1"/>
  <c r="BV9" i="1"/>
  <c r="A9" i="3" s="1"/>
  <c r="BV6" i="1"/>
  <c r="A6" i="3" s="1"/>
  <c r="BV30" i="1"/>
  <c r="A30" i="3" s="1"/>
  <c r="BV10" i="1"/>
  <c r="A10" i="3" s="1"/>
  <c r="BV22" i="1"/>
  <c r="A22" i="3" s="1"/>
  <c r="BV20" i="1"/>
  <c r="A20" i="3" s="1"/>
  <c r="BV17" i="1"/>
  <c r="A17" i="3" s="1"/>
  <c r="BV14" i="1"/>
  <c r="A14" i="3" s="1"/>
  <c r="AX26" i="1"/>
  <c r="BW26" i="1" s="1"/>
  <c r="H6" i="1"/>
  <c r="H9" i="1"/>
  <c r="BV26" i="1" l="1"/>
  <c r="A26" i="3" s="1"/>
  <c r="AY29" i="1"/>
  <c r="AX29" i="1" l="1"/>
  <c r="BV29" i="1" s="1"/>
  <c r="A29" i="3" s="1"/>
  <c r="AW27" i="1"/>
  <c r="BC27" i="1"/>
  <c r="BB27" i="1"/>
  <c r="BJ27" i="1"/>
  <c r="AX27" i="1"/>
  <c r="BA27" i="1"/>
  <c r="C27" i="3" s="1"/>
  <c r="AY27" i="1"/>
  <c r="BE27" i="1"/>
  <c r="BW27" i="1" l="1"/>
  <c r="BW29" i="1"/>
  <c r="BH27" i="1"/>
  <c r="B27" i="3" s="1"/>
  <c r="BB13" i="1"/>
  <c r="BH13" i="1" s="1"/>
  <c r="B13" i="3" s="1"/>
  <c r="AY19" i="1"/>
  <c r="BV13" i="1" l="1"/>
  <c r="A13" i="3" s="1"/>
  <c r="BV27" i="1"/>
  <c r="A27" i="3" s="1"/>
  <c r="BW19" i="1"/>
  <c r="BV19" i="1"/>
  <c r="A19"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Raj Bridgelall</author>
    <author>Askarzadeh, Taraneh</author>
    <author>Taraneh</author>
  </authors>
  <commentList>
    <comment ref="C1" authorId="0" shapeId="0" xr:uid="{ABB52A0E-83EC-4317-9FB9-1F969FC19D97}">
      <text>
        <r>
          <rPr>
            <b/>
            <sz val="9"/>
            <color indexed="81"/>
            <rFont val="Tahoma"/>
            <family val="2"/>
          </rPr>
          <t>Raj Bridgelall:</t>
        </r>
        <r>
          <rPr>
            <sz val="9"/>
            <color indexed="81"/>
            <rFont val="Tahoma"/>
            <family val="2"/>
          </rPr>
          <t xml:space="preserve">
Classification Type
FR = Fixed Rotors ( and Wings)
TR = Tilt Rotors
TW = Tilt Wing
FW = Folding Wing
TT = Transitioned Thrust (Lift &amp; Push)
TH = Transitioned Thrust Hybrid (fixed + tilt)
TS = Tail Sitter
AL = Augmented Lift
MC = Multicopter</t>
        </r>
      </text>
    </comment>
    <comment ref="D1" authorId="0" shapeId="0" xr:uid="{AC2553FB-9C7B-4FFB-99F0-379CE4EF6A59}">
      <text>
        <r>
          <rPr>
            <b/>
            <sz val="9"/>
            <color indexed="81"/>
            <rFont val="Tahoma"/>
            <family val="2"/>
          </rPr>
          <t>Raj Bridgelall:</t>
        </r>
        <r>
          <rPr>
            <sz val="9"/>
            <color indexed="81"/>
            <rFont val="Tahoma"/>
            <family val="2"/>
          </rPr>
          <t xml:space="preserve">
Headquarter Location
State Code if in USA
Country otherwise</t>
        </r>
      </text>
    </comment>
    <comment ref="E1" authorId="0" shapeId="0" xr:uid="{DB11E34C-7E9A-43BA-9BA1-496C537E5173}">
      <text>
        <r>
          <rPr>
            <b/>
            <sz val="9"/>
            <color indexed="81"/>
            <rFont val="Tahoma"/>
            <family val="2"/>
          </rPr>
          <t>Raj Bridgelall:</t>
        </r>
        <r>
          <rPr>
            <sz val="9"/>
            <color indexed="81"/>
            <rFont val="Tahoma"/>
            <family val="2"/>
          </rPr>
          <t xml:space="preserve">
Year company started</t>
        </r>
      </text>
    </comment>
    <comment ref="F1" authorId="0" shapeId="0" xr:uid="{7C6497A1-954A-4F36-A61C-F51367B6BCB9}">
      <text>
        <r>
          <rPr>
            <b/>
            <sz val="9"/>
            <color indexed="81"/>
            <rFont val="Tahoma"/>
            <family val="2"/>
          </rPr>
          <t>Raj Bridgelall:</t>
        </r>
        <r>
          <rPr>
            <sz val="9"/>
            <color indexed="81"/>
            <rFont val="Tahoma"/>
            <family val="2"/>
          </rPr>
          <t xml:space="preserve">
Year of first real aircraft flight.</t>
        </r>
      </text>
    </comment>
    <comment ref="G1" authorId="0" shapeId="0" xr:uid="{B4759AC3-2F49-4708-BBDE-070B577C7B74}">
      <text>
        <r>
          <rPr>
            <b/>
            <sz val="9"/>
            <color indexed="81"/>
            <rFont val="Tahoma"/>
            <family val="2"/>
          </rPr>
          <t>Raj Bridgelall:</t>
        </r>
        <r>
          <rPr>
            <sz val="9"/>
            <color indexed="81"/>
            <rFont val="Tahoma"/>
            <family val="2"/>
          </rPr>
          <t xml:space="preserve">
Year of first commercial flight (actual or expected)</t>
        </r>
      </text>
    </comment>
    <comment ref="H1" authorId="0" shapeId="0" xr:uid="{0C19EDC7-255E-462A-BF39-7DA677C81950}">
      <text>
        <r>
          <rPr>
            <b/>
            <sz val="9"/>
            <color indexed="81"/>
            <rFont val="Tahoma"/>
            <family val="2"/>
          </rPr>
          <t>Raj Bridgelall:</t>
        </r>
        <r>
          <rPr>
            <sz val="9"/>
            <color indexed="81"/>
            <rFont val="Tahoma"/>
            <family val="2"/>
          </rPr>
          <t xml:space="preserve">
Total Funding
   $ = Series A, Series B, etc. through 2021 ($million)
   C = Corporate Backed</t>
        </r>
      </text>
    </comment>
    <comment ref="I1" authorId="0" shapeId="0" xr:uid="{026F7874-9876-476D-9834-D887F4CCC974}">
      <text>
        <r>
          <rPr>
            <b/>
            <sz val="9"/>
            <color indexed="81"/>
            <rFont val="Tahoma"/>
            <family val="2"/>
          </rPr>
          <t>Raj Bridgelall:</t>
        </r>
        <r>
          <rPr>
            <sz val="9"/>
            <color indexed="81"/>
            <rFont val="Tahoma"/>
            <family val="2"/>
          </rPr>
          <t xml:space="preserve">
Employees (# of)</t>
        </r>
      </text>
    </comment>
    <comment ref="J1" authorId="0" shapeId="0" xr:uid="{E41CCB68-CB4F-4607-A107-13284150D8AF}">
      <text>
        <r>
          <rPr>
            <b/>
            <sz val="9"/>
            <color indexed="81"/>
            <rFont val="Tahoma"/>
            <family val="2"/>
          </rPr>
          <t>Raj Bridgelall:</t>
        </r>
        <r>
          <rPr>
            <sz val="9"/>
            <color indexed="81"/>
            <rFont val="Tahoma"/>
            <family val="2"/>
          </rPr>
          <t xml:space="preserve">
Year purchased by another company. Name the company in a cell note.</t>
        </r>
      </text>
    </comment>
    <comment ref="K1" authorId="0" shapeId="0" xr:uid="{CC5F203A-62E3-436B-9B39-155C5AC56AF9}">
      <text>
        <r>
          <rPr>
            <b/>
            <sz val="9"/>
            <color indexed="81"/>
            <rFont val="Tahoma"/>
            <family val="2"/>
          </rPr>
          <t>Raj Bridgelall:</t>
        </r>
        <r>
          <rPr>
            <sz val="9"/>
            <color indexed="81"/>
            <rFont val="Tahoma"/>
            <family val="2"/>
          </rPr>
          <t xml:space="preserve">
Year acquired. Name the acquiring company in a cell note.</t>
        </r>
      </text>
    </comment>
    <comment ref="L1" authorId="0" shapeId="0" xr:uid="{1F351D2F-4583-4F78-9D50-FF5D5F0BB803}">
      <text>
        <r>
          <rPr>
            <b/>
            <sz val="9"/>
            <color indexed="81"/>
            <rFont val="Tahoma"/>
            <family val="2"/>
          </rPr>
          <t>Raj Bridgelall:</t>
        </r>
        <r>
          <rPr>
            <sz val="9"/>
            <color indexed="81"/>
            <rFont val="Tahoma"/>
            <family val="2"/>
          </rPr>
          <t xml:space="preserve">
P = Passenger (Air Taxi)
C = Cargo</t>
        </r>
      </text>
    </comment>
    <comment ref="M1" authorId="0" shapeId="0" xr:uid="{91C3221F-C2C9-45DD-9694-497B90B15225}">
      <text>
        <r>
          <rPr>
            <b/>
            <sz val="9"/>
            <color indexed="81"/>
            <rFont val="Tahoma"/>
            <family val="2"/>
          </rPr>
          <t>Raj Bridgelall:</t>
        </r>
        <r>
          <rPr>
            <sz val="9"/>
            <color indexed="81"/>
            <rFont val="Tahoma"/>
            <family val="2"/>
          </rPr>
          <t xml:space="preserve">
Development Phase 
P = Planning
R = R&amp;D
D =Design
S = Testing Subscale Prototype
F = Testing Full Prototype
C = Certification
O = Operations</t>
        </r>
      </text>
    </comment>
    <comment ref="N1" authorId="0" shapeId="0" xr:uid="{81DAC706-A237-4442-87DD-69E916061CC4}">
      <text>
        <r>
          <rPr>
            <b/>
            <sz val="9"/>
            <color indexed="81"/>
            <rFont val="Tahoma"/>
            <family val="2"/>
          </rPr>
          <t>Raj Bridgelall:</t>
        </r>
        <r>
          <rPr>
            <sz val="9"/>
            <color indexed="81"/>
            <rFont val="Tahoma"/>
            <family val="2"/>
          </rPr>
          <t xml:space="preserve">
Operating Cost/Aircraft ($million)</t>
        </r>
      </text>
    </comment>
    <comment ref="O1" authorId="0" shapeId="0" xr:uid="{D984DF64-1787-4244-83A7-D73E0A4D8221}">
      <text>
        <r>
          <rPr>
            <b/>
            <sz val="9"/>
            <color indexed="81"/>
            <rFont val="Tahoma"/>
            <family val="2"/>
          </rPr>
          <t>Raj Bridgelall:</t>
        </r>
        <r>
          <rPr>
            <sz val="9"/>
            <color indexed="81"/>
            <rFont val="Tahoma"/>
            <family val="2"/>
          </rPr>
          <t xml:space="preserve">
Manufacturing Cost/Aircraft ($million)</t>
        </r>
      </text>
    </comment>
    <comment ref="P1" authorId="0" shapeId="0" xr:uid="{5E831409-3622-42A2-8AAD-B38F7B9EFB15}">
      <text>
        <r>
          <rPr>
            <b/>
            <sz val="9"/>
            <color indexed="81"/>
            <rFont val="Tahoma"/>
            <family val="2"/>
          </rPr>
          <t>Raj Bridgelall:</t>
        </r>
        <r>
          <rPr>
            <sz val="9"/>
            <color indexed="81"/>
            <rFont val="Tahoma"/>
            <family val="2"/>
          </rPr>
          <t xml:space="preserve">
Material composition of airframe:
C = Composite
CC = Carbon Composite
CFC = Carbon Fiber Composite</t>
        </r>
      </text>
    </comment>
    <comment ref="Q1" authorId="0" shapeId="0" xr:uid="{ECE416CE-5BE6-48DB-8BE2-11DA6F3A1A5B}">
      <text>
        <r>
          <rPr>
            <b/>
            <sz val="9"/>
            <color indexed="81"/>
            <rFont val="Tahoma"/>
            <family val="2"/>
          </rPr>
          <t>Raj Bridgelall:</t>
        </r>
        <r>
          <rPr>
            <sz val="9"/>
            <color indexed="81"/>
            <rFont val="Tahoma"/>
            <family val="2"/>
          </rPr>
          <t xml:space="preserve">
Total Number of Rotors</t>
        </r>
      </text>
    </comment>
    <comment ref="R1" authorId="0" shapeId="0" xr:uid="{7200773A-0D7E-4C88-A108-2814BA236223}">
      <text>
        <r>
          <rPr>
            <b/>
            <sz val="9"/>
            <color indexed="81"/>
            <rFont val="Tahoma"/>
            <family val="2"/>
          </rPr>
          <t>Raj Bridgelall:</t>
        </r>
        <r>
          <rPr>
            <sz val="9"/>
            <color indexed="81"/>
            <rFont val="Tahoma"/>
            <family val="2"/>
          </rPr>
          <t xml:space="preserve">
Electric Motors (# of)</t>
        </r>
      </text>
    </comment>
    <comment ref="S1" authorId="0" shapeId="0" xr:uid="{EDC3D40B-6917-48AE-AA4A-7EEE58385FD3}">
      <text>
        <r>
          <rPr>
            <b/>
            <sz val="9"/>
            <color indexed="81"/>
            <rFont val="Tahoma"/>
            <family val="2"/>
          </rPr>
          <t>Raj Bridgelall:</t>
        </r>
        <r>
          <rPr>
            <sz val="9"/>
            <color indexed="81"/>
            <rFont val="Tahoma"/>
            <family val="2"/>
          </rPr>
          <t xml:space="preserve">
Coaxial Rotors (# of coax, not # of rotors)</t>
        </r>
      </text>
    </comment>
    <comment ref="T1" authorId="0" shapeId="0" xr:uid="{53C6467B-3509-41D0-BC27-3242463D9009}">
      <text>
        <r>
          <rPr>
            <b/>
            <sz val="9"/>
            <color indexed="81"/>
            <rFont val="Tahoma"/>
            <family val="2"/>
          </rPr>
          <t>Raj Bridgelall:</t>
        </r>
        <r>
          <rPr>
            <sz val="9"/>
            <color indexed="81"/>
            <rFont val="Tahoma"/>
            <family val="2"/>
          </rPr>
          <t xml:space="preserve">
Number of Ducted Roters</t>
        </r>
      </text>
    </comment>
    <comment ref="U1" authorId="0" shapeId="0" xr:uid="{5F838BD1-BB07-43F5-90BA-352B92A3A6CE}">
      <text>
        <r>
          <rPr>
            <b/>
            <sz val="9"/>
            <color indexed="81"/>
            <rFont val="Tahoma"/>
            <family val="2"/>
          </rPr>
          <t>Raj Bridgelall:</t>
        </r>
        <r>
          <rPr>
            <sz val="9"/>
            <color indexed="81"/>
            <rFont val="Tahoma"/>
            <family val="2"/>
          </rPr>
          <t xml:space="preserve">
Lift Rotors (# of)</t>
        </r>
      </text>
    </comment>
    <comment ref="V1" authorId="0" shapeId="0" xr:uid="{7E417D1A-9888-417B-8A02-87ABBF433116}">
      <text>
        <r>
          <rPr>
            <b/>
            <sz val="9"/>
            <color indexed="81"/>
            <rFont val="Tahoma"/>
            <family val="2"/>
          </rPr>
          <t>Raj Bridgelall:</t>
        </r>
        <r>
          <rPr>
            <sz val="9"/>
            <color indexed="81"/>
            <rFont val="Tahoma"/>
            <family val="2"/>
          </rPr>
          <t xml:space="preserve">
Lift Rotors Enclosed (# of) during cruise to reduce drag.</t>
        </r>
      </text>
    </comment>
    <comment ref="W1" authorId="0" shapeId="0" xr:uid="{3FD8176D-1AE1-413D-A3DE-00663E7F6DF1}">
      <text>
        <r>
          <rPr>
            <b/>
            <sz val="9"/>
            <color indexed="81"/>
            <rFont val="Tahoma"/>
            <family val="2"/>
          </rPr>
          <t>Raj Bridgelall:</t>
        </r>
        <r>
          <rPr>
            <sz val="9"/>
            <color indexed="81"/>
            <rFont val="Tahoma"/>
            <family val="2"/>
          </rPr>
          <t xml:space="preserve">
Rotors Cruise (# of)</t>
        </r>
      </text>
    </comment>
    <comment ref="X1" authorId="0" shapeId="0" xr:uid="{14CFDBC1-C721-4E3F-8B71-A8F129BECB3D}">
      <text>
        <r>
          <rPr>
            <b/>
            <sz val="9"/>
            <color indexed="81"/>
            <rFont val="Tahoma"/>
            <family val="2"/>
          </rPr>
          <t>Raj Bridgelall:</t>
        </r>
        <r>
          <rPr>
            <sz val="9"/>
            <color indexed="81"/>
            <rFont val="Tahoma"/>
            <family val="2"/>
          </rPr>
          <t xml:space="preserve">
Lift Propeller Diameter (m). Leads to disc load calculation.</t>
        </r>
      </text>
    </comment>
    <comment ref="Y1" authorId="0" shapeId="0" xr:uid="{1AFACE99-8B29-4434-B146-7B1B4C61EEF5}">
      <text>
        <r>
          <rPr>
            <b/>
            <sz val="9"/>
            <color indexed="81"/>
            <rFont val="Tahoma"/>
            <family val="2"/>
          </rPr>
          <t>Raj Bridgelall:</t>
        </r>
        <r>
          <rPr>
            <sz val="9"/>
            <color indexed="81"/>
            <rFont val="Tahoma"/>
            <family val="2"/>
          </rPr>
          <t xml:space="preserve">
Cruise Propeller Diameter (m): Leads to thrust force calculation.</t>
        </r>
      </text>
    </comment>
    <comment ref="Z1" authorId="0" shapeId="0" xr:uid="{A16DE9B1-AC55-4D7A-B0FC-28EDB299561B}">
      <text>
        <r>
          <rPr>
            <b/>
            <sz val="9"/>
            <color indexed="81"/>
            <rFont val="Tahoma"/>
            <family val="2"/>
          </rPr>
          <t>Raj Bridgelall:</t>
        </r>
        <r>
          <rPr>
            <sz val="9"/>
            <color indexed="81"/>
            <rFont val="Tahoma"/>
            <family val="2"/>
          </rPr>
          <t xml:space="preserve">
Tilt Roter (# of)</t>
        </r>
      </text>
    </comment>
    <comment ref="AA1" authorId="0" shapeId="0" xr:uid="{80AFD848-C500-4CA5-9B17-69F35CC2EE0A}">
      <text>
        <r>
          <rPr>
            <b/>
            <sz val="9"/>
            <color indexed="81"/>
            <rFont val="Tahoma"/>
            <family val="2"/>
          </rPr>
          <t>Raj Bridgelall:</t>
        </r>
        <r>
          <rPr>
            <sz val="9"/>
            <color indexed="81"/>
            <rFont val="Tahoma"/>
            <family val="2"/>
          </rPr>
          <t xml:space="preserve">
Blades Cruise Rotors (# of)</t>
        </r>
      </text>
    </comment>
    <comment ref="AB1" authorId="0" shapeId="0" xr:uid="{5061FFC4-8ED0-4B4D-9C50-211FBBC31932}">
      <text>
        <r>
          <rPr>
            <b/>
            <sz val="9"/>
            <color indexed="81"/>
            <rFont val="Tahoma"/>
            <family val="2"/>
          </rPr>
          <t>Raj Bridgelall:</t>
        </r>
        <r>
          <rPr>
            <sz val="9"/>
            <color indexed="81"/>
            <rFont val="Tahoma"/>
            <family val="2"/>
          </rPr>
          <t xml:space="preserve">
Blades Tilt Rotors (# of)</t>
        </r>
      </text>
    </comment>
    <comment ref="AC1" authorId="0" shapeId="0" xr:uid="{E1631B5F-37B2-48C4-B0EB-FDB1F9AF86DD}">
      <text>
        <r>
          <rPr>
            <b/>
            <sz val="9"/>
            <color indexed="81"/>
            <rFont val="Tahoma"/>
            <family val="2"/>
          </rPr>
          <t>Raj Bridgelall:</t>
        </r>
        <r>
          <rPr>
            <sz val="9"/>
            <color indexed="81"/>
            <rFont val="Tahoma"/>
            <family val="2"/>
          </rPr>
          <t xml:space="preserve">
Blades Lift Rotors (# of)</t>
        </r>
      </text>
    </comment>
    <comment ref="AD1" authorId="0" shapeId="0" xr:uid="{FD8DE6CB-2B28-4382-B4AE-468A3D73FDE6}">
      <text>
        <r>
          <rPr>
            <b/>
            <sz val="9"/>
            <color indexed="81"/>
            <rFont val="Tahoma"/>
            <family val="2"/>
          </rPr>
          <t>Raj Bridgelall:</t>
        </r>
        <r>
          <rPr>
            <sz val="9"/>
            <color indexed="81"/>
            <rFont val="Tahoma"/>
            <family val="2"/>
          </rPr>
          <t xml:space="preserve">
Wings (# of)</t>
        </r>
      </text>
    </comment>
    <comment ref="AE1" authorId="0" shapeId="0" xr:uid="{BFD00F27-EAEA-4358-9E1A-CA4BD7AAFF80}">
      <text>
        <r>
          <rPr>
            <b/>
            <sz val="9"/>
            <color indexed="81"/>
            <rFont val="Tahoma"/>
            <family val="2"/>
          </rPr>
          <t>Raj Bridgelall:</t>
        </r>
        <r>
          <rPr>
            <sz val="9"/>
            <color indexed="81"/>
            <rFont val="Tahoma"/>
            <family val="2"/>
          </rPr>
          <t xml:space="preserve">
Winglets (# of)</t>
        </r>
      </text>
    </comment>
    <comment ref="AF1" authorId="0" shapeId="0" xr:uid="{1AB09F6A-8353-4954-8EAB-D4EFD77E29D1}">
      <text>
        <r>
          <rPr>
            <b/>
            <sz val="9"/>
            <color indexed="81"/>
            <rFont val="Tahoma"/>
            <family val="2"/>
          </rPr>
          <t>Raj Bridgelall:</t>
        </r>
        <r>
          <rPr>
            <sz val="9"/>
            <color indexed="81"/>
            <rFont val="Tahoma"/>
            <family val="2"/>
          </rPr>
          <t xml:space="preserve">
Length of Wings (M)
(Total if more several wings)</t>
        </r>
      </text>
    </comment>
    <comment ref="AG1" authorId="0" shapeId="0" xr:uid="{39AE80D1-0EA1-4691-85B2-2F7CFA7AC61C}">
      <text>
        <r>
          <rPr>
            <b/>
            <sz val="9"/>
            <color indexed="81"/>
            <rFont val="Tahoma"/>
            <family val="2"/>
          </rPr>
          <t>Raj Bridgelall:</t>
        </r>
        <r>
          <rPr>
            <sz val="9"/>
            <color indexed="81"/>
            <rFont val="Tahoma"/>
            <family val="2"/>
          </rPr>
          <t xml:space="preserve">
Width of Wings (M)
(Total if more several wings)</t>
        </r>
      </text>
    </comment>
    <comment ref="AH1" authorId="0" shapeId="0" xr:uid="{63AA4BA8-2367-41EB-84AF-A67121F0A16F}">
      <text>
        <r>
          <rPr>
            <b/>
            <sz val="9"/>
            <color indexed="81"/>
            <rFont val="Tahoma"/>
            <family val="2"/>
          </rPr>
          <t>Raj Bridgelall:</t>
        </r>
        <r>
          <rPr>
            <sz val="9"/>
            <color indexed="81"/>
            <rFont val="Tahoma"/>
            <family val="2"/>
          </rPr>
          <t xml:space="preserve">
Wing Area (sq meters)</t>
        </r>
      </text>
    </comment>
    <comment ref="AI1" authorId="0" shapeId="0" xr:uid="{F5B4751E-B708-4DCD-851C-48222F45FF5B}">
      <text>
        <r>
          <rPr>
            <b/>
            <sz val="9"/>
            <color indexed="81"/>
            <rFont val="Tahoma"/>
            <family val="2"/>
          </rPr>
          <t>Raj Bridgelall:</t>
        </r>
        <r>
          <rPr>
            <sz val="9"/>
            <color indexed="81"/>
            <rFont val="Tahoma"/>
            <family val="2"/>
          </rPr>
          <t xml:space="preserve">
Number of Tilting Wings, Zero if none.</t>
        </r>
      </text>
    </comment>
    <comment ref="AJ1" authorId="0" shapeId="0" xr:uid="{271AF2EA-310E-4122-A9BC-93D33417F4D4}">
      <text>
        <r>
          <rPr>
            <b/>
            <sz val="9"/>
            <color indexed="81"/>
            <rFont val="Tahoma"/>
            <family val="2"/>
          </rPr>
          <t>Raj Bridgelall:</t>
        </r>
        <r>
          <rPr>
            <sz val="9"/>
            <color indexed="81"/>
            <rFont val="Tahoma"/>
            <family val="2"/>
          </rPr>
          <t xml:space="preserve">
Wing Position:
H = High (above fuselage)
M = Middle (mid fuselage)
L = Low (Below Fuselage)
B = Biplane</t>
        </r>
      </text>
    </comment>
    <comment ref="AK1" authorId="0" shapeId="0" xr:uid="{A4EB3CED-64F7-4917-A677-56DC1DA1BC42}">
      <text>
        <r>
          <rPr>
            <b/>
            <sz val="9"/>
            <color indexed="81"/>
            <rFont val="Tahoma"/>
            <family val="2"/>
          </rPr>
          <t>Raj Bridgelall:</t>
        </r>
        <r>
          <rPr>
            <sz val="9"/>
            <color indexed="81"/>
            <rFont val="Tahoma"/>
            <family val="2"/>
          </rPr>
          <t xml:space="preserve">
Wing Type:
R = Rectangular Straight
E = Rounded Straight
B = Swept Back
F = Swept Forward
GW = Gull Wing
D = Delta</t>
        </r>
      </text>
    </comment>
    <comment ref="AL1" authorId="0" shapeId="0" xr:uid="{E704DA0D-6F43-42BB-94FC-8019112BDD6A}">
      <text>
        <r>
          <rPr>
            <b/>
            <sz val="9"/>
            <color indexed="81"/>
            <rFont val="Tahoma"/>
            <family val="2"/>
          </rPr>
          <t>Raj Bridgelall:</t>
        </r>
        <r>
          <rPr>
            <sz val="9"/>
            <color indexed="81"/>
            <rFont val="Tahoma"/>
            <family val="2"/>
          </rPr>
          <t xml:space="preserve">
Foldable Wing (# of)</t>
        </r>
      </text>
    </comment>
    <comment ref="AM1" authorId="0" shapeId="0" xr:uid="{24388592-3E0F-4B86-8EBF-895D4E226822}">
      <text>
        <r>
          <rPr>
            <b/>
            <sz val="9"/>
            <color indexed="81"/>
            <rFont val="Tahoma"/>
            <family val="2"/>
          </rPr>
          <t>Raj Bridgelall:</t>
        </r>
        <r>
          <rPr>
            <sz val="9"/>
            <color indexed="81"/>
            <rFont val="Tahoma"/>
            <family val="2"/>
          </rPr>
          <t xml:space="preserve">
Number of wing flaps.
Zero if none.</t>
        </r>
      </text>
    </comment>
    <comment ref="AN1" authorId="0" shapeId="0" xr:uid="{2483C641-5DBE-4924-9266-9DF34FF5177F}">
      <text>
        <r>
          <rPr>
            <b/>
            <sz val="9"/>
            <color indexed="81"/>
            <rFont val="Tahoma"/>
            <family val="2"/>
          </rPr>
          <t>Raj Bridgelall:</t>
        </r>
        <r>
          <rPr>
            <sz val="9"/>
            <color indexed="81"/>
            <rFont val="Tahoma"/>
            <family val="2"/>
          </rPr>
          <t xml:space="preserve">
Rudders (# of) -- usually on the tail.</t>
        </r>
      </text>
    </comment>
    <comment ref="AO1" authorId="0" shapeId="0" xr:uid="{F71A0719-504E-4564-8CD7-4DFF44502925}">
      <text>
        <r>
          <rPr>
            <b/>
            <sz val="9"/>
            <color indexed="81"/>
            <rFont val="Tahoma"/>
            <family val="2"/>
          </rPr>
          <t>Raj Bridgelall:</t>
        </r>
        <r>
          <rPr>
            <sz val="9"/>
            <color indexed="81"/>
            <rFont val="Tahoma"/>
            <family val="2"/>
          </rPr>
          <t xml:space="preserve">
Tail Type
F = Vertical Fins
V = V shaped
VI = Inverted V
VO = V opened at bottom
T = T shaped
TI = T inverted
C = Canard
U = U shaped
US = U with spoiler on top
H = H shaped
UI = Inverted U w/ Bookend Stabilizer
Y = Y shaped
N = None</t>
        </r>
      </text>
    </comment>
    <comment ref="AP1" authorId="0" shapeId="0" xr:uid="{D03E7329-71B8-4AB0-B3D4-145A05E1C140}">
      <text>
        <r>
          <rPr>
            <b/>
            <sz val="9"/>
            <color indexed="81"/>
            <rFont val="Tahoma"/>
            <family val="2"/>
          </rPr>
          <t>Raj Bridgelall:</t>
        </r>
        <r>
          <rPr>
            <sz val="9"/>
            <color indexed="81"/>
            <rFont val="Tahoma"/>
            <family val="2"/>
          </rPr>
          <t xml:space="preserve">
Length Occupied (m)</t>
        </r>
      </text>
    </comment>
    <comment ref="AQ1" authorId="0" shapeId="0" xr:uid="{E4380997-B8F5-4DFA-9135-C01D48406E54}">
      <text>
        <r>
          <rPr>
            <b/>
            <sz val="9"/>
            <color indexed="81"/>
            <rFont val="Tahoma"/>
            <family val="2"/>
          </rPr>
          <t>Raj Bridgelall:</t>
        </r>
        <r>
          <rPr>
            <sz val="9"/>
            <color indexed="81"/>
            <rFont val="Tahoma"/>
            <family val="2"/>
          </rPr>
          <t xml:space="preserve">
Fuselage Width (Lift surface) m</t>
        </r>
      </text>
    </comment>
    <comment ref="AR1" authorId="0" shapeId="0" xr:uid="{7B34D52C-5050-4A44-9ADB-2A64939E0B45}">
      <text>
        <r>
          <rPr>
            <b/>
            <sz val="9"/>
            <color indexed="81"/>
            <rFont val="Tahoma"/>
            <family val="2"/>
          </rPr>
          <t>Raj Bridgelall:</t>
        </r>
        <r>
          <rPr>
            <sz val="9"/>
            <color indexed="81"/>
            <rFont val="Tahoma"/>
            <family val="2"/>
          </rPr>
          <t xml:space="preserve">
Hight Occupied (m)</t>
        </r>
      </text>
    </comment>
    <comment ref="AS1" authorId="0" shapeId="0" xr:uid="{6F51534A-79DD-43B7-B1FF-3362A88F8E80}">
      <text>
        <r>
          <rPr>
            <b/>
            <sz val="9"/>
            <color indexed="81"/>
            <rFont val="Tahoma"/>
            <family val="2"/>
          </rPr>
          <t>Raj Bridgelall:</t>
        </r>
        <r>
          <rPr>
            <sz val="9"/>
            <color indexed="81"/>
            <rFont val="Tahoma"/>
            <family val="2"/>
          </rPr>
          <t xml:space="preserve">
Aspect Ratio:
Length/Width
(Easier to estimate from images or patent drawings if Wingspan or Length is unknown)</t>
        </r>
      </text>
    </comment>
    <comment ref="AT1" authorId="0" shapeId="0" xr:uid="{1BEDD0DE-DFEC-40F3-BE23-7C3AA18B5FEE}">
      <text>
        <r>
          <rPr>
            <b/>
            <sz val="9"/>
            <color indexed="81"/>
            <rFont val="Tahoma"/>
            <family val="2"/>
          </rPr>
          <t>Raj Bridgelall:</t>
        </r>
        <r>
          <rPr>
            <sz val="9"/>
            <color indexed="81"/>
            <rFont val="Tahoma"/>
            <family val="2"/>
          </rPr>
          <t xml:space="preserve">
Landing Gear Type
TW: Tricycle Wheeled
TWR: Tricycle Wheeled Retractable
W4: Wheeled Structs 4
S4: Non-wheeled Struts 4
FS: Fixed Skid
TS: Tail Sitter
TD: Tail Dragger (2 wheels under wing, 1 under tail)</t>
        </r>
      </text>
    </comment>
    <comment ref="AU1" authorId="0" shapeId="0" xr:uid="{B6F254E7-F489-4268-83D3-9FD2C62EA4BC}">
      <text>
        <r>
          <rPr>
            <b/>
            <sz val="9"/>
            <color indexed="81"/>
            <rFont val="Tahoma"/>
            <family val="2"/>
          </rPr>
          <t>Raj Bridgelall:</t>
        </r>
        <r>
          <rPr>
            <sz val="9"/>
            <color indexed="81"/>
            <rFont val="Tahoma"/>
            <family val="2"/>
          </rPr>
          <t xml:space="preserve">
Number of Retractable Landing Gear</t>
        </r>
      </text>
    </comment>
    <comment ref="AV1" authorId="0" shapeId="0" xr:uid="{FE5057A4-1208-4476-AF64-9EB0E32A30CD}">
      <text>
        <r>
          <rPr>
            <b/>
            <sz val="9"/>
            <color indexed="81"/>
            <rFont val="Tahoma"/>
            <family val="2"/>
          </rPr>
          <t>Raj Bridgelall:</t>
        </r>
        <r>
          <rPr>
            <sz val="9"/>
            <color indexed="81"/>
            <rFont val="Tahoma"/>
            <family val="2"/>
          </rPr>
          <t xml:space="preserve">
Delivery mechanism for packages
L: Land
W: Drop winch
P: Parachute</t>
        </r>
      </text>
    </comment>
    <comment ref="AW1" authorId="0" shapeId="0" xr:uid="{50F324A7-51C2-458F-9B65-AB5887C85E89}">
      <text>
        <r>
          <rPr>
            <b/>
            <sz val="9"/>
            <color indexed="81"/>
            <rFont val="Tahoma"/>
            <family val="2"/>
          </rPr>
          <t>Raj Bridgelall:</t>
        </r>
        <r>
          <rPr>
            <sz val="9"/>
            <color indexed="81"/>
            <rFont val="Tahoma"/>
            <family val="2"/>
          </rPr>
          <t xml:space="preserve">
Weight Empty (lbs)</t>
        </r>
      </text>
    </comment>
    <comment ref="AX1" authorId="0" shapeId="0" xr:uid="{36BECD5B-124A-4F9F-BCCD-5571496FB4D6}">
      <text>
        <r>
          <rPr>
            <b/>
            <sz val="9"/>
            <color indexed="81"/>
            <rFont val="Tahoma"/>
            <family val="2"/>
          </rPr>
          <t>Raj Bridgelall:</t>
        </r>
        <r>
          <rPr>
            <sz val="9"/>
            <color indexed="81"/>
            <rFont val="Tahoma"/>
            <family val="2"/>
          </rPr>
          <t xml:space="preserve">
Max Take Off Weight (lbs)</t>
        </r>
      </text>
    </comment>
    <comment ref="AY1" authorId="0" shapeId="0" xr:uid="{CC0143C4-60BB-48CA-9E47-BE4368327C6B}">
      <text>
        <r>
          <rPr>
            <b/>
            <sz val="9"/>
            <color indexed="81"/>
            <rFont val="Tahoma"/>
            <family val="2"/>
          </rPr>
          <t>Raj Bridgelall:</t>
        </r>
        <r>
          <rPr>
            <sz val="9"/>
            <color indexed="81"/>
            <rFont val="Tahoma"/>
            <family val="2"/>
          </rPr>
          <t xml:space="preserve">
Freight or Passenger (lbs). Typically 200 lbs/passenger seat.</t>
        </r>
      </text>
    </comment>
    <comment ref="AZ1" authorId="0" shapeId="0" xr:uid="{29C661A5-3298-42E9-9FB3-B2DA1B137CD5}">
      <text>
        <r>
          <rPr>
            <b/>
            <sz val="9"/>
            <color indexed="81"/>
            <rFont val="Tahoma"/>
            <family val="2"/>
          </rPr>
          <t>Raj Bridgelall:</t>
        </r>
        <r>
          <rPr>
            <sz val="9"/>
            <color indexed="81"/>
            <rFont val="Tahoma"/>
            <family val="2"/>
          </rPr>
          <t xml:space="preserve">
Number of persons (including pilot and patients if any)</t>
        </r>
      </text>
    </comment>
    <comment ref="BA1" authorId="0" shapeId="0" xr:uid="{5F5C0D32-395C-4B5F-8A05-F2D93EF977DC}">
      <text>
        <r>
          <rPr>
            <b/>
            <sz val="9"/>
            <color indexed="81"/>
            <rFont val="Tahoma"/>
            <family val="2"/>
          </rPr>
          <t>Raj Bridgelall:</t>
        </r>
        <r>
          <rPr>
            <sz val="9"/>
            <color indexed="81"/>
            <rFont val="Tahoma"/>
            <family val="2"/>
          </rPr>
          <t xml:space="preserve">
Distance carrying payload (miles)</t>
        </r>
      </text>
    </comment>
    <comment ref="BB1" authorId="0" shapeId="0" xr:uid="{EBDC64C7-BB8C-4266-AB10-E6B696D328A7}">
      <text>
        <r>
          <rPr>
            <b/>
            <sz val="9"/>
            <color indexed="81"/>
            <rFont val="Tahoma"/>
            <family val="2"/>
          </rPr>
          <t>Raj Bridgelall:</t>
        </r>
        <r>
          <rPr>
            <sz val="9"/>
            <color indexed="81"/>
            <rFont val="Tahoma"/>
            <family val="2"/>
          </rPr>
          <t xml:space="preserve">
Speed nominal cruise for the range (mph)</t>
        </r>
      </text>
    </comment>
    <comment ref="BC1" authorId="0" shapeId="0" xr:uid="{ED1243E5-2F40-400C-8216-F8CA716FA12F}">
      <text>
        <r>
          <rPr>
            <b/>
            <sz val="9"/>
            <color indexed="81"/>
            <rFont val="Tahoma"/>
            <family val="2"/>
          </rPr>
          <t>Raj Bridgelall:</t>
        </r>
        <r>
          <rPr>
            <sz val="9"/>
            <color indexed="81"/>
            <rFont val="Tahoma"/>
            <family val="2"/>
          </rPr>
          <t xml:space="preserve">
Speed Vertical (mph)</t>
        </r>
      </text>
    </comment>
    <comment ref="BD1" authorId="0" shapeId="0" xr:uid="{3E1648DD-7934-4104-AB68-DFA68E2A2236}">
      <text>
        <r>
          <rPr>
            <b/>
            <sz val="9"/>
            <color indexed="81"/>
            <rFont val="Tahoma"/>
            <family val="2"/>
          </rPr>
          <t>Raj Bridgelall:</t>
        </r>
        <r>
          <rPr>
            <sz val="9"/>
            <color indexed="81"/>
            <rFont val="Tahoma"/>
            <family val="2"/>
          </rPr>
          <t xml:space="preserve">
Max Altitude (m) or
Cruise Altitude</t>
        </r>
      </text>
    </comment>
    <comment ref="BE1" authorId="0" shapeId="0" xr:uid="{84B160FA-AA36-4956-B931-75FCF2D5D388}">
      <text>
        <r>
          <rPr>
            <b/>
            <sz val="9"/>
            <color indexed="81"/>
            <rFont val="Tahoma"/>
            <family val="2"/>
          </rPr>
          <t>Raj Bridgelall:</t>
        </r>
        <r>
          <rPr>
            <sz val="9"/>
            <color indexed="81"/>
            <rFont val="Tahoma"/>
            <family val="2"/>
          </rPr>
          <t xml:space="preserve">
Wind gust resistance in mph</t>
        </r>
      </text>
    </comment>
    <comment ref="BF1" authorId="0" shapeId="0" xr:uid="{5AC319BC-EAD2-4DEC-AB80-4AF407A4F46D}">
      <text>
        <r>
          <rPr>
            <b/>
            <sz val="9"/>
            <color indexed="81"/>
            <rFont val="Tahoma"/>
            <family val="2"/>
          </rPr>
          <t>Raj Bridgelall:</t>
        </r>
        <r>
          <rPr>
            <sz val="9"/>
            <color indexed="81"/>
            <rFont val="Tahoma"/>
            <family val="2"/>
          </rPr>
          <t xml:space="preserve">
Operating temperature, low end of range in F</t>
        </r>
      </text>
    </comment>
    <comment ref="BG1" authorId="0" shapeId="0" xr:uid="{335B8E7D-5E6C-439C-9F57-00CC7A2BF1D1}">
      <text>
        <r>
          <rPr>
            <b/>
            <sz val="9"/>
            <color indexed="81"/>
            <rFont val="Tahoma"/>
            <family val="2"/>
          </rPr>
          <t>Raj Bridgelall:</t>
        </r>
        <r>
          <rPr>
            <sz val="9"/>
            <color indexed="81"/>
            <rFont val="Tahoma"/>
            <family val="2"/>
          </rPr>
          <t xml:space="preserve">
Operating temperature, high end of range in F</t>
        </r>
      </text>
    </comment>
    <comment ref="BH1" authorId="0" shapeId="0" xr:uid="{EF05A674-F986-42E7-8C65-19C309F6C4B9}">
      <text>
        <r>
          <rPr>
            <b/>
            <sz val="9"/>
            <color indexed="81"/>
            <rFont val="Tahoma"/>
            <family val="2"/>
          </rPr>
          <t>Raj Bridgelall:</t>
        </r>
        <r>
          <rPr>
            <sz val="9"/>
            <color indexed="81"/>
            <rFont val="Tahoma"/>
            <family val="2"/>
          </rPr>
          <t xml:space="preserve">
Battery-only. Flight time (endurance) on full battery charge (minutes)</t>
        </r>
      </text>
    </comment>
    <comment ref="BI1" authorId="0" shapeId="0" xr:uid="{758A04AF-242A-4942-AF58-17C38D75D7BD}">
      <text>
        <r>
          <rPr>
            <b/>
            <sz val="9"/>
            <color indexed="81"/>
            <rFont val="Tahoma"/>
            <family val="2"/>
          </rPr>
          <t>Raj Bridgelall:</t>
        </r>
        <r>
          <rPr>
            <sz val="9"/>
            <color indexed="81"/>
            <rFont val="Tahoma"/>
            <family val="2"/>
          </rPr>
          <t xml:space="preserve">
Power:
Batteries: B
Hybrid: H
Fuel: F</t>
        </r>
      </text>
    </comment>
    <comment ref="BJ1" authorId="0" shapeId="0" xr:uid="{6AFB46A7-A1A0-40BD-934A-2C18E957677F}">
      <text>
        <r>
          <rPr>
            <b/>
            <sz val="9"/>
            <color indexed="81"/>
            <rFont val="Tahoma"/>
            <family val="2"/>
          </rPr>
          <t>Raj Bridgelall:</t>
        </r>
        <r>
          <rPr>
            <sz val="9"/>
            <color indexed="81"/>
            <rFont val="Tahoma"/>
            <family val="2"/>
          </rPr>
          <t xml:space="preserve">
Energy storage capacity of all onboard batteries (kWh)</t>
        </r>
      </text>
    </comment>
    <comment ref="BL1" authorId="0" shapeId="0" xr:uid="{E79CDA9B-800B-4653-B61C-E95F91FB9E17}">
      <text>
        <r>
          <rPr>
            <b/>
            <sz val="9"/>
            <color indexed="81"/>
            <rFont val="Tahoma"/>
            <family val="2"/>
          </rPr>
          <t>Raj Bridgelall:</t>
        </r>
        <r>
          <rPr>
            <sz val="9"/>
            <color indexed="81"/>
            <rFont val="Tahoma"/>
            <family val="2"/>
          </rPr>
          <t xml:space="preserve">
Chemistry of power source
LNCMO: Lithium-nickel-cobalt-manganese-oxide
SALI: Silicon Anode Lithium Ion
LI: Lithium Ion</t>
        </r>
      </text>
    </comment>
    <comment ref="BM1" authorId="0" shapeId="0" xr:uid="{2BC96471-BAB7-4DDF-92D0-318D62C0252B}">
      <text>
        <r>
          <rPr>
            <b/>
            <sz val="9"/>
            <color indexed="81"/>
            <rFont val="Tahoma"/>
            <family val="2"/>
          </rPr>
          <t>Raj Bridgelall:</t>
        </r>
        <r>
          <rPr>
            <sz val="9"/>
            <color indexed="81"/>
            <rFont val="Tahoma"/>
            <family val="2"/>
          </rPr>
          <t xml:space="preserve">
Noise generated in decibels (dBA) during lift.
Helicopter: 93 dBA</t>
        </r>
      </text>
    </comment>
    <comment ref="BN1" authorId="0" shapeId="0" xr:uid="{87F0395A-05AF-405C-8F47-F8CA1E7ADA85}">
      <text>
        <r>
          <rPr>
            <b/>
            <sz val="9"/>
            <color indexed="81"/>
            <rFont val="Tahoma"/>
            <family val="2"/>
          </rPr>
          <t>Raj Bridgelall:</t>
        </r>
        <r>
          <rPr>
            <sz val="9"/>
            <color indexed="81"/>
            <rFont val="Tahoma"/>
            <family val="2"/>
          </rPr>
          <t xml:space="preserve">
Noise generated in decibels (dBA) during Cruise.</t>
        </r>
      </text>
    </comment>
    <comment ref="BO1" authorId="0" shapeId="0" xr:uid="{777BBBE7-F31C-46C2-A79F-87F414EF68CD}">
      <text>
        <r>
          <rPr>
            <b/>
            <sz val="9"/>
            <color indexed="81"/>
            <rFont val="Tahoma"/>
            <family val="2"/>
          </rPr>
          <t>Raj Bridgelall:</t>
        </r>
        <r>
          <rPr>
            <sz val="9"/>
            <color indexed="81"/>
            <rFont val="Tahoma"/>
            <family val="2"/>
          </rPr>
          <t xml:space="preserve">
Noise measurement distance (m) during lift.</t>
        </r>
      </text>
    </comment>
    <comment ref="BP1" authorId="0" shapeId="0" xr:uid="{F1504D08-CC64-43A4-98AF-D733C1A6C76D}">
      <text>
        <r>
          <rPr>
            <b/>
            <sz val="9"/>
            <color indexed="81"/>
            <rFont val="Tahoma"/>
            <family val="2"/>
          </rPr>
          <t>Raj Bridgelall:</t>
        </r>
        <r>
          <rPr>
            <sz val="9"/>
            <color indexed="81"/>
            <rFont val="Tahoma"/>
            <family val="2"/>
          </rPr>
          <t xml:space="preserve">
Noise measurement distance (m) during cruise.</t>
        </r>
      </text>
    </comment>
    <comment ref="BQ1" authorId="0" shapeId="0" xr:uid="{0678CB6F-3A8C-4B65-B050-C74A68AB71F6}">
      <text>
        <r>
          <rPr>
            <b/>
            <sz val="9"/>
            <color indexed="81"/>
            <rFont val="Tahoma"/>
            <family val="2"/>
          </rPr>
          <t>Raj Bridgelall:</t>
        </r>
        <r>
          <rPr>
            <sz val="9"/>
            <color indexed="81"/>
            <rFont val="Tahoma"/>
            <family val="2"/>
          </rPr>
          <t xml:space="preserve">
Battery Weight (kg) of all onboard batteries</t>
        </r>
      </text>
    </comment>
    <comment ref="BR1" authorId="0" shapeId="0" xr:uid="{F35FFB3F-A358-4237-AF54-CB0FDC2C1741}">
      <text>
        <r>
          <rPr>
            <b/>
            <sz val="9"/>
            <color indexed="81"/>
            <rFont val="Tahoma"/>
            <family val="2"/>
          </rPr>
          <t>Raj Bridgelall:</t>
        </r>
        <r>
          <rPr>
            <sz val="9"/>
            <color indexed="81"/>
            <rFont val="Tahoma"/>
            <family val="2"/>
          </rPr>
          <t xml:space="preserve">
Recharge Time (minutes)</t>
        </r>
      </text>
    </comment>
    <comment ref="BS1" authorId="0" shapeId="0" xr:uid="{B1A92982-3E43-43D8-BE70-34B8AF5A95AA}">
      <text>
        <r>
          <rPr>
            <b/>
            <sz val="9"/>
            <color indexed="81"/>
            <rFont val="Tahoma"/>
            <family val="2"/>
          </rPr>
          <t>Raj Bridgelall:</t>
        </r>
        <r>
          <rPr>
            <sz val="9"/>
            <color indexed="81"/>
            <rFont val="Tahoma"/>
            <family val="2"/>
          </rPr>
          <t xml:space="preserve">
P = Pilot
A = Autonomous
S = Semi-Autonomous
D = Dual Systems</t>
        </r>
      </text>
    </comment>
    <comment ref="BT1" authorId="0" shapeId="0" xr:uid="{E80FF595-20ED-49D5-A0A5-F5516794354A}">
      <text>
        <r>
          <rPr>
            <b/>
            <sz val="9"/>
            <color indexed="81"/>
            <rFont val="Tahoma"/>
            <family val="2"/>
          </rPr>
          <t>Raj Bridgelall:</t>
        </r>
        <r>
          <rPr>
            <sz val="9"/>
            <color indexed="81"/>
            <rFont val="Tahoma"/>
            <family val="2"/>
          </rPr>
          <t xml:space="preserve">
Top 3 potential customers who either invested or placed pre-orders or orders.</t>
        </r>
      </text>
    </comment>
    <comment ref="BU1" authorId="0" shapeId="0" xr:uid="{EADAA2B2-BFAD-4D8D-A8EE-A573CBDEDF15}">
      <text>
        <r>
          <rPr>
            <b/>
            <sz val="9"/>
            <color indexed="81"/>
            <rFont val="Tahoma"/>
            <family val="2"/>
          </rPr>
          <t>Raj Bridgelall:</t>
        </r>
        <r>
          <rPr>
            <sz val="9"/>
            <color indexed="81"/>
            <rFont val="Tahoma"/>
            <family val="2"/>
          </rPr>
          <t xml:space="preserve">
Source of data:
evtol database (EVD): evtol.news/aircraft
Link to articles otherwise.</t>
        </r>
      </text>
    </comment>
    <comment ref="BV1" authorId="0" shapeId="0" xr:uid="{0D56003A-08C4-4ACB-94EE-E82113865D89}">
      <text>
        <r>
          <rPr>
            <b/>
            <sz val="9"/>
            <color indexed="81"/>
            <rFont val="Tahoma"/>
            <family val="2"/>
          </rPr>
          <t>Raj Bridgelall:</t>
        </r>
        <r>
          <rPr>
            <sz val="9"/>
            <color indexed="81"/>
            <rFont val="Tahoma"/>
            <family val="2"/>
          </rPr>
          <t xml:space="preserve">
Propulsion  Efficiency Index (PEX)--thrust efficiency metric</t>
        </r>
      </text>
    </comment>
    <comment ref="A2" authorId="0" shapeId="0" xr:uid="{76FC27E3-89DD-4AA2-A63B-BD666D81E0FA}">
      <text>
        <r>
          <rPr>
            <b/>
            <sz val="9"/>
            <color indexed="81"/>
            <rFont val="Tahoma"/>
            <family val="2"/>
          </rPr>
          <t>Raj Bridgelall:</t>
        </r>
        <r>
          <rPr>
            <sz val="9"/>
            <color indexed="81"/>
            <rFont val="Tahoma"/>
            <family val="2"/>
          </rPr>
          <t xml:space="preserve">
Aerial Ambulances of California
https://youtu.be/zFLYCvU8Iiw</t>
        </r>
      </text>
    </comment>
    <comment ref="V2" authorId="0" shapeId="0" xr:uid="{5A6427B9-89C1-4B60-95CF-5462086AC0D3}">
      <text>
        <r>
          <rPr>
            <b/>
            <sz val="9"/>
            <color indexed="81"/>
            <rFont val="Tahoma"/>
            <family val="2"/>
          </rPr>
          <t>Raj Bridgelall:</t>
        </r>
        <r>
          <rPr>
            <sz val="9"/>
            <color indexed="81"/>
            <rFont val="Tahoma"/>
            <family val="2"/>
          </rPr>
          <t xml:space="preserve">
https://a2-cal.com/
Shows animation of how enclosed rotors work.</t>
        </r>
      </text>
    </comment>
    <comment ref="AO2" authorId="0" shapeId="0" xr:uid="{A0A355C6-79F6-46F3-B112-C0752D218E05}">
      <text>
        <r>
          <rPr>
            <b/>
            <sz val="9"/>
            <color indexed="81"/>
            <rFont val="Tahoma"/>
            <family val="2"/>
          </rPr>
          <t>Raj Bridgelall:</t>
        </r>
        <r>
          <rPr>
            <sz val="9"/>
            <color indexed="81"/>
            <rFont val="Tahoma"/>
            <family val="2"/>
          </rPr>
          <t xml:space="preserve">
One T tail at end of each boom.</t>
        </r>
      </text>
    </comment>
    <comment ref="AP2" authorId="0" shapeId="0" xr:uid="{12DD2EC7-4936-464A-9562-EF5642D0AAAF}">
      <text>
        <r>
          <rPr>
            <b/>
            <sz val="9"/>
            <color indexed="81"/>
            <rFont val="Tahoma"/>
            <family val="2"/>
          </rPr>
          <t>Raj Bridgelall:</t>
        </r>
        <r>
          <rPr>
            <sz val="9"/>
            <color indexed="81"/>
            <rFont val="Tahoma"/>
            <family val="2"/>
          </rPr>
          <t xml:space="preserve">
Estimated from pic.
</t>
        </r>
      </text>
    </comment>
    <comment ref="BL2" authorId="0" shapeId="0" xr:uid="{6E25B5C8-0E04-4BDB-842A-25E6B9D38C87}">
      <text>
        <r>
          <rPr>
            <b/>
            <sz val="9"/>
            <color indexed="81"/>
            <rFont val="Tahoma"/>
            <family val="2"/>
          </rPr>
          <t>Raj Bridgelall:</t>
        </r>
        <r>
          <rPr>
            <sz val="9"/>
            <color indexed="81"/>
            <rFont val="Tahoma"/>
            <family val="2"/>
          </rPr>
          <t xml:space="preserve">
8 Li Batts</t>
        </r>
      </text>
    </comment>
    <comment ref="A3" authorId="0" shapeId="0" xr:uid="{F2F50B45-2184-431B-B9B3-AA1CD328498E}">
      <text>
        <r>
          <rPr>
            <b/>
            <sz val="9"/>
            <color indexed="81"/>
            <rFont val="Tahoma"/>
            <family val="2"/>
          </rPr>
          <t>Raj Bridgelall:</t>
        </r>
        <r>
          <rPr>
            <sz val="9"/>
            <color indexed="81"/>
            <rFont val="Tahoma"/>
            <family val="2"/>
          </rPr>
          <t xml:space="preserve">
Specs:
https://www.americanaerospaceengineering.com/products</t>
        </r>
      </text>
    </comment>
    <comment ref="AF3" authorId="0" shapeId="0" xr:uid="{DF20C4EA-E86C-4E23-AD27-25E83CC11E79}">
      <text>
        <r>
          <rPr>
            <b/>
            <sz val="9"/>
            <color indexed="81"/>
            <rFont val="Tahoma"/>
            <family val="2"/>
          </rPr>
          <t>Raj Bridgelall:</t>
        </r>
        <r>
          <rPr>
            <sz val="9"/>
            <color indexed="81"/>
            <rFont val="Tahoma"/>
            <family val="2"/>
          </rPr>
          <t xml:space="preserve">
https://www.americanaerospaceengineering.com/products</t>
        </r>
      </text>
    </comment>
    <comment ref="AP3" authorId="0" shapeId="0" xr:uid="{7F701850-0645-4E31-B25F-F7C8B955C9FE}">
      <text>
        <r>
          <rPr>
            <b/>
            <sz val="9"/>
            <color indexed="81"/>
            <rFont val="Tahoma"/>
            <family val="2"/>
          </rPr>
          <t>Raj Bridgelall:</t>
        </r>
        <r>
          <rPr>
            <sz val="9"/>
            <color indexed="81"/>
            <rFont val="Tahoma"/>
            <family val="2"/>
          </rPr>
          <t xml:space="preserve">
https://www.americanaerospaceengineering.com/products</t>
        </r>
      </text>
    </comment>
    <comment ref="AW3" authorId="0" shapeId="0" xr:uid="{14642632-6482-4ABF-9B45-65555F49D0C9}">
      <text>
        <r>
          <rPr>
            <b/>
            <sz val="9"/>
            <color indexed="81"/>
            <rFont val="Tahoma"/>
            <family val="2"/>
          </rPr>
          <t>Raj Bridgelall:</t>
        </r>
        <r>
          <rPr>
            <sz val="9"/>
            <color indexed="81"/>
            <rFont val="Tahoma"/>
            <family val="2"/>
          </rPr>
          <t xml:space="preserve">
Website: 600 lbs Empty Weight, 1600 lbs gross weight, 1000 lbs payload
https://www.americanaerospaceengineering.com/products
</t>
        </r>
      </text>
    </comment>
    <comment ref="AX3" authorId="0" shapeId="0" xr:uid="{F9A8C6F1-DDAF-48D8-BC82-4DCCD37F1891}">
      <text>
        <r>
          <rPr>
            <b/>
            <sz val="9"/>
            <color indexed="81"/>
            <rFont val="Tahoma"/>
            <family val="2"/>
          </rPr>
          <t>Raj Bridgelall:</t>
        </r>
        <r>
          <rPr>
            <sz val="9"/>
            <color indexed="81"/>
            <rFont val="Tahoma"/>
            <family val="2"/>
          </rPr>
          <t xml:space="preserve">
https://evtol.news/american-aerospace-engineering-eversor
"2,500 lb (1,134 kg) passenger aircraft."
Brochure:
https://agilityprime.afwerxshowcase.com/exhibitor/american-aerospace-engineering-llc/#</t>
        </r>
      </text>
    </comment>
    <comment ref="AY3" authorId="0" shapeId="0" xr:uid="{7A0D6A5C-F959-4304-B4AC-A2B93BB2FADD}">
      <text>
        <r>
          <rPr>
            <b/>
            <sz val="9"/>
            <color indexed="81"/>
            <rFont val="Tahoma"/>
            <family val="2"/>
          </rPr>
          <t>Raj Bridgelall:</t>
        </r>
        <r>
          <rPr>
            <sz val="9"/>
            <color indexed="81"/>
            <rFont val="Tahoma"/>
            <family val="2"/>
          </rPr>
          <t xml:space="preserve">
VTOL Payload Capacity: 1000 lbs
Empty: 600 lbs
MTOW: 1000 + 600 = 1600 lbs
https://www.americanaerospaceengineering.com/products
https://evtol.news/american-aerospace-engineering-eversor
"the main airframe and the payload pod is shaped as a lifting body providing 30% more overall lift to the aircraft. The payload bay moves back and forth, eight feet on the mainframe, for autonomous self-centering."</t>
        </r>
      </text>
    </comment>
    <comment ref="AZ3" authorId="0" shapeId="0" xr:uid="{6939B6A6-B412-4C99-887C-47867E3374BC}">
      <text>
        <r>
          <rPr>
            <b/>
            <sz val="9"/>
            <color indexed="81"/>
            <rFont val="Tahoma"/>
            <family val="2"/>
          </rPr>
          <t>Raj Bridgelall:</t>
        </r>
        <r>
          <rPr>
            <sz val="9"/>
            <color indexed="81"/>
            <rFont val="Tahoma"/>
            <family val="2"/>
          </rPr>
          <t xml:space="preserve">
https://agilityprime.afwerxshowcase.com/exhibitor/american-aerospace-engineering-llc/
"Full scale flight prior to March 15, 2021"</t>
        </r>
      </text>
    </comment>
    <comment ref="BA3" authorId="0" shapeId="0" xr:uid="{81A64F91-ABEB-4160-9D66-336FA62807EC}">
      <text>
        <r>
          <rPr>
            <b/>
            <sz val="9"/>
            <color indexed="81"/>
            <rFont val="Tahoma"/>
            <family val="2"/>
          </rPr>
          <t>Raj Bridgelall:</t>
        </r>
        <r>
          <rPr>
            <sz val="9"/>
            <color indexed="81"/>
            <rFont val="Tahoma"/>
            <family val="2"/>
          </rPr>
          <t xml:space="preserve">
https://evtol.news/american-aerospace-engineering-eversor</t>
        </r>
      </text>
    </comment>
    <comment ref="BB3" authorId="0" shapeId="0" xr:uid="{1B4E922B-C722-4CB9-9FAA-2DF920CD0401}">
      <text>
        <r>
          <rPr>
            <b/>
            <sz val="9"/>
            <color indexed="81"/>
            <rFont val="Tahoma"/>
            <family val="2"/>
          </rPr>
          <t>Raj Bridgelall:</t>
        </r>
        <r>
          <rPr>
            <sz val="9"/>
            <color indexed="81"/>
            <rFont val="Tahoma"/>
            <family val="2"/>
          </rPr>
          <t xml:space="preserve">
https://www.americanaerospaceengineering.com/products
Website: 160 knts (184 mph) cruise speed.
EVD: 100 mph or greater
Brochure: 250 knots (287.7 mph)
https://agilityprime.afwerxshowcase.com/exhibitor/american-aerospace-engineering-llc/#</t>
        </r>
      </text>
    </comment>
    <comment ref="V4" authorId="0" shapeId="0" xr:uid="{FB3C152F-DDCF-490A-9D52-6FAC05EA4F9A}">
      <text>
        <r>
          <rPr>
            <b/>
            <sz val="9"/>
            <color indexed="81"/>
            <rFont val="Tahoma"/>
            <family val="2"/>
          </rPr>
          <t>Raj Bridgelall:</t>
        </r>
        <r>
          <rPr>
            <sz val="9"/>
            <color indexed="81"/>
            <rFont val="Tahoma"/>
            <family val="2"/>
          </rPr>
          <t xml:space="preserve">
Props fold back during cruise and when parked.</t>
        </r>
      </text>
    </comment>
    <comment ref="AF4" authorId="0" shapeId="0" xr:uid="{E510DFE6-3379-4FE9-86EC-D8D21B657574}">
      <text>
        <r>
          <rPr>
            <b/>
            <sz val="9"/>
            <color indexed="81"/>
            <rFont val="Tahoma"/>
            <family val="2"/>
          </rPr>
          <t>Raj Bridgelall:</t>
        </r>
        <r>
          <rPr>
            <sz val="9"/>
            <color indexed="81"/>
            <rFont val="Tahoma"/>
            <family val="2"/>
          </rPr>
          <t xml:space="preserve">
https://evtol.news/digi-robotics-drofire/</t>
        </r>
      </text>
    </comment>
    <comment ref="AP4" authorId="0" shapeId="0" xr:uid="{7B2FC7B8-C13F-44AC-A19D-82A12EB27864}">
      <text>
        <r>
          <rPr>
            <b/>
            <sz val="9"/>
            <color indexed="81"/>
            <rFont val="Tahoma"/>
            <family val="2"/>
          </rPr>
          <t>Raj Bridgelall:</t>
        </r>
        <r>
          <rPr>
            <sz val="9"/>
            <color indexed="81"/>
            <rFont val="Tahoma"/>
            <family val="2"/>
          </rPr>
          <t xml:space="preserve">
Fuselage Length:
https://evtol.news/digi-robotics-drofire/
Fuselage does appear to span the entire length of the aircraft.</t>
        </r>
      </text>
    </comment>
    <comment ref="AT4" authorId="0" shapeId="0" xr:uid="{BE489E96-8BE1-432B-9239-E284CC517540}">
      <text>
        <r>
          <rPr>
            <b/>
            <sz val="9"/>
            <color indexed="81"/>
            <rFont val="Tahoma"/>
            <family val="2"/>
          </rPr>
          <t>Raj Bridgelall:</t>
        </r>
        <r>
          <rPr>
            <sz val="9"/>
            <color indexed="81"/>
            <rFont val="Tahoma"/>
            <family val="2"/>
          </rPr>
          <t xml:space="preserve">
https://youtu.be/JEVy6uBcEKc</t>
        </r>
      </text>
    </comment>
    <comment ref="AU4" authorId="0" shapeId="0" xr:uid="{B62686E9-8429-4C73-8C7C-0127CCC112A4}">
      <text>
        <r>
          <rPr>
            <b/>
            <sz val="9"/>
            <color indexed="81"/>
            <rFont val="Tahoma"/>
            <family val="2"/>
          </rPr>
          <t>Raj Bridgelall:</t>
        </r>
        <r>
          <rPr>
            <sz val="9"/>
            <color indexed="81"/>
            <rFont val="Tahoma"/>
            <family val="2"/>
          </rPr>
          <t xml:space="preserve">
2 of the 3 retracts.</t>
        </r>
      </text>
    </comment>
    <comment ref="AX4" authorId="0" shapeId="0" xr:uid="{1EC0EDD4-4296-4CD2-B96D-090F4D49A7A6}">
      <text>
        <r>
          <rPr>
            <b/>
            <sz val="9"/>
            <color indexed="81"/>
            <rFont val="Tahoma"/>
            <family val="2"/>
          </rPr>
          <t>Raj Bridgelall:</t>
        </r>
        <r>
          <rPr>
            <sz val="9"/>
            <color indexed="81"/>
            <rFont val="Tahoma"/>
            <family val="2"/>
          </rPr>
          <t xml:space="preserve">
Est. from Payload Ratio of prototype
http://sustainableskies.org/dgworld-prepares-two-drones-small-sky-taxi-sizes/
</t>
        </r>
      </text>
    </comment>
    <comment ref="BB4" authorId="0" shapeId="0" xr:uid="{4533C6FC-9D15-473B-82D4-3857FD2F8B4A}">
      <text>
        <r>
          <rPr>
            <b/>
            <sz val="9"/>
            <color indexed="81"/>
            <rFont val="Tahoma"/>
            <family val="2"/>
          </rPr>
          <t>Raj Bridgelall:</t>
        </r>
        <r>
          <rPr>
            <sz val="9"/>
            <color indexed="81"/>
            <rFont val="Tahoma"/>
            <family val="2"/>
          </rPr>
          <t xml:space="preserve">
DB: 175 km/h
YT: 250 km/h max (https://youtu.be/xuYYDmmEMqA)
</t>
        </r>
      </text>
    </comment>
    <comment ref="BH4" authorId="0" shapeId="0" xr:uid="{5797156E-F02D-4A69-AE7E-FCC7BD82275F}">
      <text>
        <r>
          <rPr>
            <b/>
            <sz val="9"/>
            <color indexed="81"/>
            <rFont val="Tahoma"/>
            <family val="2"/>
          </rPr>
          <t>Raj Bridgelall:</t>
        </r>
        <r>
          <rPr>
            <sz val="9"/>
            <color indexed="81"/>
            <rFont val="Tahoma"/>
            <family val="2"/>
          </rPr>
          <t xml:space="preserve">
YT: 2.5 hours
DB: 152 min</t>
        </r>
      </text>
    </comment>
    <comment ref="BI4" authorId="0" shapeId="0" xr:uid="{8800ED2D-D161-4A7E-84C8-F432D46850FD}">
      <text>
        <r>
          <rPr>
            <b/>
            <sz val="9"/>
            <color indexed="81"/>
            <rFont val="Tahoma"/>
            <family val="2"/>
          </rPr>
          <t>Raj Bridgelall:</t>
        </r>
        <r>
          <rPr>
            <sz val="9"/>
            <color indexed="81"/>
            <rFont val="Tahoma"/>
            <family val="2"/>
          </rPr>
          <t xml:space="preserve">
6 tilting 58 kW engines
400 kW total
http://sustainableskies.org/dgworld-prepares-two-drones-small-sky-taxi-sizes/
</t>
        </r>
      </text>
    </comment>
    <comment ref="U6" authorId="0" shapeId="0" xr:uid="{01C03134-A2AD-4BE3-B352-09D7C08D35A2}">
      <text>
        <r>
          <rPr>
            <b/>
            <sz val="9"/>
            <color indexed="81"/>
            <rFont val="Tahoma"/>
            <family val="2"/>
          </rPr>
          <t>Raj Bridgelall:</t>
        </r>
        <r>
          <rPr>
            <sz val="9"/>
            <color indexed="81"/>
            <rFont val="Tahoma"/>
            <family val="2"/>
          </rPr>
          <t xml:space="preserve">
YT: 2400 rpm</t>
        </r>
      </text>
    </comment>
    <comment ref="V6" authorId="0" shapeId="0" xr:uid="{44C19320-EDE6-4A47-B122-82A4BE8DF73B}">
      <text>
        <r>
          <rPr>
            <b/>
            <sz val="9"/>
            <color indexed="81"/>
            <rFont val="Tahoma"/>
            <family val="2"/>
          </rPr>
          <t>Raj Bridgelall:</t>
        </r>
        <r>
          <rPr>
            <sz val="9"/>
            <color indexed="81"/>
            <rFont val="Tahoma"/>
            <family val="2"/>
          </rPr>
          <t xml:space="preserve">
YT Videos show it enclosed when testing only cruise modes. Rotors not installed.</t>
        </r>
      </text>
    </comment>
    <comment ref="AF6" authorId="0" shapeId="0" xr:uid="{29D9E79E-9006-453B-8A80-7895274CEC59}">
      <text>
        <r>
          <rPr>
            <b/>
            <sz val="9"/>
            <color indexed="81"/>
            <rFont val="Tahoma"/>
            <family val="2"/>
          </rPr>
          <t>Raj Bridgelall:</t>
        </r>
        <r>
          <rPr>
            <sz val="9"/>
            <color indexed="81"/>
            <rFont val="Tahoma"/>
            <family val="2"/>
          </rPr>
          <t xml:space="preserve">
https://www.beta.team/aircraft/</t>
        </r>
      </text>
    </comment>
    <comment ref="AM6" authorId="0" shapeId="0" xr:uid="{0500156A-7379-42CB-B1F1-ED66123215C0}">
      <text>
        <r>
          <rPr>
            <b/>
            <sz val="9"/>
            <color indexed="81"/>
            <rFont val="Tahoma"/>
            <family val="2"/>
          </rPr>
          <t>Raj Bridgelall:</t>
        </r>
        <r>
          <rPr>
            <sz val="9"/>
            <color indexed="81"/>
            <rFont val="Tahoma"/>
            <family val="2"/>
          </rPr>
          <t xml:space="preserve">
DB image:
4 on the tail.
4 on wing
</t>
        </r>
      </text>
    </comment>
    <comment ref="AP6" authorId="0" shapeId="0" xr:uid="{BE5152CD-3691-4CA6-936F-0759A8B45317}">
      <text>
        <r>
          <rPr>
            <b/>
            <sz val="9"/>
            <color indexed="81"/>
            <rFont val="Tahoma"/>
            <family val="2"/>
          </rPr>
          <t>Raj Bridgelall:</t>
        </r>
        <r>
          <rPr>
            <sz val="9"/>
            <color indexed="81"/>
            <rFont val="Tahoma"/>
            <family val="2"/>
          </rPr>
          <t xml:space="preserve">
Est. from Image:
15.7 ft (10.88 m)
https://aamrealityindex.com/
11.97</t>
        </r>
      </text>
    </comment>
    <comment ref="AX6" authorId="0" shapeId="0" xr:uid="{E48F1909-8E4B-4A6E-8D28-3FF4ABEC9B5C}">
      <text>
        <r>
          <rPr>
            <b/>
            <sz val="9"/>
            <color indexed="81"/>
            <rFont val="Tahoma"/>
            <family val="2"/>
          </rPr>
          <t>Raj Bridgelall:</t>
        </r>
        <r>
          <rPr>
            <sz val="9"/>
            <color indexed="81"/>
            <rFont val="Tahoma"/>
            <family val="2"/>
          </rPr>
          <t xml:space="preserve">
https://www.beta.team/aircraft/</t>
        </r>
      </text>
    </comment>
    <comment ref="AY6" authorId="0" shapeId="0" xr:uid="{18CD30F2-6A2A-4121-8416-4464E6DAC9BE}">
      <text>
        <r>
          <rPr>
            <b/>
            <sz val="9"/>
            <color indexed="81"/>
            <rFont val="Tahoma"/>
            <family val="2"/>
          </rPr>
          <t xml:space="preserve">Raj Bridgelall:
</t>
        </r>
        <r>
          <rPr>
            <sz val="9"/>
            <color indexed="81"/>
            <rFont val="Tahoma"/>
            <family val="2"/>
          </rPr>
          <t xml:space="preserve">YT says 1400 cargo
https://www.youtube.com/watch?v=7HKD5WsTqOQ&amp;t=662s
DB says Payload = 6000 (wrong)
Website says MTOW = 6000 lbs
Payload = 5 passengers + 1 pilot
</t>
        </r>
      </text>
    </comment>
    <comment ref="AZ6" authorId="0" shapeId="0" xr:uid="{32B0C683-18CA-42DD-90BB-00495F6BDBFF}">
      <text>
        <r>
          <rPr>
            <b/>
            <sz val="9"/>
            <color indexed="81"/>
            <rFont val="Tahoma"/>
            <family val="2"/>
          </rPr>
          <t>Raj Bridgelall:</t>
        </r>
        <r>
          <rPr>
            <sz val="9"/>
            <color indexed="81"/>
            <rFont val="Tahoma"/>
            <family val="2"/>
          </rPr>
          <t xml:space="preserve">
6 seats
https://www.beta.team/aircraft/</t>
        </r>
      </text>
    </comment>
    <comment ref="BA6" authorId="0" shapeId="0" xr:uid="{876AF73E-7F51-451D-9F99-14BF18FC3CC9}">
      <text>
        <r>
          <rPr>
            <b/>
            <sz val="9"/>
            <color indexed="81"/>
            <rFont val="Tahoma"/>
            <family val="2"/>
          </rPr>
          <t>Raj Bridgelall:</t>
        </r>
        <r>
          <rPr>
            <sz val="9"/>
            <color indexed="81"/>
            <rFont val="Tahoma"/>
            <family val="2"/>
          </rPr>
          <t xml:space="preserve">
https://www.beta.team/aircraft/</t>
        </r>
      </text>
    </comment>
    <comment ref="BB6" authorId="0" shapeId="0" xr:uid="{76CBDA23-7E66-4E22-A410-08CD0148D85C}">
      <text>
        <r>
          <rPr>
            <b/>
            <sz val="9"/>
            <color indexed="81"/>
            <rFont val="Tahoma"/>
            <family val="2"/>
          </rPr>
          <t>Raj Bridgelall:</t>
        </r>
        <r>
          <rPr>
            <sz val="9"/>
            <color indexed="81"/>
            <rFont val="Tahoma"/>
            <family val="2"/>
          </rPr>
          <t xml:space="preserve">
 YT: 170
YT2: 150 target
</t>
        </r>
      </text>
    </comment>
    <comment ref="BD6" authorId="0" shapeId="0" xr:uid="{F96F5FED-66D3-4F62-AE89-37F41516A139}">
      <text>
        <r>
          <rPr>
            <b/>
            <sz val="9"/>
            <color indexed="81"/>
            <rFont val="Tahoma"/>
            <family val="2"/>
          </rPr>
          <t>Raj Bridgelall:</t>
        </r>
        <r>
          <rPr>
            <sz val="9"/>
            <color indexed="81"/>
            <rFont val="Tahoma"/>
            <family val="2"/>
          </rPr>
          <t xml:space="preserve">
YT: https://youtu.be/7HKD5WsTqOQ?t=383</t>
        </r>
      </text>
    </comment>
    <comment ref="BL6" authorId="0" shapeId="0" xr:uid="{0EDAC2FB-597E-4360-881D-91AE16D2DB52}">
      <text>
        <r>
          <rPr>
            <b/>
            <sz val="9"/>
            <color indexed="81"/>
            <rFont val="Tahoma"/>
            <family val="2"/>
          </rPr>
          <t>Raj Bridgelall:</t>
        </r>
        <r>
          <rPr>
            <sz val="9"/>
            <color indexed="81"/>
            <rFont val="Tahoma"/>
            <family val="2"/>
          </rPr>
          <t xml:space="preserve">
YT says batteries are compatible with Arrival Truck EV batteries.</t>
        </r>
      </text>
    </comment>
    <comment ref="AA7" authorId="0" shapeId="0" xr:uid="{174BC40B-E2EA-40B0-9C61-0FC6714AF3FA}">
      <text>
        <r>
          <rPr>
            <b/>
            <sz val="9"/>
            <color indexed="81"/>
            <rFont val="Tahoma"/>
            <family val="2"/>
          </rPr>
          <t>Raj Bridgelall:</t>
        </r>
        <r>
          <rPr>
            <sz val="9"/>
            <color indexed="81"/>
            <rFont val="Tahoma"/>
            <family val="2"/>
          </rPr>
          <t xml:space="preserve">
https://www.gruggroup.com/</t>
        </r>
      </text>
    </comment>
    <comment ref="AF7" authorId="0" shapeId="0" xr:uid="{3B33A99B-854D-468B-B8C3-1F0FCAB362EF}">
      <text>
        <r>
          <rPr>
            <b/>
            <sz val="9"/>
            <color indexed="81"/>
            <rFont val="Tahoma"/>
            <family val="2"/>
          </rPr>
          <t>Raj Bridgelall:</t>
        </r>
        <r>
          <rPr>
            <sz val="9"/>
            <color indexed="81"/>
            <rFont val="Tahoma"/>
            <family val="2"/>
          </rPr>
          <t xml:space="preserve">
https://www.gruggroup.com/copy-of-charter-flights-2</t>
        </r>
      </text>
    </comment>
    <comment ref="AH7" authorId="0" shapeId="0" xr:uid="{EB3778D3-21F9-445E-AB55-9AC5F74368F4}">
      <text>
        <r>
          <rPr>
            <b/>
            <sz val="9"/>
            <color indexed="81"/>
            <rFont val="Tahoma"/>
            <family val="2"/>
          </rPr>
          <t>Raj Bridgelall:</t>
        </r>
        <r>
          <rPr>
            <sz val="9"/>
            <color indexed="81"/>
            <rFont val="Tahoma"/>
            <family val="2"/>
          </rPr>
          <t xml:space="preserve">
https://www.gruggroup.com/copy-of-charter-flights-2</t>
        </r>
      </text>
    </comment>
    <comment ref="AM7" authorId="0" shapeId="0" xr:uid="{A024939A-74E6-4E2F-8B34-3A571D6DAED5}">
      <text>
        <r>
          <rPr>
            <b/>
            <sz val="9"/>
            <color indexed="81"/>
            <rFont val="Tahoma"/>
            <family val="2"/>
          </rPr>
          <t>Raj Bridgelall:</t>
        </r>
        <r>
          <rPr>
            <sz val="9"/>
            <color indexed="81"/>
            <rFont val="Tahoma"/>
            <family val="2"/>
          </rPr>
          <t xml:space="preserve">
https://www.gruggroup.com/copy-of-charter-flights?pgid=kmc7qefp-a95869fa-363b-418f-98b9-bd71ca07421b</t>
        </r>
      </text>
    </comment>
    <comment ref="AP7" authorId="0" shapeId="0" xr:uid="{7E2D5E63-5969-4DA3-BF2E-ED1C5D0BD9B9}">
      <text>
        <r>
          <rPr>
            <b/>
            <sz val="9"/>
            <color indexed="81"/>
            <rFont val="Tahoma"/>
            <family val="2"/>
          </rPr>
          <t>Raj Bridgelall:</t>
        </r>
        <r>
          <rPr>
            <sz val="9"/>
            <color indexed="81"/>
            <rFont val="Tahoma"/>
            <family val="2"/>
          </rPr>
          <t xml:space="preserve">
https://www.gruggroup.com/copy-of-charter-flights-2</t>
        </r>
      </text>
    </comment>
    <comment ref="AR7" authorId="0" shapeId="0" xr:uid="{54F6559C-07E6-4010-8418-44B0D79B32DA}">
      <text>
        <r>
          <rPr>
            <b/>
            <sz val="9"/>
            <color indexed="81"/>
            <rFont val="Tahoma"/>
            <family val="2"/>
          </rPr>
          <t>Raj Bridgelall:</t>
        </r>
        <r>
          <rPr>
            <sz val="9"/>
            <color indexed="81"/>
            <rFont val="Tahoma"/>
            <family val="2"/>
          </rPr>
          <t xml:space="preserve">
https://www.gruggroup.com/copy-of-charter-flights-2</t>
        </r>
      </text>
    </comment>
    <comment ref="AX7" authorId="0" shapeId="0" xr:uid="{F661D3F3-ADFD-47C3-9EF3-12173E1C3C50}">
      <text>
        <r>
          <rPr>
            <b/>
            <sz val="9"/>
            <color indexed="81"/>
            <rFont val="Tahoma"/>
            <family val="2"/>
          </rPr>
          <t>Raj Bridgelall:</t>
        </r>
        <r>
          <rPr>
            <sz val="9"/>
            <color indexed="81"/>
            <rFont val="Tahoma"/>
            <family val="2"/>
          </rPr>
          <t xml:space="preserve">
https://www.gruggroup.com/copy-of-charter-flights-2</t>
        </r>
      </text>
    </comment>
    <comment ref="AZ7" authorId="0" shapeId="0" xr:uid="{D416BE11-5A81-4C8F-ACA9-E626D1628C0F}">
      <text>
        <r>
          <rPr>
            <b/>
            <sz val="9"/>
            <color indexed="81"/>
            <rFont val="Tahoma"/>
            <family val="2"/>
          </rPr>
          <t>Raj Bridgelall:</t>
        </r>
        <r>
          <rPr>
            <sz val="9"/>
            <color indexed="81"/>
            <rFont val="Tahoma"/>
            <family val="2"/>
          </rPr>
          <t xml:space="preserve">
VDB: 4 passengers
Web: says 5 person capacity
https://www.gruggroup.com/copy-of-charter-flights-2
YT: shows 4 seats
https://youtu.be/kdfuNfcp6Yw
YT: shows 5 seats
https://youtu.be/FcctqDovgvU</t>
        </r>
      </text>
    </comment>
    <comment ref="BB7" authorId="0" shapeId="0" xr:uid="{C63C060C-BE12-464F-8A04-044F28F6CB6F}">
      <text>
        <r>
          <rPr>
            <b/>
            <sz val="9"/>
            <color indexed="81"/>
            <rFont val="Tahoma"/>
            <family val="2"/>
          </rPr>
          <t>Raj Bridgelall:</t>
        </r>
        <r>
          <rPr>
            <sz val="9"/>
            <color indexed="81"/>
            <rFont val="Tahoma"/>
            <family val="2"/>
          </rPr>
          <t xml:space="preserve">
https://www.gruggroup.com/copy-of-charter-flights-2</t>
        </r>
      </text>
    </comment>
    <comment ref="BC7" authorId="0" shapeId="0" xr:uid="{E6C72D9A-E572-4DB8-A828-016C8B45DF40}">
      <text>
        <r>
          <rPr>
            <b/>
            <sz val="9"/>
            <color indexed="81"/>
            <rFont val="Tahoma"/>
            <family val="2"/>
          </rPr>
          <t>Raj Bridgelall:</t>
        </r>
        <r>
          <rPr>
            <sz val="9"/>
            <color indexed="81"/>
            <rFont val="Tahoma"/>
            <family val="2"/>
          </rPr>
          <t xml:space="preserve">
https://www.gruggroup.com/copy-of-charter-flights-2</t>
        </r>
      </text>
    </comment>
    <comment ref="BD7" authorId="0" shapeId="0" xr:uid="{24BC9702-9C03-4D24-AEFD-FCF1205A81C8}">
      <text>
        <r>
          <rPr>
            <b/>
            <sz val="9"/>
            <color indexed="81"/>
            <rFont val="Tahoma"/>
            <family val="2"/>
          </rPr>
          <t>Raj Bridgelall:</t>
        </r>
        <r>
          <rPr>
            <sz val="9"/>
            <color indexed="81"/>
            <rFont val="Tahoma"/>
            <family val="2"/>
          </rPr>
          <t xml:space="preserve">
https://www.gruggroup.com/copy-of-charter-flights-2</t>
        </r>
      </text>
    </comment>
    <comment ref="BH7" authorId="0" shapeId="0" xr:uid="{4B85574B-7CC4-4F43-847B-8A390B6BCFE1}">
      <text>
        <r>
          <rPr>
            <b/>
            <sz val="9"/>
            <color indexed="81"/>
            <rFont val="Tahoma"/>
            <family val="2"/>
          </rPr>
          <t>Raj Bridgelall:</t>
        </r>
        <r>
          <rPr>
            <sz val="9"/>
            <color indexed="81"/>
            <rFont val="Tahoma"/>
            <family val="2"/>
          </rPr>
          <t xml:space="preserve">
https://www.gruggroup.com/copy-of-charter-flights-2
</t>
        </r>
      </text>
    </comment>
    <comment ref="A8" authorId="0" shapeId="0" xr:uid="{BE235527-9B48-4B35-BD90-FA48FFE66390}">
      <text>
        <r>
          <rPr>
            <b/>
            <sz val="9"/>
            <color indexed="81"/>
            <rFont val="Tahoma"/>
            <family val="2"/>
          </rPr>
          <t>Raj Bridgelall:</t>
        </r>
        <r>
          <rPr>
            <sz val="9"/>
            <color indexed="81"/>
            <rFont val="Tahoma"/>
            <family val="2"/>
          </rPr>
          <t xml:space="preserve">
Specs;
https://www.acs-solutions.com.br/index.php/produtos</t>
        </r>
      </text>
    </comment>
    <comment ref="BJ8" authorId="0" shapeId="0" xr:uid="{5DDE1A54-9513-4431-B64C-72D370A7C39D}">
      <text>
        <r>
          <rPr>
            <b/>
            <sz val="9"/>
            <color indexed="81"/>
            <rFont val="Tahoma"/>
            <family val="2"/>
          </rPr>
          <t>Raj Bridgelall:</t>
        </r>
        <r>
          <rPr>
            <sz val="9"/>
            <color indexed="81"/>
            <rFont val="Tahoma"/>
            <family val="2"/>
          </rPr>
          <t xml:space="preserve">
https://www.acs-solutions.com.br/index.php/produtos
35 kW each motor for 1.5 hours</t>
        </r>
      </text>
    </comment>
    <comment ref="BK8" authorId="0" shapeId="0" xr:uid="{FD87ECA9-E8ED-4BC6-A8F1-EF8CE81FC6DF}">
      <text>
        <r>
          <rPr>
            <b/>
            <sz val="9"/>
            <color indexed="81"/>
            <rFont val="Tahoma"/>
            <family val="2"/>
          </rPr>
          <t>Raj Bridgelall:</t>
        </r>
        <r>
          <rPr>
            <sz val="9"/>
            <color indexed="81"/>
            <rFont val="Tahoma"/>
            <family val="2"/>
          </rPr>
          <t xml:space="preserve">
https://www.acs-solutions.com.br/index.php/produtos
Battery Weight: 360 kg</t>
        </r>
      </text>
    </comment>
    <comment ref="AF9" authorId="0" shapeId="0" xr:uid="{FE7B9094-3672-4417-AF11-3ED23418F8C4}">
      <text>
        <r>
          <rPr>
            <b/>
            <sz val="9"/>
            <color indexed="81"/>
            <rFont val="Tahoma"/>
            <family val="2"/>
          </rPr>
          <t>Raj Bridgelall:</t>
        </r>
        <r>
          <rPr>
            <sz val="9"/>
            <color indexed="81"/>
            <rFont val="Tahoma"/>
            <family val="2"/>
          </rPr>
          <t xml:space="preserve">
AAM 13.85 (wrong)</t>
        </r>
      </text>
    </comment>
    <comment ref="AP9" authorId="0" shapeId="0" xr:uid="{AF9BD982-9DF9-4106-9B6C-ADE5591FDFA8}">
      <text>
        <r>
          <rPr>
            <b/>
            <sz val="9"/>
            <color indexed="81"/>
            <rFont val="Tahoma"/>
            <family val="2"/>
          </rPr>
          <t>Raj Bridgelall:</t>
        </r>
        <r>
          <rPr>
            <sz val="9"/>
            <color indexed="81"/>
            <rFont val="Tahoma"/>
            <family val="2"/>
          </rPr>
          <t xml:space="preserve">
AAM says 6.4</t>
        </r>
      </text>
    </comment>
    <comment ref="AY9" authorId="0" shapeId="0" xr:uid="{549649BB-24A0-49DD-87F1-365EAC85B1D4}">
      <text>
        <r>
          <rPr>
            <b/>
            <sz val="9"/>
            <color indexed="81"/>
            <rFont val="Tahoma"/>
            <family val="2"/>
          </rPr>
          <t>Raj Bridgelall:</t>
        </r>
        <r>
          <rPr>
            <sz val="9"/>
            <color indexed="81"/>
            <rFont val="Tahoma"/>
            <family val="2"/>
          </rPr>
          <t xml:space="preserve">
Est.
5 seat + baggage</t>
        </r>
      </text>
    </comment>
    <comment ref="AX10" authorId="0" shapeId="0" xr:uid="{4FF6695E-2358-4639-B79D-7715DAD5F0A9}">
      <text>
        <r>
          <rPr>
            <b/>
            <sz val="9"/>
            <color indexed="81"/>
            <rFont val="Tahoma"/>
            <family val="2"/>
          </rPr>
          <t>Raj Bridgelall:</t>
        </r>
        <r>
          <rPr>
            <sz val="9"/>
            <color indexed="81"/>
            <rFont val="Tahoma"/>
            <family val="2"/>
          </rPr>
          <t xml:space="preserve">
https://evtol.news/lilium/</t>
        </r>
      </text>
    </comment>
    <comment ref="AF11" authorId="0" shapeId="0" xr:uid="{BEF29FF0-AFBD-468A-994B-E7CC1F0181D5}">
      <text>
        <r>
          <rPr>
            <b/>
            <sz val="9"/>
            <color indexed="81"/>
            <rFont val="Tahoma"/>
            <family val="2"/>
          </rPr>
          <t>Raj Bridgelall:</t>
        </r>
        <r>
          <rPr>
            <sz val="9"/>
            <color indexed="81"/>
            <rFont val="Tahoma"/>
            <family val="2"/>
          </rPr>
          <t xml:space="preserve">
https://www.ainonline.com/aviation-news/general-aviation/2019-02-22/autonomous-flight-ready-build-flying-prototype-y6s</t>
        </r>
      </text>
    </comment>
    <comment ref="AP11" authorId="0" shapeId="0" xr:uid="{FFDFC102-E7BE-4F43-9B84-FB99D58FC52F}">
      <text>
        <r>
          <rPr>
            <b/>
            <sz val="9"/>
            <color indexed="81"/>
            <rFont val="Tahoma"/>
            <family val="2"/>
          </rPr>
          <t>Raj Bridgelall:</t>
        </r>
        <r>
          <rPr>
            <sz val="9"/>
            <color indexed="81"/>
            <rFont val="Tahoma"/>
            <family val="2"/>
          </rPr>
          <t xml:space="preserve">
https://www.ainonline.com/aviation-news/general-aviation/2019-02-22/autonomous-flight-ready-build-flying-prototype-y6s</t>
        </r>
      </text>
    </comment>
    <comment ref="AX11" authorId="0" shapeId="0" xr:uid="{BE46049E-AF2E-4460-861F-6BC341ECE687}">
      <text>
        <r>
          <rPr>
            <b/>
            <sz val="9"/>
            <color indexed="81"/>
            <rFont val="Tahoma"/>
            <family val="2"/>
          </rPr>
          <t>Raj Bridgelall:</t>
        </r>
        <r>
          <rPr>
            <sz val="9"/>
            <color indexed="81"/>
            <rFont val="Tahoma"/>
            <family val="2"/>
          </rPr>
          <t xml:space="preserve">
https://www.ainonline.com/aviation-news/general-aviation/2019-02-22/autonomous-flight-ready-build-flying-prototype-y6s
</t>
        </r>
      </text>
    </comment>
    <comment ref="BK11" authorId="0" shapeId="0" xr:uid="{BE6B5CB6-53C4-463C-BB1C-399E0A349310}">
      <text>
        <r>
          <rPr>
            <b/>
            <sz val="9"/>
            <color indexed="81"/>
            <rFont val="Tahoma"/>
            <family val="2"/>
          </rPr>
          <t>Raj Bridgelall:</t>
        </r>
        <r>
          <rPr>
            <sz val="9"/>
            <color indexed="81"/>
            <rFont val="Tahoma"/>
            <family val="2"/>
          </rPr>
          <t xml:space="preserve">
https://www.ainonline.com/aviation-news/general-aviation/2019-02-22/autonomous-flight-ready-build-flying-prototype-y6s
Batteries Weigh 450 lbs (6 racks, 4500 cells total)</t>
        </r>
      </text>
    </comment>
    <comment ref="E12" authorId="0" shapeId="0" xr:uid="{EE5D2730-1B39-4D96-B5EF-EE08499AD98B}">
      <text>
        <r>
          <rPr>
            <b/>
            <sz val="9"/>
            <color indexed="81"/>
            <rFont val="Tahoma"/>
            <family val="2"/>
          </rPr>
          <t>Raj Bridgelall:</t>
        </r>
        <r>
          <rPr>
            <sz val="9"/>
            <color indexed="81"/>
            <rFont val="Tahoma"/>
            <family val="2"/>
          </rPr>
          <t xml:space="preserve">
https://static1.squarespace.com/static/5ac6a35dd274cb0b56ad0cf4/t/600cf6977ee73853fec1b3e3/1611462324846/PteroDynamics+company+introduction.pdf</t>
        </r>
      </text>
    </comment>
    <comment ref="AF12" authorId="0" shapeId="0" xr:uid="{7298F99B-6CDF-4A14-84FD-36A12855F88A}">
      <text>
        <r>
          <rPr>
            <b/>
            <sz val="9"/>
            <color indexed="81"/>
            <rFont val="Tahoma"/>
            <family val="2"/>
          </rPr>
          <t>Raj Bridgelall:</t>
        </r>
        <r>
          <rPr>
            <sz val="9"/>
            <color indexed="81"/>
            <rFont val="Tahoma"/>
            <family val="2"/>
          </rPr>
          <t xml:space="preserve">
ParusTaxi
https://www.pterodynamics.com/transwing
Parus12
PPT
https://static1.squarespace.com/static/5ac6a35dd274cb0b56ad0cf4/t/600cf6977ee73853fec1b3e3/1611462324846/PteroDynamics+company+introduction.pdf</t>
        </r>
      </text>
    </comment>
    <comment ref="AP12" authorId="0" shapeId="0" xr:uid="{E2B3A473-420F-4A45-A4C5-BA6A46F7F06E}">
      <text>
        <r>
          <rPr>
            <b/>
            <sz val="9"/>
            <color indexed="81"/>
            <rFont val="Tahoma"/>
            <family val="2"/>
          </rPr>
          <t>Raj Bridgelall:</t>
        </r>
        <r>
          <rPr>
            <sz val="9"/>
            <color indexed="81"/>
            <rFont val="Tahoma"/>
            <family val="2"/>
          </rPr>
          <t xml:space="preserve">
https://www.pterodynamics.com/transwing
"Half as long as wingspan"
"Largest dimension is length" 20.4 ft (when folded)
Parus12 PPT
https://static1.squarespace.com/static/5ac6a35dd274cb0b56ad0cf4/t/600cf6977ee73853fec1b3e3/1611462324846/PteroDynamics+company+introduction.pdf</t>
        </r>
      </text>
    </comment>
    <comment ref="AT12" authorId="0" shapeId="0" xr:uid="{6348C7C2-5C38-431A-9728-147DCE687321}">
      <text>
        <r>
          <rPr>
            <b/>
            <sz val="9"/>
            <color indexed="81"/>
            <rFont val="Tahoma"/>
            <family val="2"/>
          </rPr>
          <t>Raj Bridgelall:</t>
        </r>
        <r>
          <rPr>
            <sz val="9"/>
            <color indexed="81"/>
            <rFont val="Tahoma"/>
            <family val="2"/>
          </rPr>
          <t xml:space="preserve">
Wheels in rear of prop Nacelle</t>
        </r>
      </text>
    </comment>
    <comment ref="AX12" authorId="0" shapeId="0" xr:uid="{876C42C9-BF66-480F-AA58-38D341CC7173}">
      <text>
        <r>
          <rPr>
            <b/>
            <sz val="9"/>
            <color indexed="81"/>
            <rFont val="Tahoma"/>
            <family val="2"/>
          </rPr>
          <t>Raj Bridgelall:</t>
        </r>
        <r>
          <rPr>
            <sz val="9"/>
            <color indexed="81"/>
            <rFont val="Tahoma"/>
            <family val="2"/>
          </rPr>
          <t xml:space="preserve">
Parus12 PPT
https://static1.squarespace.com/static/5ac6a35dd274cb0b56ad0cf4/t/600cf6977ee73853fec1b3e3/1611462324846/PteroDynamics+company+introduction.pdf</t>
        </r>
      </text>
    </comment>
    <comment ref="AY12" authorId="0" shapeId="0" xr:uid="{5DFA88AD-781B-427E-8909-CBD3887C2B05}">
      <text>
        <r>
          <rPr>
            <b/>
            <sz val="9"/>
            <color indexed="81"/>
            <rFont val="Tahoma"/>
            <family val="2"/>
          </rPr>
          <t>Raj Bridgelall:</t>
        </r>
        <r>
          <rPr>
            <sz val="9"/>
            <color indexed="81"/>
            <rFont val="Tahoma"/>
            <family val="2"/>
          </rPr>
          <t xml:space="preserve">
Company PPT (Parus 12)
https://static1.squarespace.com/static/5ac6a35dd274cb0b56ad0cf4/t/600cf6977ee73853fec1b3e3/1611462324846/PteroDynamics+company+introduction.pdf
</t>
        </r>
      </text>
    </comment>
    <comment ref="BA12" authorId="0" shapeId="0" xr:uid="{83CF3473-355C-4B91-B60B-9DC055268250}">
      <text>
        <r>
          <rPr>
            <b/>
            <sz val="9"/>
            <color indexed="81"/>
            <rFont val="Tahoma"/>
            <family val="2"/>
          </rPr>
          <t>Raj Bridgelall:</t>
        </r>
        <r>
          <rPr>
            <sz val="9"/>
            <color indexed="81"/>
            <rFont val="Tahoma"/>
            <family val="2"/>
          </rPr>
          <t xml:space="preserve">
Parus 12
https://static1.squarespace.com/static/5ac6a35dd274cb0b56ad0cf4/t/600cf6977ee73853fec1b3e3/1611462324846/PteroDynamics+company+introduction.pdf</t>
        </r>
      </text>
    </comment>
    <comment ref="BB12" authorId="0" shapeId="0" xr:uid="{819AEF99-F1FC-49FB-8230-547A1686AB27}">
      <text>
        <r>
          <rPr>
            <b/>
            <sz val="9"/>
            <color indexed="81"/>
            <rFont val="Tahoma"/>
            <family val="2"/>
          </rPr>
          <t>Raj Bridgelall:</t>
        </r>
        <r>
          <rPr>
            <sz val="9"/>
            <color indexed="81"/>
            <rFont val="Tahoma"/>
            <family val="2"/>
          </rPr>
          <t xml:space="preserve">
Parus 12
https://static1.squarespace.com/static/5ac6a35dd274cb0b56ad0cf4/t/600cf6977ee73853fec1b3e3/1611462324846/PteroDynamics+company+introduction.pdf</t>
        </r>
      </text>
    </comment>
    <comment ref="BH12" authorId="0" shapeId="0" xr:uid="{7B795BD1-3607-417F-A683-CE403CCECFC3}">
      <text>
        <r>
          <rPr>
            <b/>
            <sz val="9"/>
            <color indexed="81"/>
            <rFont val="Tahoma"/>
            <family val="2"/>
          </rPr>
          <t>Raj Bridgelall:</t>
        </r>
        <r>
          <rPr>
            <sz val="9"/>
            <color indexed="81"/>
            <rFont val="Tahoma"/>
            <family val="2"/>
          </rPr>
          <t xml:space="preserve">
Parus 12
https://static1.squarespace.com/static/5ac6a35dd274cb0b56ad0cf4/t/600cf6977ee73853fec1b3e3/1611462324846/PteroDynamics+company+introduction.pdf</t>
        </r>
      </text>
    </comment>
    <comment ref="E13" authorId="0" shapeId="0" xr:uid="{E78244A0-826C-4EF0-88B4-D4FB5BE6EA6E}">
      <text>
        <r>
          <rPr>
            <b/>
            <sz val="9"/>
            <color indexed="81"/>
            <rFont val="Tahoma"/>
            <family val="2"/>
          </rPr>
          <t>Raj Bridgelall:</t>
        </r>
        <r>
          <rPr>
            <sz val="9"/>
            <color indexed="81"/>
            <rFont val="Tahoma"/>
            <family val="2"/>
          </rPr>
          <t xml:space="preserve">
https://ir.ehang.com/static-files/e05dd122-37b0-4178-aeb2-65e198b442f7</t>
        </r>
      </text>
    </comment>
    <comment ref="AF13" authorId="0" shapeId="0" xr:uid="{412A6384-A8EC-4D29-BAA1-1AB1C7A0E71B}">
      <text>
        <r>
          <rPr>
            <b/>
            <sz val="9"/>
            <color indexed="81"/>
            <rFont val="Tahoma"/>
            <family val="2"/>
          </rPr>
          <t>Raj Bridgelall:</t>
        </r>
        <r>
          <rPr>
            <sz val="9"/>
            <color indexed="81"/>
            <rFont val="Tahoma"/>
            <family val="2"/>
          </rPr>
          <t xml:space="preserve">
AAM Reality Index
(Verified by Picture Aspect Ratio)</t>
        </r>
      </text>
    </comment>
    <comment ref="AM13" authorId="0" shapeId="0" xr:uid="{6FC67475-9C8A-4850-98F7-E0E70D7E23D7}">
      <text>
        <r>
          <rPr>
            <b/>
            <sz val="9"/>
            <color indexed="81"/>
            <rFont val="Tahoma"/>
            <family val="2"/>
          </rPr>
          <t>Raj Bridgelall:</t>
        </r>
        <r>
          <rPr>
            <sz val="9"/>
            <color indexed="81"/>
            <rFont val="Tahoma"/>
            <family val="2"/>
          </rPr>
          <t xml:space="preserve">
4 Wing
2 Tail</t>
        </r>
      </text>
    </comment>
    <comment ref="AP13" authorId="0" shapeId="0" xr:uid="{EAA40250-CE73-43C2-AD54-4172C8A73803}">
      <text>
        <r>
          <rPr>
            <b/>
            <sz val="9"/>
            <color indexed="81"/>
            <rFont val="Tahoma"/>
            <family val="2"/>
          </rPr>
          <t>Raj Bridgelall:</t>
        </r>
        <r>
          <rPr>
            <sz val="9"/>
            <color indexed="81"/>
            <rFont val="Tahoma"/>
            <family val="2"/>
          </rPr>
          <t xml:space="preserve">
Raj estimated from pictures</t>
        </r>
      </text>
    </comment>
    <comment ref="AS13" authorId="0" shapeId="0" xr:uid="{AA739E29-CE4F-4BF8-9E62-2895A2E620EC}">
      <text>
        <r>
          <rPr>
            <b/>
            <sz val="9"/>
            <color indexed="81"/>
            <rFont val="Tahoma"/>
            <family val="2"/>
          </rPr>
          <t>Raj Bridgelall:</t>
        </r>
        <r>
          <rPr>
            <sz val="9"/>
            <color indexed="81"/>
            <rFont val="Tahoma"/>
            <family val="2"/>
          </rPr>
          <t xml:space="preserve">
Aspect Ratio by pictures verified AAM numbers.</t>
        </r>
      </text>
    </comment>
    <comment ref="AW13" authorId="0" shapeId="0" xr:uid="{F69DB624-9A3D-4BA2-A536-58CC19406D66}">
      <text>
        <r>
          <rPr>
            <b/>
            <sz val="9"/>
            <color indexed="81"/>
            <rFont val="Tahoma"/>
            <family val="2"/>
          </rPr>
          <t>Raj Bridgelall:</t>
        </r>
        <r>
          <rPr>
            <sz val="9"/>
            <color indexed="81"/>
            <rFont val="Tahoma"/>
            <family val="2"/>
          </rPr>
          <t xml:space="preserve">
https://evtol.news/ehang-vt30</t>
        </r>
      </text>
    </comment>
    <comment ref="BH13" authorId="0" shapeId="0" xr:uid="{27A3AF9D-FA13-4B46-A771-56A6B771DDFD}">
      <text>
        <r>
          <rPr>
            <b/>
            <sz val="9"/>
            <color indexed="81"/>
            <rFont val="Tahoma"/>
            <family val="2"/>
          </rPr>
          <t>Raj Bridgelall:</t>
        </r>
        <r>
          <rPr>
            <sz val="9"/>
            <color indexed="81"/>
            <rFont val="Tahoma"/>
            <family val="2"/>
          </rPr>
          <t xml:space="preserve">
https://ir.ehang.com/news-releases/news-release-details/ehang-long-range-vt-30-aav-makes-global-debut-zhuhai-airshow</t>
        </r>
      </text>
    </comment>
    <comment ref="BL13" authorId="0" shapeId="0" xr:uid="{A2FCA18E-C39F-4A00-A851-019ABA6A7A12}">
      <text>
        <r>
          <rPr>
            <b/>
            <sz val="9"/>
            <color indexed="81"/>
            <rFont val="Tahoma"/>
            <family val="2"/>
          </rPr>
          <t>Raj Bridgelall:</t>
        </r>
        <r>
          <rPr>
            <sz val="9"/>
            <color indexed="81"/>
            <rFont val="Tahoma"/>
            <family val="2"/>
          </rPr>
          <t xml:space="preserve">
Investor Report:
https://ir.ehang.com/static-files/e05dd122-37b0-4178-aeb2-65e198b442f7
</t>
        </r>
      </text>
    </comment>
    <comment ref="AW14" authorId="0" shapeId="0" xr:uid="{A94DC3F3-90F9-4476-ADD8-4311F86BD3B3}">
      <text>
        <r>
          <rPr>
            <b/>
            <sz val="9"/>
            <color indexed="81"/>
            <rFont val="Tahoma"/>
            <family val="2"/>
          </rPr>
          <t>Raj Bridgelall:</t>
        </r>
        <r>
          <rPr>
            <sz val="9"/>
            <color indexed="81"/>
            <rFont val="Tahoma"/>
            <family val="2"/>
          </rPr>
          <t xml:space="preserve">
https://evtol.news/embraer/</t>
        </r>
      </text>
    </comment>
    <comment ref="BA14" authorId="0" shapeId="0" xr:uid="{174DF81F-16A1-4375-A939-3A2A292ABD06}">
      <text>
        <r>
          <rPr>
            <b/>
            <sz val="9"/>
            <color indexed="81"/>
            <rFont val="Tahoma"/>
            <family val="2"/>
          </rPr>
          <t>Raj Bridgelall:</t>
        </r>
        <r>
          <rPr>
            <sz val="9"/>
            <color indexed="81"/>
            <rFont val="Tahoma"/>
            <family val="2"/>
          </rPr>
          <t xml:space="preserve">
Unknown: Based on Uber requirements.</t>
        </r>
      </text>
    </comment>
    <comment ref="BB14" authorId="0" shapeId="0" xr:uid="{F27E888B-E2FA-472E-8D42-874AFF5CEDF7}">
      <text>
        <r>
          <rPr>
            <b/>
            <sz val="9"/>
            <color indexed="81"/>
            <rFont val="Tahoma"/>
            <family val="2"/>
          </rPr>
          <t>Raj Bridgelall:</t>
        </r>
        <r>
          <rPr>
            <sz val="9"/>
            <color indexed="81"/>
            <rFont val="Tahoma"/>
            <family val="2"/>
          </rPr>
          <t xml:space="preserve">
Unknown: Based on Uber requirements.</t>
        </r>
      </text>
    </comment>
    <comment ref="AF15" authorId="0" shapeId="0" xr:uid="{6E1B19A6-49BF-4938-9379-EB37FE7C18EB}">
      <text>
        <r>
          <rPr>
            <b/>
            <sz val="9"/>
            <color indexed="81"/>
            <rFont val="Tahoma"/>
            <family val="2"/>
          </rPr>
          <t>Raj Bridgelall:</t>
        </r>
        <r>
          <rPr>
            <sz val="9"/>
            <color indexed="81"/>
            <rFont val="Tahoma"/>
            <family val="2"/>
          </rPr>
          <t xml:space="preserve">
https://www.dufour.aero/aero3</t>
        </r>
      </text>
    </comment>
    <comment ref="AP15" authorId="0" shapeId="0" xr:uid="{7843CABE-C4D4-4EF8-BD35-4842AB9C08AA}">
      <text>
        <r>
          <rPr>
            <b/>
            <sz val="9"/>
            <color indexed="81"/>
            <rFont val="Tahoma"/>
            <family val="2"/>
          </rPr>
          <t>Raj Bridgelall:</t>
        </r>
        <r>
          <rPr>
            <sz val="9"/>
            <color indexed="81"/>
            <rFont val="Tahoma"/>
            <family val="2"/>
          </rPr>
          <t xml:space="preserve">
https://www.dufour.aero/aero3</t>
        </r>
      </text>
    </comment>
    <comment ref="AR15" authorId="0" shapeId="0" xr:uid="{64955DCB-D20E-41EF-B9C9-CAF66D42FC3B}">
      <text>
        <r>
          <rPr>
            <b/>
            <sz val="9"/>
            <color indexed="81"/>
            <rFont val="Tahoma"/>
            <family val="2"/>
          </rPr>
          <t>Raj Bridgelall:</t>
        </r>
        <r>
          <rPr>
            <sz val="9"/>
            <color indexed="81"/>
            <rFont val="Tahoma"/>
            <family val="2"/>
          </rPr>
          <t xml:space="preserve">
https://www.dufour.aero/aero3</t>
        </r>
      </text>
    </comment>
    <comment ref="AX15" authorId="0" shapeId="0" xr:uid="{3FCC1DF7-2E01-4A61-8FAE-725DA9EB0555}">
      <text>
        <r>
          <rPr>
            <b/>
            <sz val="9"/>
            <color indexed="81"/>
            <rFont val="Tahoma"/>
            <family val="2"/>
          </rPr>
          <t>Raj Bridgelall:</t>
        </r>
        <r>
          <rPr>
            <sz val="9"/>
            <color indexed="81"/>
            <rFont val="Tahoma"/>
            <family val="2"/>
          </rPr>
          <t xml:space="preserve">
https://www.dufour.aero/aero3</t>
        </r>
      </text>
    </comment>
    <comment ref="AY15" authorId="0" shapeId="0" xr:uid="{75ED3134-3FC0-4C10-BE3E-FDBA68F5C796}">
      <text>
        <r>
          <rPr>
            <b/>
            <sz val="9"/>
            <color indexed="81"/>
            <rFont val="Tahoma"/>
            <family val="2"/>
          </rPr>
          <t>Raj Bridgelall:</t>
        </r>
        <r>
          <rPr>
            <sz val="9"/>
            <color indexed="81"/>
            <rFont val="Tahoma"/>
            <family val="2"/>
          </rPr>
          <t xml:space="preserve">
7 seats
Up to 8 persons onboard
https://www.dufour.aero/aero3</t>
        </r>
      </text>
    </comment>
    <comment ref="BB15" authorId="0" shapeId="0" xr:uid="{BAF0B71B-994C-45CF-A2C2-519BE44753AB}">
      <text>
        <r>
          <rPr>
            <b/>
            <sz val="9"/>
            <color indexed="81"/>
            <rFont val="Tahoma"/>
            <family val="2"/>
          </rPr>
          <t>Raj Bridgelall:</t>
        </r>
        <r>
          <rPr>
            <sz val="9"/>
            <color indexed="81"/>
            <rFont val="Tahoma"/>
            <family val="2"/>
          </rPr>
          <t xml:space="preserve">
Max speed
https://evtol.news/dufour-aerospace-aero-3</t>
        </r>
      </text>
    </comment>
    <comment ref="J16" authorId="0" shapeId="0" xr:uid="{3831B70D-B665-449F-87FE-F6CAEF65B6CC}">
      <text>
        <r>
          <rPr>
            <b/>
            <sz val="9"/>
            <color indexed="81"/>
            <rFont val="Tahoma"/>
            <family val="2"/>
          </rPr>
          <t>Raj Bridgelall:</t>
        </r>
        <r>
          <rPr>
            <sz val="9"/>
            <color indexed="81"/>
            <rFont val="Tahoma"/>
            <family val="2"/>
          </rPr>
          <t xml:space="preserve">
Zhejiang Geely Holding Group (11-13-17), China</t>
        </r>
      </text>
    </comment>
    <comment ref="AP16" authorId="0" shapeId="0" xr:uid="{65C51CD3-3474-446E-8F4C-E004C0371E9D}">
      <text>
        <r>
          <rPr>
            <b/>
            <sz val="9"/>
            <color indexed="81"/>
            <rFont val="Tahoma"/>
            <family val="2"/>
          </rPr>
          <t>Raj Bridgelall:</t>
        </r>
        <r>
          <rPr>
            <sz val="9"/>
            <color indexed="81"/>
            <rFont val="Tahoma"/>
            <family val="2"/>
          </rPr>
          <t xml:space="preserve">
4.5 m is fuselage length:
https://mp.weixin.qq.com/s?__biz=MzUzNDgyNDQ0Nw==&amp;mid=2247483901&amp;idx=1&amp;sn=b05580b2e8878c5ea6f1915643f1f1a9&amp;chksm=fa8f956dcdf81c7b4592ba77997dcd34d0ab60159e51ea96b4a44d6e6371b07376173286dedf&amp;mpshare=1&amp;scene=1&amp;srcid=&amp;sharer_sharetime=1592802369104&amp;sharer_shareid=1ed135f89de72c0217dc9a96d7852ed7#rd
Full length estimate from picture:7.21 m</t>
        </r>
      </text>
    </comment>
    <comment ref="B17" authorId="0" shapeId="0" xr:uid="{F007FBA0-4698-4DB2-8864-A0331C2A5B6A}">
      <text>
        <r>
          <rPr>
            <b/>
            <sz val="9"/>
            <color indexed="81"/>
            <rFont val="Tahoma"/>
            <family val="2"/>
          </rPr>
          <t>Raj Bridgelall:</t>
        </r>
        <r>
          <rPr>
            <sz val="9"/>
            <color indexed="81"/>
            <rFont val="Tahoma"/>
            <family val="2"/>
          </rPr>
          <t xml:space="preserve">
Specs:
YT: https://youtu.be/3SZqYcBsYZs</t>
        </r>
      </text>
    </comment>
    <comment ref="T17" authorId="0" shapeId="0" xr:uid="{3B737956-E76A-437D-871F-EA97CBB25CD6}">
      <text>
        <r>
          <rPr>
            <b/>
            <sz val="9"/>
            <color indexed="81"/>
            <rFont val="Tahoma"/>
            <family val="2"/>
          </rPr>
          <t>Raj Bridgelall:</t>
        </r>
        <r>
          <rPr>
            <sz val="9"/>
            <color indexed="81"/>
            <rFont val="Tahoma"/>
            <family val="2"/>
          </rPr>
          <t xml:space="preserve">
2 Ducted Pushers</t>
        </r>
      </text>
    </comment>
    <comment ref="AS17" authorId="0" shapeId="0" xr:uid="{8A6022A3-15D3-4299-960D-8D6FB0DF7408}">
      <text>
        <r>
          <rPr>
            <b/>
            <sz val="9"/>
            <color indexed="81"/>
            <rFont val="Tahoma"/>
            <family val="2"/>
          </rPr>
          <t>Raj Bridgelall:</t>
        </r>
        <r>
          <rPr>
            <sz val="9"/>
            <color indexed="81"/>
            <rFont val="Tahoma"/>
            <family val="2"/>
          </rPr>
          <t xml:space="preserve">
Estimated from pictures.
Patent:
https://evtol.com/news/volocopter-patent-filings-show-winged-aircraft-design-in-the-works/
</t>
        </r>
      </text>
    </comment>
    <comment ref="AX17" authorId="0" shapeId="0" xr:uid="{C01583D7-844A-41A6-AB6F-6AA3FC143155}">
      <text>
        <r>
          <rPr>
            <b/>
            <sz val="9"/>
            <color indexed="81"/>
            <rFont val="Tahoma"/>
            <family val="2"/>
          </rPr>
          <t>Raj Bridgelall:</t>
        </r>
        <r>
          <rPr>
            <sz val="9"/>
            <color indexed="81"/>
            <rFont val="Tahoma"/>
            <family val="2"/>
          </rPr>
          <t xml:space="preserve">
Est. based on payload/MTOW of Volodrone Multicopter</t>
        </r>
      </text>
    </comment>
    <comment ref="AY17" authorId="0" shapeId="0" xr:uid="{C00A1FCA-36C0-445E-8491-286719E68C22}">
      <text>
        <r>
          <rPr>
            <b/>
            <sz val="9"/>
            <color indexed="81"/>
            <rFont val="Tahoma"/>
            <family val="2"/>
          </rPr>
          <t>Raj Bridgelall:</t>
        </r>
        <r>
          <rPr>
            <sz val="9"/>
            <color indexed="81"/>
            <rFont val="Tahoma"/>
            <family val="2"/>
          </rPr>
          <t xml:space="preserve">
4 passengers
</t>
        </r>
      </text>
    </comment>
    <comment ref="BA17" authorId="0" shapeId="0" xr:uid="{B309A026-30DE-48E6-97A5-D6A5E46985B6}">
      <text>
        <r>
          <rPr>
            <b/>
            <sz val="9"/>
            <color indexed="81"/>
            <rFont val="Tahoma"/>
            <family val="2"/>
          </rPr>
          <t>Raj Bridgelall:</t>
        </r>
        <r>
          <rPr>
            <sz val="9"/>
            <color indexed="81"/>
            <rFont val="Tahoma"/>
            <family val="2"/>
          </rPr>
          <t xml:space="preserve">
https://evtol.news/volocopter-voloconnect
https://www.volocopter.com/newsroom/voloconnect-expanding-volocopters-coverage-of-the-urban-air-mobility-ecosystem/</t>
        </r>
      </text>
    </comment>
    <comment ref="BB17" authorId="0" shapeId="0" xr:uid="{D42AA4A2-040D-4FB9-A208-75481457FBF4}">
      <text>
        <r>
          <rPr>
            <b/>
            <sz val="9"/>
            <color indexed="81"/>
            <rFont val="Tahoma"/>
            <family val="2"/>
          </rPr>
          <t>Raj Bridgelall:</t>
        </r>
        <r>
          <rPr>
            <sz val="9"/>
            <color indexed="81"/>
            <rFont val="Tahoma"/>
            <family val="2"/>
          </rPr>
          <t xml:space="preserve">
https://evtol.news/volocopter-voloconnect
https://www.bloomberg.com/news/articles/2021-05-17/air-taxi-startup-volocopter-unveils-four-seater-suburban-shuttle
</t>
        </r>
      </text>
    </comment>
    <comment ref="A18" authorId="0" shapeId="0" xr:uid="{659D2B39-5EF4-4EB9-9F2F-8FCBA9345F1C}">
      <text>
        <r>
          <rPr>
            <b/>
            <sz val="9"/>
            <color indexed="81"/>
            <rFont val="Tahoma"/>
            <family val="2"/>
          </rPr>
          <t>Raj Bridgelall:</t>
        </r>
        <r>
          <rPr>
            <sz val="9"/>
            <color indexed="81"/>
            <rFont val="Tahoma"/>
            <family val="2"/>
          </rPr>
          <t xml:space="preserve">
Acquired by Boeing
Works with Wisk</t>
        </r>
      </text>
    </comment>
    <comment ref="AP18" authorId="0" shapeId="0" xr:uid="{37C4BC2F-D96E-402A-847E-F65B3663B924}">
      <text>
        <r>
          <rPr>
            <b/>
            <sz val="9"/>
            <color indexed="81"/>
            <rFont val="Tahoma"/>
            <family val="2"/>
          </rPr>
          <t>Raj Bridgelall:</t>
        </r>
        <r>
          <rPr>
            <sz val="9"/>
            <color indexed="81"/>
            <rFont val="Tahoma"/>
            <family val="2"/>
          </rPr>
          <t xml:space="preserve">
VDB: Fuselage length
</t>
        </r>
      </text>
    </comment>
    <comment ref="BJ18" authorId="0" shapeId="0" xr:uid="{2D27637E-D8D9-4F0C-8466-69DC23DE5AB5}">
      <text>
        <r>
          <rPr>
            <b/>
            <sz val="9"/>
            <color indexed="81"/>
            <rFont val="Tahoma"/>
            <family val="2"/>
          </rPr>
          <t>Raj Bridgelall:</t>
        </r>
        <r>
          <rPr>
            <sz val="9"/>
            <color indexed="81"/>
            <rFont val="Tahoma"/>
            <family val="2"/>
          </rPr>
          <t xml:space="preserve">
VDB: 8 x 75 kW motor output</t>
        </r>
      </text>
    </comment>
    <comment ref="F19" authorId="0" shapeId="0" xr:uid="{08499440-468D-40A3-A038-7C7360E37B8B}">
      <text>
        <r>
          <rPr>
            <b/>
            <sz val="9"/>
            <color indexed="81"/>
            <rFont val="Tahoma"/>
            <family val="2"/>
          </rPr>
          <t>Raj Bridgelall:</t>
        </r>
        <r>
          <rPr>
            <sz val="9"/>
            <color indexed="81"/>
            <rFont val="Tahoma"/>
            <family val="2"/>
          </rPr>
          <t xml:space="preserve">
Investor Presentation
https://youtu.be/UkPvNYjJmxw?t=1726</t>
        </r>
      </text>
    </comment>
    <comment ref="N19" authorId="0" shapeId="0" xr:uid="{CDF2692E-9DB6-433B-9D15-3B289D1804AD}">
      <text>
        <r>
          <rPr>
            <b/>
            <sz val="9"/>
            <color indexed="81"/>
            <rFont val="Tahoma"/>
            <family val="2"/>
          </rPr>
          <t>Raj Bridgelall:</t>
        </r>
        <r>
          <rPr>
            <sz val="9"/>
            <color indexed="81"/>
            <rFont val="Tahoma"/>
            <family val="2"/>
          </rPr>
          <t xml:space="preserve">
$1.06 per seat mile for 25 mile trip
Investor Presentation</t>
        </r>
      </text>
    </comment>
    <comment ref="P19" authorId="0" shapeId="0" xr:uid="{D5667C39-9E52-4145-95DF-EB9CE7D019F5}">
      <text>
        <r>
          <rPr>
            <b/>
            <sz val="9"/>
            <color indexed="81"/>
            <rFont val="Tahoma"/>
            <family val="2"/>
          </rPr>
          <t>Raj Bridgelall:</t>
        </r>
        <r>
          <rPr>
            <sz val="9"/>
            <color indexed="81"/>
            <rFont val="Tahoma"/>
            <family val="2"/>
          </rPr>
          <t xml:space="preserve">
https://vertical-aerospace.com/va-x4/</t>
        </r>
      </text>
    </comment>
    <comment ref="AF19" authorId="0" shapeId="0" xr:uid="{549E45FF-E756-41B2-A008-CB079B47FFDA}">
      <text>
        <r>
          <rPr>
            <b/>
            <sz val="9"/>
            <color indexed="81"/>
            <rFont val="Tahoma"/>
            <family val="2"/>
          </rPr>
          <t>Raj Bridgelall:</t>
        </r>
        <r>
          <rPr>
            <sz val="9"/>
            <color indexed="81"/>
            <rFont val="Tahoma"/>
            <family val="2"/>
          </rPr>
          <t xml:space="preserve">
https://www.futureflight.aero/aircraft-program/vertical-va-x4</t>
        </r>
      </text>
    </comment>
    <comment ref="AP19" authorId="0" shapeId="0" xr:uid="{E39E9828-0039-4D40-AE38-4CF7E6152234}">
      <text>
        <r>
          <rPr>
            <b/>
            <sz val="9"/>
            <color indexed="81"/>
            <rFont val="Tahoma"/>
            <family val="2"/>
          </rPr>
          <t>Raj Bridgelall:</t>
        </r>
        <r>
          <rPr>
            <sz val="9"/>
            <color indexed="81"/>
            <rFont val="Tahoma"/>
            <family val="2"/>
          </rPr>
          <t xml:space="preserve">
https://www.futureflight.aero/aircraft-program/vertical-va-x4</t>
        </r>
      </text>
    </comment>
    <comment ref="AR19" authorId="0" shapeId="0" xr:uid="{D21FB565-1A07-43E1-B725-FD8892C795C2}">
      <text>
        <r>
          <rPr>
            <b/>
            <sz val="9"/>
            <color indexed="81"/>
            <rFont val="Tahoma"/>
            <family val="2"/>
          </rPr>
          <t>Raj Bridgelall:</t>
        </r>
        <r>
          <rPr>
            <sz val="9"/>
            <color indexed="81"/>
            <rFont val="Tahoma"/>
            <family val="2"/>
          </rPr>
          <t xml:space="preserve">
https://evtol.news/vertical-aerospace-VA-1X
</t>
        </r>
      </text>
    </comment>
    <comment ref="AX19" authorId="0" shapeId="0" xr:uid="{2809FDE4-6C23-4528-9A97-5DD9099509D6}">
      <text>
        <r>
          <rPr>
            <b/>
            <sz val="9"/>
            <color indexed="81"/>
            <rFont val="Tahoma"/>
            <family val="2"/>
          </rPr>
          <t>Raj Bridgelall:</t>
        </r>
        <r>
          <rPr>
            <sz val="9"/>
            <color indexed="81"/>
            <rFont val="Tahoma"/>
            <family val="2"/>
          </rPr>
          <t xml:space="preserve">
Based on MTOW of European Union Aviation Safety Agency (EUASA) "Small" Category (up to 9 passengers).
SEC Filing Report:
https://sec.report/Document/0001104659-21-117263/</t>
        </r>
      </text>
    </comment>
    <comment ref="AY19" authorId="0" shapeId="0" xr:uid="{15E088A1-0D28-4E8C-9E13-AF53626CEB52}">
      <text>
        <r>
          <rPr>
            <b/>
            <sz val="9"/>
            <color indexed="81"/>
            <rFont val="Tahoma"/>
            <family val="2"/>
          </rPr>
          <t>Raj Bridgelall:</t>
        </r>
        <r>
          <rPr>
            <sz val="9"/>
            <color indexed="81"/>
            <rFont val="Tahoma"/>
            <family val="2"/>
          </rPr>
          <t xml:space="preserve">
https://evtol.news/vertical-aerospace-VA-1X
1 pilot, 4 passengers, 45 lbs luggage.
https://sec.report/Document/0001104659-21-117263/</t>
        </r>
      </text>
    </comment>
    <comment ref="BJ19" authorId="0" shapeId="0" xr:uid="{DF9879D8-CAC7-488E-B5A7-1B8AFE98402E}">
      <text>
        <r>
          <rPr>
            <b/>
            <sz val="9"/>
            <color indexed="81"/>
            <rFont val="Tahoma"/>
            <family val="2"/>
          </rPr>
          <t>Raj Bridgelall:</t>
        </r>
        <r>
          <rPr>
            <sz val="9"/>
            <color indexed="81"/>
            <rFont val="Tahoma"/>
            <family val="2"/>
          </rPr>
          <t xml:space="preserve">
Investor PPT
270 Wh/kg LiOn
https://vertical-aerospace.com/wp-content/uploads/2021/09/Vertical-Analyst-Day-22.09.2021-FINAL-r.pdf</t>
        </r>
      </text>
    </comment>
    <comment ref="BL19" authorId="0" shapeId="0" xr:uid="{DEEC870E-8497-4DE7-A406-5E44088983D4}">
      <text>
        <r>
          <rPr>
            <b/>
            <sz val="9"/>
            <color indexed="81"/>
            <rFont val="Tahoma"/>
            <family val="2"/>
          </rPr>
          <t>Raj Bridgelall:</t>
        </r>
        <r>
          <rPr>
            <sz val="9"/>
            <color indexed="81"/>
            <rFont val="Tahoma"/>
            <family val="2"/>
          </rPr>
          <t xml:space="preserve">
https://www.futureflight.aero/aircraft-program/vertical-va-x4</t>
        </r>
      </text>
    </comment>
    <comment ref="A20" authorId="0" shapeId="0" xr:uid="{CEAB6DF3-346D-4515-AF62-D0F9DE5AC901}">
      <text>
        <r>
          <rPr>
            <b/>
            <sz val="9"/>
            <color indexed="81"/>
            <rFont val="Tahoma"/>
            <family val="2"/>
          </rPr>
          <t>Raj Bridgelall:</t>
        </r>
        <r>
          <rPr>
            <sz val="9"/>
            <color indexed="81"/>
            <rFont val="Tahoma"/>
            <family val="2"/>
          </rPr>
          <t xml:space="preserve">
Acquired tech from Carter Aviation</t>
        </r>
      </text>
    </comment>
    <comment ref="AP20" authorId="0" shapeId="0" xr:uid="{C59271CB-A1AD-4DE7-AE96-ED9EF3BC9919}">
      <text>
        <r>
          <rPr>
            <b/>
            <sz val="9"/>
            <color indexed="81"/>
            <rFont val="Tahoma"/>
            <family val="2"/>
          </rPr>
          <t>Raj Bridgelall:</t>
        </r>
        <r>
          <rPr>
            <sz val="9"/>
            <color indexed="81"/>
            <rFont val="Tahoma"/>
            <family val="2"/>
          </rPr>
          <t xml:space="preserve">
AAM says 16.15</t>
        </r>
      </text>
    </comment>
    <comment ref="A21" authorId="0" shapeId="0" xr:uid="{4318E228-2123-4D02-BC65-9ADE14CD7F7B}">
      <text>
        <r>
          <rPr>
            <b/>
            <sz val="9"/>
            <color indexed="81"/>
            <rFont val="Tahoma"/>
            <family val="2"/>
          </rPr>
          <t>Raj Bridgelall:</t>
        </r>
        <r>
          <rPr>
            <sz val="9"/>
            <color indexed="81"/>
            <rFont val="Tahoma"/>
            <family val="2"/>
          </rPr>
          <t xml:space="preserve">
https://evtol.news/overair-butterfly/
Individual blade control, variable speed tilting rotors</t>
        </r>
      </text>
    </comment>
    <comment ref="AS21" authorId="0" shapeId="0" xr:uid="{8BED1FC3-F3E3-46B9-BFF3-B14EF6777A40}">
      <text>
        <r>
          <rPr>
            <b/>
            <sz val="9"/>
            <color indexed="81"/>
            <rFont val="Tahoma"/>
            <family val="2"/>
          </rPr>
          <t>Raj Bridgelall:</t>
        </r>
        <r>
          <rPr>
            <sz val="9"/>
            <color indexed="81"/>
            <rFont val="Tahoma"/>
            <family val="2"/>
          </rPr>
          <t xml:space="preserve">
Estimate from image
0.75</t>
        </r>
      </text>
    </comment>
    <comment ref="AX21" authorId="0" shapeId="0" xr:uid="{6FBE05CF-435B-45DC-8906-9986E1CB506E}">
      <text>
        <r>
          <rPr>
            <b/>
            <sz val="9"/>
            <color indexed="81"/>
            <rFont val="Tahoma"/>
            <family val="2"/>
          </rPr>
          <t>Raj Bridgelall:</t>
        </r>
        <r>
          <rPr>
            <sz val="9"/>
            <color indexed="81"/>
            <rFont val="Tahoma"/>
            <family val="2"/>
          </rPr>
          <t xml:space="preserve">
EU Patent</t>
        </r>
      </text>
    </comment>
    <comment ref="AY21" authorId="0" shapeId="0" xr:uid="{6641CC62-032C-472A-8DFC-665295388A12}">
      <text>
        <r>
          <rPr>
            <b/>
            <sz val="9"/>
            <color indexed="81"/>
            <rFont val="Tahoma"/>
            <family val="2"/>
          </rPr>
          <t>Raj Bridgelall:</t>
        </r>
        <r>
          <rPr>
            <sz val="9"/>
            <color indexed="81"/>
            <rFont val="Tahoma"/>
            <family val="2"/>
          </rPr>
          <t xml:space="preserve">
1 pilot
5 passengers
1100 lbs
https://evtol.news/overair-butterfly/</t>
        </r>
      </text>
    </comment>
    <comment ref="AF22" authorId="0" shapeId="0" xr:uid="{6FEB988F-C1BD-43E1-B953-1F750D72D5DD}">
      <text>
        <r>
          <rPr>
            <b/>
            <sz val="9"/>
            <color indexed="81"/>
            <rFont val="Tahoma"/>
            <family val="2"/>
          </rPr>
          <t>Raj Bridgelall:</t>
        </r>
        <r>
          <rPr>
            <sz val="9"/>
            <color indexed="81"/>
            <rFont val="Tahoma"/>
            <family val="2"/>
          </rPr>
          <t xml:space="preserve">
https://evtol.news/bellapt/
Tandem wings</t>
        </r>
      </text>
    </comment>
    <comment ref="AO22" authorId="0" shapeId="0" xr:uid="{B0067FBF-212A-418E-AB47-68B81E2BEE63}">
      <text>
        <r>
          <rPr>
            <b/>
            <sz val="9"/>
            <color indexed="81"/>
            <rFont val="Tahoma"/>
            <family val="2"/>
          </rPr>
          <t>Raj Bridgelall:</t>
        </r>
        <r>
          <rPr>
            <sz val="9"/>
            <color indexed="81"/>
            <rFont val="Tahoma"/>
            <family val="2"/>
          </rPr>
          <t xml:space="preserve">
T tail back of each propeller</t>
        </r>
      </text>
    </comment>
    <comment ref="AP22" authorId="0" shapeId="0" xr:uid="{85E12EC3-1E54-4C40-A0D0-D6532BE77BDD}">
      <text>
        <r>
          <rPr>
            <b/>
            <sz val="9"/>
            <color indexed="81"/>
            <rFont val="Tahoma"/>
            <family val="2"/>
          </rPr>
          <t>Raj Bridgelall:</t>
        </r>
        <r>
          <rPr>
            <sz val="9"/>
            <color indexed="81"/>
            <rFont val="Tahoma"/>
            <family val="2"/>
          </rPr>
          <t xml:space="preserve">
https://evtol.news/bellapt/</t>
        </r>
      </text>
    </comment>
    <comment ref="AX22" authorId="0" shapeId="0" xr:uid="{00CFECFF-EBCA-42F4-96B5-A239F7DD11C3}">
      <text>
        <r>
          <rPr>
            <b/>
            <sz val="9"/>
            <color indexed="81"/>
            <rFont val="Tahoma"/>
            <family val="2"/>
          </rPr>
          <t>Raj Bridgelall:</t>
        </r>
        <r>
          <rPr>
            <sz val="9"/>
            <color indexed="81"/>
            <rFont val="Tahoma"/>
            <family val="2"/>
          </rPr>
          <t xml:space="preserve">
https://evtol.news/bellapt/
Fits into 5 cases, with the heaviest one being 57 lbs
APT 70 is 300 lbs</t>
        </r>
      </text>
    </comment>
    <comment ref="BB22" authorId="0" shapeId="0" xr:uid="{18259A74-0EB5-475B-9D06-48578C2D3E26}">
      <text>
        <r>
          <rPr>
            <b/>
            <sz val="9"/>
            <color indexed="81"/>
            <rFont val="Tahoma"/>
            <family val="2"/>
          </rPr>
          <t>Raj Bridgelall:</t>
        </r>
        <r>
          <rPr>
            <sz val="9"/>
            <color indexed="81"/>
            <rFont val="Tahoma"/>
            <family val="2"/>
          </rPr>
          <t xml:space="preserve">
https://evtol.news/bellapt/
</t>
        </r>
      </text>
    </comment>
    <comment ref="AM23" authorId="0" shapeId="0" xr:uid="{1FE7B4BF-7A9A-4E39-A589-C19B3168DBC8}">
      <text>
        <r>
          <rPr>
            <b/>
            <sz val="9"/>
            <color indexed="81"/>
            <rFont val="Tahoma"/>
            <family val="2"/>
          </rPr>
          <t>Raj Bridgelall:</t>
        </r>
        <r>
          <rPr>
            <sz val="9"/>
            <color indexed="81"/>
            <rFont val="Tahoma"/>
            <family val="2"/>
          </rPr>
          <t xml:space="preserve">
https://www.bellflight.com/products/bell-nexus</t>
        </r>
      </text>
    </comment>
    <comment ref="AF24" authorId="0" shapeId="0" xr:uid="{C46D7C5E-4014-4328-9FFB-6D938D90A970}">
      <text>
        <r>
          <rPr>
            <b/>
            <sz val="9"/>
            <color indexed="81"/>
            <rFont val="Tahoma"/>
            <family val="2"/>
          </rPr>
          <t>Raj Bridgelall:</t>
        </r>
        <r>
          <rPr>
            <sz val="9"/>
            <color indexed="81"/>
            <rFont val="Tahoma"/>
            <family val="2"/>
          </rPr>
          <t xml:space="preserve">
12.2 meters
https://newsi.icu/tech/unveiling-of-american-startup-cars/</t>
        </r>
      </text>
    </comment>
    <comment ref="AW24" authorId="0" shapeId="0" xr:uid="{70BEF6EB-2CB7-4CA3-9DFA-08156305A730}">
      <text>
        <r>
          <rPr>
            <b/>
            <sz val="9"/>
            <color indexed="81"/>
            <rFont val="Tahoma"/>
            <family val="2"/>
          </rPr>
          <t>Raj Bridgelall:</t>
        </r>
        <r>
          <rPr>
            <sz val="9"/>
            <color indexed="81"/>
            <rFont val="Tahoma"/>
            <family val="2"/>
          </rPr>
          <t xml:space="preserve">
https://newsi.icu/tech/unveiling-of-american-startup-cars/</t>
        </r>
      </text>
    </comment>
    <comment ref="BJ24" authorId="0" shapeId="0" xr:uid="{23ACA3C3-7D49-4A60-B4E2-EB1F9FF3CF21}">
      <text>
        <r>
          <rPr>
            <b/>
            <sz val="9"/>
            <color indexed="81"/>
            <rFont val="Tahoma"/>
            <family val="2"/>
          </rPr>
          <t>Raj Bridgelall:</t>
        </r>
        <r>
          <rPr>
            <sz val="9"/>
            <color indexed="81"/>
            <rFont val="Tahoma"/>
            <family val="2"/>
          </rPr>
          <t xml:space="preserve">
https://newsi.icu/tech/unveiling-of-american-startup-cars/</t>
        </r>
      </text>
    </comment>
    <comment ref="N25" authorId="0" shapeId="0" xr:uid="{8C1EE481-BA17-4500-BA07-C063791712C7}">
      <text>
        <r>
          <rPr>
            <b/>
            <sz val="9"/>
            <color indexed="81"/>
            <rFont val="Tahoma"/>
            <family val="2"/>
          </rPr>
          <t>Raj Bridgelall:</t>
        </r>
        <r>
          <rPr>
            <sz val="9"/>
            <color indexed="81"/>
            <rFont val="Tahoma"/>
            <family val="2"/>
          </rPr>
          <t xml:space="preserve">
https://raketa.hu/rangos-elismerest-kapott-a-magyarok-altal-tervezett-legimento-multikopter
“Compared to the rescue helicopters currently in operation, we can achieve a reduction of up to 20 percent in time and 26 percent in operating costs,” says Varga, who said the results also prove that we are competing well in an international and highly specialized field.</t>
        </r>
      </text>
    </comment>
    <comment ref="AM25" authorId="0" shapeId="0" xr:uid="{738BB968-D9D8-4EA6-9653-9A76E41FA911}">
      <text>
        <r>
          <rPr>
            <b/>
            <sz val="9"/>
            <color indexed="81"/>
            <rFont val="Tahoma"/>
            <family val="2"/>
          </rPr>
          <t>Raj Bridgelall:</t>
        </r>
        <r>
          <rPr>
            <sz val="9"/>
            <color indexed="81"/>
            <rFont val="Tahoma"/>
            <family val="2"/>
          </rPr>
          <t xml:space="preserve">
https://www.orca-evtol.com/
</t>
        </r>
      </text>
    </comment>
    <comment ref="AS25" authorId="0" shapeId="0" xr:uid="{11B166EC-D351-47EB-BBA9-A42E0813F016}">
      <text>
        <r>
          <rPr>
            <b/>
            <sz val="9"/>
            <color indexed="81"/>
            <rFont val="Tahoma"/>
            <family val="2"/>
          </rPr>
          <t>Raj Bridgelall:</t>
        </r>
        <r>
          <rPr>
            <sz val="9"/>
            <color indexed="81"/>
            <rFont val="Tahoma"/>
            <family val="2"/>
          </rPr>
          <t xml:space="preserve">
Est. from picture.</t>
        </r>
      </text>
    </comment>
    <comment ref="AX25" authorId="0" shapeId="0" xr:uid="{70A35740-83B4-4322-9D95-CD1DE293782F}">
      <text>
        <r>
          <rPr>
            <b/>
            <sz val="9"/>
            <color indexed="81"/>
            <rFont val="Tahoma"/>
            <family val="2"/>
          </rPr>
          <t>Raj Bridgelall:</t>
        </r>
        <r>
          <rPr>
            <sz val="9"/>
            <color indexed="81"/>
            <rFont val="Tahoma"/>
            <family val="2"/>
          </rPr>
          <t xml:space="preserve">
2-tonne machine:
https://www.bama.hu/kozelet/helyi-kozelet/kiralyi-elismeres-helybol-szall-fel-es-le-a-pecsiek-gepe-3012196/
</t>
        </r>
      </text>
    </comment>
    <comment ref="AY25" authorId="0" shapeId="0" xr:uid="{D7C4D1E3-22FC-429D-81D6-A11E5D050760}">
      <text>
        <r>
          <rPr>
            <b/>
            <sz val="9"/>
            <color indexed="81"/>
            <rFont val="Tahoma"/>
            <family val="2"/>
          </rPr>
          <t>Raj Bridgelall:</t>
        </r>
        <r>
          <rPr>
            <sz val="9"/>
            <color indexed="81"/>
            <rFont val="Tahoma"/>
            <family val="2"/>
          </rPr>
          <t xml:space="preserve">
500 kg
https://www.orca-evtol.com/aircraft
300 kg
https://www.bama.hu/kozelet/helyi-kozelet/kiralyi-elismeres-helybol-szall-fel-es-le-a-pecsiek-gepe-3012196/
300 kg
https://raketa.hu/rangos-elismerest-kapott-a-magyarok-altal-tervezett-legimento-multikopter</t>
        </r>
      </text>
    </comment>
    <comment ref="BA25" authorId="0" shapeId="0" xr:uid="{AE8791E8-D40D-4844-AF93-A61E7A6F12E1}">
      <text>
        <r>
          <rPr>
            <b/>
            <sz val="9"/>
            <color indexed="81"/>
            <rFont val="Tahoma"/>
            <family val="2"/>
          </rPr>
          <t>Raj Bridgelall:</t>
        </r>
        <r>
          <rPr>
            <sz val="9"/>
            <color indexed="81"/>
            <rFont val="Tahoma"/>
            <family val="2"/>
          </rPr>
          <t xml:space="preserve">
110 km
https://www.bama.hu/kozelet/helyi-kozelet/kiralyi-elismeres-helybol-szall-fel-es-le-a-pecsiek-gepe-3012196/
510 kg
https://www.orca-evtol.com/aircraft</t>
        </r>
      </text>
    </comment>
    <comment ref="BI25" authorId="0" shapeId="0" xr:uid="{0C5B57F9-9A4D-4A11-8788-3407B95EB36E}">
      <text>
        <r>
          <rPr>
            <b/>
            <sz val="9"/>
            <color indexed="81"/>
            <rFont val="Tahoma"/>
            <family val="2"/>
          </rPr>
          <t>Raj Bridgelall:</t>
        </r>
        <r>
          <rPr>
            <sz val="9"/>
            <color indexed="81"/>
            <rFont val="Tahoma"/>
            <family val="2"/>
          </rPr>
          <t xml:space="preserve">
6 modules</t>
        </r>
      </text>
    </comment>
    <comment ref="A26" authorId="0" shapeId="0" xr:uid="{E21BE0C2-3887-4F8F-8298-A55432DB423C}">
      <text>
        <r>
          <rPr>
            <b/>
            <sz val="9"/>
            <color indexed="81"/>
            <rFont val="Tahoma"/>
            <family val="2"/>
          </rPr>
          <t>Raj Bridgelall:</t>
        </r>
        <r>
          <rPr>
            <sz val="9"/>
            <color indexed="81"/>
            <rFont val="Tahoma"/>
            <family val="2"/>
          </rPr>
          <t xml:space="preserve">
https://koreajoongangdaily.joins.com/2020/01/08/industry/CES-2020-Everyone-at-CES-wanted-to-see-what-an-air-taxi-looks-like/3072417.html</t>
        </r>
      </text>
    </comment>
    <comment ref="AM26" authorId="0" shapeId="0" xr:uid="{8F514F86-A55D-4918-ABCC-9B62D8A80374}">
      <text>
        <r>
          <rPr>
            <b/>
            <sz val="9"/>
            <color indexed="81"/>
            <rFont val="Tahoma"/>
            <family val="2"/>
          </rPr>
          <t>Raj Bridgelall:</t>
        </r>
        <r>
          <rPr>
            <sz val="9"/>
            <color indexed="81"/>
            <rFont val="Tahoma"/>
            <family val="2"/>
          </rPr>
          <t xml:space="preserve">
4 wing</t>
        </r>
      </text>
    </comment>
    <comment ref="AY26" authorId="0" shapeId="0" xr:uid="{A80ACE76-B175-497A-9EAF-EE9E204069C9}">
      <text>
        <r>
          <rPr>
            <b/>
            <sz val="9"/>
            <color indexed="81"/>
            <rFont val="Tahoma"/>
            <family val="2"/>
          </rPr>
          <t>Raj Bridgelall:</t>
        </r>
        <r>
          <rPr>
            <sz val="9"/>
            <color indexed="81"/>
            <rFont val="Tahoma"/>
            <family val="2"/>
          </rPr>
          <t xml:space="preserve">
1 pilot
4 seats
4 baggage@50 lb each.</t>
        </r>
      </text>
    </comment>
    <comment ref="E28" authorId="0" shapeId="0" xr:uid="{74447314-57F3-4C84-9ABB-BDC522DCA9F5}">
      <text>
        <r>
          <rPr>
            <b/>
            <sz val="9"/>
            <color indexed="81"/>
            <rFont val="Tahoma"/>
            <family val="2"/>
          </rPr>
          <t>Raj Bridgelall:</t>
        </r>
        <r>
          <rPr>
            <sz val="9"/>
            <color indexed="81"/>
            <rFont val="Tahoma"/>
            <family val="2"/>
          </rPr>
          <t xml:space="preserve">
2002: various VTOL designs.
2019: eVTOL program started.</t>
        </r>
      </text>
    </comment>
    <comment ref="F28" authorId="1" shapeId="0" xr:uid="{4D5E96BD-17E0-433A-B047-08715D2F1F83}">
      <text>
        <r>
          <rPr>
            <sz val="11"/>
            <color theme="1"/>
            <rFont val="Calibri"/>
            <family val="2"/>
            <scheme val="minor"/>
          </rPr>
          <t>Askarzadeh, Taraneh:
https://www.futureflight.aero/aircraft-program/kari-optionally-piloted-personal-air-vehicle</t>
        </r>
      </text>
    </comment>
    <comment ref="X28" authorId="1" shapeId="0" xr:uid="{DE837C5C-CD18-4164-8B0F-C262D7969A3D}">
      <text>
        <r>
          <rPr>
            <sz val="11"/>
            <color theme="1"/>
            <rFont val="Calibri"/>
            <family val="2"/>
            <scheme val="minor"/>
          </rPr>
          <t xml:space="preserve">Askarzadeh, Taraneh:
https://reader.elsevier.com/reader/sd/pii/S0167610521001343?token=B1732827DB5C96D9176E2976CAB15622EBA1AA92063377C92FC83391A40AD108FE002E16FE6ECC9A77DC48C3A493803F&amp;originRegion=us-east-1&amp;originCreation=20211026203114
</t>
        </r>
      </text>
    </comment>
    <comment ref="AF28" authorId="1" shapeId="0" xr:uid="{4DF52A51-DB50-4BDB-846B-CB978CB3854B}">
      <text>
        <r>
          <rPr>
            <sz val="11"/>
            <color theme="1"/>
            <rFont val="Calibri"/>
            <family val="2"/>
            <scheme val="minor"/>
          </rPr>
          <t xml:space="preserve">Website: https://www.kari.re.kr/eng/sub03_01.do
https://www.youtube.com/watch?v=KPj_LTjUyhM
</t>
        </r>
      </text>
    </comment>
    <comment ref="AG28" authorId="0" shapeId="0" xr:uid="{D86DFD1B-CF16-4384-93BF-F6684E81C43B}">
      <text>
        <r>
          <rPr>
            <b/>
            <sz val="9"/>
            <color indexed="81"/>
            <rFont val="Tahoma"/>
            <family val="2"/>
          </rPr>
          <t>Raj Bridgelall:</t>
        </r>
        <r>
          <rPr>
            <sz val="9"/>
            <color indexed="81"/>
            <rFont val="Tahoma"/>
            <family val="2"/>
          </rPr>
          <t xml:space="preserve">
https://www.sciencedirect.com/science/article/pii/S0167610521001343?via%3Dihub</t>
        </r>
      </text>
    </comment>
    <comment ref="AH28" authorId="0" shapeId="0" xr:uid="{E2017E0A-C376-4B6E-903A-48BF94401878}">
      <text>
        <r>
          <rPr>
            <b/>
            <sz val="9"/>
            <color indexed="81"/>
            <rFont val="Tahoma"/>
            <family val="2"/>
          </rPr>
          <t>Raj Bridgelall:</t>
        </r>
        <r>
          <rPr>
            <sz val="9"/>
            <color indexed="81"/>
            <rFont val="Tahoma"/>
            <family val="2"/>
          </rPr>
          <t xml:space="preserve">
https://www.sciencedirect.com/science/article/pii/S0167610521001343?via%3Dihub</t>
        </r>
      </text>
    </comment>
    <comment ref="AP28" authorId="0" shapeId="0" xr:uid="{252FA7B0-5A9F-43EA-90B1-4083FEFF23BC}">
      <text>
        <r>
          <rPr>
            <b/>
            <sz val="9"/>
            <color indexed="81"/>
            <rFont val="Tahoma"/>
            <family val="2"/>
          </rPr>
          <t>Raj Bridgelall:</t>
        </r>
        <r>
          <rPr>
            <sz val="9"/>
            <color indexed="81"/>
            <rFont val="Tahoma"/>
            <family val="2"/>
          </rPr>
          <t xml:space="preserve">
https://www.kari.re.kr/eng/sub03_01.do</t>
        </r>
      </text>
    </comment>
    <comment ref="AX28" authorId="0" shapeId="0" xr:uid="{FF4F6922-FCC7-4A99-BFF1-C1FEB62C42AF}">
      <text>
        <r>
          <rPr>
            <b/>
            <sz val="9"/>
            <color indexed="81"/>
            <rFont val="Tahoma"/>
            <family val="2"/>
          </rPr>
          <t>Raj Bridgelall:</t>
        </r>
        <r>
          <rPr>
            <sz val="9"/>
            <color indexed="81"/>
            <rFont val="Tahoma"/>
            <family val="2"/>
          </rPr>
          <t xml:space="preserve">
https://www.kari.re.kr/eng/sub03_01.do</t>
        </r>
      </text>
    </comment>
    <comment ref="AY28" authorId="0" shapeId="0" xr:uid="{7C668C8E-02C0-4153-B1E8-54A4507D8D25}">
      <text>
        <r>
          <rPr>
            <b/>
            <sz val="9"/>
            <color indexed="81"/>
            <rFont val="Tahoma"/>
            <family val="2"/>
          </rPr>
          <t>Raj Bridgelall:</t>
        </r>
        <r>
          <rPr>
            <sz val="9"/>
            <color indexed="81"/>
            <rFont val="Tahoma"/>
            <family val="2"/>
          </rPr>
          <t xml:space="preserve">
https://www.kari.re.kr/eng/sub03_01.do</t>
        </r>
      </text>
    </comment>
    <comment ref="BB28" authorId="0" shapeId="0" xr:uid="{31E9D2D5-601C-48E7-B038-A057C9F18B0C}">
      <text>
        <r>
          <rPr>
            <b/>
            <sz val="9"/>
            <color indexed="81"/>
            <rFont val="Tahoma"/>
            <family val="2"/>
          </rPr>
          <t>Raj Bridgelall:</t>
        </r>
        <r>
          <rPr>
            <sz val="9"/>
            <color indexed="81"/>
            <rFont val="Tahoma"/>
            <family val="2"/>
          </rPr>
          <t xml:space="preserve">
https://www.kari.re.kr/eng/sub03_01.do</t>
        </r>
      </text>
    </comment>
    <comment ref="A29" authorId="0" shapeId="0" xr:uid="{11B222B3-E15C-478C-9B81-1485CEE1C9CB}">
      <text>
        <r>
          <rPr>
            <b/>
            <sz val="9"/>
            <color indexed="81"/>
            <rFont val="Tahoma"/>
            <family val="2"/>
          </rPr>
          <t>Raj Bridgelall:</t>
        </r>
        <r>
          <rPr>
            <sz val="9"/>
            <color indexed="81"/>
            <rFont val="Tahoma"/>
            <family val="2"/>
          </rPr>
          <t xml:space="preserve">
Acquired tech from Kitty Hawk and Zee Aero. JV with Boeing, who will merge Aurora into it.</t>
        </r>
      </text>
    </comment>
    <comment ref="AM29" authorId="0" shapeId="0" xr:uid="{48D2E6A7-E53A-46F1-910C-0D92B13E8290}">
      <text>
        <r>
          <rPr>
            <b/>
            <sz val="9"/>
            <color indexed="81"/>
            <rFont val="Tahoma"/>
            <family val="2"/>
          </rPr>
          <t>Raj Bridgelall:</t>
        </r>
        <r>
          <rPr>
            <sz val="9"/>
            <color indexed="81"/>
            <rFont val="Tahoma"/>
            <family val="2"/>
          </rPr>
          <t xml:space="preserve">
4 main wing
4 on inverted U tail
2 rudder on inverted U tail
2 rudders extend down from U</t>
        </r>
      </text>
    </comment>
    <comment ref="AP29" authorId="0" shapeId="0" xr:uid="{B398C1CE-A287-4EA1-931D-ED474B8BEC45}">
      <text>
        <r>
          <rPr>
            <b/>
            <sz val="9"/>
            <color indexed="81"/>
            <rFont val="Tahoma"/>
            <family val="2"/>
          </rPr>
          <t>Raj Bridgelall:</t>
        </r>
        <r>
          <rPr>
            <sz val="9"/>
            <color indexed="81"/>
            <rFont val="Tahoma"/>
            <family val="2"/>
          </rPr>
          <t xml:space="preserve">
AAM says 7.31</t>
        </r>
      </text>
    </comment>
    <comment ref="AW29" authorId="0" shapeId="0" xr:uid="{A375B779-3B0E-43F5-B8E0-51D56BE3EB58}">
      <text>
        <r>
          <rPr>
            <b/>
            <sz val="9"/>
            <color indexed="81"/>
            <rFont val="Tahoma"/>
            <family val="2"/>
          </rPr>
          <t>Raj Bridgelall:</t>
        </r>
        <r>
          <rPr>
            <sz val="9"/>
            <color indexed="81"/>
            <rFont val="Tahoma"/>
            <family val="2"/>
          </rPr>
          <t xml:space="preserve">
1670 lb (http://cafe.foundation/blog/wisk-tests-cora-in-us-new-zealand/)
2800 (https://www.aviationtoday.com/2020/07/02/will-wisks-straight-autonomous-air-taxi-strategy-pay-off/)
</t>
        </r>
      </text>
    </comment>
    <comment ref="BA29" authorId="0" shapeId="0" xr:uid="{5F30E3CA-47EE-4047-8886-2F304D71CD58}">
      <text>
        <r>
          <rPr>
            <b/>
            <sz val="9"/>
            <color indexed="81"/>
            <rFont val="Tahoma"/>
            <family val="2"/>
          </rPr>
          <t>Raj Bridgelall:</t>
        </r>
        <r>
          <rPr>
            <sz val="9"/>
            <color indexed="81"/>
            <rFont val="Tahoma"/>
            <family val="2"/>
          </rPr>
          <t xml:space="preserve">
YT video says 25 miles</t>
        </r>
      </text>
    </comment>
    <comment ref="BD29" authorId="0" shapeId="0" xr:uid="{74A52BE1-5532-47B2-87AE-E1A753FCE4E2}">
      <text>
        <r>
          <rPr>
            <b/>
            <sz val="9"/>
            <color indexed="81"/>
            <rFont val="Tahoma"/>
            <family val="2"/>
          </rPr>
          <t>Raj Bridgelall:</t>
        </r>
        <r>
          <rPr>
            <sz val="9"/>
            <color indexed="81"/>
            <rFont val="Tahoma"/>
            <family val="2"/>
          </rPr>
          <t xml:space="preserve">
YT: 1500-5000 ft
Wiki: 900m (https://en.wikipedia.org/wiki/Wisk_Cora)</t>
        </r>
      </text>
    </comment>
    <comment ref="BH29" authorId="0" shapeId="0" xr:uid="{31F32625-A068-4EFD-86D8-96CFE7DBE1F5}">
      <text>
        <r>
          <rPr>
            <b/>
            <sz val="9"/>
            <color indexed="81"/>
            <rFont val="Tahoma"/>
            <family val="2"/>
          </rPr>
          <t>Raj Bridgelall:</t>
        </r>
        <r>
          <rPr>
            <sz val="9"/>
            <color indexed="81"/>
            <rFont val="Tahoma"/>
            <family val="2"/>
          </rPr>
          <t xml:space="preserve">
https://evtol.news/kitty-hawk-cora/</t>
        </r>
      </text>
    </comment>
    <comment ref="AW30" authorId="0" shapeId="0" xr:uid="{A01A9973-F09D-4C67-8628-47B375D17BE3}">
      <text>
        <r>
          <rPr>
            <b/>
            <sz val="9"/>
            <color indexed="81"/>
            <rFont val="Tahoma"/>
            <family val="2"/>
          </rPr>
          <t>Raj Bridgelall:</t>
        </r>
        <r>
          <rPr>
            <sz val="9"/>
            <color indexed="81"/>
            <rFont val="Tahoma"/>
            <family val="2"/>
          </rPr>
          <t xml:space="preserve">
https://wing.com/how-it-works/</t>
        </r>
      </text>
    </comment>
    <comment ref="A31" authorId="2" shapeId="0" xr:uid="{AA58AA18-2409-4FED-A53F-CC3C95657E66}">
      <text>
        <r>
          <rPr>
            <b/>
            <sz val="9"/>
            <color indexed="81"/>
            <rFont val="Tahoma"/>
            <family val="2"/>
          </rPr>
          <t>Taraneh:</t>
        </r>
        <r>
          <rPr>
            <sz val="9"/>
            <color indexed="81"/>
            <rFont val="Tahoma"/>
            <family val="2"/>
          </rPr>
          <t xml:space="preserve">
https://horyzn.org/silencio/</t>
        </r>
      </text>
    </comment>
    <comment ref="P31" authorId="0" shapeId="0" xr:uid="{745280A4-5862-4029-B4F9-0FDBE396AD33}">
      <text>
        <r>
          <rPr>
            <b/>
            <sz val="9"/>
            <color indexed="81"/>
            <rFont val="Tahoma"/>
            <family val="2"/>
          </rPr>
          <t>Raj Bridgelall:</t>
        </r>
        <r>
          <rPr>
            <sz val="9"/>
            <color indexed="81"/>
            <rFont val="Tahoma"/>
            <family val="2"/>
          </rPr>
          <t xml:space="preserve">
https://horyzn.org/silencio/
Carbon fiber reinforced polymer (CFRP) + Glass fiber reinforced polymer (GRRP) + Ply and Balsa wood + 3D printed booms.</t>
        </r>
      </text>
    </comment>
    <comment ref="AF31" authorId="0" shapeId="0" xr:uid="{BC7155C0-0C70-4B6A-9446-D5A18C25CE90}">
      <text>
        <r>
          <rPr>
            <b/>
            <sz val="9"/>
            <color indexed="81"/>
            <rFont val="Tahoma"/>
            <family val="2"/>
          </rPr>
          <t>Raj Bridgelall:</t>
        </r>
        <r>
          <rPr>
            <sz val="9"/>
            <color indexed="81"/>
            <rFont val="Tahoma"/>
            <family val="2"/>
          </rPr>
          <t xml:space="preserve">
https://horyzn.org/silencio/</t>
        </r>
      </text>
    </comment>
    <comment ref="AP31" authorId="0" shapeId="0" xr:uid="{21E44C0B-F890-42B4-9ED2-F4DE32A7B5B7}">
      <text>
        <r>
          <rPr>
            <b/>
            <sz val="9"/>
            <color indexed="81"/>
            <rFont val="Tahoma"/>
            <family val="2"/>
          </rPr>
          <t>Raj Bridgelall:</t>
        </r>
        <r>
          <rPr>
            <sz val="9"/>
            <color indexed="81"/>
            <rFont val="Tahoma"/>
            <family val="2"/>
          </rPr>
          <t xml:space="preserve">
https://horyzn.org/silencio/</t>
        </r>
      </text>
    </comment>
    <comment ref="AR31" authorId="0" shapeId="0" xr:uid="{57D746F7-3760-4375-BFD6-D0F4F2FF29CE}">
      <text>
        <r>
          <rPr>
            <b/>
            <sz val="9"/>
            <color indexed="81"/>
            <rFont val="Tahoma"/>
            <family val="2"/>
          </rPr>
          <t>Raj Bridgelall:</t>
        </r>
        <r>
          <rPr>
            <sz val="9"/>
            <color indexed="81"/>
            <rFont val="Tahoma"/>
            <family val="2"/>
          </rPr>
          <t xml:space="preserve">
https://horyzn.org/silencio/</t>
        </r>
      </text>
    </comment>
    <comment ref="AX31" authorId="0" shapeId="0" xr:uid="{49C5C470-09D3-4FA5-9417-1C26421999C3}">
      <text>
        <r>
          <rPr>
            <b/>
            <sz val="9"/>
            <color indexed="81"/>
            <rFont val="Tahoma"/>
            <family val="2"/>
          </rPr>
          <t>Raj Bridgelall:</t>
        </r>
        <r>
          <rPr>
            <sz val="9"/>
            <color indexed="81"/>
            <rFont val="Tahoma"/>
            <family val="2"/>
          </rPr>
          <t xml:space="preserve">
https://horyzn.org/silencio/</t>
        </r>
      </text>
    </comment>
    <comment ref="AY31" authorId="0" shapeId="0" xr:uid="{34D1379F-7B9F-4378-91DF-A6453D11162B}">
      <text>
        <r>
          <rPr>
            <b/>
            <sz val="9"/>
            <color indexed="81"/>
            <rFont val="Tahoma"/>
            <family val="2"/>
          </rPr>
          <t>Raj Bridgelall:</t>
        </r>
        <r>
          <rPr>
            <sz val="9"/>
            <color indexed="81"/>
            <rFont val="Tahoma"/>
            <family val="2"/>
          </rPr>
          <t xml:space="preserve">
https://horyzn.org/silencio/</t>
        </r>
      </text>
    </comment>
    <comment ref="BA31" authorId="0" shapeId="0" xr:uid="{FDCAB842-22B5-4DAB-8880-165BFDFBF0E1}">
      <text>
        <r>
          <rPr>
            <b/>
            <sz val="9"/>
            <color indexed="81"/>
            <rFont val="Tahoma"/>
            <family val="2"/>
          </rPr>
          <t>Raj Bridgelall:</t>
        </r>
        <r>
          <rPr>
            <sz val="9"/>
            <color indexed="81"/>
            <rFont val="Tahoma"/>
            <family val="2"/>
          </rPr>
          <t xml:space="preserve">
https://horyzn.org/silencio/</t>
        </r>
      </text>
    </comment>
    <comment ref="BD31" authorId="0" shapeId="0" xr:uid="{B6C85411-1FE9-4642-AF26-95B5685DC840}">
      <text>
        <r>
          <rPr>
            <b/>
            <sz val="9"/>
            <color indexed="81"/>
            <rFont val="Tahoma"/>
            <family val="2"/>
          </rPr>
          <t>Raj Bridgelall:</t>
        </r>
        <r>
          <rPr>
            <sz val="9"/>
            <color indexed="81"/>
            <rFont val="Tahoma"/>
            <family val="2"/>
          </rPr>
          <t xml:space="preserve">
https://horyzn.org/silencio/</t>
        </r>
      </text>
    </comment>
    <comment ref="BH31" authorId="0" shapeId="0" xr:uid="{C488B219-66CF-4335-B071-C877FA82430A}">
      <text>
        <r>
          <rPr>
            <b/>
            <sz val="9"/>
            <color indexed="81"/>
            <rFont val="Tahoma"/>
            <family val="2"/>
          </rPr>
          <t>Raj Bridgelall:</t>
        </r>
        <r>
          <rPr>
            <sz val="9"/>
            <color indexed="81"/>
            <rFont val="Tahoma"/>
            <family val="2"/>
          </rPr>
          <t xml:space="preserve">
https://horyzn.org/silencio/</t>
        </r>
      </text>
    </comment>
    <comment ref="BJ31" authorId="0" shapeId="0" xr:uid="{7F9DEB00-0927-46B2-8439-B39333D998BB}">
      <text>
        <r>
          <rPr>
            <b/>
            <sz val="9"/>
            <color indexed="81"/>
            <rFont val="Tahoma"/>
            <family val="2"/>
          </rPr>
          <t>Raj Bridgelall:</t>
        </r>
        <r>
          <rPr>
            <sz val="9"/>
            <color indexed="81"/>
            <rFont val="Tahoma"/>
            <family val="2"/>
          </rPr>
          <t xml:space="preserve">
https://horyzn.org/silencio/</t>
        </r>
      </text>
    </comment>
    <comment ref="A32" authorId="0" shapeId="0" xr:uid="{A7711D21-8631-4BE8-B183-0AC1BC2A8AE3}">
      <text>
        <r>
          <rPr>
            <b/>
            <sz val="9"/>
            <color indexed="81"/>
            <rFont val="Tahoma"/>
            <family val="2"/>
          </rPr>
          <t>Raj Bridgelall:</t>
        </r>
        <r>
          <rPr>
            <sz val="9"/>
            <color indexed="81"/>
            <rFont val="Tahoma"/>
            <family val="2"/>
          </rPr>
          <t xml:space="preserve">
https://evtol.news/airbus-cityairbus-nextgen
https://robbreport.com/motors/aviation/worlds-biggest-aircraft-manufacturer-evtols-1234642889/amp/</t>
        </r>
      </text>
    </comment>
    <comment ref="X32" authorId="0" shapeId="0" xr:uid="{A81C0079-9A62-4204-8917-12AE13D0DB6F}">
      <text>
        <r>
          <rPr>
            <b/>
            <sz val="9"/>
            <color indexed="81"/>
            <rFont val="Tahoma"/>
            <family val="2"/>
          </rPr>
          <t>Raj Bridgelall:</t>
        </r>
        <r>
          <rPr>
            <sz val="9"/>
            <color indexed="81"/>
            <rFont val="Tahoma"/>
            <family val="2"/>
          </rPr>
          <t xml:space="preserve">
https://en.wikipedia.org/wiki/Airbus_CityAirbus</t>
        </r>
      </text>
    </comment>
    <comment ref="AF32" authorId="0" shapeId="0" xr:uid="{5E2611FE-C9C9-4326-A243-8705524E9C09}">
      <text>
        <r>
          <rPr>
            <b/>
            <sz val="9"/>
            <color indexed="81"/>
            <rFont val="Tahoma"/>
            <family val="2"/>
          </rPr>
          <t>Raj Bridgelall:</t>
        </r>
        <r>
          <rPr>
            <sz val="9"/>
            <color indexed="81"/>
            <rFont val="Tahoma"/>
            <family val="2"/>
          </rPr>
          <t xml:space="preserve">
https://en.wikipedia.org/wiki/Airbus_CityAirbus</t>
        </r>
      </text>
    </comment>
    <comment ref="AP32" authorId="0" shapeId="0" xr:uid="{D6C67297-CE92-46F8-ABFE-37DAEDC0888A}">
      <text>
        <r>
          <rPr>
            <b/>
            <sz val="9"/>
            <color indexed="81"/>
            <rFont val="Tahoma"/>
            <family val="2"/>
          </rPr>
          <t>Raj Bridgelall:</t>
        </r>
        <r>
          <rPr>
            <sz val="9"/>
            <color indexed="81"/>
            <rFont val="Tahoma"/>
            <family val="2"/>
          </rPr>
          <t xml:space="preserve">
https://en.wikipedia.org/wiki/Airbus_CityAirbus</t>
        </r>
      </text>
    </comment>
    <comment ref="AX32" authorId="0" shapeId="0" xr:uid="{FF2F5239-062F-4A24-AA68-AA236B671BDF}">
      <text>
        <r>
          <rPr>
            <b/>
            <sz val="9"/>
            <color indexed="81"/>
            <rFont val="Tahoma"/>
            <family val="2"/>
          </rPr>
          <t>Raj Bridgelall:</t>
        </r>
        <r>
          <rPr>
            <sz val="9"/>
            <color indexed="81"/>
            <rFont val="Tahoma"/>
            <family val="2"/>
          </rPr>
          <t xml:space="preserve">
2 ton class
https://robbreport.com/motors/aviation/worlds-biggest-aircraft-manufacturer-evtols-1234642889/amp/
https://en.wikipedia.org/wiki/Airbus_CityAirbus</t>
        </r>
      </text>
    </comment>
    <comment ref="AY32" authorId="0" shapeId="0" xr:uid="{7478DECA-97F8-4B46-9595-FDDD23337630}">
      <text>
        <r>
          <rPr>
            <b/>
            <sz val="9"/>
            <color indexed="81"/>
            <rFont val="Tahoma"/>
            <family val="2"/>
          </rPr>
          <t>Raj Bridgelall:</t>
        </r>
        <r>
          <rPr>
            <sz val="9"/>
            <color indexed="81"/>
            <rFont val="Tahoma"/>
            <family val="2"/>
          </rPr>
          <t xml:space="preserve">
https://en.wikipedia.org/wiki/Airbus_CityAirbus</t>
        </r>
      </text>
    </comment>
    <comment ref="BH32" authorId="0" shapeId="0" xr:uid="{8C261922-173A-430D-AD2E-2AEA4545F2A2}">
      <text>
        <r>
          <rPr>
            <b/>
            <sz val="9"/>
            <color indexed="81"/>
            <rFont val="Tahoma"/>
            <family val="2"/>
          </rPr>
          <t>Raj Bridgelall:</t>
        </r>
        <r>
          <rPr>
            <sz val="9"/>
            <color indexed="81"/>
            <rFont val="Tahoma"/>
            <family val="2"/>
          </rPr>
          <t xml:space="preserve">
Wiki: https://en.wikipedia.org/wiki/Airbus_CityAirbus (15 min)
Calculation: 40 min</t>
        </r>
      </text>
    </comment>
    <comment ref="BJ32" authorId="0" shapeId="0" xr:uid="{82ACB768-A7D8-4DEC-ABD3-FCBC1B5888C9}">
      <text>
        <r>
          <rPr>
            <b/>
            <sz val="9"/>
            <color indexed="81"/>
            <rFont val="Tahoma"/>
            <family val="2"/>
          </rPr>
          <t>Raj Bridgelall:</t>
        </r>
        <r>
          <rPr>
            <sz val="9"/>
            <color indexed="81"/>
            <rFont val="Tahoma"/>
            <family val="2"/>
          </rPr>
          <t xml:space="preserve">
https://en.wikipedia.org/wiki/Airbus_CityAirbus</t>
        </r>
      </text>
    </comment>
    <comment ref="A33" authorId="0" shapeId="0" xr:uid="{BD184587-CEF3-4136-835C-BFA62BAB876F}">
      <text>
        <r>
          <rPr>
            <b/>
            <sz val="9"/>
            <color indexed="81"/>
            <rFont val="Tahoma"/>
            <family val="2"/>
          </rPr>
          <t>Raj Bridgelall:</t>
        </r>
        <r>
          <rPr>
            <sz val="9"/>
            <color indexed="81"/>
            <rFont val="Tahoma"/>
            <family val="2"/>
          </rPr>
          <t xml:space="preserve">
Above green line was processed/verified</t>
        </r>
      </text>
    </comment>
    <comment ref="A35" authorId="2" shapeId="0" xr:uid="{AF87E472-9E4E-4EF6-90CC-E144FB6C854D}">
      <text>
        <r>
          <rPr>
            <b/>
            <sz val="9"/>
            <color indexed="81"/>
            <rFont val="Tahoma"/>
            <family val="2"/>
          </rPr>
          <t>Taraneh:</t>
        </r>
        <r>
          <rPr>
            <sz val="9"/>
            <color indexed="81"/>
            <rFont val="Tahoma"/>
            <family val="2"/>
          </rPr>
          <t xml:space="preserve">
Different data for all features in EVD and:
https://newatlas.com/aircraft/samad-aerospace-evtol-starling-progress/
https://www.samadaerospace.com/starling-cargo/</t>
        </r>
      </text>
    </comment>
    <comment ref="BB35" authorId="2" shapeId="0" xr:uid="{503DA40E-F04E-4BA9-A17E-CF4983339CA8}">
      <text>
        <r>
          <rPr>
            <b/>
            <sz val="9"/>
            <color indexed="81"/>
            <rFont val="Tahoma"/>
            <family val="2"/>
          </rPr>
          <t>Taraneh:</t>
        </r>
        <r>
          <rPr>
            <sz val="9"/>
            <color indexed="81"/>
            <rFont val="Tahoma"/>
            <family val="2"/>
          </rPr>
          <t xml:space="preserve">
Different data in EVD and:
https://newatlas.com/aircraft/samad-aerospace-evtol-starling-progress/
https://www.samadaerospace.com/starling-cargo/</t>
        </r>
      </text>
    </comment>
    <comment ref="G36" authorId="2" shapeId="0" xr:uid="{FDE9BF04-0114-4A35-86D2-E0D3CFF0D2DD}">
      <text>
        <r>
          <rPr>
            <b/>
            <sz val="9"/>
            <color indexed="81"/>
            <rFont val="Tahoma"/>
            <family val="2"/>
          </rPr>
          <t>Taraneh:</t>
        </r>
        <r>
          <rPr>
            <sz val="9"/>
            <color indexed="81"/>
            <rFont val="Tahoma"/>
            <family val="2"/>
          </rPr>
          <t xml:space="preserve">
https://www.luxuriousmagazine.com/samad-aerospace-estarling/</t>
        </r>
      </text>
    </comment>
    <comment ref="L36" authorId="2" shapeId="0" xr:uid="{68563670-D414-45C1-9EA2-94F93F2A566F}">
      <text>
        <r>
          <rPr>
            <b/>
            <sz val="9"/>
            <color indexed="81"/>
            <rFont val="Tahoma"/>
            <family val="2"/>
          </rPr>
          <t>Taraneh:</t>
        </r>
        <r>
          <rPr>
            <sz val="9"/>
            <color indexed="81"/>
            <rFont val="Tahoma"/>
            <family val="2"/>
          </rPr>
          <t xml:space="preserve">
https://www.flightglobal.com/news/samad-readies-half-scale-e-starling-for-september-maiden-sortie/139846.article
</t>
        </r>
      </text>
    </comment>
    <comment ref="A37" authorId="2" shapeId="0" xr:uid="{F57618D5-C3DD-40B3-B14C-1840B553CC98}">
      <text>
        <r>
          <rPr>
            <b/>
            <sz val="9"/>
            <color indexed="81"/>
            <rFont val="Tahoma"/>
            <family val="2"/>
          </rPr>
          <t>Taraneh:</t>
        </r>
        <r>
          <rPr>
            <sz val="9"/>
            <color indexed="81"/>
            <rFont val="Tahoma"/>
            <family val="2"/>
          </rPr>
          <t xml:space="preserve">
https://www.leapaero.com/#lastPage</t>
        </r>
      </text>
    </comment>
    <comment ref="A39" authorId="2" shapeId="0" xr:uid="{5FC75124-5E5A-4A68-8CA8-69A97820E8BC}">
      <text>
        <r>
          <rPr>
            <b/>
            <sz val="9"/>
            <color indexed="81"/>
            <rFont val="Tahoma"/>
            <family val="2"/>
          </rPr>
          <t>Taraneh:</t>
        </r>
        <r>
          <rPr>
            <sz val="9"/>
            <color indexed="81"/>
            <rFont val="Tahoma"/>
            <family val="2"/>
          </rPr>
          <t xml:space="preserve">
https://www.behance.net/gallery/81717239/ecotrip-the-first-all-terrain-vehicle?ilo0=1</t>
        </r>
      </text>
    </comment>
    <comment ref="BA41" authorId="0" shapeId="0" xr:uid="{6D2F3604-379D-4A38-B6F7-8238428A4558}">
      <text>
        <r>
          <rPr>
            <b/>
            <sz val="9"/>
            <color indexed="81"/>
            <rFont val="Tahoma"/>
            <family val="2"/>
          </rPr>
          <t>Raj Bridgelall:</t>
        </r>
        <r>
          <rPr>
            <sz val="9"/>
            <color indexed="81"/>
            <rFont val="Tahoma"/>
            <family val="2"/>
          </rPr>
          <t xml:space="preserve">
https://www.autoflight.com/001/showproduct.php?id=80</t>
        </r>
      </text>
    </comment>
    <comment ref="AX42" authorId="0" shapeId="0" xr:uid="{3E45D003-28E9-484D-AB68-727F8C533E78}">
      <text>
        <r>
          <rPr>
            <b/>
            <sz val="9"/>
            <color indexed="81"/>
            <rFont val="Tahoma"/>
            <family val="2"/>
          </rPr>
          <t>Raj Bridgelall:</t>
        </r>
        <r>
          <rPr>
            <sz val="9"/>
            <color indexed="81"/>
            <rFont val="Tahoma"/>
            <family val="2"/>
          </rPr>
          <t xml:space="preserve">
Est. from Y6S payload ratio.</t>
        </r>
      </text>
    </comment>
    <comment ref="C43" authorId="0" shapeId="0" xr:uid="{62165F1A-3B98-4AB1-B1D5-502882E0CF30}">
      <text>
        <r>
          <rPr>
            <b/>
            <sz val="9"/>
            <color indexed="81"/>
            <rFont val="Tahoma"/>
            <family val="2"/>
          </rPr>
          <t>Raj Bridgelall:</t>
        </r>
        <r>
          <rPr>
            <sz val="9"/>
            <color indexed="81"/>
            <rFont val="Tahoma"/>
            <family val="2"/>
          </rPr>
          <t xml:space="preserve">
Winged. Rotors do not tilt.</t>
        </r>
      </text>
    </comment>
    <comment ref="G43" authorId="0" shapeId="0" xr:uid="{AAB5A588-A9D7-45E7-9C67-73F177DD204D}">
      <text>
        <r>
          <rPr>
            <b/>
            <sz val="9"/>
            <color indexed="81"/>
            <rFont val="Tahoma"/>
            <family val="2"/>
          </rPr>
          <t>Raj Bridgelall:</t>
        </r>
        <r>
          <rPr>
            <sz val="9"/>
            <color indexed="81"/>
            <rFont val="Tahoma"/>
            <family val="2"/>
          </rPr>
          <t xml:space="preserve">
https://www.reuters.com/technology/israeli-startup-air-unveils-flying-vehicle-be-used-like-cars-2021-10-19/</t>
        </r>
      </text>
    </comment>
    <comment ref="H43" authorId="0" shapeId="0" xr:uid="{D5CD4898-94E1-4C97-8E2A-7EE5E900DE80}">
      <text>
        <r>
          <rPr>
            <b/>
            <sz val="9"/>
            <color indexed="81"/>
            <rFont val="Tahoma"/>
            <family val="2"/>
          </rPr>
          <t>Raj Bridgelall:</t>
        </r>
        <r>
          <rPr>
            <sz val="9"/>
            <color indexed="81"/>
            <rFont val="Tahoma"/>
            <family val="2"/>
          </rPr>
          <t xml:space="preserve">
https://www.reuters.com/technology/israeli-startup-air-unveils-flying-vehicle-be-used-like-cars-2021-10-19/</t>
        </r>
      </text>
    </comment>
    <comment ref="AD43" authorId="0" shapeId="0" xr:uid="{F1AD5570-1231-4292-87E7-F0403F2D6008}">
      <text>
        <r>
          <rPr>
            <b/>
            <sz val="9"/>
            <color indexed="81"/>
            <rFont val="Tahoma"/>
            <family val="2"/>
          </rPr>
          <t>Raj Bridgelall:</t>
        </r>
        <r>
          <rPr>
            <sz val="9"/>
            <color indexed="81"/>
            <rFont val="Tahoma"/>
            <family val="2"/>
          </rPr>
          <t xml:space="preserve">
Wings fold for parking.</t>
        </r>
      </text>
    </comment>
    <comment ref="AL43" authorId="1" shapeId="0" xr:uid="{38C91715-A111-4340-A0C0-FB2A91AD1CC3}">
      <text>
        <r>
          <rPr>
            <sz val="11"/>
            <color theme="1"/>
            <rFont val="Calibri"/>
            <family val="2"/>
            <scheme val="minor"/>
          </rPr>
          <t>Askarzadeh, Taraneh:
https://www.futureflight.aero/news-article/2021-10-15/air-one-evtol-lures-owner-flown-customers-fly-intent-simplicity</t>
        </r>
      </text>
    </comment>
    <comment ref="AT43" authorId="1" shapeId="0" xr:uid="{99B4D6A5-0D2A-4651-8F75-60CDD9CC6855}">
      <text>
        <r>
          <rPr>
            <sz val="11"/>
            <color theme="1"/>
            <rFont val="Calibri"/>
            <family val="2"/>
            <scheme val="minor"/>
          </rPr>
          <t>Askarzadeh, Taraneh:
https://newatlas.com/aircraft/air-one-personal-evtol/</t>
        </r>
      </text>
    </comment>
    <comment ref="AW43" authorId="0" shapeId="0" xr:uid="{F42248EF-D145-4257-AE75-C408A97B2AA5}">
      <text>
        <r>
          <rPr>
            <b/>
            <sz val="9"/>
            <color indexed="81"/>
            <rFont val="Tahoma"/>
            <family val="2"/>
          </rPr>
          <t>Raj Bridgelall:</t>
        </r>
        <r>
          <rPr>
            <sz val="9"/>
            <color indexed="81"/>
            <rFont val="Tahoma"/>
            <family val="2"/>
          </rPr>
          <t xml:space="preserve">
970 kg
https://www.reuters.com/technology/israeli-startup-air-unveils-flying-vehicle-be-used-like-cars-2021-10-19/</t>
        </r>
      </text>
    </comment>
    <comment ref="BA43" authorId="0" shapeId="0" xr:uid="{BF6B3337-745F-41B7-8DFB-EAFE00D97099}">
      <text>
        <r>
          <rPr>
            <b/>
            <sz val="9"/>
            <color indexed="81"/>
            <rFont val="Tahoma"/>
            <family val="2"/>
          </rPr>
          <t>Raj Bridgelall:</t>
        </r>
        <r>
          <rPr>
            <sz val="9"/>
            <color indexed="81"/>
            <rFont val="Tahoma"/>
            <family val="2"/>
          </rPr>
          <t xml:space="preserve">
Max Range: 110 miles (https://www.airev.aero/)
</t>
        </r>
      </text>
    </comment>
    <comment ref="BB43" authorId="0" shapeId="0" xr:uid="{3E47B3A3-C5D7-44CB-8503-81255A70B509}">
      <text>
        <r>
          <rPr>
            <b/>
            <sz val="9"/>
            <color indexed="81"/>
            <rFont val="Tahoma"/>
            <family val="2"/>
          </rPr>
          <t>Raj Bridgelall:</t>
        </r>
        <r>
          <rPr>
            <sz val="9"/>
            <color indexed="81"/>
            <rFont val="Tahoma"/>
            <family val="2"/>
          </rPr>
          <t xml:space="preserve">
Max Speed: 155 mph (https://www.airev.aero/)
</t>
        </r>
      </text>
    </comment>
    <comment ref="BH43" authorId="0" shapeId="0" xr:uid="{FD7FD9BE-566B-4847-9286-17170C51EC0B}">
      <text>
        <r>
          <rPr>
            <b/>
            <sz val="9"/>
            <color indexed="81"/>
            <rFont val="Tahoma"/>
            <family val="2"/>
          </rPr>
          <t>Raj Bridgelall:</t>
        </r>
        <r>
          <rPr>
            <sz val="9"/>
            <color indexed="81"/>
            <rFont val="Tahoma"/>
            <family val="2"/>
          </rPr>
          <t xml:space="preserve">
Single Charge Flight Time 1 hour,  (https://www.airev.aero/)</t>
        </r>
      </text>
    </comment>
    <comment ref="BI43" authorId="0" shapeId="0" xr:uid="{DD60537E-7307-45FC-823F-C682B8018021}">
      <text>
        <r>
          <rPr>
            <b/>
            <sz val="9"/>
            <color indexed="81"/>
            <rFont val="Tahoma"/>
            <family val="2"/>
          </rPr>
          <t>Raj Bridgelall:</t>
        </r>
        <r>
          <rPr>
            <sz val="9"/>
            <color indexed="81"/>
            <rFont val="Tahoma"/>
            <family val="2"/>
          </rPr>
          <t xml:space="preserve">
All battery
771 hp (https://www.airev.aero/)</t>
        </r>
      </text>
    </comment>
    <comment ref="A45" authorId="0" shapeId="0" xr:uid="{BAF7F004-839E-4CCA-8F14-68450EDBAFD9}">
      <text>
        <r>
          <rPr>
            <b/>
            <sz val="9"/>
            <color indexed="81"/>
            <rFont val="Tahoma"/>
            <family val="2"/>
          </rPr>
          <t>Raj Bridgelall:</t>
        </r>
        <r>
          <rPr>
            <sz val="9"/>
            <color indexed="81"/>
            <rFont val="Tahoma"/>
            <family val="2"/>
          </rPr>
          <t xml:space="preserve">
https://www.futureflight.aero/news-article/2021-03-03/baaz-unveils-plans-folding-wing-evtol-aircraft-ducted-propellers
</t>
        </r>
      </text>
    </comment>
    <comment ref="F45" authorId="0" shapeId="0" xr:uid="{2FE8AC66-DA68-4793-8E7F-BE0EF095ABB5}">
      <text>
        <r>
          <rPr>
            <b/>
            <sz val="9"/>
            <color indexed="81"/>
            <rFont val="Tahoma"/>
            <family val="2"/>
          </rPr>
          <t>Raj Bridgelall:</t>
        </r>
        <r>
          <rPr>
            <sz val="9"/>
            <color indexed="81"/>
            <rFont val="Tahoma"/>
            <family val="2"/>
          </rPr>
          <t xml:space="preserve">
https://www.futureflight.aero/aircraft-program/baaz-b5</t>
        </r>
      </text>
    </comment>
    <comment ref="Q45" authorId="0" shapeId="0" xr:uid="{D9A45017-CA3D-4890-B242-7329F1C101DE}">
      <text>
        <r>
          <rPr>
            <b/>
            <sz val="9"/>
            <color indexed="81"/>
            <rFont val="Tahoma"/>
            <family val="2"/>
          </rPr>
          <t>Raj Bridgelall:</t>
        </r>
        <r>
          <rPr>
            <sz val="9"/>
            <color indexed="81"/>
            <rFont val="Tahoma"/>
            <family val="2"/>
          </rPr>
          <t xml:space="preserve">
4 ducted with dual rotors
1 enclosued in fuselage.</t>
        </r>
      </text>
    </comment>
    <comment ref="AM45" authorId="0" shapeId="0" xr:uid="{0EDCA956-CDBF-44A7-83BC-D1A77B0F13E3}">
      <text>
        <r>
          <rPr>
            <b/>
            <sz val="9"/>
            <color indexed="81"/>
            <rFont val="Tahoma"/>
            <family val="2"/>
          </rPr>
          <t>Raj Bridgelall:</t>
        </r>
        <r>
          <rPr>
            <sz val="9"/>
            <color indexed="81"/>
            <rFont val="Tahoma"/>
            <family val="2"/>
          </rPr>
          <t xml:space="preserve">
Video:
https://www.baaz-flight.com/
</t>
        </r>
      </text>
    </comment>
    <comment ref="AA46" authorId="0" shapeId="0" xr:uid="{413E819D-70F8-417A-B56D-1F46110A09BF}">
      <text>
        <r>
          <rPr>
            <b/>
            <sz val="9"/>
            <color indexed="81"/>
            <rFont val="Tahoma"/>
            <family val="2"/>
          </rPr>
          <t>Raj Bridgelall:</t>
        </r>
        <r>
          <rPr>
            <sz val="9"/>
            <color indexed="81"/>
            <rFont val="Tahoma"/>
            <family val="2"/>
          </rPr>
          <t xml:space="preserve">
https://youtu.be/mGz_QKbNm18</t>
        </r>
      </text>
    </comment>
    <comment ref="AT46" authorId="0" shapeId="0" xr:uid="{24C5B996-4EAB-4E4A-862C-F34B1852F855}">
      <text>
        <r>
          <rPr>
            <b/>
            <sz val="9"/>
            <color indexed="81"/>
            <rFont val="Tahoma"/>
            <family val="2"/>
          </rPr>
          <t>Raj Bridgelall:</t>
        </r>
        <r>
          <rPr>
            <sz val="9"/>
            <color indexed="81"/>
            <rFont val="Tahoma"/>
            <family val="2"/>
          </rPr>
          <t xml:space="preserve">
https://www.flyingmag.com/deloreans-dr-7-prototype-could-fly-in-late-2018/</t>
        </r>
      </text>
    </comment>
    <comment ref="AS47" authorId="0" shapeId="0" xr:uid="{55C2C263-919E-48DC-946F-9465B602CA37}">
      <text>
        <r>
          <rPr>
            <b/>
            <sz val="9"/>
            <color indexed="81"/>
            <rFont val="Tahoma"/>
            <family val="2"/>
          </rPr>
          <t>Raj Bridgelall:</t>
        </r>
        <r>
          <rPr>
            <sz val="9"/>
            <color indexed="81"/>
            <rFont val="Tahoma"/>
            <family val="2"/>
          </rPr>
          <t xml:space="preserve">
Est. from pic:
https://news.e-flight-journal.com/?m=202109
</t>
        </r>
      </text>
    </comment>
    <comment ref="AY47" authorId="0" shapeId="0" xr:uid="{D05FD3E8-4500-4809-A071-6931FD687B00}">
      <text>
        <r>
          <rPr>
            <b/>
            <sz val="9"/>
            <color indexed="81"/>
            <rFont val="Tahoma"/>
            <family val="2"/>
          </rPr>
          <t>Raj Bridgelall:</t>
        </r>
        <r>
          <rPr>
            <sz val="9"/>
            <color indexed="81"/>
            <rFont val="Tahoma"/>
            <family val="2"/>
          </rPr>
          <t xml:space="preserve">
EVD and
https://news.e-flight-journal.com/?m=202109</t>
        </r>
      </text>
    </comment>
    <comment ref="A48" authorId="0" shapeId="0" xr:uid="{B366EC70-14A6-4C1E-9CCF-F35E4D464F54}">
      <text>
        <r>
          <rPr>
            <b/>
            <sz val="9"/>
            <color indexed="81"/>
            <rFont val="Tahoma"/>
            <family val="2"/>
          </rPr>
          <t>Raj Bridgelall:</t>
        </r>
        <r>
          <rPr>
            <sz val="9"/>
            <color indexed="81"/>
            <rFont val="Tahoma"/>
            <family val="2"/>
          </rPr>
          <t xml:space="preserve">
https://newatlas.com/aircraft/tetra-mk5-evtol-video/?itm_source=newatlas&amp;itm_medium=article-body</t>
        </r>
      </text>
    </comment>
    <comment ref="A49" authorId="0" shapeId="0" xr:uid="{C14C3988-A02F-4D8C-A2FC-2F7B6E7EEBF0}">
      <text>
        <r>
          <rPr>
            <b/>
            <sz val="9"/>
            <color indexed="81"/>
            <rFont val="Tahoma"/>
            <family val="2"/>
          </rPr>
          <t>Raj Bridgelall:</t>
        </r>
        <r>
          <rPr>
            <sz val="9"/>
            <color indexed="81"/>
            <rFont val="Tahoma"/>
            <family val="2"/>
          </rPr>
          <t xml:space="preserve">
https://newatlas.com/aircraft/aska-flying-car-street-legal-evtol/?itm_source=newatlas&amp;itm_medium=article-body</t>
        </r>
      </text>
    </comment>
    <comment ref="A50" authorId="0" shapeId="0" xr:uid="{64F846B9-B3CF-4DAF-B575-76FDED0A9C91}">
      <text>
        <r>
          <rPr>
            <b/>
            <sz val="9"/>
            <color indexed="81"/>
            <rFont val="Tahoma"/>
            <family val="2"/>
          </rPr>
          <t>Raj Bridgelall:</t>
        </r>
        <r>
          <rPr>
            <sz val="9"/>
            <color indexed="81"/>
            <rFont val="Tahoma"/>
            <family val="2"/>
          </rPr>
          <t xml:space="preserve">
https://newatlas.com/aircraft/next-uas-ifly-self-own-evtol/?itm_source=newatlas&amp;itm_medium=article-body</t>
        </r>
      </text>
    </comment>
    <comment ref="A51" authorId="0" shapeId="0" xr:uid="{6C02C614-F637-4BAC-B02E-35749A3F818C}">
      <text>
        <r>
          <rPr>
            <b/>
            <sz val="9"/>
            <color indexed="81"/>
            <rFont val="Tahoma"/>
            <family val="2"/>
          </rPr>
          <t>Raj Bridgelall:</t>
        </r>
        <r>
          <rPr>
            <sz val="9"/>
            <color indexed="81"/>
            <rFont val="Tahoma"/>
            <family val="2"/>
          </rPr>
          <t xml:space="preserve">
https://newatlas.com/aircraft/urban-evtol-leo-air-hypercar/?itm_source=newatlas&amp;itm_medium=article-body</t>
        </r>
      </text>
    </comment>
    <comment ref="P53" authorId="2" shapeId="0" xr:uid="{A4205A92-F299-4194-8AAE-78D4A5C7D9AC}">
      <text>
        <r>
          <rPr>
            <b/>
            <sz val="9"/>
            <color indexed="81"/>
            <rFont val="Tahoma"/>
            <family val="2"/>
          </rPr>
          <t>Taraneh:</t>
        </r>
        <r>
          <rPr>
            <sz val="9"/>
            <color indexed="81"/>
            <rFont val="Tahoma"/>
            <family val="2"/>
          </rPr>
          <t xml:space="preserve">
https://www.researchgate.net/publication/348238503_Design_and_Fabrication_of_the_LA-8_Distributed_Electric_Propulsion_VTOL_Testbed</t>
        </r>
      </text>
    </comment>
    <comment ref="AI53" authorId="2" shapeId="0" xr:uid="{E7F5755E-74BD-4706-9428-2689801015D5}">
      <text>
        <r>
          <rPr>
            <b/>
            <sz val="9"/>
            <color indexed="81"/>
            <rFont val="Tahoma"/>
            <family val="2"/>
          </rPr>
          <t>Taraneh:</t>
        </r>
        <r>
          <rPr>
            <sz val="9"/>
            <color indexed="81"/>
            <rFont val="Tahoma"/>
            <family val="2"/>
          </rPr>
          <t xml:space="preserve">
https://www.youtube.com/watch?v=V4CQc7wx0UY</t>
        </r>
      </text>
    </comment>
    <comment ref="BL53" authorId="2" shapeId="0" xr:uid="{7A422C32-83E6-42AB-996F-9223D7E624D0}">
      <text>
        <r>
          <rPr>
            <b/>
            <sz val="9"/>
            <color indexed="81"/>
            <rFont val="Tahoma"/>
            <family val="2"/>
          </rPr>
          <t>Taraneh:</t>
        </r>
        <r>
          <rPr>
            <sz val="9"/>
            <color indexed="81"/>
            <rFont val="Tahoma"/>
            <family val="2"/>
          </rPr>
          <t xml:space="preserve">
https://www.researchgate.net/publication/348238503_Design_and_Fabrication_of_the_LA-8_Distributed_Electric_Propulsion_VTOL_Testbedpayload
</t>
        </r>
      </text>
    </comment>
    <comment ref="A54" authorId="2" shapeId="0" xr:uid="{52C51D28-CA10-4FA9-BD6F-425147FFC644}">
      <text>
        <r>
          <rPr>
            <b/>
            <sz val="9"/>
            <color indexed="81"/>
            <rFont val="Tahoma"/>
            <family val="2"/>
          </rPr>
          <t>Taraneh:</t>
        </r>
        <r>
          <rPr>
            <sz val="9"/>
            <color indexed="81"/>
            <rFont val="Tahoma"/>
            <family val="2"/>
          </rPr>
          <t xml:space="preserve">
https://www.futureflight.aero/aircraft-program/eopter
https://transportup.com/neoptera-eopter/</t>
        </r>
      </text>
    </comment>
    <comment ref="A56" authorId="2" shapeId="0" xr:uid="{725F9D90-0F52-4D4A-9455-F7069426619F}">
      <text>
        <r>
          <rPr>
            <b/>
            <sz val="9"/>
            <color indexed="81"/>
            <rFont val="Tahoma"/>
            <family val="2"/>
          </rPr>
          <t>Taraneh:</t>
        </r>
        <r>
          <rPr>
            <sz val="9"/>
            <color indexed="81"/>
            <rFont val="Tahoma"/>
            <family val="2"/>
          </rPr>
          <t xml:space="preserve">
https://electrek.co/2021/10/29/autoflight-completes-first-flight-of-autonomous-v1500m-evtol-aircraft/
https://evtol.com/news/autoflight-confirms-details-v1500m-evtol-air-taxi/</t>
        </r>
      </text>
    </comment>
    <comment ref="AF56" authorId="2" shapeId="0" xr:uid="{6F0ECA8B-68C0-484D-89B9-C8B0A499F258}">
      <text>
        <r>
          <rPr>
            <b/>
            <sz val="9"/>
            <color indexed="81"/>
            <rFont val="Tahoma"/>
            <family val="2"/>
          </rPr>
          <t>Taraneh:</t>
        </r>
        <r>
          <rPr>
            <sz val="9"/>
            <color indexed="81"/>
            <rFont val="Tahoma"/>
            <family val="2"/>
          </rPr>
          <t xml:space="preserve">
https://evtol.com/news/autoflight-confirms-details-v1500m-evtol-air-taxi/</t>
        </r>
      </text>
    </comment>
    <comment ref="A57" authorId="2" shapeId="0" xr:uid="{1CBB50BA-AB16-4429-989E-FC808F673B8F}">
      <text>
        <r>
          <rPr>
            <b/>
            <sz val="9"/>
            <color indexed="81"/>
            <rFont val="Tahoma"/>
            <family val="2"/>
          </rPr>
          <t>Taraneh:</t>
        </r>
        <r>
          <rPr>
            <sz val="9"/>
            <color indexed="81"/>
            <rFont val="Tahoma"/>
            <family val="2"/>
          </rPr>
          <t xml:space="preserve">
https://evtol.news/news/autoflightx-prepares-for-takeoff</t>
        </r>
      </text>
    </comment>
    <comment ref="AS57" authorId="2" shapeId="0" xr:uid="{F06DD1B5-EDB8-417E-BDD9-9E6AFC2BD9CD}">
      <text>
        <r>
          <rPr>
            <b/>
            <sz val="9"/>
            <color indexed="81"/>
            <rFont val="Tahoma"/>
            <family val="2"/>
          </rPr>
          <t>Taraneh:</t>
        </r>
        <r>
          <rPr>
            <sz val="9"/>
            <color indexed="81"/>
            <rFont val="Tahoma"/>
            <family val="2"/>
          </rPr>
          <t xml:space="preserve">
https://pdfpiw.uspto.gov/.piw?docid=10322814&amp;SectionNum=1&amp;IDKey=42AADF672B2A&amp;HomeUrl=http://patft.uspto.gov/netacgi/nph-Parser?Sect1=PTO2%2526Sect2=HITOFF%2526u=%25252Fnetahtml%25252FPTO%25252Fsearch-adv.htm%2526r=1%2526f=G%2526l=50%2526d=PTXT%2526p=1%2526S1=AutoFlightX%2526OS=AutoFlightX%2526RS=AutoFlightX</t>
        </r>
      </text>
    </comment>
    <comment ref="AX57" authorId="2" shapeId="0" xr:uid="{84B63B6F-07DA-4992-9C3D-456F61EDC9DF}">
      <text>
        <r>
          <rPr>
            <b/>
            <sz val="9"/>
            <color indexed="81"/>
            <rFont val="Tahoma"/>
            <family val="2"/>
          </rPr>
          <t>Taraneh:</t>
        </r>
        <r>
          <rPr>
            <sz val="9"/>
            <color indexed="81"/>
            <rFont val="Tahoma"/>
            <family val="2"/>
          </rPr>
          <t xml:space="preserve">
https://evtol.news/news/autoflightx-prepares-for-takeoff</t>
        </r>
      </text>
    </comment>
    <comment ref="A59" authorId="2" shapeId="0" xr:uid="{BE73A4E4-0EF6-461A-830E-01FCF7363742}">
      <text>
        <r>
          <rPr>
            <b/>
            <sz val="9"/>
            <color indexed="81"/>
            <rFont val="Tahoma"/>
            <family val="2"/>
          </rPr>
          <t>Taraneh:</t>
        </r>
        <r>
          <rPr>
            <sz val="9"/>
            <color indexed="81"/>
            <rFont val="Tahoma"/>
            <family val="2"/>
          </rPr>
          <t xml:space="preserve">
https://www.youtube.com/watch?v=700d2SJJnl8</t>
        </r>
      </text>
    </comment>
    <comment ref="A61" authorId="2" shapeId="0" xr:uid="{58905628-6B7B-423F-B309-53D8CF0A5422}">
      <text>
        <r>
          <rPr>
            <b/>
            <sz val="9"/>
            <color indexed="81"/>
            <rFont val="Tahoma"/>
            <family val="2"/>
          </rPr>
          <t>Taraneh:</t>
        </r>
        <r>
          <rPr>
            <sz val="9"/>
            <color indexed="81"/>
            <rFont val="Tahoma"/>
            <family val="2"/>
          </rPr>
          <t xml:space="preserve">
https://transportup.com/kitty-hawk-heaviside/</t>
        </r>
      </text>
    </comment>
    <comment ref="A62" authorId="2" shapeId="0" xr:uid="{9E1C4C48-FD3D-4C38-8AB4-6DA8D6CE73E3}">
      <text>
        <r>
          <rPr>
            <b/>
            <sz val="9"/>
            <color indexed="81"/>
            <rFont val="Tahoma"/>
            <family val="2"/>
          </rPr>
          <t>Taraneh:</t>
        </r>
        <r>
          <rPr>
            <sz val="9"/>
            <color indexed="81"/>
            <rFont val="Tahoma"/>
            <family val="2"/>
          </rPr>
          <t xml:space="preserve">
https://cleantechnica.com/2018/12/22/eva-autonomous-air-taxi-has-extended-wings-can-function-as-search-rescue-aircraft/</t>
        </r>
      </text>
    </comment>
    <comment ref="O62" authorId="2" shapeId="0" xr:uid="{236F0B36-2E3C-46A2-B501-0513205A67DD}">
      <text>
        <r>
          <rPr>
            <b/>
            <sz val="9"/>
            <color indexed="81"/>
            <rFont val="Tahoma"/>
            <family val="2"/>
          </rPr>
          <t>Taraneh:</t>
        </r>
        <r>
          <rPr>
            <sz val="9"/>
            <color indexed="81"/>
            <rFont val="Tahoma"/>
            <family val="2"/>
          </rPr>
          <t xml:space="preserve">
https://www.midilibre.fr/2018/06/05/une-start-up-toulousaine-cree-une-voiture-volante,1681343.php
</t>
        </r>
      </text>
    </comment>
    <comment ref="AX64" authorId="2" shapeId="0" xr:uid="{4AE1D49A-C167-4446-94BF-9D870D13F617}">
      <text>
        <r>
          <rPr>
            <b/>
            <sz val="9"/>
            <color indexed="81"/>
            <rFont val="Tahoma"/>
            <family val="2"/>
          </rPr>
          <t>Taraneh:</t>
        </r>
        <r>
          <rPr>
            <sz val="9"/>
            <color indexed="81"/>
            <rFont val="Tahoma"/>
            <family val="2"/>
          </rPr>
          <t xml:space="preserve">
https://transportup.com/hopflyt-venturi/</t>
        </r>
      </text>
    </comment>
    <comment ref="A69" authorId="2" shapeId="0" xr:uid="{A489B556-264C-4B4C-A1D2-4B532FA6BE9D}">
      <text>
        <r>
          <rPr>
            <b/>
            <sz val="9"/>
            <color indexed="81"/>
            <rFont val="Tahoma"/>
            <family val="2"/>
          </rPr>
          <t>Taraneh:</t>
        </r>
        <r>
          <rPr>
            <sz val="9"/>
            <color indexed="81"/>
            <rFont val="Tahoma"/>
            <family val="2"/>
          </rPr>
          <t xml:space="preserve">
https://evtolinsights.com/2021/07/indian-startup-eplane-reveals-its-evtol-aircraft-as-it-targets-door-to-door-city-transport-across-asia-pacific-region/</t>
        </r>
      </text>
    </comment>
    <comment ref="A79" authorId="2" shapeId="0" xr:uid="{C2C1A185-672F-47E7-9BD6-373DAE321BE8}">
      <text>
        <r>
          <rPr>
            <b/>
            <sz val="9"/>
            <color indexed="81"/>
            <rFont val="Tahoma"/>
            <family val="2"/>
          </rPr>
          <t>Taraneh:</t>
        </r>
        <r>
          <rPr>
            <sz val="9"/>
            <color indexed="81"/>
            <rFont val="Tahoma"/>
            <family val="2"/>
          </rPr>
          <t xml:space="preserve">
https://www.behance.net/gallery/103222871/blueflite-eVTOL-cargo-transport-concept</t>
        </r>
      </text>
    </comment>
    <comment ref="BJ80" authorId="2" shapeId="0" xr:uid="{B9656674-A60C-47AD-BB71-2398691848B3}">
      <text>
        <r>
          <rPr>
            <b/>
            <sz val="9"/>
            <color indexed="81"/>
            <rFont val="Tahoma"/>
            <family val="2"/>
          </rPr>
          <t>Taraneh:</t>
        </r>
        <r>
          <rPr>
            <sz val="9"/>
            <color indexed="81"/>
            <rFont val="Tahoma"/>
            <family val="2"/>
          </rPr>
          <t xml:space="preserve">
https://www.theverge.com/2021/1/12/22226778/gm-flying-car-cadillac-halo-av-evtol-concept-autonomous-ces-2021</t>
        </r>
      </text>
    </comment>
    <comment ref="A85" authorId="2" shapeId="0" xr:uid="{348727FF-94DC-40FB-B924-DFB789B6C3F9}">
      <text>
        <r>
          <rPr>
            <b/>
            <sz val="9"/>
            <color indexed="81"/>
            <rFont val="Tahoma"/>
            <family val="2"/>
          </rPr>
          <t>Taraneh:</t>
        </r>
        <r>
          <rPr>
            <sz val="9"/>
            <color indexed="81"/>
            <rFont val="Tahoma"/>
            <family val="2"/>
          </rPr>
          <t xml:space="preserve">
http://www.deepblueaviation.com/whatwedo.html</t>
        </r>
      </text>
    </comment>
    <comment ref="AS92" authorId="2" shapeId="0" xr:uid="{DF93AA7E-9A66-43DB-88A2-FB98755C9518}">
      <text>
        <r>
          <rPr>
            <b/>
            <sz val="9"/>
            <color indexed="81"/>
            <rFont val="Tahoma"/>
            <family val="2"/>
          </rPr>
          <t>Taraneh:</t>
        </r>
        <r>
          <rPr>
            <sz val="9"/>
            <color indexed="81"/>
            <rFont val="Tahoma"/>
            <family val="2"/>
          </rPr>
          <t xml:space="preserve">
EST. from picture.</t>
        </r>
      </text>
    </comment>
    <comment ref="A97" authorId="2" shapeId="0" xr:uid="{8F7F345F-4B98-4969-8C9C-FB968EE3441C}">
      <text>
        <r>
          <rPr>
            <b/>
            <sz val="9"/>
            <color indexed="81"/>
            <rFont val="Tahoma"/>
            <family val="2"/>
          </rPr>
          <t>Taraneh:</t>
        </r>
        <r>
          <rPr>
            <sz val="9"/>
            <color indexed="81"/>
            <rFont val="Tahoma"/>
            <family val="2"/>
          </rPr>
          <t xml:space="preserve">
https://micortec.com/hybrid-electric-vtol-aircraft/</t>
        </r>
      </text>
    </comment>
    <comment ref="AS98" authorId="2" shapeId="0" xr:uid="{18D0CF20-740B-4803-8E9D-47EB445DAD9A}">
      <text>
        <r>
          <rPr>
            <b/>
            <sz val="9"/>
            <color indexed="81"/>
            <rFont val="Tahoma"/>
            <family val="2"/>
          </rPr>
          <t>Taraneh:</t>
        </r>
        <r>
          <rPr>
            <sz val="9"/>
            <color indexed="81"/>
            <rFont val="Tahoma"/>
            <family val="2"/>
          </rPr>
          <t xml:space="preserve">
EST. from pic.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Raj Bridgelall</author>
    <author>Askarzadeh, Taraneh</author>
  </authors>
  <commentList>
    <comment ref="C1" authorId="0" shapeId="0" xr:uid="{2C22F362-59CC-4DEF-845C-E4CC8C45C7D2}">
      <text>
        <r>
          <rPr>
            <b/>
            <sz val="9"/>
            <color indexed="81"/>
            <rFont val="Tahoma"/>
            <family val="2"/>
          </rPr>
          <t>Raj Bridgelall:</t>
        </r>
        <r>
          <rPr>
            <sz val="9"/>
            <color indexed="81"/>
            <rFont val="Tahoma"/>
            <family val="2"/>
          </rPr>
          <t xml:space="preserve">
Classification Type
TR = Tilt Rotors
TW = Tilt Wing
FW = Folding Wing
TT = Transitioned Thrust (Lift &amp; Push)
TS = Tail Sitter
AL = Augmented Lift
MC = Multicopter</t>
        </r>
      </text>
    </comment>
    <comment ref="D1" authorId="0" shapeId="0" xr:uid="{5F5FCCB9-F312-45A0-AC54-564E076495DE}">
      <text>
        <r>
          <rPr>
            <b/>
            <sz val="9"/>
            <color indexed="81"/>
            <rFont val="Tahoma"/>
            <family val="2"/>
          </rPr>
          <t>Raj Bridgelall:</t>
        </r>
        <r>
          <rPr>
            <sz val="9"/>
            <color indexed="81"/>
            <rFont val="Tahoma"/>
            <family val="2"/>
          </rPr>
          <t xml:space="preserve">
Headquarter Location
SF = San Francisco, CA, USA
SC = Santa Cruz, CA, USA</t>
        </r>
      </text>
    </comment>
    <comment ref="E1" authorId="0" shapeId="0" xr:uid="{912C0E6F-F4EB-4639-BB5D-F4570A329EC2}">
      <text>
        <r>
          <rPr>
            <b/>
            <sz val="9"/>
            <color indexed="81"/>
            <rFont val="Tahoma"/>
            <family val="2"/>
          </rPr>
          <t>Raj Bridgelall:</t>
        </r>
        <r>
          <rPr>
            <sz val="9"/>
            <color indexed="81"/>
            <rFont val="Tahoma"/>
            <family val="2"/>
          </rPr>
          <t xml:space="preserve">
Year company started</t>
        </r>
      </text>
    </comment>
    <comment ref="F1" authorId="0" shapeId="0" xr:uid="{96968CD0-3073-4843-ADF1-B16C5B5E26F6}">
      <text>
        <r>
          <rPr>
            <b/>
            <sz val="9"/>
            <color indexed="81"/>
            <rFont val="Tahoma"/>
            <family val="2"/>
          </rPr>
          <t>Raj Bridgelall:</t>
        </r>
        <r>
          <rPr>
            <sz val="9"/>
            <color indexed="81"/>
            <rFont val="Tahoma"/>
            <family val="2"/>
          </rPr>
          <t xml:space="preserve">
Year of first real aircraft flight.</t>
        </r>
      </text>
    </comment>
    <comment ref="G1" authorId="0" shapeId="0" xr:uid="{D97EC9CC-AA21-40B2-B17C-B5A011A3BB0C}">
      <text>
        <r>
          <rPr>
            <b/>
            <sz val="9"/>
            <color indexed="81"/>
            <rFont val="Tahoma"/>
            <family val="2"/>
          </rPr>
          <t>Raj Bridgelall:</t>
        </r>
        <r>
          <rPr>
            <sz val="9"/>
            <color indexed="81"/>
            <rFont val="Tahoma"/>
            <family val="2"/>
          </rPr>
          <t xml:space="preserve">
Year of first commercial flight (actual or expected)</t>
        </r>
      </text>
    </comment>
    <comment ref="H1" authorId="0" shapeId="0" xr:uid="{D147B484-F378-4B1F-8477-03349339826B}">
      <text>
        <r>
          <rPr>
            <b/>
            <sz val="9"/>
            <color indexed="81"/>
            <rFont val="Tahoma"/>
            <family val="2"/>
          </rPr>
          <t>Raj Bridgelall:</t>
        </r>
        <r>
          <rPr>
            <sz val="9"/>
            <color indexed="81"/>
            <rFont val="Tahoma"/>
            <family val="2"/>
          </rPr>
          <t xml:space="preserve">
Total Funding
   $ = Series A, Series B, etc. through 2021 ($million)
   C = Corporate Backed</t>
        </r>
      </text>
    </comment>
    <comment ref="J1" authorId="0" shapeId="0" xr:uid="{0EF5F094-5B2A-4576-9B7A-4A7D6495047E}">
      <text>
        <r>
          <rPr>
            <b/>
            <sz val="9"/>
            <color indexed="81"/>
            <rFont val="Tahoma"/>
            <family val="2"/>
          </rPr>
          <t>Raj Bridgelall:</t>
        </r>
        <r>
          <rPr>
            <sz val="9"/>
            <color indexed="81"/>
            <rFont val="Tahoma"/>
            <family val="2"/>
          </rPr>
          <t xml:space="preserve">
Company that acquired the drone company.</t>
        </r>
      </text>
    </comment>
    <comment ref="K1" authorId="0" shapeId="0" xr:uid="{DADE0543-E0DF-4966-BA99-851032BC3398}">
      <text>
        <r>
          <rPr>
            <b/>
            <sz val="9"/>
            <color indexed="81"/>
            <rFont val="Tahoma"/>
            <family val="2"/>
          </rPr>
          <t>Raj Bridgelall:</t>
        </r>
        <r>
          <rPr>
            <sz val="9"/>
            <color indexed="81"/>
            <rFont val="Tahoma"/>
            <family val="2"/>
          </rPr>
          <t xml:space="preserve">
Year acquired</t>
        </r>
      </text>
    </comment>
    <comment ref="L1" authorId="0" shapeId="0" xr:uid="{C409CF69-5A94-4CA4-AA64-5A7240D1B395}">
      <text>
        <r>
          <rPr>
            <b/>
            <sz val="9"/>
            <color indexed="81"/>
            <rFont val="Tahoma"/>
            <family val="2"/>
          </rPr>
          <t>Raj Bridgelall:</t>
        </r>
        <r>
          <rPr>
            <sz val="9"/>
            <color indexed="81"/>
            <rFont val="Tahoma"/>
            <family val="2"/>
          </rPr>
          <t xml:space="preserve">
P = Passenger (Air Taxi)
C = Cargo</t>
        </r>
      </text>
    </comment>
    <comment ref="M1" authorId="0" shapeId="0" xr:uid="{B8C84C11-4C38-453F-9B7A-313EB53976FC}">
      <text>
        <r>
          <rPr>
            <b/>
            <sz val="9"/>
            <color indexed="81"/>
            <rFont val="Tahoma"/>
            <family val="2"/>
          </rPr>
          <t>Raj Bridgelall:</t>
        </r>
        <r>
          <rPr>
            <sz val="9"/>
            <color indexed="81"/>
            <rFont val="Tahoma"/>
            <family val="2"/>
          </rPr>
          <t xml:space="preserve">
Development Phase 
P = Planning
RD = R&amp;D
D =Design
SP = Testing Scaled Prototype
FP = Testing Full Prototype
C = Certification
O = Operations</t>
        </r>
      </text>
    </comment>
    <comment ref="N1" authorId="0" shapeId="0" xr:uid="{F1D00DF1-BF66-496C-8543-3B6C88F18189}">
      <text>
        <r>
          <rPr>
            <b/>
            <sz val="9"/>
            <color indexed="81"/>
            <rFont val="Tahoma"/>
            <family val="2"/>
          </rPr>
          <t>Raj Bridgelall:</t>
        </r>
        <r>
          <rPr>
            <sz val="9"/>
            <color indexed="81"/>
            <rFont val="Tahoma"/>
            <family val="2"/>
          </rPr>
          <t xml:space="preserve">
Operating Cost/Aircraft ($million)</t>
        </r>
      </text>
    </comment>
    <comment ref="O1" authorId="0" shapeId="0" xr:uid="{324CC94B-F46E-4123-8B94-98F1BD6681E3}">
      <text>
        <r>
          <rPr>
            <b/>
            <sz val="9"/>
            <color indexed="81"/>
            <rFont val="Tahoma"/>
            <family val="2"/>
          </rPr>
          <t>Raj Bridgelall:</t>
        </r>
        <r>
          <rPr>
            <sz val="9"/>
            <color indexed="81"/>
            <rFont val="Tahoma"/>
            <family val="2"/>
          </rPr>
          <t xml:space="preserve">
Manufacturing Cost/Aircraft ($million)</t>
        </r>
      </text>
    </comment>
    <comment ref="P1" authorId="0" shapeId="0" xr:uid="{2B902478-CB72-4D09-92E8-E0189F056788}">
      <text>
        <r>
          <rPr>
            <b/>
            <sz val="9"/>
            <color indexed="81"/>
            <rFont val="Tahoma"/>
            <family val="2"/>
          </rPr>
          <t>Raj Bridgelall:</t>
        </r>
        <r>
          <rPr>
            <sz val="9"/>
            <color indexed="81"/>
            <rFont val="Tahoma"/>
            <family val="2"/>
          </rPr>
          <t xml:space="preserve">
Material composition of airframe:
C = Composite
CC = Carbon Composite
CFC = Carbon Fiber Composite</t>
        </r>
      </text>
    </comment>
    <comment ref="Q1" authorId="0" shapeId="0" xr:uid="{712D0D2E-E0DB-43F3-B032-DA8A1512ED76}">
      <text>
        <r>
          <rPr>
            <b/>
            <sz val="9"/>
            <color indexed="81"/>
            <rFont val="Tahoma"/>
            <family val="2"/>
          </rPr>
          <t>Raj Bridgelall:</t>
        </r>
        <r>
          <rPr>
            <sz val="9"/>
            <color indexed="81"/>
            <rFont val="Tahoma"/>
            <family val="2"/>
          </rPr>
          <t xml:space="preserve">
Total Number of Rotors</t>
        </r>
      </text>
    </comment>
    <comment ref="R1" authorId="0" shapeId="0" xr:uid="{2FCA452A-E67F-49FA-B2C4-9B93266B58DB}">
      <text>
        <r>
          <rPr>
            <b/>
            <sz val="9"/>
            <color indexed="81"/>
            <rFont val="Tahoma"/>
            <family val="2"/>
          </rPr>
          <t>Raj Bridgelall:</t>
        </r>
        <r>
          <rPr>
            <sz val="9"/>
            <color indexed="81"/>
            <rFont val="Tahoma"/>
            <family val="2"/>
          </rPr>
          <t xml:space="preserve">
Electric Motors (# of)</t>
        </r>
      </text>
    </comment>
    <comment ref="T1" authorId="0" shapeId="0" xr:uid="{D672E59F-39FA-470D-A6B5-6D6AC73BFE95}">
      <text>
        <r>
          <rPr>
            <b/>
            <sz val="9"/>
            <color indexed="81"/>
            <rFont val="Tahoma"/>
            <family val="2"/>
          </rPr>
          <t>Raj Bridgelall:</t>
        </r>
        <r>
          <rPr>
            <sz val="9"/>
            <color indexed="81"/>
            <rFont val="Tahoma"/>
            <family val="2"/>
          </rPr>
          <t xml:space="preserve">
Number of Ducted Roters</t>
        </r>
      </text>
    </comment>
    <comment ref="U1" authorId="0" shapeId="0" xr:uid="{9F64A8C3-E006-4974-9B86-8D0CD7BDBABC}">
      <text>
        <r>
          <rPr>
            <b/>
            <sz val="9"/>
            <color indexed="81"/>
            <rFont val="Tahoma"/>
            <family val="2"/>
          </rPr>
          <t>Raj Bridgelall:</t>
        </r>
        <r>
          <rPr>
            <sz val="9"/>
            <color indexed="81"/>
            <rFont val="Tahoma"/>
            <family val="2"/>
          </rPr>
          <t xml:space="preserve">
Lift Rotors (# of)</t>
        </r>
      </text>
    </comment>
    <comment ref="V1" authorId="0" shapeId="0" xr:uid="{14DFB017-6A09-4765-B750-66EEB854E6A9}">
      <text>
        <r>
          <rPr>
            <b/>
            <sz val="9"/>
            <color indexed="81"/>
            <rFont val="Tahoma"/>
            <family val="2"/>
          </rPr>
          <t>Raj Bridgelall:</t>
        </r>
        <r>
          <rPr>
            <sz val="9"/>
            <color indexed="81"/>
            <rFont val="Tahoma"/>
            <family val="2"/>
          </rPr>
          <t xml:space="preserve">
Lift Rotors Enclosed (# of) during cruise to reduce drag.</t>
        </r>
      </text>
    </comment>
    <comment ref="W1" authorId="0" shapeId="0" xr:uid="{49CDCEFB-F405-4258-B4A6-69BB9BACD927}">
      <text>
        <r>
          <rPr>
            <b/>
            <sz val="9"/>
            <color indexed="81"/>
            <rFont val="Tahoma"/>
            <family val="2"/>
          </rPr>
          <t>Raj Bridgelall:</t>
        </r>
        <r>
          <rPr>
            <sz val="9"/>
            <color indexed="81"/>
            <rFont val="Tahoma"/>
            <family val="2"/>
          </rPr>
          <t xml:space="preserve">
Rotors Cruise (# of)</t>
        </r>
      </text>
    </comment>
    <comment ref="X1" authorId="0" shapeId="0" xr:uid="{7F49875E-FE4B-44FD-894A-DC2376A6B6F8}">
      <text>
        <r>
          <rPr>
            <b/>
            <sz val="9"/>
            <color indexed="81"/>
            <rFont val="Tahoma"/>
            <family val="2"/>
          </rPr>
          <t>Raj Bridgelall:</t>
        </r>
        <r>
          <rPr>
            <sz val="9"/>
            <color indexed="81"/>
            <rFont val="Tahoma"/>
            <family val="2"/>
          </rPr>
          <t xml:space="preserve">
Lift Propeller Diameter (m). Leads to disc load calculation.</t>
        </r>
      </text>
    </comment>
    <comment ref="Y1" authorId="0" shapeId="0" xr:uid="{A12C46DF-BCBD-478B-9364-8010811AA157}">
      <text>
        <r>
          <rPr>
            <b/>
            <sz val="9"/>
            <color indexed="81"/>
            <rFont val="Tahoma"/>
            <family val="2"/>
          </rPr>
          <t>Raj Bridgelall:</t>
        </r>
        <r>
          <rPr>
            <sz val="9"/>
            <color indexed="81"/>
            <rFont val="Tahoma"/>
            <family val="2"/>
          </rPr>
          <t xml:space="preserve">
Cruise Propeller Diameter (m): Leads to thrust force calculation.</t>
        </r>
      </text>
    </comment>
    <comment ref="Z1" authorId="0" shapeId="0" xr:uid="{63E08CDE-D17A-46D3-8FBA-891F7059023C}">
      <text>
        <r>
          <rPr>
            <b/>
            <sz val="9"/>
            <color indexed="81"/>
            <rFont val="Tahoma"/>
            <family val="2"/>
          </rPr>
          <t>Raj Bridgelall:</t>
        </r>
        <r>
          <rPr>
            <sz val="9"/>
            <color indexed="81"/>
            <rFont val="Tahoma"/>
            <family val="2"/>
          </rPr>
          <t xml:space="preserve">
Tilt Roter (# of)</t>
        </r>
      </text>
    </comment>
    <comment ref="AA1" authorId="0" shapeId="0" xr:uid="{CCC016F7-0A03-4B44-9B09-2516A635FF70}">
      <text>
        <r>
          <rPr>
            <b/>
            <sz val="9"/>
            <color indexed="81"/>
            <rFont val="Tahoma"/>
            <family val="2"/>
          </rPr>
          <t>Raj Bridgelall:</t>
        </r>
        <r>
          <rPr>
            <sz val="9"/>
            <color indexed="81"/>
            <rFont val="Tahoma"/>
            <family val="2"/>
          </rPr>
          <t xml:space="preserve">
Blades Cruise Rotors (# of)</t>
        </r>
      </text>
    </comment>
    <comment ref="AB1" authorId="0" shapeId="0" xr:uid="{A460F6F6-9C2E-4772-B35C-DFB8AC0C189E}">
      <text>
        <r>
          <rPr>
            <b/>
            <sz val="9"/>
            <color indexed="81"/>
            <rFont val="Tahoma"/>
            <family val="2"/>
          </rPr>
          <t>Raj Bridgelall:</t>
        </r>
        <r>
          <rPr>
            <sz val="9"/>
            <color indexed="81"/>
            <rFont val="Tahoma"/>
            <family val="2"/>
          </rPr>
          <t xml:space="preserve">
Blades Tilt Rotors (# of)</t>
        </r>
      </text>
    </comment>
    <comment ref="AC1" authorId="0" shapeId="0" xr:uid="{9CF4F773-ACD4-49F9-88F3-565D90FF91A7}">
      <text>
        <r>
          <rPr>
            <b/>
            <sz val="9"/>
            <color indexed="81"/>
            <rFont val="Tahoma"/>
            <family val="2"/>
          </rPr>
          <t>Raj Bridgelall:</t>
        </r>
        <r>
          <rPr>
            <sz val="9"/>
            <color indexed="81"/>
            <rFont val="Tahoma"/>
            <family val="2"/>
          </rPr>
          <t xml:space="preserve">
Blades Lift Rotors (# of)</t>
        </r>
      </text>
    </comment>
    <comment ref="AF1" authorId="0" shapeId="0" xr:uid="{1C6CFDE3-958E-4C10-BB03-F4C1BBD7C197}">
      <text>
        <r>
          <rPr>
            <b/>
            <sz val="9"/>
            <color indexed="81"/>
            <rFont val="Tahoma"/>
            <family val="2"/>
          </rPr>
          <t>Raj Bridgelall:</t>
        </r>
        <r>
          <rPr>
            <sz val="9"/>
            <color indexed="81"/>
            <rFont val="Tahoma"/>
            <family val="2"/>
          </rPr>
          <t xml:space="preserve">
Length of Wings (M)
(Total if more several wings)</t>
        </r>
      </text>
    </comment>
    <comment ref="AG1" authorId="0" shapeId="0" xr:uid="{66896403-1D49-42E8-8EEF-8B788309E77B}">
      <text>
        <r>
          <rPr>
            <b/>
            <sz val="9"/>
            <color indexed="81"/>
            <rFont val="Tahoma"/>
            <family val="2"/>
          </rPr>
          <t>Raj Bridgelall:</t>
        </r>
        <r>
          <rPr>
            <sz val="9"/>
            <color indexed="81"/>
            <rFont val="Tahoma"/>
            <family val="2"/>
          </rPr>
          <t xml:space="preserve">
Width of Wings (M)
(Total if more several wings)</t>
        </r>
      </text>
    </comment>
    <comment ref="AH1" authorId="0" shapeId="0" xr:uid="{4CE981C4-2DA5-49E0-82F6-8DD5262B8EEC}">
      <text>
        <r>
          <rPr>
            <b/>
            <sz val="9"/>
            <color indexed="81"/>
            <rFont val="Tahoma"/>
            <family val="2"/>
          </rPr>
          <t>Raj Bridgelall:</t>
        </r>
        <r>
          <rPr>
            <sz val="9"/>
            <color indexed="81"/>
            <rFont val="Tahoma"/>
            <family val="2"/>
          </rPr>
          <t xml:space="preserve">
Wing Area</t>
        </r>
      </text>
    </comment>
    <comment ref="AI1" authorId="0" shapeId="0" xr:uid="{C3EE259C-14A0-4182-997B-E3D1786E198F}">
      <text>
        <r>
          <rPr>
            <b/>
            <sz val="9"/>
            <color indexed="81"/>
            <rFont val="Tahoma"/>
            <family val="2"/>
          </rPr>
          <t>Raj Bridgelall:</t>
        </r>
        <r>
          <rPr>
            <sz val="9"/>
            <color indexed="81"/>
            <rFont val="Tahoma"/>
            <family val="2"/>
          </rPr>
          <t xml:space="preserve">
Number of Tilting Wings, Zero if none.</t>
        </r>
      </text>
    </comment>
    <comment ref="AJ1" authorId="0" shapeId="0" xr:uid="{7075246B-B77A-4D67-A44A-2C806F750125}">
      <text>
        <r>
          <rPr>
            <b/>
            <sz val="9"/>
            <color indexed="81"/>
            <rFont val="Tahoma"/>
            <family val="2"/>
          </rPr>
          <t>Raj Bridgelall:</t>
        </r>
        <r>
          <rPr>
            <sz val="9"/>
            <color indexed="81"/>
            <rFont val="Tahoma"/>
            <family val="2"/>
          </rPr>
          <t xml:space="preserve">
Wing Position:
H = High (above fuselage)
M = Middle (mid fuselage)
L = Low (Below Fuselage)
B = Biplane</t>
        </r>
      </text>
    </comment>
    <comment ref="AK1" authorId="0" shapeId="0" xr:uid="{8567BE98-29D2-44CA-A361-FDECE2C395A1}">
      <text>
        <r>
          <rPr>
            <b/>
            <sz val="9"/>
            <color indexed="81"/>
            <rFont val="Tahoma"/>
            <family val="2"/>
          </rPr>
          <t>Raj Bridgelall:</t>
        </r>
        <r>
          <rPr>
            <sz val="9"/>
            <color indexed="81"/>
            <rFont val="Tahoma"/>
            <family val="2"/>
          </rPr>
          <t xml:space="preserve">
Wing Type:
R = Rectangular Straight
E = Rounded Straight
SB = Swept Back
SF = Swept Forward
GW = Gull Wing
D = Delta</t>
        </r>
      </text>
    </comment>
    <comment ref="AL1" authorId="0" shapeId="0" xr:uid="{DBBD0DF3-28FC-44DF-B0CF-3963FB07823F}">
      <text>
        <r>
          <rPr>
            <b/>
            <sz val="9"/>
            <color indexed="81"/>
            <rFont val="Tahoma"/>
            <family val="2"/>
          </rPr>
          <t>Raj Bridgelall:</t>
        </r>
        <r>
          <rPr>
            <sz val="9"/>
            <color indexed="81"/>
            <rFont val="Tahoma"/>
            <family val="2"/>
          </rPr>
          <t xml:space="preserve">
Foldable Wing</t>
        </r>
      </text>
    </comment>
    <comment ref="AM1" authorId="0" shapeId="0" xr:uid="{A34A5249-3835-40F5-A8D8-9DE050AA8D99}">
      <text>
        <r>
          <rPr>
            <b/>
            <sz val="9"/>
            <color indexed="81"/>
            <rFont val="Tahoma"/>
            <family val="2"/>
          </rPr>
          <t>Raj Bridgelall:</t>
        </r>
        <r>
          <rPr>
            <sz val="9"/>
            <color indexed="81"/>
            <rFont val="Tahoma"/>
            <family val="2"/>
          </rPr>
          <t xml:space="preserve">
Number of wing flaps.
Zero if none.</t>
        </r>
      </text>
    </comment>
    <comment ref="AN1" authorId="0" shapeId="0" xr:uid="{88C6AF09-C5C3-4467-9C38-778F9C13C862}">
      <text>
        <r>
          <rPr>
            <b/>
            <sz val="9"/>
            <color indexed="81"/>
            <rFont val="Tahoma"/>
            <family val="2"/>
          </rPr>
          <t>Raj Bridgelall:</t>
        </r>
        <r>
          <rPr>
            <sz val="9"/>
            <color indexed="81"/>
            <rFont val="Tahoma"/>
            <family val="2"/>
          </rPr>
          <t xml:space="preserve">
Rudders (# of) -- usually on the tail.</t>
        </r>
      </text>
    </comment>
    <comment ref="AO1" authorId="0" shapeId="0" xr:uid="{D64D1CE0-984C-4E81-91EF-0A7A4FA2230E}">
      <text>
        <r>
          <rPr>
            <b/>
            <sz val="9"/>
            <color indexed="81"/>
            <rFont val="Tahoma"/>
            <family val="2"/>
          </rPr>
          <t>Raj Bridgelall:</t>
        </r>
        <r>
          <rPr>
            <sz val="9"/>
            <color indexed="81"/>
            <rFont val="Tahoma"/>
            <family val="2"/>
          </rPr>
          <t xml:space="preserve">
Tail Type
I = Vertical
V = V shaped
VI = Inverted V
VO = V opened at bottom
T = T shaped
TI = T inverted
C = Canard
UI = Inverted U w/ Bookend Stabilizer
N = None</t>
        </r>
      </text>
    </comment>
    <comment ref="AP1" authorId="0" shapeId="0" xr:uid="{E55E5152-E77A-470F-84D7-AC7ABD246737}">
      <text>
        <r>
          <rPr>
            <b/>
            <sz val="9"/>
            <color indexed="81"/>
            <rFont val="Tahoma"/>
            <family val="2"/>
          </rPr>
          <t>Raj Bridgelall:</t>
        </r>
        <r>
          <rPr>
            <sz val="9"/>
            <color indexed="81"/>
            <rFont val="Tahoma"/>
            <family val="2"/>
          </rPr>
          <t xml:space="preserve">
Length Occupied (m)</t>
        </r>
      </text>
    </comment>
    <comment ref="AQ1" authorId="0" shapeId="0" xr:uid="{B4EB8BF4-A7BB-43EB-BA32-DCD9240189C9}">
      <text>
        <r>
          <rPr>
            <b/>
            <sz val="9"/>
            <color indexed="81"/>
            <rFont val="Tahoma"/>
            <family val="2"/>
          </rPr>
          <t>Raj Bridgelall:</t>
        </r>
        <r>
          <rPr>
            <sz val="9"/>
            <color indexed="81"/>
            <rFont val="Tahoma"/>
            <family val="2"/>
          </rPr>
          <t xml:space="preserve">
Fuselage Width (Lift surface) m</t>
        </r>
      </text>
    </comment>
    <comment ref="AR1" authorId="0" shapeId="0" xr:uid="{F0E6EB85-A31B-47BE-B956-2BAF1E9E07AD}">
      <text>
        <r>
          <rPr>
            <b/>
            <sz val="9"/>
            <color indexed="81"/>
            <rFont val="Tahoma"/>
            <family val="2"/>
          </rPr>
          <t>Raj Bridgelall:</t>
        </r>
        <r>
          <rPr>
            <sz val="9"/>
            <color indexed="81"/>
            <rFont val="Tahoma"/>
            <family val="2"/>
          </rPr>
          <t xml:space="preserve">
Hight Occupied (m)</t>
        </r>
      </text>
    </comment>
    <comment ref="AS1" authorId="0" shapeId="0" xr:uid="{3C04EC3F-5B1B-4DFB-BF63-71A6B3E5E23F}">
      <text>
        <r>
          <rPr>
            <b/>
            <sz val="9"/>
            <color indexed="81"/>
            <rFont val="Tahoma"/>
            <family val="2"/>
          </rPr>
          <t>Raj Bridgelall:</t>
        </r>
        <r>
          <rPr>
            <sz val="9"/>
            <color indexed="81"/>
            <rFont val="Tahoma"/>
            <family val="2"/>
          </rPr>
          <t xml:space="preserve">
Aspect Ratio:
Length/Width
(Easier to estimate from images or patent drawings if Wingspan or Length is unknown)</t>
        </r>
      </text>
    </comment>
    <comment ref="AT1" authorId="0" shapeId="0" xr:uid="{5F1DE2E1-1576-49ED-A05F-1F19CFD3E26B}">
      <text>
        <r>
          <rPr>
            <b/>
            <sz val="9"/>
            <color indexed="81"/>
            <rFont val="Tahoma"/>
            <family val="2"/>
          </rPr>
          <t>Raj Bridgelall:</t>
        </r>
        <r>
          <rPr>
            <sz val="9"/>
            <color indexed="81"/>
            <rFont val="Tahoma"/>
            <family val="2"/>
          </rPr>
          <t xml:space="preserve">
Landing Gear Type
TW: Tricycle Wheeled
TWR: Tricycle Wheeled Retractable
W4: Four wheels
FS: Fixed Skid
TS: Tail Sitter
TD: Tail Dragger (2 wheels under wing, 1 under tail)</t>
        </r>
      </text>
    </comment>
    <comment ref="AU1" authorId="0" shapeId="0" xr:uid="{8985C339-EA24-45BA-928E-4C3B21653C5E}">
      <text>
        <r>
          <rPr>
            <b/>
            <sz val="9"/>
            <color indexed="81"/>
            <rFont val="Tahoma"/>
            <family val="2"/>
          </rPr>
          <t>Raj Bridgelall:</t>
        </r>
        <r>
          <rPr>
            <sz val="9"/>
            <color indexed="81"/>
            <rFont val="Tahoma"/>
            <family val="2"/>
          </rPr>
          <t xml:space="preserve">
Number of Retractable Landing Gear</t>
        </r>
      </text>
    </comment>
    <comment ref="AV1" authorId="0" shapeId="0" xr:uid="{FED36EB9-C813-4F26-87B5-2FB64AFA15F6}">
      <text>
        <r>
          <rPr>
            <b/>
            <sz val="9"/>
            <color indexed="81"/>
            <rFont val="Tahoma"/>
            <family val="2"/>
          </rPr>
          <t>Raj Bridgelall:</t>
        </r>
        <r>
          <rPr>
            <sz val="9"/>
            <color indexed="81"/>
            <rFont val="Tahoma"/>
            <family val="2"/>
          </rPr>
          <t xml:space="preserve">
Delivery mechanism for packages
L: Land
W: Drop winch
P: Parachute</t>
        </r>
      </text>
    </comment>
    <comment ref="AW1" authorId="0" shapeId="0" xr:uid="{9FB110E9-F425-4E79-A412-E06248C00907}">
      <text>
        <r>
          <rPr>
            <b/>
            <sz val="9"/>
            <color indexed="81"/>
            <rFont val="Tahoma"/>
            <family val="2"/>
          </rPr>
          <t>Raj Bridgelall:</t>
        </r>
        <r>
          <rPr>
            <sz val="9"/>
            <color indexed="81"/>
            <rFont val="Tahoma"/>
            <family val="2"/>
          </rPr>
          <t xml:space="preserve">
Weight Empty (lbs)</t>
        </r>
      </text>
    </comment>
    <comment ref="AX1" authorId="0" shapeId="0" xr:uid="{075B30DA-AD5E-4B66-9519-CD6CDFE5974F}">
      <text>
        <r>
          <rPr>
            <b/>
            <sz val="9"/>
            <color indexed="81"/>
            <rFont val="Tahoma"/>
            <family val="2"/>
          </rPr>
          <t>Raj Bridgelall:</t>
        </r>
        <r>
          <rPr>
            <sz val="9"/>
            <color indexed="81"/>
            <rFont val="Tahoma"/>
            <family val="2"/>
          </rPr>
          <t xml:space="preserve">
Max Take Off Weight (lbs)</t>
        </r>
      </text>
    </comment>
    <comment ref="AY1" authorId="0" shapeId="0" xr:uid="{57275E4B-43F9-4653-9640-91C03143F806}">
      <text>
        <r>
          <rPr>
            <b/>
            <sz val="9"/>
            <color indexed="81"/>
            <rFont val="Tahoma"/>
            <family val="2"/>
          </rPr>
          <t>Raj Bridgelall:</t>
        </r>
        <r>
          <rPr>
            <sz val="9"/>
            <color indexed="81"/>
            <rFont val="Tahoma"/>
            <family val="2"/>
          </rPr>
          <t xml:space="preserve">
Freight or Passenger (lbs). Typically 200 lbs/passenger seat.</t>
        </r>
      </text>
    </comment>
    <comment ref="AZ1" authorId="0" shapeId="0" xr:uid="{989B34F2-37A6-4F94-8398-0BBF36B6491E}">
      <text>
        <r>
          <rPr>
            <b/>
            <sz val="9"/>
            <color indexed="81"/>
            <rFont val="Tahoma"/>
            <family val="2"/>
          </rPr>
          <t>Raj Bridgelall:</t>
        </r>
        <r>
          <rPr>
            <sz val="9"/>
            <color indexed="81"/>
            <rFont val="Tahoma"/>
            <family val="2"/>
          </rPr>
          <t xml:space="preserve">
Number of person seats (including pilot if any)</t>
        </r>
      </text>
    </comment>
    <comment ref="BA1" authorId="0" shapeId="0" xr:uid="{EBC6AEA7-FE97-4625-BAE9-6C67AD835132}">
      <text>
        <r>
          <rPr>
            <b/>
            <sz val="9"/>
            <color indexed="81"/>
            <rFont val="Tahoma"/>
            <family val="2"/>
          </rPr>
          <t>Raj Bridgelall:</t>
        </r>
        <r>
          <rPr>
            <sz val="9"/>
            <color indexed="81"/>
            <rFont val="Tahoma"/>
            <family val="2"/>
          </rPr>
          <t xml:space="preserve">
Distance carrying payload (miles)</t>
        </r>
      </text>
    </comment>
    <comment ref="BB1" authorId="0" shapeId="0" xr:uid="{BDB7D3B0-C983-464C-84A1-6422B3937860}">
      <text>
        <r>
          <rPr>
            <b/>
            <sz val="9"/>
            <color indexed="81"/>
            <rFont val="Tahoma"/>
            <family val="2"/>
          </rPr>
          <t>Raj Bridgelall:</t>
        </r>
        <r>
          <rPr>
            <sz val="9"/>
            <color indexed="81"/>
            <rFont val="Tahoma"/>
            <family val="2"/>
          </rPr>
          <t xml:space="preserve">
Speed nominal cruise for the range (mph)</t>
        </r>
      </text>
    </comment>
    <comment ref="BC1" authorId="0" shapeId="0" xr:uid="{8C5DC058-E98D-4817-BE37-DD0FADC4BE30}">
      <text>
        <r>
          <rPr>
            <b/>
            <sz val="9"/>
            <color indexed="81"/>
            <rFont val="Tahoma"/>
            <family val="2"/>
          </rPr>
          <t>Raj Bridgelall:</t>
        </r>
        <r>
          <rPr>
            <sz val="9"/>
            <color indexed="81"/>
            <rFont val="Tahoma"/>
            <family val="2"/>
          </rPr>
          <t xml:space="preserve">
Speed Vertical (mph)</t>
        </r>
      </text>
    </comment>
    <comment ref="BD1" authorId="0" shapeId="0" xr:uid="{94DF365C-F03A-426C-8264-0FA1B60B208C}">
      <text>
        <r>
          <rPr>
            <b/>
            <sz val="9"/>
            <color indexed="81"/>
            <rFont val="Tahoma"/>
            <family val="2"/>
          </rPr>
          <t>Raj Bridgelall:</t>
        </r>
        <r>
          <rPr>
            <sz val="9"/>
            <color indexed="81"/>
            <rFont val="Tahoma"/>
            <family val="2"/>
          </rPr>
          <t xml:space="preserve">
Max Altitude (m) or
Cruise Altitude</t>
        </r>
      </text>
    </comment>
    <comment ref="BE1" authorId="0" shapeId="0" xr:uid="{C4E6C339-FC94-46F4-BEC8-ED3AEE0DF123}">
      <text>
        <r>
          <rPr>
            <b/>
            <sz val="9"/>
            <color indexed="81"/>
            <rFont val="Tahoma"/>
            <family val="2"/>
          </rPr>
          <t>Raj Bridgelall:</t>
        </r>
        <r>
          <rPr>
            <sz val="9"/>
            <color indexed="81"/>
            <rFont val="Tahoma"/>
            <family val="2"/>
          </rPr>
          <t xml:space="preserve">
Wind gust resistance in mph</t>
        </r>
      </text>
    </comment>
    <comment ref="BF1" authorId="0" shapeId="0" xr:uid="{FCFE5FD6-BDAA-4148-A930-C816E7B6C9C6}">
      <text>
        <r>
          <rPr>
            <b/>
            <sz val="9"/>
            <color indexed="81"/>
            <rFont val="Tahoma"/>
            <family val="2"/>
          </rPr>
          <t>Raj Bridgelall:</t>
        </r>
        <r>
          <rPr>
            <sz val="9"/>
            <color indexed="81"/>
            <rFont val="Tahoma"/>
            <family val="2"/>
          </rPr>
          <t xml:space="preserve">
Operating temperature, low end of range in F</t>
        </r>
      </text>
    </comment>
    <comment ref="BG1" authorId="0" shapeId="0" xr:uid="{FC6E4276-58AA-48B9-9CCA-45C5A305942C}">
      <text>
        <r>
          <rPr>
            <b/>
            <sz val="9"/>
            <color indexed="81"/>
            <rFont val="Tahoma"/>
            <family val="2"/>
          </rPr>
          <t>Raj Bridgelall:</t>
        </r>
        <r>
          <rPr>
            <sz val="9"/>
            <color indexed="81"/>
            <rFont val="Tahoma"/>
            <family val="2"/>
          </rPr>
          <t xml:space="preserve">
Operating temperature, high end of range in F</t>
        </r>
      </text>
    </comment>
    <comment ref="BH1" authorId="0" shapeId="0" xr:uid="{583CE518-73DF-4851-BA04-A0948A83FED0}">
      <text>
        <r>
          <rPr>
            <b/>
            <sz val="9"/>
            <color indexed="81"/>
            <rFont val="Tahoma"/>
            <family val="2"/>
          </rPr>
          <t>Raj Bridgelall:</t>
        </r>
        <r>
          <rPr>
            <sz val="9"/>
            <color indexed="81"/>
            <rFont val="Tahoma"/>
            <family val="2"/>
          </rPr>
          <t xml:space="preserve">
Flight time on single fillup (minutes)</t>
        </r>
      </text>
    </comment>
    <comment ref="BI1" authorId="0" shapeId="0" xr:uid="{5BE8F76A-80BD-457F-A0E9-1313CE247A19}">
      <text>
        <r>
          <rPr>
            <b/>
            <sz val="9"/>
            <color indexed="81"/>
            <rFont val="Tahoma"/>
            <family val="2"/>
          </rPr>
          <t>Raj Bridgelall:</t>
        </r>
        <r>
          <rPr>
            <sz val="9"/>
            <color indexed="81"/>
            <rFont val="Tahoma"/>
            <family val="2"/>
          </rPr>
          <t xml:space="preserve">
Batteries (B), Fuel (F), Hybird (H)</t>
        </r>
      </text>
    </comment>
    <comment ref="BJ1" authorId="0" shapeId="0" xr:uid="{18C2E079-EB3C-4954-BCF9-E6EB7204A39C}">
      <text>
        <r>
          <rPr>
            <b/>
            <sz val="9"/>
            <color indexed="81"/>
            <rFont val="Tahoma"/>
            <family val="2"/>
          </rPr>
          <t>Raj Bridgelall:</t>
        </r>
        <r>
          <rPr>
            <sz val="9"/>
            <color indexed="81"/>
            <rFont val="Tahoma"/>
            <family val="2"/>
          </rPr>
          <t xml:space="preserve">
Energy storage capacity of all onboard batteries (kWh)</t>
        </r>
      </text>
    </comment>
    <comment ref="BL1" authorId="0" shapeId="0" xr:uid="{5959BFB9-A924-46D4-AD12-EAF8B3AB1404}">
      <text>
        <r>
          <rPr>
            <b/>
            <sz val="9"/>
            <color indexed="81"/>
            <rFont val="Tahoma"/>
            <family val="2"/>
          </rPr>
          <t>Raj Bridgelall:</t>
        </r>
        <r>
          <rPr>
            <sz val="9"/>
            <color indexed="81"/>
            <rFont val="Tahoma"/>
            <family val="2"/>
          </rPr>
          <t xml:space="preserve">
Chemistry of power source
LNCMO: Lithium-nickel-cobalt-manganese-oxide
SALI: Silicon Anode Lithium Ion
LI: Lithium Ion</t>
        </r>
      </text>
    </comment>
    <comment ref="BM1" authorId="0" shapeId="0" xr:uid="{1541837F-A02F-43DF-AEE9-B539361F38D2}">
      <text>
        <r>
          <rPr>
            <b/>
            <sz val="9"/>
            <color indexed="81"/>
            <rFont val="Tahoma"/>
            <family val="2"/>
          </rPr>
          <t>Raj Bridgelall:</t>
        </r>
        <r>
          <rPr>
            <sz val="9"/>
            <color indexed="81"/>
            <rFont val="Tahoma"/>
            <family val="2"/>
          </rPr>
          <t xml:space="preserve">
Noise generated in decibels (dBA) during lift.
Helicopter: 93 dBA</t>
        </r>
      </text>
    </comment>
    <comment ref="BN1" authorId="0" shapeId="0" xr:uid="{CADCE418-CCB6-486C-82FA-F6E3F7965788}">
      <text>
        <r>
          <rPr>
            <b/>
            <sz val="9"/>
            <color indexed="81"/>
            <rFont val="Tahoma"/>
            <family val="2"/>
          </rPr>
          <t>Raj Bridgelall:</t>
        </r>
        <r>
          <rPr>
            <sz val="9"/>
            <color indexed="81"/>
            <rFont val="Tahoma"/>
            <family val="2"/>
          </rPr>
          <t xml:space="preserve">
Noise generated in decibels (dBA) during Cruise.</t>
        </r>
      </text>
    </comment>
    <comment ref="BO1" authorId="0" shapeId="0" xr:uid="{DEB78E97-1CD7-4C15-AD2E-4E7A9E195574}">
      <text>
        <r>
          <rPr>
            <b/>
            <sz val="9"/>
            <color indexed="81"/>
            <rFont val="Tahoma"/>
            <family val="2"/>
          </rPr>
          <t>Raj Bridgelall:</t>
        </r>
        <r>
          <rPr>
            <sz val="9"/>
            <color indexed="81"/>
            <rFont val="Tahoma"/>
            <family val="2"/>
          </rPr>
          <t xml:space="preserve">
Noise measurement distance (m) during lift.</t>
        </r>
      </text>
    </comment>
    <comment ref="BP1" authorId="0" shapeId="0" xr:uid="{D18E8C17-145A-44CD-ACB1-730033615A8E}">
      <text>
        <r>
          <rPr>
            <b/>
            <sz val="9"/>
            <color indexed="81"/>
            <rFont val="Tahoma"/>
            <family val="2"/>
          </rPr>
          <t>Raj Bridgelall:</t>
        </r>
        <r>
          <rPr>
            <sz val="9"/>
            <color indexed="81"/>
            <rFont val="Tahoma"/>
            <family val="2"/>
          </rPr>
          <t xml:space="preserve">
Noise measurement distance (m) during cruise.</t>
        </r>
      </text>
    </comment>
    <comment ref="BQ1" authorId="0" shapeId="0" xr:uid="{906CD36A-2F55-4EC3-9417-18AF095DC7C3}">
      <text>
        <r>
          <rPr>
            <b/>
            <sz val="9"/>
            <color indexed="81"/>
            <rFont val="Tahoma"/>
            <family val="2"/>
          </rPr>
          <t>Raj Bridgelall:</t>
        </r>
        <r>
          <rPr>
            <sz val="9"/>
            <color indexed="81"/>
            <rFont val="Tahoma"/>
            <family val="2"/>
          </rPr>
          <t xml:space="preserve">
Battery Weight (kg) of all onboard batteries</t>
        </r>
      </text>
    </comment>
    <comment ref="BR1" authorId="0" shapeId="0" xr:uid="{AB9E8778-50BE-497F-8F88-48FA0132660C}">
      <text>
        <r>
          <rPr>
            <b/>
            <sz val="9"/>
            <color indexed="81"/>
            <rFont val="Tahoma"/>
            <family val="2"/>
          </rPr>
          <t>Raj Bridgelall:</t>
        </r>
        <r>
          <rPr>
            <sz val="9"/>
            <color indexed="81"/>
            <rFont val="Tahoma"/>
            <family val="2"/>
          </rPr>
          <t xml:space="preserve">
Recharge Time (minutes)</t>
        </r>
      </text>
    </comment>
    <comment ref="BS1" authorId="0" shapeId="0" xr:uid="{59157BEF-968F-4FEF-9FBD-2A3BAD05EF6E}">
      <text>
        <r>
          <rPr>
            <b/>
            <sz val="9"/>
            <color indexed="81"/>
            <rFont val="Tahoma"/>
            <family val="2"/>
          </rPr>
          <t>Raj Bridgelall:</t>
        </r>
        <r>
          <rPr>
            <sz val="9"/>
            <color indexed="81"/>
            <rFont val="Tahoma"/>
            <family val="2"/>
          </rPr>
          <t xml:space="preserve">
P = Pilot
A = Autonomous
S = Semi-Autonomous
D = Dual Systems</t>
        </r>
      </text>
    </comment>
    <comment ref="BT1" authorId="0" shapeId="0" xr:uid="{19331403-0FE3-4D76-AA8F-D5EE5162F83A}">
      <text>
        <r>
          <rPr>
            <b/>
            <sz val="9"/>
            <color indexed="81"/>
            <rFont val="Tahoma"/>
            <family val="2"/>
          </rPr>
          <t>Raj Bridgelall:</t>
        </r>
        <r>
          <rPr>
            <sz val="9"/>
            <color indexed="81"/>
            <rFont val="Tahoma"/>
            <family val="2"/>
          </rPr>
          <t xml:space="preserve">
Top 3 potential customers who either invested or placed pre-orders or orders.</t>
        </r>
      </text>
    </comment>
    <comment ref="BU1" authorId="0" shapeId="0" xr:uid="{7084FE7B-467F-450F-8439-F6493FCB979E}">
      <text>
        <r>
          <rPr>
            <b/>
            <sz val="9"/>
            <color indexed="81"/>
            <rFont val="Tahoma"/>
            <family val="2"/>
          </rPr>
          <t>Raj Bridgelall:</t>
        </r>
        <r>
          <rPr>
            <sz val="9"/>
            <color indexed="81"/>
            <rFont val="Tahoma"/>
            <family val="2"/>
          </rPr>
          <t xml:space="preserve">
Source of data:
evtol database (EVD): evtol.news/aircraft
Link to articles otherwise.</t>
        </r>
      </text>
    </comment>
    <comment ref="BV1" authorId="0" shapeId="0" xr:uid="{CC74D6EB-BE5D-4FDA-80D8-24337AD88D71}">
      <text>
        <r>
          <rPr>
            <b/>
            <sz val="9"/>
            <color indexed="81"/>
            <rFont val="Tahoma"/>
            <family val="2"/>
          </rPr>
          <t>Raj Bridgelall:</t>
        </r>
        <r>
          <rPr>
            <sz val="9"/>
            <color indexed="81"/>
            <rFont val="Tahoma"/>
            <family val="2"/>
          </rPr>
          <t xml:space="preserve">
Raj Efficiency Metric</t>
        </r>
      </text>
    </comment>
    <comment ref="G8" authorId="0" shapeId="0" xr:uid="{A31C0092-C335-481C-8EC2-0BBBCAA39CFA}">
      <text>
        <r>
          <rPr>
            <b/>
            <sz val="9"/>
            <color indexed="81"/>
            <rFont val="Tahoma"/>
            <family val="2"/>
          </rPr>
          <t>Raj Bridgelall:</t>
        </r>
        <r>
          <rPr>
            <sz val="9"/>
            <color indexed="81"/>
            <rFont val="Tahoma"/>
            <family val="2"/>
          </rPr>
          <t xml:space="preserve">
https://www.sae.org/news/2020/06/evtol-startups</t>
        </r>
      </text>
    </comment>
    <comment ref="AF8" authorId="0" shapeId="0" xr:uid="{94AB86F6-3ACF-47E4-8FD4-D31A9BECE859}">
      <text>
        <r>
          <rPr>
            <b/>
            <sz val="9"/>
            <color indexed="81"/>
            <rFont val="Tahoma"/>
            <family val="2"/>
          </rPr>
          <t>Raj Bridgelall:</t>
        </r>
        <r>
          <rPr>
            <sz val="9"/>
            <color indexed="81"/>
            <rFont val="Tahoma"/>
            <family val="2"/>
          </rPr>
          <t xml:space="preserve">
https://www.sae.org/news/2020/06/evtol-startups
</t>
        </r>
      </text>
    </comment>
    <comment ref="AY8" authorId="0" shapeId="0" xr:uid="{18BFA31D-3FB3-460E-9690-320ED27BAA10}">
      <text>
        <r>
          <rPr>
            <b/>
            <sz val="9"/>
            <color indexed="81"/>
            <rFont val="Tahoma"/>
            <family val="2"/>
          </rPr>
          <t>Raj Bridgelall:</t>
        </r>
        <r>
          <rPr>
            <sz val="9"/>
            <color indexed="81"/>
            <rFont val="Tahoma"/>
            <family val="2"/>
          </rPr>
          <t xml:space="preserve">
https://www.sae.org/news/2020/06/evtol-startups</t>
        </r>
      </text>
    </comment>
    <comment ref="BJ8" authorId="0" shapeId="0" xr:uid="{E62866A4-F058-48C2-9140-6F1F4EFDA235}">
      <text>
        <r>
          <rPr>
            <b/>
            <sz val="9"/>
            <color indexed="81"/>
            <rFont val="Tahoma"/>
            <family val="2"/>
          </rPr>
          <t>Raj Bridgelall:</t>
        </r>
        <r>
          <rPr>
            <sz val="9"/>
            <color indexed="81"/>
            <rFont val="Tahoma"/>
            <family val="2"/>
          </rPr>
          <t xml:space="preserve">
https://www.sae.org/news/2020/06/evtol-startups</t>
        </r>
      </text>
    </comment>
    <comment ref="AF10" authorId="0" shapeId="0" xr:uid="{1CCB03FB-F30C-4A7A-87D3-92D257596B13}">
      <text>
        <r>
          <rPr>
            <b/>
            <sz val="9"/>
            <color indexed="81"/>
            <rFont val="Tahoma"/>
            <family val="2"/>
          </rPr>
          <t>Raj Bridgelall:</t>
        </r>
        <r>
          <rPr>
            <sz val="9"/>
            <color indexed="81"/>
            <rFont val="Tahoma"/>
            <family val="2"/>
          </rPr>
          <t xml:space="preserve">
https://evtol.news/nasa-greased-lightning/</t>
        </r>
      </text>
    </comment>
    <comment ref="A11" authorId="0" shapeId="0" xr:uid="{DC3AA60E-3AAC-4FB3-A822-0772C799E547}">
      <text>
        <r>
          <rPr>
            <b/>
            <sz val="9"/>
            <color indexed="81"/>
            <rFont val="Tahoma"/>
            <family val="2"/>
          </rPr>
          <t>Raj Bridgelall:</t>
        </r>
        <r>
          <rPr>
            <sz val="9"/>
            <color indexed="81"/>
            <rFont val="Tahoma"/>
            <family val="2"/>
          </rPr>
          <t xml:space="preserve">
Specs: https://www.advancedtacticsinc.com/</t>
        </r>
      </text>
    </comment>
    <comment ref="AY12" authorId="0" shapeId="0" xr:uid="{74758549-5D1C-4E82-9D68-33F0DED5DC82}">
      <text>
        <r>
          <rPr>
            <b/>
            <sz val="9"/>
            <color indexed="81"/>
            <rFont val="Tahoma"/>
            <family val="2"/>
          </rPr>
          <t>Raj Bridgelall:</t>
        </r>
        <r>
          <rPr>
            <sz val="9"/>
            <color indexed="81"/>
            <rFont val="Tahoma"/>
            <family val="2"/>
          </rPr>
          <t xml:space="preserve">
Persons + Baggage = 1200
Add fuel (960 lbs) = 2200 lbs (Useful load)</t>
        </r>
      </text>
    </comment>
    <comment ref="W13" authorId="1" shapeId="0" xr:uid="{AAA564CA-B695-418E-9DA3-5393422F9613}">
      <text>
        <r>
          <rPr>
            <sz val="11"/>
            <color theme="1"/>
            <rFont val="Calibri"/>
            <family val="2"/>
            <scheme val="minor"/>
          </rPr>
          <t xml:space="preserve">Askarzadeh, Taraneh:
https://www.popularmechanics.com/flight/a36287979/jetoptera-vtol-bladeless-propulsion-system/
</t>
        </r>
      </text>
    </comment>
  </commentList>
</comments>
</file>

<file path=xl/sharedStrings.xml><?xml version="1.0" encoding="utf-8"?>
<sst xmlns="http://schemas.openxmlformats.org/spreadsheetml/2006/main" count="1154" uniqueCount="401">
  <si>
    <t>Company</t>
  </si>
  <si>
    <t>Model</t>
  </si>
  <si>
    <t>Range</t>
  </si>
  <si>
    <t>Speed V</t>
  </si>
  <si>
    <t>Started</t>
  </si>
  <si>
    <t>Location</t>
  </si>
  <si>
    <t>Germany</t>
  </si>
  <si>
    <t>Payload</t>
  </si>
  <si>
    <t>Type</t>
  </si>
  <si>
    <t>Employees</t>
  </si>
  <si>
    <t>Specs</t>
  </si>
  <si>
    <t>Wingcopter</t>
  </si>
  <si>
    <t>Acquired By</t>
  </si>
  <si>
    <t>Acquired</t>
  </si>
  <si>
    <t>Launch</t>
  </si>
  <si>
    <t>Winds</t>
  </si>
  <si>
    <t>Joby Aviation</t>
  </si>
  <si>
    <t>Archer</t>
  </si>
  <si>
    <t>Lilium</t>
  </si>
  <si>
    <t>Noise C</t>
  </si>
  <si>
    <t>Noise L</t>
  </si>
  <si>
    <t>Noise LD</t>
  </si>
  <si>
    <t>Noise CD</t>
  </si>
  <si>
    <t>Op Cost</t>
  </si>
  <si>
    <t>Mfg Cost</t>
  </si>
  <si>
    <t>Toyota, Uber, Jet Blue</t>
  </si>
  <si>
    <t>United Airlines, Stellantis</t>
  </si>
  <si>
    <t>Tencent</t>
  </si>
  <si>
    <t>American Airlines</t>
  </si>
  <si>
    <t>Alt. H</t>
  </si>
  <si>
    <t>Chem</t>
  </si>
  <si>
    <t>B</t>
  </si>
  <si>
    <t>H</t>
  </si>
  <si>
    <t>V</t>
  </si>
  <si>
    <t>TW</t>
  </si>
  <si>
    <t>SF</t>
  </si>
  <si>
    <t>TP</t>
  </si>
  <si>
    <t>S4</t>
  </si>
  <si>
    <t>LNCMO</t>
  </si>
  <si>
    <t>Fuse_W</t>
  </si>
  <si>
    <t>C</t>
  </si>
  <si>
    <t>Fund Total</t>
  </si>
  <si>
    <t>SC</t>
  </si>
  <si>
    <t>CFC</t>
  </si>
  <si>
    <t xml:space="preserve"> </t>
  </si>
  <si>
    <t>SALI</t>
  </si>
  <si>
    <t>Vertical Aerospace</t>
  </si>
  <si>
    <t>VA-X4</t>
  </si>
  <si>
    <t>TWR</t>
  </si>
  <si>
    <t>Britain</t>
  </si>
  <si>
    <t>EHang</t>
  </si>
  <si>
    <t>China</t>
  </si>
  <si>
    <t>VT-30</t>
  </si>
  <si>
    <t>Beta Technologies</t>
  </si>
  <si>
    <t>VT</t>
  </si>
  <si>
    <t>FS</t>
  </si>
  <si>
    <t>Volocopter</t>
  </si>
  <si>
    <t>Voloconnect</t>
  </si>
  <si>
    <t>Wing (Alphabet)</t>
  </si>
  <si>
    <t>[web]</t>
  </si>
  <si>
    <t>LP</t>
  </si>
  <si>
    <t>Flaps</t>
  </si>
  <si>
    <t>L</t>
  </si>
  <si>
    <t>M</t>
  </si>
  <si>
    <t>Wingcopter 198</t>
  </si>
  <si>
    <t>W</t>
  </si>
  <si>
    <t>IV</t>
  </si>
  <si>
    <t>VO</t>
  </si>
  <si>
    <t>LI</t>
  </si>
  <si>
    <t>Air Methods, UPS</t>
  </si>
  <si>
    <t>Bell</t>
  </si>
  <si>
    <t>TX</t>
  </si>
  <si>
    <t>APT 100</t>
  </si>
  <si>
    <t>TS</t>
  </si>
  <si>
    <t>Jaunt Air Mobility</t>
  </si>
  <si>
    <t>Dallas</t>
  </si>
  <si>
    <t>Journey</t>
  </si>
  <si>
    <t>TI</t>
  </si>
  <si>
    <t>Wisk</t>
  </si>
  <si>
    <t>Cora</t>
  </si>
  <si>
    <t>CA</t>
  </si>
  <si>
    <t>Boeing</t>
  </si>
  <si>
    <t>UI</t>
  </si>
  <si>
    <t>Speed C</t>
  </si>
  <si>
    <t>Alia-250</t>
  </si>
  <si>
    <t>UPS, US Airforce, Blade</t>
  </si>
  <si>
    <t>Arrival</t>
  </si>
  <si>
    <t>Pipistrel</t>
  </si>
  <si>
    <t>Hundai UAM</t>
  </si>
  <si>
    <t>Eve UAM</t>
  </si>
  <si>
    <t>Elroy Air</t>
  </si>
  <si>
    <t>Dufour Aerospace</t>
  </si>
  <si>
    <t>Electra</t>
  </si>
  <si>
    <t>Sabrewing Aircraft</t>
  </si>
  <si>
    <t>Airbus</t>
  </si>
  <si>
    <t>Airflow</t>
  </si>
  <si>
    <t>Flight 1</t>
  </si>
  <si>
    <t>?</t>
  </si>
  <si>
    <t>Use</t>
  </si>
  <si>
    <t>P</t>
  </si>
  <si>
    <t>Nuuva V300</t>
  </si>
  <si>
    <t>S-A1</t>
  </si>
  <si>
    <t>Eve</t>
  </si>
  <si>
    <t>Maker</t>
  </si>
  <si>
    <t>Butterfly</t>
  </si>
  <si>
    <t>Chaparral</t>
  </si>
  <si>
    <t>Aero3</t>
  </si>
  <si>
    <t>eSTOL</t>
  </si>
  <si>
    <t>AL</t>
  </si>
  <si>
    <t>Rhaegal RG-1</t>
  </si>
  <si>
    <t>CityAirbus</t>
  </si>
  <si>
    <t>MC</t>
  </si>
  <si>
    <t>Model 200</t>
  </si>
  <si>
    <t>Height</t>
  </si>
  <si>
    <t>Length</t>
  </si>
  <si>
    <t>[YT]</t>
  </si>
  <si>
    <t>[pdf]</t>
  </si>
  <si>
    <t>k</t>
  </si>
  <si>
    <t>Brazil</t>
  </si>
  <si>
    <t>LiPoly</t>
  </si>
  <si>
    <t>AR</t>
  </si>
  <si>
    <t>Jet (7 seat)</t>
  </si>
  <si>
    <t>CC</t>
  </si>
  <si>
    <t>Overair (Karem)</t>
  </si>
  <si>
    <t>MTOW</t>
  </si>
  <si>
    <t>Swiss</t>
  </si>
  <si>
    <t>U</t>
  </si>
  <si>
    <t>4T</t>
  </si>
  <si>
    <t>Tail</t>
  </si>
  <si>
    <t>Wing</t>
  </si>
  <si>
    <t>Wing W</t>
  </si>
  <si>
    <t>Wing L</t>
  </si>
  <si>
    <t>AutoFlightX</t>
  </si>
  <si>
    <t>V1000CG</t>
  </si>
  <si>
    <t>k2</t>
  </si>
  <si>
    <t>NASA</t>
  </si>
  <si>
    <t>GL-10</t>
  </si>
  <si>
    <t>Virginia</t>
  </si>
  <si>
    <t>PteroDynamics</t>
  </si>
  <si>
    <t>Transwing</t>
  </si>
  <si>
    <t>MA</t>
  </si>
  <si>
    <t>FW</t>
  </si>
  <si>
    <t>W4</t>
  </si>
  <si>
    <t>SP</t>
  </si>
  <si>
    <t>Transcend Air</t>
  </si>
  <si>
    <t>Vy 400</t>
  </si>
  <si>
    <t>Wings</t>
  </si>
  <si>
    <t>Winglets</t>
  </si>
  <si>
    <t>Wing A</t>
  </si>
  <si>
    <t>Fold</t>
  </si>
  <si>
    <t>DM</t>
  </si>
  <si>
    <t>BW</t>
  </si>
  <si>
    <t>Pilot</t>
  </si>
  <si>
    <t>EM#</t>
  </si>
  <si>
    <t>Seats</t>
  </si>
  <si>
    <t>S</t>
  </si>
  <si>
    <t>A</t>
  </si>
  <si>
    <t>Nexus 4EX</t>
  </si>
  <si>
    <t>Texas</t>
  </si>
  <si>
    <t>R</t>
  </si>
  <si>
    <t>LPD</t>
  </si>
  <si>
    <t>CPD</t>
  </si>
  <si>
    <t>TR#</t>
  </si>
  <si>
    <t>BCR#</t>
  </si>
  <si>
    <t>BTR#</t>
  </si>
  <si>
    <t>WT</t>
  </si>
  <si>
    <t>Land</t>
  </si>
  <si>
    <t>Empty</t>
  </si>
  <si>
    <t>Tpr L</t>
  </si>
  <si>
    <t>Tpr H</t>
  </si>
  <si>
    <t>Time</t>
  </si>
  <si>
    <t>PWR</t>
  </si>
  <si>
    <t>kWh</t>
  </si>
  <si>
    <t>Wh/kg</t>
  </si>
  <si>
    <t>Charge</t>
  </si>
  <si>
    <t>Customers</t>
  </si>
  <si>
    <t>Aptos Blue</t>
  </si>
  <si>
    <t>A2-Cal</t>
  </si>
  <si>
    <t>D</t>
  </si>
  <si>
    <t>Phase</t>
  </si>
  <si>
    <t>E</t>
  </si>
  <si>
    <t>N</t>
  </si>
  <si>
    <t>Air Frm</t>
  </si>
  <si>
    <t>Coax</t>
  </si>
  <si>
    <t>Rots#</t>
  </si>
  <si>
    <t>Duct#</t>
  </si>
  <si>
    <t>RL#</t>
  </si>
  <si>
    <t>LRE#</t>
  </si>
  <si>
    <t>RC#</t>
  </si>
  <si>
    <t>2T</t>
  </si>
  <si>
    <t xml:space="preserve">ACS Aviation </t>
  </si>
  <si>
    <t>Z-300</t>
  </si>
  <si>
    <t>TD</t>
  </si>
  <si>
    <t>SA</t>
  </si>
  <si>
    <t xml:space="preserve">Advanced Tactics </t>
  </si>
  <si>
    <t>Barracuda</t>
  </si>
  <si>
    <t>T</t>
  </si>
  <si>
    <t>[link]</t>
  </si>
  <si>
    <t>Airis Aerospace</t>
  </si>
  <si>
    <t>AirisOne</t>
  </si>
  <si>
    <t>Bermuda</t>
  </si>
  <si>
    <t>American Aerospace Engineering</t>
  </si>
  <si>
    <t>Autonomous Flight</t>
  </si>
  <si>
    <t>Y6S</t>
  </si>
  <si>
    <t>UK</t>
  </si>
  <si>
    <t>Y6S plus</t>
  </si>
  <si>
    <t>Baaz</t>
  </si>
  <si>
    <t xml:space="preserve"> B5</t>
  </si>
  <si>
    <t>DeLorean Aerospace</t>
  </si>
  <si>
    <t>DR-7</t>
  </si>
  <si>
    <t>Dubai</t>
  </si>
  <si>
    <t>Grug Group</t>
  </si>
  <si>
    <t>SBX</t>
  </si>
  <si>
    <t>FL</t>
  </si>
  <si>
    <t xml:space="preserve">Orca Aerospace </t>
  </si>
  <si>
    <t xml:space="preserve">Orca </t>
  </si>
  <si>
    <t>Hungary </t>
  </si>
  <si>
    <t>E20</t>
  </si>
  <si>
    <t>Airbus Urban Mobility</t>
  </si>
  <si>
    <t xml:space="preserve"> NextGen</t>
  </si>
  <si>
    <t>France</t>
  </si>
  <si>
    <t>LS</t>
  </si>
  <si>
    <t>Aurora Flight Sciences</t>
  </si>
  <si>
    <t>VA</t>
  </si>
  <si>
    <t>E/B</t>
  </si>
  <si>
    <t>Terrafugia</t>
  </si>
  <si>
    <t>TF-2A</t>
  </si>
  <si>
    <t>FS/4W</t>
  </si>
  <si>
    <t>TR</t>
  </si>
  <si>
    <t>TT</t>
  </si>
  <si>
    <t>WP</t>
  </si>
  <si>
    <t>Retr</t>
  </si>
  <si>
    <t>PC</t>
  </si>
  <si>
    <t>BLR#</t>
  </si>
  <si>
    <t>Eversor</t>
  </si>
  <si>
    <t>WA</t>
  </si>
  <si>
    <t>PA</t>
  </si>
  <si>
    <t>AD</t>
  </si>
  <si>
    <t>Ruds</t>
  </si>
  <si>
    <t>BH</t>
  </si>
  <si>
    <t>LH</t>
  </si>
  <si>
    <t>PD</t>
  </si>
  <si>
    <t>CityAirbus NG</t>
  </si>
  <si>
    <t>Employ</t>
  </si>
  <si>
    <t>Funds</t>
  </si>
  <si>
    <t>Flt 1</t>
  </si>
  <si>
    <t>Aq By</t>
  </si>
  <si>
    <t>Aq</t>
  </si>
  <si>
    <t>HQ</t>
  </si>
  <si>
    <t>Wngs</t>
  </si>
  <si>
    <t>Wngl</t>
  </si>
  <si>
    <t>Wng W</t>
  </si>
  <si>
    <t>Wng A</t>
  </si>
  <si>
    <t>F</t>
  </si>
  <si>
    <t>FB</t>
  </si>
  <si>
    <t>Pegasus PAV</t>
  </si>
  <si>
    <t>TH</t>
  </si>
  <si>
    <t>Psns</t>
  </si>
  <si>
    <t>US</t>
  </si>
  <si>
    <t>Y</t>
  </si>
  <si>
    <t>PEX</t>
  </si>
  <si>
    <t>PEX2</t>
  </si>
  <si>
    <t>AIR ONE</t>
  </si>
  <si>
    <t>Israel</t>
  </si>
  <si>
    <t>EVD</t>
  </si>
  <si>
    <t>Jetoptera</t>
  </si>
  <si>
    <t>J2000</t>
  </si>
  <si>
    <t>Gas :(</t>
  </si>
  <si>
    <t>OPPAV</t>
  </si>
  <si>
    <t>South Korea</t>
  </si>
  <si>
    <t>AIR</t>
  </si>
  <si>
    <t>Cruise</t>
  </si>
  <si>
    <t>Lift</t>
  </si>
  <si>
    <t>FR</t>
  </si>
  <si>
    <t>Tetra</t>
  </si>
  <si>
    <t>Mk5</t>
  </si>
  <si>
    <t>NFT</t>
  </si>
  <si>
    <t>Aska</t>
  </si>
  <si>
    <t>NeXt</t>
  </si>
  <si>
    <t>PAT</t>
  </si>
  <si>
    <t>Leo</t>
  </si>
  <si>
    <t>Urban eVTOL</t>
  </si>
  <si>
    <t>KARI</t>
  </si>
  <si>
    <t>Samad Aerospace</t>
  </si>
  <si>
    <t>Starling Cargo</t>
  </si>
  <si>
    <t>e-Starling Jet</t>
  </si>
  <si>
    <t>Horyzn Aerospace</t>
  </si>
  <si>
    <t>Silencio Gamma</t>
  </si>
  <si>
    <t>Leap Aeronautics</t>
  </si>
  <si>
    <t>India</t>
  </si>
  <si>
    <t>Bartini Flying Car</t>
  </si>
  <si>
    <t>Bartini </t>
  </si>
  <si>
    <t>Digi Robotics</t>
  </si>
  <si>
    <t>Droxi UAD-M20</t>
  </si>
  <si>
    <t>Braunwagner</t>
  </si>
  <si>
    <t>SkyCab</t>
  </si>
  <si>
    <t xml:space="preserve">P </t>
  </si>
  <si>
    <t>Houssem Douik</t>
  </si>
  <si>
    <t>Eco'Trip</t>
  </si>
  <si>
    <t>Tunisia</t>
  </si>
  <si>
    <t>Above</t>
  </si>
  <si>
    <t>Lacks Data</t>
  </si>
  <si>
    <t>DroFire UAD M470</t>
  </si>
  <si>
    <t>Ion eVTOL</t>
  </si>
  <si>
    <t>CH-e</t>
  </si>
  <si>
    <t>NASA </t>
  </si>
  <si>
    <t>LA-8 eVTOL Testbed</t>
  </si>
  <si>
    <t>Neoptera Ltd</t>
  </si>
  <si>
    <t>eOpter-TRL 5</t>
  </si>
  <si>
    <t>Smolensk Aviation Plant</t>
  </si>
  <si>
    <t>AeroTaxi</t>
  </si>
  <si>
    <t>Russia</t>
  </si>
  <si>
    <t>Autoflight</t>
  </si>
  <si>
    <t>V1500M</t>
  </si>
  <si>
    <t>FP</t>
  </si>
  <si>
    <t xml:space="preserve">AutoFlightX </t>
  </si>
  <si>
    <t>V600</t>
  </si>
  <si>
    <t>V880CG</t>
  </si>
  <si>
    <t>teTra Aviation</t>
  </si>
  <si>
    <t>Mk-5</t>
  </si>
  <si>
    <t>Japan</t>
  </si>
  <si>
    <t>Leo Coupe</t>
  </si>
  <si>
    <t>IN</t>
  </si>
  <si>
    <t xml:space="preserve">Kitty Hawk </t>
  </si>
  <si>
    <t>Heaviside</t>
  </si>
  <si>
    <t>EVA</t>
  </si>
  <si>
    <t>X01</t>
  </si>
  <si>
    <t>Valkyr</t>
  </si>
  <si>
    <t>Portugal</t>
  </si>
  <si>
    <t>HopFlyt</t>
  </si>
  <si>
    <t>Venturi</t>
  </si>
  <si>
    <t>MD</t>
  </si>
  <si>
    <t>PDRL</t>
  </si>
  <si>
    <t>AeroHans 2S</t>
  </si>
  <si>
    <t>CF</t>
  </si>
  <si>
    <t xml:space="preserve">SKYLYS Aircraft </t>
  </si>
  <si>
    <t>AO</t>
  </si>
  <si>
    <t>DE</t>
  </si>
  <si>
    <t>Uber Elevate</t>
  </si>
  <si>
    <t>eCRM-001</t>
  </si>
  <si>
    <t>Doroni LLC</t>
  </si>
  <si>
    <t>H1</t>
  </si>
  <si>
    <t>QW</t>
  </si>
  <si>
    <t>Li</t>
  </si>
  <si>
    <t>ePlane</t>
  </si>
  <si>
    <t>e200</t>
  </si>
  <si>
    <t>Esprit Aeronautics Limited</t>
  </si>
  <si>
    <t>Lancer ePAV</t>
  </si>
  <si>
    <t>Vasilatos Ianis &amp; Richard Mansell</t>
  </si>
  <si>
    <t>Processor 007</t>
  </si>
  <si>
    <t>Romania</t>
  </si>
  <si>
    <t>Lynx</t>
  </si>
  <si>
    <t>Industry Network</t>
  </si>
  <si>
    <t>Cocooon X-1</t>
  </si>
  <si>
    <t>Zeva</t>
  </si>
  <si>
    <t>Zero</t>
  </si>
  <si>
    <t>Dahir Insaat </t>
  </si>
  <si>
    <t>Azur Rail</t>
  </si>
  <si>
    <t>QWR</t>
  </si>
  <si>
    <t>Hover</t>
  </si>
  <si>
    <t>Formula 2 Winged</t>
  </si>
  <si>
    <t>TF-2A demonstrator</t>
  </si>
  <si>
    <t>Bellwether Industries</t>
  </si>
  <si>
    <t>Antelope</t>
  </si>
  <si>
    <t>Blueflite</t>
  </si>
  <si>
    <t>Unnamed</t>
  </si>
  <si>
    <t>Cadillac </t>
  </si>
  <si>
    <r>
      <t>VTOL</t>
    </r>
    <r>
      <rPr>
        <sz val="7"/>
        <color rgb="FF3E4D5C"/>
        <rFont val="Open Sans"/>
        <family val="2"/>
      </rPr>
      <t> </t>
    </r>
  </si>
  <si>
    <t>Tesla Concept</t>
  </si>
  <si>
    <t>Model V</t>
  </si>
  <si>
    <t>Deep Blue Aviation</t>
  </si>
  <si>
    <t>MX 18 Silhouette 5</t>
  </si>
  <si>
    <t>Austria</t>
  </si>
  <si>
    <t>MX 18 Silhouette M</t>
  </si>
  <si>
    <t>MX 18 Silhouette X</t>
  </si>
  <si>
    <t>Sky Cruiser</t>
  </si>
  <si>
    <t xml:space="preserve"> Business eVTOL Jet</t>
  </si>
  <si>
    <t xml:space="preserve">Grug Group </t>
  </si>
  <si>
    <t>Ghost X V1</t>
  </si>
  <si>
    <t>Ghost X V2.2</t>
  </si>
  <si>
    <t>Ghost X V3</t>
  </si>
  <si>
    <t>Personal eVTOL Jet</t>
  </si>
  <si>
    <t>Hemanth kumar Sudhakaran</t>
  </si>
  <si>
    <t>AVEM</t>
  </si>
  <si>
    <t>HopLite Aviation</t>
  </si>
  <si>
    <t>NC</t>
  </si>
  <si>
    <t>Air Race E</t>
  </si>
  <si>
    <t>Baaz Concept Design</t>
  </si>
  <si>
    <t>Hornisse Type 2B</t>
  </si>
  <si>
    <t>Japan Aerospace Exploration Agency (JAXA)</t>
  </si>
  <si>
    <t>Kelekona</t>
  </si>
  <si>
    <t>NY</t>
  </si>
  <si>
    <t>Unnamed eVTOL</t>
  </si>
  <si>
    <t>Micor Technologies LLC </t>
  </si>
  <si>
    <t>VAGEV</t>
  </si>
  <si>
    <t>MI</t>
  </si>
  <si>
    <t>Porsche Boeing</t>
  </si>
  <si>
    <t>Ravatia Aerospace</t>
  </si>
  <si>
    <t>Unnamed Cargo Drone</t>
  </si>
  <si>
    <t>USA</t>
  </si>
  <si>
    <t>Tcab Tech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</si>
</sst>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_(* #,##0_);_(* \(#,##0\);_(* &quot;-&quot;??_);_(@_)"/>
    <numFmt numFmtId="166" formatCode="0.0"/>
  </numFmts>
  <fonts count="14" x14ac:knownFonts="1">
    <font>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sz val="11"/>
      <color rgb="FFFF0000"/>
      <name val="Calibri"/>
      <family val="2"/>
      <scheme val="minor"/>
    </font>
    <font>
      <sz val="11"/>
      <color rgb="FF0033CC"/>
      <name val="Calibri"/>
      <family val="2"/>
      <scheme val="minor"/>
    </font>
    <font>
      <sz val="11"/>
      <name val="Calibri"/>
      <family val="2"/>
      <scheme val="minor"/>
    </font>
    <font>
      <sz val="11"/>
      <name val="Calibri"/>
      <family val="2"/>
    </font>
    <font>
      <sz val="11"/>
      <color rgb="FF000000"/>
      <name val="Calibri"/>
      <family val="2"/>
      <scheme val="minor"/>
    </font>
    <font>
      <u/>
      <sz val="11"/>
      <color rgb="FF000000"/>
      <name val="Calibri"/>
      <family val="2"/>
      <scheme val="minor"/>
    </font>
    <font>
      <sz val="11"/>
      <color theme="1"/>
      <name val="Calibri"/>
      <family val="2"/>
      <scheme val="minor"/>
    </font>
    <font>
      <u/>
      <sz val="11"/>
      <color theme="1"/>
      <name val="Calibri"/>
      <family val="2"/>
      <scheme val="minor"/>
    </font>
    <font>
      <sz val="7"/>
      <color rgb="FF3E4D5C"/>
      <name val="Open Sans"/>
      <family val="2"/>
    </font>
    <font>
      <b/>
      <sz val="7"/>
      <color rgb="FF3E4D5C"/>
      <name val="Open Sans"/>
      <family val="2"/>
    </font>
  </fonts>
  <fills count="12">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0000"/>
        <bgColor indexed="64"/>
      </patternFill>
    </fill>
    <fill>
      <patternFill patternType="solid">
        <fgColor theme="9" tint="-0.249977111117893"/>
        <bgColor indexed="64"/>
      </patternFill>
    </fill>
    <fill>
      <patternFill patternType="solid">
        <fgColor rgb="FFFFFF00"/>
        <bgColor indexed="64"/>
      </patternFill>
    </fill>
    <fill>
      <patternFill patternType="solid">
        <fgColor rgb="FF92D050"/>
        <bgColor indexed="64"/>
      </patternFill>
    </fill>
    <fill>
      <patternFill patternType="solid">
        <fgColor theme="4" tint="0.39997558519241921"/>
        <bgColor indexed="64"/>
      </patternFill>
    </fill>
    <fill>
      <patternFill patternType="solid">
        <fgColor theme="9"/>
        <bgColor indexed="64"/>
      </patternFill>
    </fill>
    <fill>
      <patternFill patternType="solid">
        <fgColor theme="4" tint="0.59999389629810485"/>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43" fontId="10" fillId="0" borderId="0" applyFont="0" applyFill="0" applyBorder="0" applyAlignment="0" applyProtection="0"/>
  </cellStyleXfs>
  <cellXfs count="79">
    <xf numFmtId="0" fontId="0" fillId="0" borderId="0" xfId="0"/>
    <xf numFmtId="0" fontId="3" fillId="0" borderId="0" xfId="1"/>
    <xf numFmtId="2" fontId="0" fillId="0" borderId="0" xfId="0" applyNumberFormat="1"/>
    <xf numFmtId="0" fontId="4" fillId="0" borderId="0" xfId="0" applyFont="1"/>
    <xf numFmtId="0" fontId="5" fillId="0" borderId="0" xfId="0" applyFont="1"/>
    <xf numFmtId="2" fontId="5" fillId="0" borderId="0" xfId="0" applyNumberFormat="1" applyFont="1"/>
    <xf numFmtId="0" fontId="0" fillId="2" borderId="0" xfId="0" applyFill="1"/>
    <xf numFmtId="0" fontId="4" fillId="2" borderId="0" xfId="0" applyFont="1" applyFill="1"/>
    <xf numFmtId="0" fontId="5" fillId="3" borderId="0" xfId="0" applyFont="1" applyFill="1"/>
    <xf numFmtId="0" fontId="0" fillId="3" borderId="0" xfId="0" applyFill="1"/>
    <xf numFmtId="2" fontId="0" fillId="3" borderId="0" xfId="0" applyNumberFormat="1" applyFill="1"/>
    <xf numFmtId="2" fontId="5" fillId="3" borderId="0" xfId="0" applyNumberFormat="1" applyFont="1" applyFill="1"/>
    <xf numFmtId="0" fontId="0" fillId="4" borderId="0" xfId="0" applyFill="1"/>
    <xf numFmtId="0" fontId="5" fillId="4" borderId="0" xfId="0" applyFont="1" applyFill="1"/>
    <xf numFmtId="2" fontId="5" fillId="4" borderId="0" xfId="0" applyNumberFormat="1" applyFont="1" applyFill="1"/>
    <xf numFmtId="2" fontId="0" fillId="4" borderId="0" xfId="0" applyNumberFormat="1" applyFill="1"/>
    <xf numFmtId="0" fontId="4" fillId="3" borderId="0" xfId="0" applyFont="1" applyFill="1"/>
    <xf numFmtId="0" fontId="6" fillId="0" borderId="0" xfId="0" applyFont="1"/>
    <xf numFmtId="0" fontId="7" fillId="0" borderId="0" xfId="0" applyFont="1"/>
    <xf numFmtId="0" fontId="6" fillId="3" borderId="0" xfId="0" applyFont="1" applyFill="1"/>
    <xf numFmtId="0" fontId="6" fillId="4" borderId="0" xfId="0" applyFont="1" applyFill="1"/>
    <xf numFmtId="0" fontId="6" fillId="2" borderId="0" xfId="0" applyFont="1" applyFill="1"/>
    <xf numFmtId="0" fontId="5" fillId="2" borderId="0" xfId="0" applyFont="1" applyFill="1"/>
    <xf numFmtId="0" fontId="3" fillId="0" borderId="0" xfId="1" applyFill="1"/>
    <xf numFmtId="0" fontId="8" fillId="0" borderId="0" xfId="0" applyFont="1"/>
    <xf numFmtId="0" fontId="9" fillId="0" borderId="0" xfId="1" applyFont="1" applyFill="1"/>
    <xf numFmtId="2" fontId="6" fillId="3" borderId="0" xfId="0" applyNumberFormat="1" applyFont="1" applyFill="1"/>
    <xf numFmtId="2" fontId="4" fillId="3" borderId="0" xfId="0" applyNumberFormat="1" applyFont="1" applyFill="1"/>
    <xf numFmtId="0" fontId="11" fillId="0" borderId="0" xfId="1" applyFont="1" applyFill="1"/>
    <xf numFmtId="0" fontId="0" fillId="5" borderId="0" xfId="0" applyFill="1"/>
    <xf numFmtId="2" fontId="0" fillId="5" borderId="0" xfId="0" applyNumberFormat="1" applyFill="1"/>
    <xf numFmtId="2" fontId="5" fillId="5" borderId="0" xfId="0" applyNumberFormat="1" applyFont="1" applyFill="1"/>
    <xf numFmtId="164" fontId="0" fillId="0" borderId="0" xfId="0" applyNumberFormat="1"/>
    <xf numFmtId="164" fontId="6" fillId="0" borderId="0" xfId="0" applyNumberFormat="1" applyFont="1"/>
    <xf numFmtId="164" fontId="0" fillId="5" borderId="0" xfId="0" applyNumberFormat="1" applyFill="1"/>
    <xf numFmtId="0" fontId="0" fillId="3" borderId="0" xfId="0" applyFill="1" applyAlignment="1">
      <alignment horizontal="right"/>
    </xf>
    <xf numFmtId="0" fontId="0" fillId="0" borderId="0" xfId="0" applyAlignment="1">
      <alignment horizontal="center"/>
    </xf>
    <xf numFmtId="0" fontId="6" fillId="0" borderId="0" xfId="0" applyFont="1" applyAlignment="1">
      <alignment horizontal="center"/>
    </xf>
    <xf numFmtId="0" fontId="8" fillId="0" borderId="0" xfId="0" applyFont="1" applyAlignment="1">
      <alignment horizontal="center"/>
    </xf>
    <xf numFmtId="0" fontId="0" fillId="5" borderId="0" xfId="0" applyFill="1" applyAlignment="1">
      <alignment horizontal="center"/>
    </xf>
    <xf numFmtId="165" fontId="0" fillId="0" borderId="0" xfId="2" applyNumberFormat="1" applyFont="1"/>
    <xf numFmtId="165" fontId="6" fillId="0" borderId="0" xfId="2" applyNumberFormat="1" applyFont="1"/>
    <xf numFmtId="165" fontId="0" fillId="5" borderId="0" xfId="2" applyNumberFormat="1" applyFont="1" applyFill="1"/>
    <xf numFmtId="2" fontId="0" fillId="3" borderId="0" xfId="0" applyNumberFormat="1" applyFill="1" applyAlignment="1">
      <alignment horizontal="center"/>
    </xf>
    <xf numFmtId="166" fontId="5" fillId="4" borderId="0" xfId="0" applyNumberFormat="1" applyFont="1" applyFill="1"/>
    <xf numFmtId="166" fontId="6" fillId="4" borderId="0" xfId="0" applyNumberFormat="1" applyFont="1" applyFill="1"/>
    <xf numFmtId="166" fontId="0" fillId="4" borderId="0" xfId="0" applyNumberFormat="1" applyFill="1"/>
    <xf numFmtId="166" fontId="4" fillId="4" borderId="0" xfId="0" applyNumberFormat="1" applyFont="1" applyFill="1"/>
    <xf numFmtId="166" fontId="5" fillId="5" borderId="0" xfId="0" applyNumberFormat="1" applyFont="1" applyFill="1"/>
    <xf numFmtId="166" fontId="5" fillId="0" borderId="0" xfId="0" applyNumberFormat="1" applyFont="1"/>
    <xf numFmtId="0" fontId="0" fillId="3" borderId="0" xfId="0" applyFill="1" applyAlignment="1">
      <alignment horizontal="center"/>
    </xf>
    <xf numFmtId="0" fontId="6" fillId="3" borderId="0" xfId="0" applyFont="1" applyFill="1" applyAlignment="1">
      <alignment horizontal="center"/>
    </xf>
    <xf numFmtId="0" fontId="4" fillId="3" borderId="0" xfId="0" applyFont="1" applyFill="1" applyAlignment="1">
      <alignment horizontal="center"/>
    </xf>
    <xf numFmtId="166" fontId="0" fillId="5" borderId="0" xfId="0" applyNumberFormat="1" applyFill="1"/>
    <xf numFmtId="166" fontId="0" fillId="0" borderId="0" xfId="0" applyNumberFormat="1"/>
    <xf numFmtId="0" fontId="0" fillId="6" borderId="0" xfId="0" applyFill="1"/>
    <xf numFmtId="165" fontId="0" fillId="6" borderId="0" xfId="2" applyNumberFormat="1" applyFont="1" applyFill="1"/>
    <xf numFmtId="164" fontId="0" fillId="6" borderId="0" xfId="0" applyNumberFormat="1" applyFill="1"/>
    <xf numFmtId="2" fontId="5" fillId="6" borderId="0" xfId="0" applyNumberFormat="1" applyFont="1" applyFill="1"/>
    <xf numFmtId="2" fontId="0" fillId="6" borderId="0" xfId="0" applyNumberFormat="1" applyFill="1"/>
    <xf numFmtId="0" fontId="0" fillId="6" borderId="0" xfId="0" applyFill="1" applyAlignment="1">
      <alignment horizontal="center"/>
    </xf>
    <xf numFmtId="166" fontId="5" fillId="6" borderId="0" xfId="0" applyNumberFormat="1" applyFont="1" applyFill="1"/>
    <xf numFmtId="166" fontId="0" fillId="6" borderId="0" xfId="0" applyNumberFormat="1" applyFill="1"/>
    <xf numFmtId="0" fontId="12" fillId="7" borderId="0" xfId="0" applyFont="1" applyFill="1"/>
    <xf numFmtId="0" fontId="0" fillId="7" borderId="0" xfId="0" applyFill="1"/>
    <xf numFmtId="165" fontId="0" fillId="7" borderId="0" xfId="2" applyNumberFormat="1" applyFont="1" applyFill="1"/>
    <xf numFmtId="164" fontId="0" fillId="7" borderId="0" xfId="0" applyNumberFormat="1" applyFill="1"/>
    <xf numFmtId="2" fontId="5" fillId="7" borderId="0" xfId="0" applyNumberFormat="1" applyFont="1" applyFill="1"/>
    <xf numFmtId="2" fontId="0" fillId="7" borderId="0" xfId="0" applyNumberFormat="1" applyFill="1"/>
    <xf numFmtId="0" fontId="0" fillId="7" borderId="0" xfId="0" applyFill="1" applyAlignment="1">
      <alignment horizontal="center"/>
    </xf>
    <xf numFmtId="166" fontId="5" fillId="7" borderId="0" xfId="0" applyNumberFormat="1" applyFont="1" applyFill="1"/>
    <xf numFmtId="166" fontId="0" fillId="7" borderId="0" xfId="0" applyNumberFormat="1" applyFill="1"/>
    <xf numFmtId="0" fontId="13" fillId="7" borderId="0" xfId="0" applyFont="1" applyFill="1"/>
    <xf numFmtId="0" fontId="5" fillId="7" borderId="0" xfId="0" applyFont="1" applyFill="1"/>
    <xf numFmtId="0" fontId="8" fillId="7" borderId="0" xfId="0" applyFont="1" applyFill="1"/>
    <xf numFmtId="0" fontId="5" fillId="8" borderId="0" xfId="0" applyFont="1" applyFill="1"/>
    <xf numFmtId="0" fontId="5" fillId="9" borderId="0" xfId="0" applyFont="1" applyFill="1"/>
    <xf numFmtId="0" fontId="5" fillId="10" borderId="0" xfId="0" applyFont="1" applyFill="1"/>
    <xf numFmtId="0" fontId="5" fillId="11" borderId="0" xfId="0" applyFont="1" applyFill="1"/>
  </cellXfs>
  <cellStyles count="3">
    <cellStyle name="Comma" xfId="2" builtinId="3"/>
    <cellStyle name="Hyperlink" xfId="1" builtinId="8"/>
    <cellStyle name="Normal" xfId="0" builtinId="0"/>
  </cellStyles>
  <dxfs count="0"/>
  <tableStyles count="0" defaultTableStyle="TableStyleMedium2" defaultPivotStyle="PivotStyleLight16"/>
  <colors>
    <mruColors>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Regressions!$B$1</c:f>
              <c:strCache>
                <c:ptCount val="1"/>
                <c:pt idx="0">
                  <c:v>Time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0.53145844269466314"/>
                  <c:y val="-5.7065432604544428E-2"/>
                </c:manualLayout>
              </c:layout>
              <c:numFmt formatCode="General" sourceLinked="0"/>
              <c:spPr>
                <a:solidFill>
                  <a:schemeClr val="bg1">
                    <a:lumMod val="95000"/>
                  </a:schemeClr>
                </a:solid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xVal>
            <c:numRef>
              <c:f>Regressions!$A$4:$A$31</c:f>
              <c:numCache>
                <c:formatCode>0.0</c:formatCode>
                <c:ptCount val="28"/>
                <c:pt idx="0">
                  <c:v>55.09196105595769</c:v>
                </c:pt>
                <c:pt idx="1">
                  <c:v>24.777569692076753</c:v>
                </c:pt>
                <c:pt idx="2">
                  <c:v>0</c:v>
                </c:pt>
                <c:pt idx="3">
                  <c:v>36.090523863933932</c:v>
                </c:pt>
                <c:pt idx="4">
                  <c:v>33.105343877551022</c:v>
                </c:pt>
                <c:pt idx="5">
                  <c:v>25.584112149532711</c:v>
                </c:pt>
                <c:pt idx="6">
                  <c:v>23.019013360739979</c:v>
                </c:pt>
                <c:pt idx="7">
                  <c:v>22.000000000000004</c:v>
                </c:pt>
                <c:pt idx="8">
                  <c:v>21.510215999999996</c:v>
                </c:pt>
                <c:pt idx="9">
                  <c:v>20.875265054040149</c:v>
                </c:pt>
                <c:pt idx="10">
                  <c:v>19.742451154529313</c:v>
                </c:pt>
                <c:pt idx="11">
                  <c:v>17.720671615479176</c:v>
                </c:pt>
                <c:pt idx="12">
                  <c:v>16.556296296296296</c:v>
                </c:pt>
                <c:pt idx="13">
                  <c:v>15.532500000000001</c:v>
                </c:pt>
                <c:pt idx="14">
                  <c:v>15.098582542896731</c:v>
                </c:pt>
                <c:pt idx="15">
                  <c:v>12.434408190603769</c:v>
                </c:pt>
                <c:pt idx="16">
                  <c:v>12.388451443569554</c:v>
                </c:pt>
                <c:pt idx="17">
                  <c:v>9.1666666666666661</c:v>
                </c:pt>
                <c:pt idx="18">
                  <c:v>8.8421052631578938</c:v>
                </c:pt>
                <c:pt idx="19">
                  <c:v>8.7804878048780477</c:v>
                </c:pt>
                <c:pt idx="20">
                  <c:v>7.9090535543076284</c:v>
                </c:pt>
                <c:pt idx="21">
                  <c:v>7.7091933531778487</c:v>
                </c:pt>
                <c:pt idx="22">
                  <c:v>7.3704042526888376</c:v>
                </c:pt>
                <c:pt idx="23">
                  <c:v>7.1567131853023724</c:v>
                </c:pt>
                <c:pt idx="24">
                  <c:v>4.2016404974764212</c:v>
                </c:pt>
                <c:pt idx="25">
                  <c:v>3.8772409601944693</c:v>
                </c:pt>
                <c:pt idx="26">
                  <c:v>2.8971428571428577</c:v>
                </c:pt>
                <c:pt idx="27">
                  <c:v>2.6183735009092368</c:v>
                </c:pt>
              </c:numCache>
            </c:numRef>
          </c:xVal>
          <c:yVal>
            <c:numRef>
              <c:f>Regressions!$B$4:$B$31</c:f>
              <c:numCache>
                <c:formatCode>0.0</c:formatCode>
                <c:ptCount val="28"/>
                <c:pt idx="0">
                  <c:v>152</c:v>
                </c:pt>
                <c:pt idx="1">
                  <c:v>90</c:v>
                </c:pt>
                <c:pt idx="2">
                  <c:v>100</c:v>
                </c:pt>
                <c:pt idx="3">
                  <c:v>60</c:v>
                </c:pt>
                <c:pt idx="4">
                  <c:v>90</c:v>
                </c:pt>
                <c:pt idx="5">
                  <c:v>45</c:v>
                </c:pt>
                <c:pt idx="6">
                  <c:v>53.142857142857139</c:v>
                </c:pt>
                <c:pt idx="7">
                  <c:v>38.4</c:v>
                </c:pt>
                <c:pt idx="8">
                  <c:v>147</c:v>
                </c:pt>
                <c:pt idx="9">
                  <c:v>100</c:v>
                </c:pt>
                <c:pt idx="10">
                  <c:v>24</c:v>
                </c:pt>
                <c:pt idx="11">
                  <c:v>20.737327188940093</c:v>
                </c:pt>
                <c:pt idx="12">
                  <c:v>33.214285714285715</c:v>
                </c:pt>
                <c:pt idx="13">
                  <c:v>60</c:v>
                </c:pt>
                <c:pt idx="14">
                  <c:v>26.785714285714288</c:v>
                </c:pt>
                <c:pt idx="15">
                  <c:v>40</c:v>
                </c:pt>
                <c:pt idx="16">
                  <c:v>27.428571428571427</c:v>
                </c:pt>
                <c:pt idx="17">
                  <c:v>30</c:v>
                </c:pt>
                <c:pt idx="18">
                  <c:v>25.925925925925924</c:v>
                </c:pt>
                <c:pt idx="19">
                  <c:v>24</c:v>
                </c:pt>
                <c:pt idx="20">
                  <c:v>24</c:v>
                </c:pt>
                <c:pt idx="21">
                  <c:v>32.298635137978792</c:v>
                </c:pt>
                <c:pt idx="22">
                  <c:v>20.666666666666668</c:v>
                </c:pt>
                <c:pt idx="23">
                  <c:v>31.255791003499816</c:v>
                </c:pt>
                <c:pt idx="24">
                  <c:v>15</c:v>
                </c:pt>
                <c:pt idx="25">
                  <c:v>29</c:v>
                </c:pt>
                <c:pt idx="26">
                  <c:v>11.093990755007704</c:v>
                </c:pt>
                <c:pt idx="27">
                  <c:v>40</c:v>
                </c:pt>
              </c:numCache>
            </c:numRef>
          </c:yVal>
          <c:smooth val="0"/>
          <c:extLst>
            <c:ext xmlns:c16="http://schemas.microsoft.com/office/drawing/2014/chart" uri="{C3380CC4-5D6E-409C-BE32-E72D297353CC}">
              <c16:uniqueId val="{00000000-F9D2-4B8A-AB98-3B4643A08C71}"/>
            </c:ext>
          </c:extLst>
        </c:ser>
        <c:dLbls>
          <c:showLegendKey val="0"/>
          <c:showVal val="0"/>
          <c:showCatName val="0"/>
          <c:showSerName val="0"/>
          <c:showPercent val="0"/>
          <c:showBubbleSize val="0"/>
        </c:dLbls>
        <c:axId val="542684208"/>
        <c:axId val="551865936"/>
      </c:scatterChart>
      <c:valAx>
        <c:axId val="542684208"/>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865936"/>
        <c:crosses val="autoZero"/>
        <c:crossBetween val="midCat"/>
      </c:valAx>
      <c:valAx>
        <c:axId val="55186593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684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Regressions!$C$1</c:f>
              <c:strCache>
                <c:ptCount val="1"/>
                <c:pt idx="0">
                  <c:v>Range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0.52504024496937884"/>
                  <c:y val="-7.3153477839583009E-2"/>
                </c:manualLayout>
              </c:layout>
              <c:numFmt formatCode="General" sourceLinked="0"/>
              <c:spPr>
                <a:solidFill>
                  <a:schemeClr val="bg1">
                    <a:lumMod val="95000"/>
                  </a:schemeClr>
                </a:solid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xVal>
            <c:numRef>
              <c:f>Regressions!$A$4:$A$31</c:f>
              <c:numCache>
                <c:formatCode>0.0</c:formatCode>
                <c:ptCount val="28"/>
                <c:pt idx="0">
                  <c:v>55.09196105595769</c:v>
                </c:pt>
                <c:pt idx="1">
                  <c:v>24.777569692076753</c:v>
                </c:pt>
                <c:pt idx="2">
                  <c:v>0</c:v>
                </c:pt>
                <c:pt idx="3">
                  <c:v>36.090523863933932</c:v>
                </c:pt>
                <c:pt idx="4">
                  <c:v>33.105343877551022</c:v>
                </c:pt>
                <c:pt idx="5">
                  <c:v>25.584112149532711</c:v>
                </c:pt>
                <c:pt idx="6">
                  <c:v>23.019013360739979</c:v>
                </c:pt>
                <c:pt idx="7">
                  <c:v>22.000000000000004</c:v>
                </c:pt>
                <c:pt idx="8">
                  <c:v>21.510215999999996</c:v>
                </c:pt>
                <c:pt idx="9">
                  <c:v>20.875265054040149</c:v>
                </c:pt>
                <c:pt idx="10">
                  <c:v>19.742451154529313</c:v>
                </c:pt>
                <c:pt idx="11">
                  <c:v>17.720671615479176</c:v>
                </c:pt>
                <c:pt idx="12">
                  <c:v>16.556296296296296</c:v>
                </c:pt>
                <c:pt idx="13">
                  <c:v>15.532500000000001</c:v>
                </c:pt>
                <c:pt idx="14">
                  <c:v>15.098582542896731</c:v>
                </c:pt>
                <c:pt idx="15">
                  <c:v>12.434408190603769</c:v>
                </c:pt>
                <c:pt idx="16">
                  <c:v>12.388451443569554</c:v>
                </c:pt>
                <c:pt idx="17">
                  <c:v>9.1666666666666661</c:v>
                </c:pt>
                <c:pt idx="18">
                  <c:v>8.8421052631578938</c:v>
                </c:pt>
                <c:pt idx="19">
                  <c:v>8.7804878048780477</c:v>
                </c:pt>
                <c:pt idx="20">
                  <c:v>7.9090535543076284</c:v>
                </c:pt>
                <c:pt idx="21">
                  <c:v>7.7091933531778487</c:v>
                </c:pt>
                <c:pt idx="22">
                  <c:v>7.3704042526888376</c:v>
                </c:pt>
                <c:pt idx="23">
                  <c:v>7.1567131853023724</c:v>
                </c:pt>
                <c:pt idx="24">
                  <c:v>4.2016404974764212</c:v>
                </c:pt>
                <c:pt idx="25">
                  <c:v>3.8772409601944693</c:v>
                </c:pt>
                <c:pt idx="26">
                  <c:v>2.8971428571428577</c:v>
                </c:pt>
                <c:pt idx="27">
                  <c:v>2.6183735009092368</c:v>
                </c:pt>
              </c:numCache>
            </c:numRef>
          </c:xVal>
          <c:yVal>
            <c:numRef>
              <c:f>Regressions!$C$4:$C$31</c:f>
              <c:numCache>
                <c:formatCode>0.0</c:formatCode>
                <c:ptCount val="28"/>
                <c:pt idx="0">
                  <c:v>310.75201988812927</c:v>
                </c:pt>
                <c:pt idx="1">
                  <c:v>93.225605966438778</c:v>
                </c:pt>
                <c:pt idx="2">
                  <c:v>250</c:v>
                </c:pt>
                <c:pt idx="3">
                  <c:v>192.66625233064016</c:v>
                </c:pt>
                <c:pt idx="4">
                  <c:v>186.45121193287756</c:v>
                </c:pt>
                <c:pt idx="5">
                  <c:v>150</c:v>
                </c:pt>
                <c:pt idx="6">
                  <c:v>155</c:v>
                </c:pt>
                <c:pt idx="7">
                  <c:v>80</c:v>
                </c:pt>
                <c:pt idx="8">
                  <c:v>154</c:v>
                </c:pt>
                <c:pt idx="9">
                  <c:v>186.4</c:v>
                </c:pt>
                <c:pt idx="10">
                  <c:v>60</c:v>
                </c:pt>
                <c:pt idx="11">
                  <c:v>75</c:v>
                </c:pt>
                <c:pt idx="12">
                  <c:v>62</c:v>
                </c:pt>
                <c:pt idx="13">
                  <c:v>62.13</c:v>
                </c:pt>
                <c:pt idx="14">
                  <c:v>50</c:v>
                </c:pt>
                <c:pt idx="15">
                  <c:v>100</c:v>
                </c:pt>
                <c:pt idx="16">
                  <c:v>80</c:v>
                </c:pt>
                <c:pt idx="17">
                  <c:v>100</c:v>
                </c:pt>
                <c:pt idx="18">
                  <c:v>35</c:v>
                </c:pt>
                <c:pt idx="19">
                  <c:v>60</c:v>
                </c:pt>
                <c:pt idx="20">
                  <c:v>60</c:v>
                </c:pt>
                <c:pt idx="21">
                  <c:v>68.365444375388435</c:v>
                </c:pt>
                <c:pt idx="22">
                  <c:v>62</c:v>
                </c:pt>
                <c:pt idx="23">
                  <c:v>46.612802983219389</c:v>
                </c:pt>
                <c:pt idx="24">
                  <c:v>31.075201988812928</c:v>
                </c:pt>
                <c:pt idx="25">
                  <c:v>62</c:v>
                </c:pt>
                <c:pt idx="26">
                  <c:v>12</c:v>
                </c:pt>
                <c:pt idx="27">
                  <c:v>31.696706028589187</c:v>
                </c:pt>
              </c:numCache>
            </c:numRef>
          </c:yVal>
          <c:smooth val="0"/>
          <c:extLst>
            <c:ext xmlns:c16="http://schemas.microsoft.com/office/drawing/2014/chart" uri="{C3380CC4-5D6E-409C-BE32-E72D297353CC}">
              <c16:uniqueId val="{00000000-DAF0-4F1F-90D6-6AE0AE1B55CA}"/>
            </c:ext>
          </c:extLst>
        </c:ser>
        <c:dLbls>
          <c:showLegendKey val="0"/>
          <c:showVal val="0"/>
          <c:showCatName val="0"/>
          <c:showSerName val="0"/>
          <c:showPercent val="0"/>
          <c:showBubbleSize val="0"/>
        </c:dLbls>
        <c:axId val="660818816"/>
        <c:axId val="654830432"/>
      </c:scatterChart>
      <c:valAx>
        <c:axId val="660818816"/>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830432"/>
        <c:crosses val="autoZero"/>
        <c:crossBetween val="midCat"/>
      </c:valAx>
      <c:valAx>
        <c:axId val="65483043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8188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9525</xdr:colOff>
      <xdr:row>1</xdr:row>
      <xdr:rowOff>166687</xdr:rowOff>
    </xdr:from>
    <xdr:to>
      <xdr:col>11</xdr:col>
      <xdr:colOff>314325</xdr:colOff>
      <xdr:row>23</xdr:row>
      <xdr:rowOff>66675</xdr:rowOff>
    </xdr:to>
    <xdr:graphicFrame macro="">
      <xdr:nvGraphicFramePr>
        <xdr:cNvPr id="3" name="Chart 2">
          <a:extLst>
            <a:ext uri="{FF2B5EF4-FFF2-40B4-BE49-F238E27FC236}">
              <a16:creationId xmlns:a16="http://schemas.microsoft.com/office/drawing/2014/main" id="{49504759-C455-473C-BC93-66172CE06C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471487</xdr:colOff>
      <xdr:row>1</xdr:row>
      <xdr:rowOff>176212</xdr:rowOff>
    </xdr:from>
    <xdr:to>
      <xdr:col>19</xdr:col>
      <xdr:colOff>166687</xdr:colOff>
      <xdr:row>23</xdr:row>
      <xdr:rowOff>76200</xdr:rowOff>
    </xdr:to>
    <xdr:graphicFrame macro="">
      <xdr:nvGraphicFramePr>
        <xdr:cNvPr id="4" name="Chart 3">
          <a:extLst>
            <a:ext uri="{FF2B5EF4-FFF2-40B4-BE49-F238E27FC236}">
              <a16:creationId xmlns:a16="http://schemas.microsoft.com/office/drawing/2014/main" id="{6D38E9DD-78EC-4A63-BCBB-12116655C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youtu.be/y6z9t6psRj8" TargetMode="External"/><Relationship Id="rId7" Type="http://schemas.openxmlformats.org/officeDocument/2006/relationships/printerSettings" Target="../printerSettings/printerSettings1.bin"/><Relationship Id="rId2" Type="http://schemas.openxmlformats.org/officeDocument/2006/relationships/hyperlink" Target="https://wingcopter.com/wingcopter-198" TargetMode="External"/><Relationship Id="rId1" Type="http://schemas.openxmlformats.org/officeDocument/2006/relationships/hyperlink" Target="https://wing.com/how-it-works/" TargetMode="External"/><Relationship Id="rId6" Type="http://schemas.openxmlformats.org/officeDocument/2006/relationships/hyperlink" Target="https://transportup.com/aurora-flight-sciences-evtol/" TargetMode="External"/><Relationship Id="rId5" Type="http://schemas.openxmlformats.org/officeDocument/2006/relationships/hyperlink" Target="http://www.tcabtech.com/" TargetMode="External"/><Relationship Id="rId4" Type="http://schemas.openxmlformats.org/officeDocument/2006/relationships/hyperlink" Target="https://www.ainonline.com/sites/ainonline.com/files/full-issues/ebace_2021_compressed.pdf" TargetMode="Externa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www.army-technology.com/projects/barracuda-demonstrator-uav/"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99"/>
  <sheetViews>
    <sheetView tabSelected="1" zoomScaleNormal="100" workbookViewId="0">
      <pane xSplit="2" ySplit="1" topLeftCell="C2" activePane="bottomRight" state="frozen"/>
      <selection pane="topRight" activeCell="C1" sqref="C1"/>
      <selection pane="bottomLeft" activeCell="A2" sqref="A2"/>
      <selection pane="bottomRight" activeCell="A98" sqref="A98"/>
    </sheetView>
  </sheetViews>
  <sheetFormatPr defaultRowHeight="14.5" x14ac:dyDescent="0.35"/>
  <cols>
    <col min="1" max="1" width="17.81640625" bestFit="1" customWidth="1"/>
    <col min="2" max="2" width="14.81640625" bestFit="1" customWidth="1"/>
    <col min="3" max="3" width="5.26953125" bestFit="1" customWidth="1"/>
    <col min="4" max="4" width="11" customWidth="1"/>
    <col min="6" max="6" width="5.1796875" bestFit="1" customWidth="1"/>
    <col min="8" max="8" width="7.1796875" bestFit="1" customWidth="1"/>
    <col min="9" max="9" width="9" style="40" bestFit="1" customWidth="1"/>
    <col min="10" max="10" width="7.54296875" bestFit="1" customWidth="1"/>
    <col min="11" max="11" width="3.54296875" bestFit="1" customWidth="1"/>
    <col min="12" max="12" width="4.7265625" bestFit="1" customWidth="1"/>
    <col min="13" max="13" width="6.7265625" bestFit="1" customWidth="1"/>
    <col min="14" max="14" width="8" style="32" bestFit="1" customWidth="1"/>
    <col min="15" max="15" width="8.81640625" style="32" bestFit="1" customWidth="1"/>
    <col min="16" max="16" width="7.54296875" bestFit="1" customWidth="1"/>
    <col min="17" max="17" width="6.1796875" bestFit="1" customWidth="1"/>
    <col min="18" max="18" width="4.81640625" bestFit="1" customWidth="1"/>
    <col min="19" max="19" width="5.26953125" bestFit="1" customWidth="1"/>
    <col min="20" max="20" width="6.1796875" bestFit="1" customWidth="1"/>
    <col min="21" max="21" width="4.1796875" bestFit="1" customWidth="1"/>
    <col min="22" max="22" width="5.1796875" bestFit="1" customWidth="1"/>
    <col min="23" max="24" width="4.26953125" bestFit="1" customWidth="1"/>
    <col min="25" max="25" width="4.54296875" bestFit="1" customWidth="1"/>
    <col min="26" max="26" width="4.26953125" bestFit="1" customWidth="1"/>
    <col min="27" max="29" width="5.54296875" bestFit="1" customWidth="1"/>
    <col min="30" max="30" width="6.1796875" bestFit="1" customWidth="1"/>
    <col min="31" max="31" width="5.81640625" bestFit="1" customWidth="1"/>
    <col min="32" max="32" width="7.1796875" style="5" customWidth="1"/>
    <col min="33" max="33" width="7.54296875" style="2" bestFit="1" customWidth="1"/>
    <col min="34" max="34" width="6.81640625" style="2" bestFit="1" customWidth="1"/>
    <col min="35" max="37" width="4" style="36" bestFit="1" customWidth="1"/>
    <col min="38" max="38" width="5.1796875" style="36" bestFit="1" customWidth="1"/>
    <col min="39" max="39" width="6.1796875" style="36" bestFit="1" customWidth="1"/>
    <col min="40" max="40" width="5.7265625" style="36" bestFit="1" customWidth="1"/>
    <col min="41" max="41" width="4.7265625" style="36" bestFit="1" customWidth="1"/>
    <col min="42" max="42" width="7" style="5" bestFit="1" customWidth="1"/>
    <col min="43" max="43" width="8" bestFit="1" customWidth="1"/>
    <col min="44" max="44" width="8" customWidth="1"/>
    <col min="45" max="45" width="7.81640625" style="2" bestFit="1" customWidth="1"/>
    <col min="46" max="46" width="6.81640625" style="36" bestFit="1" customWidth="1"/>
    <col min="47" max="47" width="4.81640625" style="36" bestFit="1" customWidth="1"/>
    <col min="48" max="48" width="4.1796875" style="36" bestFit="1" customWidth="1"/>
    <col min="49" max="49" width="7.1796875" bestFit="1" customWidth="1"/>
    <col min="50" max="51" width="9.1796875" style="49"/>
    <col min="52" max="52" width="6.1796875" bestFit="1" customWidth="1"/>
    <col min="53" max="53" width="6.81640625" style="54" bestFit="1" customWidth="1"/>
    <col min="54" max="54" width="6.81640625" style="49" bestFit="1" customWidth="1"/>
    <col min="55" max="55" width="4.7265625" style="54" bestFit="1" customWidth="1"/>
    <col min="56" max="56" width="6.1796875" bestFit="1" customWidth="1"/>
    <col min="57" max="57" width="7" bestFit="1" customWidth="1"/>
    <col min="58" max="58" width="5.26953125" bestFit="1" customWidth="1"/>
    <col min="59" max="59" width="5.81640625" bestFit="1" customWidth="1"/>
    <col min="60" max="60" width="6.7265625" style="5" bestFit="1" customWidth="1"/>
    <col min="61" max="61" width="5.1796875" bestFit="1" customWidth="1"/>
    <col min="62" max="62" width="6.1796875" bestFit="1" customWidth="1"/>
    <col min="63" max="63" width="7" bestFit="1" customWidth="1"/>
    <col min="64" max="64" width="7.54296875" bestFit="1" customWidth="1"/>
    <col min="65" max="65" width="7.81640625" bestFit="1" customWidth="1"/>
    <col min="66" max="66" width="8" bestFit="1" customWidth="1"/>
    <col min="67" max="67" width="9.26953125" bestFit="1" customWidth="1"/>
    <col min="69" max="69" width="4.1796875" bestFit="1" customWidth="1"/>
    <col min="70" max="70" width="7.453125" bestFit="1" customWidth="1"/>
    <col min="71" max="71" width="5.81640625" style="36" bestFit="1" customWidth="1"/>
    <col min="72" max="72" width="25.54296875" bestFit="1" customWidth="1"/>
    <col min="73" max="73" width="6.453125" bestFit="1" customWidth="1"/>
    <col min="74" max="75" width="7.81640625" style="54" bestFit="1" customWidth="1"/>
  </cols>
  <sheetData>
    <row r="1" spans="1:75" x14ac:dyDescent="0.35">
      <c r="A1" t="s">
        <v>0</v>
      </c>
      <c r="B1" t="s">
        <v>1</v>
      </c>
      <c r="C1" t="s">
        <v>8</v>
      </c>
      <c r="D1" t="s">
        <v>248</v>
      </c>
      <c r="E1" t="s">
        <v>4</v>
      </c>
      <c r="F1" t="s">
        <v>245</v>
      </c>
      <c r="G1" t="s">
        <v>14</v>
      </c>
      <c r="H1" t="s">
        <v>244</v>
      </c>
      <c r="I1" s="40" t="s">
        <v>243</v>
      </c>
      <c r="J1" t="s">
        <v>246</v>
      </c>
      <c r="K1" t="s">
        <v>247</v>
      </c>
      <c r="L1" t="s">
        <v>98</v>
      </c>
      <c r="M1" t="s">
        <v>179</v>
      </c>
      <c r="N1" s="32" t="s">
        <v>23</v>
      </c>
      <c r="O1" s="32" t="s">
        <v>24</v>
      </c>
      <c r="P1" t="s">
        <v>182</v>
      </c>
      <c r="Q1" s="6" t="s">
        <v>184</v>
      </c>
      <c r="R1" s="6" t="s">
        <v>153</v>
      </c>
      <c r="S1" s="6" t="s">
        <v>183</v>
      </c>
      <c r="T1" s="6" t="s">
        <v>185</v>
      </c>
      <c r="U1" s="6" t="s">
        <v>186</v>
      </c>
      <c r="V1" s="6" t="s">
        <v>187</v>
      </c>
      <c r="W1" s="6" t="s">
        <v>188</v>
      </c>
      <c r="X1" s="6" t="s">
        <v>160</v>
      </c>
      <c r="Y1" s="6" t="s">
        <v>161</v>
      </c>
      <c r="Z1" s="6" t="s">
        <v>162</v>
      </c>
      <c r="AA1" s="6" t="s">
        <v>163</v>
      </c>
      <c r="AB1" s="6" t="s">
        <v>164</v>
      </c>
      <c r="AC1" s="6" t="s">
        <v>233</v>
      </c>
      <c r="AD1" s="9" t="s">
        <v>249</v>
      </c>
      <c r="AE1" s="9" t="s">
        <v>250</v>
      </c>
      <c r="AF1" s="11" t="s">
        <v>131</v>
      </c>
      <c r="AG1" s="10" t="s">
        <v>251</v>
      </c>
      <c r="AH1" s="10" t="s">
        <v>252</v>
      </c>
      <c r="AI1" s="50" t="s">
        <v>34</v>
      </c>
      <c r="AJ1" s="50" t="s">
        <v>230</v>
      </c>
      <c r="AK1" s="50" t="s">
        <v>165</v>
      </c>
      <c r="AL1" s="50" t="s">
        <v>149</v>
      </c>
      <c r="AM1" s="50" t="s">
        <v>61</v>
      </c>
      <c r="AN1" s="50" t="s">
        <v>238</v>
      </c>
      <c r="AO1" s="50" t="s">
        <v>128</v>
      </c>
      <c r="AP1" s="11" t="s">
        <v>114</v>
      </c>
      <c r="AQ1" s="9" t="s">
        <v>39</v>
      </c>
      <c r="AR1" s="9" t="s">
        <v>113</v>
      </c>
      <c r="AS1" s="43" t="s">
        <v>120</v>
      </c>
      <c r="AT1" s="50" t="s">
        <v>166</v>
      </c>
      <c r="AU1" s="50" t="s">
        <v>231</v>
      </c>
      <c r="AV1" s="36" t="s">
        <v>150</v>
      </c>
      <c r="AW1" s="12" t="s">
        <v>167</v>
      </c>
      <c r="AX1" s="44" t="s">
        <v>124</v>
      </c>
      <c r="AY1" s="44" t="s">
        <v>7</v>
      </c>
      <c r="AZ1" s="12" t="s">
        <v>257</v>
      </c>
      <c r="BA1" s="46" t="s">
        <v>2</v>
      </c>
      <c r="BB1" s="44" t="s">
        <v>271</v>
      </c>
      <c r="BC1" s="46" t="s">
        <v>272</v>
      </c>
      <c r="BD1" s="12" t="s">
        <v>29</v>
      </c>
      <c r="BE1" s="12" t="s">
        <v>15</v>
      </c>
      <c r="BF1" s="12" t="s">
        <v>168</v>
      </c>
      <c r="BG1" s="12" t="s">
        <v>169</v>
      </c>
      <c r="BH1" s="14" t="s">
        <v>170</v>
      </c>
      <c r="BI1" t="s">
        <v>171</v>
      </c>
      <c r="BJ1" t="s">
        <v>172</v>
      </c>
      <c r="BK1" t="s">
        <v>173</v>
      </c>
      <c r="BL1" t="s">
        <v>30</v>
      </c>
      <c r="BM1" t="s">
        <v>20</v>
      </c>
      <c r="BN1" t="s">
        <v>19</v>
      </c>
      <c r="BO1" t="s">
        <v>21</v>
      </c>
      <c r="BP1" t="s">
        <v>22</v>
      </c>
      <c r="BQ1" t="s">
        <v>151</v>
      </c>
      <c r="BR1" t="s">
        <v>174</v>
      </c>
      <c r="BS1" s="36" t="s">
        <v>152</v>
      </c>
      <c r="BT1" t="s">
        <v>175</v>
      </c>
      <c r="BU1" t="s">
        <v>10</v>
      </c>
      <c r="BV1" s="54" t="s">
        <v>260</v>
      </c>
      <c r="BW1" s="54" t="s">
        <v>261</v>
      </c>
    </row>
    <row r="2" spans="1:75" x14ac:dyDescent="0.35">
      <c r="A2" s="73" t="s">
        <v>177</v>
      </c>
      <c r="B2" t="s">
        <v>176</v>
      </c>
      <c r="C2" t="s">
        <v>229</v>
      </c>
      <c r="D2" t="s">
        <v>80</v>
      </c>
      <c r="E2">
        <v>2020</v>
      </c>
      <c r="L2" t="s">
        <v>99</v>
      </c>
      <c r="M2" t="s">
        <v>178</v>
      </c>
      <c r="P2" t="s">
        <v>43</v>
      </c>
      <c r="Q2" s="6">
        <v>8</v>
      </c>
      <c r="R2" s="6">
        <v>8</v>
      </c>
      <c r="S2" s="6">
        <v>0</v>
      </c>
      <c r="T2" s="6">
        <v>0</v>
      </c>
      <c r="U2" s="6">
        <v>8</v>
      </c>
      <c r="V2" s="6">
        <v>6</v>
      </c>
      <c r="W2" s="6">
        <v>2</v>
      </c>
      <c r="X2" s="6"/>
      <c r="Y2" s="6"/>
      <c r="Z2" s="6">
        <v>2</v>
      </c>
      <c r="AA2" s="6">
        <v>2</v>
      </c>
      <c r="AB2" s="6">
        <v>2</v>
      </c>
      <c r="AC2" s="6">
        <v>2</v>
      </c>
      <c r="AD2" s="9"/>
      <c r="AE2" s="9"/>
      <c r="AF2" s="11">
        <v>16</v>
      </c>
      <c r="AG2" s="10"/>
      <c r="AH2" s="10"/>
      <c r="AI2" s="50">
        <v>0</v>
      </c>
      <c r="AJ2" s="50" t="s">
        <v>32</v>
      </c>
      <c r="AK2" s="52" t="s">
        <v>159</v>
      </c>
      <c r="AL2" s="50"/>
      <c r="AM2" s="50">
        <v>0</v>
      </c>
      <c r="AN2" s="50"/>
      <c r="AO2" s="50" t="s">
        <v>189</v>
      </c>
      <c r="AP2" s="27">
        <f>AF2*0.45</f>
        <v>7.2</v>
      </c>
      <c r="AQ2" s="9"/>
      <c r="AR2" s="9"/>
      <c r="AS2" s="11">
        <f>AP2/AF2</f>
        <v>0.45</v>
      </c>
      <c r="AT2" s="50" t="s">
        <v>48</v>
      </c>
      <c r="AU2" s="50"/>
      <c r="AW2" s="12"/>
      <c r="AX2" s="46">
        <f>2000*2.205</f>
        <v>4410</v>
      </c>
      <c r="AY2" s="46">
        <f>2*200</f>
        <v>400</v>
      </c>
      <c r="AZ2" s="12">
        <v>3</v>
      </c>
      <c r="BA2" s="46">
        <f>450/1.609</f>
        <v>279.67681789931635</v>
      </c>
      <c r="BB2" s="44">
        <v>137</v>
      </c>
      <c r="BC2" s="46"/>
      <c r="BD2" s="12"/>
      <c r="BE2" s="12"/>
      <c r="BF2" s="12"/>
      <c r="BG2" s="12"/>
      <c r="BH2" s="14">
        <f>(BA2/BB2)*60</f>
        <v>122.48619762013855</v>
      </c>
      <c r="BI2" t="s">
        <v>31</v>
      </c>
      <c r="BJ2">
        <v>144</v>
      </c>
      <c r="BL2" t="s">
        <v>68</v>
      </c>
      <c r="BQ2">
        <v>720</v>
      </c>
      <c r="BS2" s="36" t="s">
        <v>99</v>
      </c>
      <c r="BV2" s="54">
        <f t="shared" ref="BV2:BV32" si="0">AS2*BH2/60*BB2*(AY2/AX2)</f>
        <v>11.415380322421075</v>
      </c>
      <c r="BW2" s="54">
        <f t="shared" ref="BW2:BW32" si="1">AS2*(AY2/AX2)*BA2</f>
        <v>11.415380322421077</v>
      </c>
    </row>
    <row r="3" spans="1:75" x14ac:dyDescent="0.35">
      <c r="A3" s="73" t="s">
        <v>201</v>
      </c>
      <c r="B3" s="4" t="s">
        <v>234</v>
      </c>
      <c r="C3" t="s">
        <v>34</v>
      </c>
      <c r="D3" t="s">
        <v>235</v>
      </c>
      <c r="E3">
        <v>2008</v>
      </c>
      <c r="F3">
        <v>2021</v>
      </c>
      <c r="I3" s="40">
        <v>2000</v>
      </c>
      <c r="L3" s="24" t="s">
        <v>232</v>
      </c>
      <c r="M3" t="s">
        <v>253</v>
      </c>
      <c r="P3" t="s">
        <v>43</v>
      </c>
      <c r="Q3" s="6">
        <v>6</v>
      </c>
      <c r="R3" s="6">
        <v>6</v>
      </c>
      <c r="S3" s="6">
        <v>0</v>
      </c>
      <c r="T3" s="6">
        <v>0</v>
      </c>
      <c r="U3" s="6">
        <v>6</v>
      </c>
      <c r="V3" s="21">
        <v>0</v>
      </c>
      <c r="W3" s="6">
        <v>6</v>
      </c>
      <c r="X3" s="6">
        <f>6/3.281</f>
        <v>1.8287107589149649</v>
      </c>
      <c r="Y3" s="6">
        <f>6/3.281</f>
        <v>1.8287107589149649</v>
      </c>
      <c r="Z3" s="6">
        <v>6</v>
      </c>
      <c r="AA3" s="6"/>
      <c r="AB3" s="6"/>
      <c r="AC3" s="6"/>
      <c r="AD3" s="9">
        <v>2</v>
      </c>
      <c r="AE3" s="9"/>
      <c r="AF3" s="11">
        <f>43/3.281</f>
        <v>13.105760438890581</v>
      </c>
      <c r="AG3" s="10">
        <f>AH3/AF3</f>
        <v>1.2334266677037153</v>
      </c>
      <c r="AH3" s="10">
        <f>174/10.764</f>
        <v>16.164994425863991</v>
      </c>
      <c r="AI3" s="50"/>
      <c r="AJ3" s="50"/>
      <c r="AK3" s="50"/>
      <c r="AL3" s="50"/>
      <c r="AM3" s="50"/>
      <c r="AN3" s="50">
        <v>2</v>
      </c>
      <c r="AO3" s="50" t="s">
        <v>189</v>
      </c>
      <c r="AP3" s="11">
        <f>24/3.281</f>
        <v>7.3148430356598597</v>
      </c>
      <c r="AQ3" s="9"/>
      <c r="AR3" s="9"/>
      <c r="AS3" s="11">
        <f t="shared" ref="AS3:AS16" si="2">AP3/AF3</f>
        <v>0.55813953488372103</v>
      </c>
      <c r="AT3" s="50" t="s">
        <v>34</v>
      </c>
      <c r="AU3" s="50">
        <v>0</v>
      </c>
      <c r="AV3" s="38"/>
      <c r="AW3" s="12">
        <v>600</v>
      </c>
      <c r="AX3" s="44">
        <v>2500</v>
      </c>
      <c r="AY3" s="44">
        <v>1000</v>
      </c>
      <c r="AZ3" s="12">
        <v>4</v>
      </c>
      <c r="BA3" s="46">
        <v>250</v>
      </c>
      <c r="BB3" s="47">
        <f>160*1.151</f>
        <v>184.16</v>
      </c>
      <c r="BC3" s="46"/>
      <c r="BD3" s="12"/>
      <c r="BE3" s="12"/>
      <c r="BF3" s="12"/>
      <c r="BG3" s="12"/>
      <c r="BH3" s="14">
        <v>120</v>
      </c>
      <c r="BI3" t="s">
        <v>239</v>
      </c>
      <c r="BJ3" s="24"/>
      <c r="BL3" s="24"/>
      <c r="BM3" s="24"/>
      <c r="BN3" s="24"/>
      <c r="BO3" s="24"/>
      <c r="BP3" s="24"/>
      <c r="BQ3" s="24"/>
      <c r="BR3" s="24"/>
      <c r="BS3" s="38" t="s">
        <v>236</v>
      </c>
      <c r="BT3" s="24"/>
      <c r="BU3" s="25"/>
      <c r="BV3" s="54">
        <f t="shared" si="0"/>
        <v>82.229581395348845</v>
      </c>
      <c r="BW3" s="54">
        <f t="shared" si="1"/>
        <v>55.813953488372107</v>
      </c>
    </row>
    <row r="4" spans="1:75" x14ac:dyDescent="0.35">
      <c r="A4" s="73" t="s">
        <v>292</v>
      </c>
      <c r="B4" t="s">
        <v>302</v>
      </c>
      <c r="C4" t="s">
        <v>228</v>
      </c>
      <c r="D4" t="s">
        <v>210</v>
      </c>
      <c r="G4" s="3">
        <v>2020</v>
      </c>
      <c r="L4" t="s">
        <v>232</v>
      </c>
      <c r="P4" t="s">
        <v>40</v>
      </c>
      <c r="Q4" s="6">
        <v>6</v>
      </c>
      <c r="R4" s="6">
        <v>6</v>
      </c>
      <c r="S4" s="6">
        <v>0</v>
      </c>
      <c r="T4" s="6">
        <v>0</v>
      </c>
      <c r="U4" s="6">
        <v>6</v>
      </c>
      <c r="V4" s="21">
        <v>4</v>
      </c>
      <c r="W4" s="6">
        <v>2</v>
      </c>
      <c r="X4" s="6"/>
      <c r="Y4" s="6"/>
      <c r="Z4" s="6">
        <v>6</v>
      </c>
      <c r="AA4" s="6">
        <v>2</v>
      </c>
      <c r="AB4" s="6">
        <v>2</v>
      </c>
      <c r="AC4" s="6">
        <v>2</v>
      </c>
      <c r="AD4" s="9">
        <v>1</v>
      </c>
      <c r="AE4" s="9">
        <v>0</v>
      </c>
      <c r="AF4" s="11">
        <v>8.6999999999999993</v>
      </c>
      <c r="AG4" s="10"/>
      <c r="AH4" s="10"/>
      <c r="AI4" s="50"/>
      <c r="AJ4" s="50" t="s">
        <v>32</v>
      </c>
      <c r="AK4" s="50" t="s">
        <v>253</v>
      </c>
      <c r="AL4" s="50"/>
      <c r="AM4" s="50"/>
      <c r="AN4" s="50">
        <v>1</v>
      </c>
      <c r="AO4" s="50" t="s">
        <v>259</v>
      </c>
      <c r="AP4" s="11">
        <v>6.8</v>
      </c>
      <c r="AQ4" s="9"/>
      <c r="AR4" s="9"/>
      <c r="AS4" s="11">
        <f t="shared" si="2"/>
        <v>0.7816091954022989</v>
      </c>
      <c r="AT4" s="50" t="s">
        <v>48</v>
      </c>
      <c r="AU4" s="50">
        <v>2</v>
      </c>
      <c r="AW4" s="12"/>
      <c r="AX4" s="47">
        <f>AY4*43/11</f>
        <v>1525.6595454545457</v>
      </c>
      <c r="AY4" s="44">
        <f>177*2.205</f>
        <v>390.28500000000003</v>
      </c>
      <c r="AZ4" s="12">
        <v>2</v>
      </c>
      <c r="BA4" s="46">
        <f>500/1.609</f>
        <v>310.75201988812927</v>
      </c>
      <c r="BB4" s="44">
        <f>175/1.609</f>
        <v>108.76320696084525</v>
      </c>
      <c r="BC4" s="46"/>
      <c r="BD4" s="12">
        <v>6000</v>
      </c>
      <c r="BE4" s="12"/>
      <c r="BF4" s="12"/>
      <c r="BG4" s="12"/>
      <c r="BH4" s="14">
        <f>152</f>
        <v>152</v>
      </c>
      <c r="BI4" t="s">
        <v>31</v>
      </c>
      <c r="BL4" t="s">
        <v>60</v>
      </c>
      <c r="BS4" s="36" t="s">
        <v>236</v>
      </c>
      <c r="BV4" s="54">
        <f t="shared" si="0"/>
        <v>55.09196105595769</v>
      </c>
      <c r="BW4" s="54">
        <f t="shared" si="1"/>
        <v>62.133790664613933</v>
      </c>
    </row>
    <row r="5" spans="1:75" x14ac:dyDescent="0.35">
      <c r="A5" s="73" t="s">
        <v>292</v>
      </c>
      <c r="B5" t="s">
        <v>293</v>
      </c>
      <c r="C5" t="s">
        <v>228</v>
      </c>
      <c r="D5" t="s">
        <v>210</v>
      </c>
      <c r="L5" t="s">
        <v>40</v>
      </c>
      <c r="M5" t="s">
        <v>253</v>
      </c>
      <c r="Q5" s="6">
        <v>6</v>
      </c>
      <c r="R5" s="6">
        <v>6</v>
      </c>
      <c r="S5" s="6">
        <v>0</v>
      </c>
      <c r="T5" s="6">
        <v>0</v>
      </c>
      <c r="U5" s="6">
        <v>6</v>
      </c>
      <c r="V5" s="6"/>
      <c r="W5" s="6">
        <v>6</v>
      </c>
      <c r="X5" s="6"/>
      <c r="Y5" s="6"/>
      <c r="Z5" s="6">
        <v>6</v>
      </c>
      <c r="AA5" s="6">
        <v>2</v>
      </c>
      <c r="AB5" s="6">
        <v>2</v>
      </c>
      <c r="AC5" s="6">
        <v>2</v>
      </c>
      <c r="AD5" s="9">
        <v>1</v>
      </c>
      <c r="AE5" s="9">
        <v>0</v>
      </c>
      <c r="AF5" s="11">
        <v>2.15</v>
      </c>
      <c r="AG5" s="10"/>
      <c r="AH5" s="10"/>
      <c r="AI5" s="50"/>
      <c r="AJ5" s="50" t="s">
        <v>32</v>
      </c>
      <c r="AK5" s="52" t="s">
        <v>159</v>
      </c>
      <c r="AL5" s="50"/>
      <c r="AM5" s="50"/>
      <c r="AN5" s="50"/>
      <c r="AO5" s="50" t="s">
        <v>196</v>
      </c>
      <c r="AP5" s="27">
        <v>1.6</v>
      </c>
      <c r="AQ5" s="9"/>
      <c r="AR5" s="9">
        <v>0.75</v>
      </c>
      <c r="AS5" s="11">
        <f t="shared" si="2"/>
        <v>0.74418604651162801</v>
      </c>
      <c r="AT5" s="50" t="s">
        <v>192</v>
      </c>
      <c r="AU5" s="50">
        <v>0</v>
      </c>
      <c r="AW5" s="12" t="s">
        <v>44</v>
      </c>
      <c r="AX5" s="46">
        <f>14*2.205</f>
        <v>30.87</v>
      </c>
      <c r="AY5" s="46">
        <f>5*2.205</f>
        <v>11.025</v>
      </c>
      <c r="AZ5" s="12"/>
      <c r="BA5" s="46">
        <f>BB5*BH5/60</f>
        <v>93.225605966438778</v>
      </c>
      <c r="BB5" s="44">
        <f>100/1.609</f>
        <v>62.150403977625857</v>
      </c>
      <c r="BC5" s="46"/>
      <c r="BD5" s="12">
        <v>5000</v>
      </c>
      <c r="BE5" s="12"/>
      <c r="BF5" s="12"/>
      <c r="BG5" s="12"/>
      <c r="BH5" s="14">
        <f>90</f>
        <v>90</v>
      </c>
      <c r="BI5" t="s">
        <v>31</v>
      </c>
      <c r="BL5" t="s">
        <v>68</v>
      </c>
      <c r="BU5" t="s">
        <v>264</v>
      </c>
      <c r="BV5" s="54">
        <f t="shared" si="0"/>
        <v>24.777569692076753</v>
      </c>
      <c r="BW5" s="54">
        <f t="shared" si="1"/>
        <v>24.777569692076753</v>
      </c>
    </row>
    <row r="6" spans="1:75" x14ac:dyDescent="0.35">
      <c r="A6" s="73" t="s">
        <v>53</v>
      </c>
      <c r="B6" t="s">
        <v>84</v>
      </c>
      <c r="C6" t="s">
        <v>229</v>
      </c>
      <c r="D6" t="s">
        <v>54</v>
      </c>
      <c r="G6">
        <v>2024</v>
      </c>
      <c r="H6">
        <f>511</f>
        <v>511</v>
      </c>
      <c r="I6" s="40">
        <v>200</v>
      </c>
      <c r="L6" t="s">
        <v>232</v>
      </c>
      <c r="Q6" s="6">
        <v>5</v>
      </c>
      <c r="R6" s="6">
        <v>5</v>
      </c>
      <c r="S6" s="6">
        <v>0</v>
      </c>
      <c r="T6" s="6">
        <v>0</v>
      </c>
      <c r="U6" s="6">
        <v>4</v>
      </c>
      <c r="V6" s="7">
        <v>4</v>
      </c>
      <c r="W6" s="6">
        <v>1</v>
      </c>
      <c r="X6" s="6"/>
      <c r="Y6" s="6"/>
      <c r="Z6" s="6">
        <v>0</v>
      </c>
      <c r="AA6" s="6">
        <v>3</v>
      </c>
      <c r="AB6" s="6">
        <v>0</v>
      </c>
      <c r="AC6" s="6">
        <v>2</v>
      </c>
      <c r="AD6" s="9">
        <v>1</v>
      </c>
      <c r="AE6" s="16">
        <v>4</v>
      </c>
      <c r="AF6" s="11">
        <f>50/3.281</f>
        <v>15.239256324291373</v>
      </c>
      <c r="AG6" s="10"/>
      <c r="AH6" s="10"/>
      <c r="AI6" s="50">
        <v>0</v>
      </c>
      <c r="AJ6" s="50" t="s">
        <v>32</v>
      </c>
      <c r="AK6" s="50"/>
      <c r="AL6" s="50"/>
      <c r="AM6" s="50">
        <v>8</v>
      </c>
      <c r="AN6" s="50"/>
      <c r="AO6" s="50" t="s">
        <v>33</v>
      </c>
      <c r="AP6" s="11">
        <f>35.7/3.281</f>
        <v>10.880829015544041</v>
      </c>
      <c r="AQ6" s="9"/>
      <c r="AR6" s="9">
        <v>5.52</v>
      </c>
      <c r="AS6" s="11"/>
      <c r="AT6" s="50" t="s">
        <v>227</v>
      </c>
      <c r="AU6" s="50"/>
      <c r="AV6" s="36" t="s">
        <v>62</v>
      </c>
      <c r="AW6" s="12">
        <f>AX6-AY6</f>
        <v>4550</v>
      </c>
      <c r="AX6" s="44">
        <f>6000</f>
        <v>6000</v>
      </c>
      <c r="AY6" s="44">
        <f>6*200+5*50</f>
        <v>1450</v>
      </c>
      <c r="AZ6" s="12">
        <v>6</v>
      </c>
      <c r="BA6" s="46">
        <v>250</v>
      </c>
      <c r="BB6" s="44">
        <v>150</v>
      </c>
      <c r="BC6" s="46"/>
      <c r="BD6" s="12">
        <v>5000</v>
      </c>
      <c r="BE6" s="12"/>
      <c r="BF6" s="12"/>
      <c r="BG6" s="12"/>
      <c r="BH6" s="14">
        <f>(BA6/BB6)*60</f>
        <v>100</v>
      </c>
      <c r="BI6" t="s">
        <v>31</v>
      </c>
      <c r="BL6" s="3" t="s">
        <v>86</v>
      </c>
      <c r="BR6">
        <v>50</v>
      </c>
      <c r="BS6" s="36" t="s">
        <v>99</v>
      </c>
      <c r="BT6" t="s">
        <v>85</v>
      </c>
      <c r="BV6" s="54">
        <f t="shared" si="0"/>
        <v>0</v>
      </c>
      <c r="BW6" s="54">
        <f t="shared" si="1"/>
        <v>0</v>
      </c>
    </row>
    <row r="7" spans="1:75" x14ac:dyDescent="0.35">
      <c r="A7" s="73" t="s">
        <v>211</v>
      </c>
      <c r="B7" t="s">
        <v>212</v>
      </c>
      <c r="C7" t="s">
        <v>228</v>
      </c>
      <c r="D7" t="s">
        <v>213</v>
      </c>
      <c r="E7">
        <v>2017</v>
      </c>
      <c r="O7" s="32">
        <f>150000/1000000</f>
        <v>0.15</v>
      </c>
      <c r="P7" t="s">
        <v>40</v>
      </c>
      <c r="Q7" s="6">
        <v>8</v>
      </c>
      <c r="R7" s="6">
        <v>8</v>
      </c>
      <c r="S7" s="6">
        <v>4</v>
      </c>
      <c r="T7" s="6">
        <v>4</v>
      </c>
      <c r="U7" s="6">
        <v>4</v>
      </c>
      <c r="V7" s="21">
        <v>0</v>
      </c>
      <c r="W7" s="6">
        <v>4</v>
      </c>
      <c r="X7" s="6"/>
      <c r="Y7" s="6"/>
      <c r="Z7" s="6">
        <v>4</v>
      </c>
      <c r="AA7" s="6">
        <v>3</v>
      </c>
      <c r="AB7" s="6">
        <v>3</v>
      </c>
      <c r="AC7" s="6">
        <v>3</v>
      </c>
      <c r="AD7" s="9">
        <v>2</v>
      </c>
      <c r="AE7" s="9">
        <v>2</v>
      </c>
      <c r="AF7" s="11">
        <v>10.313000000000001</v>
      </c>
      <c r="AG7" s="10">
        <f>AH7/AF7</f>
        <v>1.2595752933191118</v>
      </c>
      <c r="AH7" s="10">
        <v>12.99</v>
      </c>
      <c r="AI7" s="50">
        <v>0</v>
      </c>
      <c r="AJ7" s="50" t="s">
        <v>240</v>
      </c>
      <c r="AK7" s="50" t="s">
        <v>254</v>
      </c>
      <c r="AL7" s="50">
        <v>0</v>
      </c>
      <c r="AM7" s="50">
        <v>2</v>
      </c>
      <c r="AN7" s="50">
        <v>0</v>
      </c>
      <c r="AO7" s="50" t="s">
        <v>66</v>
      </c>
      <c r="AP7" s="11">
        <v>7.6319999999999997</v>
      </c>
      <c r="AQ7" s="9">
        <v>1.6</v>
      </c>
      <c r="AR7" s="9">
        <v>1.8</v>
      </c>
      <c r="AS7" s="11">
        <f t="shared" si="2"/>
        <v>0.7400368466983418</v>
      </c>
      <c r="AT7" s="50" t="s">
        <v>37</v>
      </c>
      <c r="AU7" s="50"/>
      <c r="AW7" s="12"/>
      <c r="AX7" s="46">
        <f>2150*2.205</f>
        <v>4740.75</v>
      </c>
      <c r="AY7" s="46">
        <f>AZ7*200+50*(AZ7-1)</f>
        <v>1200</v>
      </c>
      <c r="AZ7" s="12">
        <v>5</v>
      </c>
      <c r="BA7" s="46">
        <f>BB7*BH7/60</f>
        <v>192.66625233064016</v>
      </c>
      <c r="BB7" s="44">
        <f>310/1.609</f>
        <v>192.66625233064016</v>
      </c>
      <c r="BC7" s="46">
        <f>5*2.237</f>
        <v>11.185</v>
      </c>
      <c r="BD7" s="12">
        <v>4000</v>
      </c>
      <c r="BE7" s="12"/>
      <c r="BF7" s="12"/>
      <c r="BG7" s="12"/>
      <c r="BH7" s="14">
        <v>60</v>
      </c>
      <c r="BI7" t="s">
        <v>180</v>
      </c>
      <c r="BS7" s="36" t="s">
        <v>236</v>
      </c>
      <c r="BU7" s="23"/>
      <c r="BV7" s="54">
        <f t="shared" si="0"/>
        <v>36.090523863933932</v>
      </c>
      <c r="BW7" s="54">
        <f t="shared" si="1"/>
        <v>36.090523863933932</v>
      </c>
    </row>
    <row r="8" spans="1:75" x14ac:dyDescent="0.35">
      <c r="A8" s="73" t="s">
        <v>190</v>
      </c>
      <c r="B8" t="s">
        <v>191</v>
      </c>
      <c r="C8" t="s">
        <v>34</v>
      </c>
      <c r="D8" t="s">
        <v>118</v>
      </c>
      <c r="E8">
        <v>2006</v>
      </c>
      <c r="L8" t="s">
        <v>99</v>
      </c>
      <c r="P8" t="s">
        <v>43</v>
      </c>
      <c r="Q8" s="6">
        <v>4</v>
      </c>
      <c r="R8" s="6">
        <v>4</v>
      </c>
      <c r="S8" s="6">
        <v>0</v>
      </c>
      <c r="T8" s="6">
        <v>0</v>
      </c>
      <c r="U8" s="6">
        <v>4</v>
      </c>
      <c r="V8" s="6">
        <v>0</v>
      </c>
      <c r="W8" s="6">
        <v>4</v>
      </c>
      <c r="X8" s="6"/>
      <c r="Y8" s="6"/>
      <c r="Z8" s="6">
        <v>4</v>
      </c>
      <c r="AA8" s="6">
        <v>6</v>
      </c>
      <c r="AB8" s="6">
        <v>6</v>
      </c>
      <c r="AC8" s="6">
        <v>0</v>
      </c>
      <c r="AD8" s="9">
        <v>2</v>
      </c>
      <c r="AE8" s="9">
        <v>0</v>
      </c>
      <c r="AF8" s="11">
        <v>8</v>
      </c>
      <c r="AG8" s="10">
        <f>AH8/AF8</f>
        <v>1.48875</v>
      </c>
      <c r="AH8" s="10">
        <v>11.91</v>
      </c>
      <c r="AI8" s="50">
        <v>4</v>
      </c>
      <c r="AJ8" s="50" t="s">
        <v>63</v>
      </c>
      <c r="AK8" s="52" t="s">
        <v>159</v>
      </c>
      <c r="AL8" s="50">
        <v>0</v>
      </c>
      <c r="AM8" s="50">
        <v>0</v>
      </c>
      <c r="AN8" s="50"/>
      <c r="AO8" s="50" t="s">
        <v>40</v>
      </c>
      <c r="AP8" s="11">
        <v>7.1</v>
      </c>
      <c r="AQ8" s="9">
        <v>0.7</v>
      </c>
      <c r="AR8" s="9"/>
      <c r="AS8" s="11">
        <f t="shared" si="2"/>
        <v>0.88749999999999996</v>
      </c>
      <c r="AT8" s="50" t="s">
        <v>192</v>
      </c>
      <c r="AU8" s="50"/>
      <c r="AW8" s="12"/>
      <c r="AX8" s="46">
        <f>1000*2.205</f>
        <v>2205</v>
      </c>
      <c r="AY8" s="46">
        <f>397</f>
        <v>397</v>
      </c>
      <c r="AZ8" s="12">
        <v>2</v>
      </c>
      <c r="BA8" s="46">
        <f>300/1.609</f>
        <v>186.45121193287756</v>
      </c>
      <c r="BB8" s="44">
        <f>120*1.151</f>
        <v>138.12</v>
      </c>
      <c r="BC8" s="46">
        <f>4.06*2.237</f>
        <v>9.0822199999999995</v>
      </c>
      <c r="BD8" s="12"/>
      <c r="BE8" s="12"/>
      <c r="BF8" s="12"/>
      <c r="BG8" s="12"/>
      <c r="BH8" s="14">
        <f>60+30</f>
        <v>90</v>
      </c>
      <c r="BI8" t="s">
        <v>180</v>
      </c>
      <c r="BJ8">
        <f>140*1.5</f>
        <v>210</v>
      </c>
      <c r="BK8">
        <f>BJ8*1000/360</f>
        <v>583.33333333333337</v>
      </c>
      <c r="BS8" s="36" t="s">
        <v>193</v>
      </c>
      <c r="BV8" s="54">
        <f t="shared" si="0"/>
        <v>33.105343877551022</v>
      </c>
      <c r="BW8" s="54">
        <f t="shared" si="1"/>
        <v>29.793085661859518</v>
      </c>
    </row>
    <row r="9" spans="1:75" x14ac:dyDescent="0.35">
      <c r="A9" s="73" t="s">
        <v>16</v>
      </c>
      <c r="B9" t="s">
        <v>37</v>
      </c>
      <c r="C9" t="s">
        <v>228</v>
      </c>
      <c r="D9" t="s">
        <v>42</v>
      </c>
      <c r="E9">
        <v>2009</v>
      </c>
      <c r="G9">
        <v>2024</v>
      </c>
      <c r="H9">
        <f>1844.6</f>
        <v>1844.6</v>
      </c>
      <c r="I9" s="40">
        <v>700</v>
      </c>
      <c r="L9" t="s">
        <v>99</v>
      </c>
      <c r="M9" t="s">
        <v>40</v>
      </c>
      <c r="N9" s="32">
        <v>1.2</v>
      </c>
      <c r="O9" s="32">
        <v>1.3</v>
      </c>
      <c r="P9" t="s">
        <v>40</v>
      </c>
      <c r="Q9" s="6">
        <v>6</v>
      </c>
      <c r="R9" s="6"/>
      <c r="S9" s="6">
        <v>0</v>
      </c>
      <c r="T9" s="6">
        <v>0</v>
      </c>
      <c r="U9" s="6">
        <v>6</v>
      </c>
      <c r="V9" s="6"/>
      <c r="W9" s="6">
        <v>6</v>
      </c>
      <c r="X9" s="6"/>
      <c r="Y9" s="6"/>
      <c r="Z9" s="6">
        <v>6</v>
      </c>
      <c r="AA9" s="6">
        <v>5</v>
      </c>
      <c r="AB9" s="6">
        <v>5</v>
      </c>
      <c r="AC9" s="6">
        <v>0</v>
      </c>
      <c r="AD9" s="9"/>
      <c r="AE9" s="9"/>
      <c r="AF9" s="27">
        <v>10.7</v>
      </c>
      <c r="AG9" s="10"/>
      <c r="AH9" s="10"/>
      <c r="AI9" s="50">
        <v>0</v>
      </c>
      <c r="AJ9" s="50"/>
      <c r="AK9" s="50"/>
      <c r="AL9" s="50"/>
      <c r="AM9" s="50">
        <v>4</v>
      </c>
      <c r="AN9" s="50"/>
      <c r="AO9" s="50" t="s">
        <v>33</v>
      </c>
      <c r="AP9" s="27">
        <v>7.3</v>
      </c>
      <c r="AQ9" s="9"/>
      <c r="AR9" s="9">
        <v>3.3</v>
      </c>
      <c r="AS9" s="11">
        <f t="shared" si="2"/>
        <v>0.68224299065420568</v>
      </c>
      <c r="AT9" s="50" t="s">
        <v>34</v>
      </c>
      <c r="AU9" s="50"/>
      <c r="AV9" s="36" t="s">
        <v>62</v>
      </c>
      <c r="AW9" s="12">
        <v>4000</v>
      </c>
      <c r="AX9" s="44">
        <v>4800</v>
      </c>
      <c r="AY9" s="44">
        <f>5*200+4*50</f>
        <v>1200</v>
      </c>
      <c r="AZ9" s="12">
        <v>5</v>
      </c>
      <c r="BA9" s="46">
        <v>150</v>
      </c>
      <c r="BB9" s="44">
        <v>200</v>
      </c>
      <c r="BC9" s="46"/>
      <c r="BD9" s="12"/>
      <c r="BE9" s="12"/>
      <c r="BF9" s="12"/>
      <c r="BG9" s="12"/>
      <c r="BH9" s="14">
        <f>(BA9/BB9)*60</f>
        <v>45</v>
      </c>
      <c r="BI9" t="s">
        <v>31</v>
      </c>
      <c r="BK9" s="3">
        <v>235</v>
      </c>
      <c r="BL9" t="s">
        <v>38</v>
      </c>
      <c r="BM9">
        <v>65</v>
      </c>
      <c r="BN9">
        <v>40</v>
      </c>
      <c r="BO9">
        <v>100</v>
      </c>
      <c r="BT9" t="s">
        <v>25</v>
      </c>
      <c r="BV9" s="54">
        <f t="shared" si="0"/>
        <v>25.584112149532711</v>
      </c>
      <c r="BW9" s="54">
        <f t="shared" si="1"/>
        <v>25.584112149532714</v>
      </c>
    </row>
    <row r="10" spans="1:75" x14ac:dyDescent="0.35">
      <c r="A10" s="73" t="s">
        <v>18</v>
      </c>
      <c r="B10" t="s">
        <v>121</v>
      </c>
      <c r="C10" t="s">
        <v>228</v>
      </c>
      <c r="D10" t="s">
        <v>6</v>
      </c>
      <c r="E10">
        <v>2015</v>
      </c>
      <c r="G10">
        <v>2025</v>
      </c>
      <c r="H10">
        <v>391.5</v>
      </c>
      <c r="I10" s="40">
        <v>600</v>
      </c>
      <c r="L10" t="s">
        <v>232</v>
      </c>
      <c r="M10" t="s">
        <v>40</v>
      </c>
      <c r="O10" s="32">
        <v>2.5</v>
      </c>
      <c r="P10" t="s">
        <v>43</v>
      </c>
      <c r="Q10" s="6">
        <v>36</v>
      </c>
      <c r="R10" s="6">
        <v>36</v>
      </c>
      <c r="S10" s="6"/>
      <c r="T10" s="6">
        <v>36</v>
      </c>
      <c r="U10" s="6">
        <v>36</v>
      </c>
      <c r="V10" s="6"/>
      <c r="W10" s="6">
        <v>36</v>
      </c>
      <c r="X10" s="6"/>
      <c r="Y10" s="6"/>
      <c r="Z10" s="6"/>
      <c r="AA10" s="6"/>
      <c r="AB10" s="6"/>
      <c r="AC10" s="6"/>
      <c r="AD10" s="9"/>
      <c r="AE10" s="9"/>
      <c r="AF10" s="11">
        <v>13.9</v>
      </c>
      <c r="AG10" s="10"/>
      <c r="AH10" s="10"/>
      <c r="AI10" s="50">
        <v>0</v>
      </c>
      <c r="AJ10" s="50" t="s">
        <v>32</v>
      </c>
      <c r="AK10" s="50"/>
      <c r="AL10" s="50"/>
      <c r="AM10" s="50">
        <v>12</v>
      </c>
      <c r="AN10" s="50"/>
      <c r="AO10" s="50" t="s">
        <v>40</v>
      </c>
      <c r="AP10" s="11">
        <v>8.5</v>
      </c>
      <c r="AQ10" s="9"/>
      <c r="AR10" s="9">
        <v>2.4</v>
      </c>
      <c r="AS10" s="11">
        <f t="shared" si="2"/>
        <v>0.61151079136690645</v>
      </c>
      <c r="AT10" s="50" t="s">
        <v>34</v>
      </c>
      <c r="AU10" s="50"/>
      <c r="AV10" s="36" t="s">
        <v>62</v>
      </c>
      <c r="AW10" s="12"/>
      <c r="AX10" s="44">
        <v>7000</v>
      </c>
      <c r="AY10" s="44">
        <f>7*200+50*6</f>
        <v>1700</v>
      </c>
      <c r="AZ10" s="12">
        <v>7</v>
      </c>
      <c r="BA10" s="46">
        <v>155</v>
      </c>
      <c r="BB10" s="44">
        <v>175</v>
      </c>
      <c r="BC10" s="46"/>
      <c r="BD10" s="12">
        <v>3000</v>
      </c>
      <c r="BE10" s="12"/>
      <c r="BF10" s="12"/>
      <c r="BG10" s="12"/>
      <c r="BH10" s="14">
        <f>(BA10/BB10)*60</f>
        <v>53.142857142857139</v>
      </c>
      <c r="BI10" t="s">
        <v>31</v>
      </c>
      <c r="BJ10" s="3">
        <v>38</v>
      </c>
      <c r="BK10" s="3">
        <v>157</v>
      </c>
      <c r="BL10" t="s">
        <v>45</v>
      </c>
      <c r="BM10">
        <v>60</v>
      </c>
      <c r="BO10">
        <v>92</v>
      </c>
      <c r="BT10" t="s">
        <v>27</v>
      </c>
      <c r="BV10" s="54">
        <f t="shared" si="0"/>
        <v>23.019013360739979</v>
      </c>
      <c r="BW10" s="54">
        <f t="shared" si="1"/>
        <v>23.019013360739979</v>
      </c>
    </row>
    <row r="11" spans="1:75" x14ac:dyDescent="0.35">
      <c r="A11" s="73" t="s">
        <v>202</v>
      </c>
      <c r="B11" t="s">
        <v>203</v>
      </c>
      <c r="C11" t="s">
        <v>228</v>
      </c>
      <c r="D11" t="s">
        <v>204</v>
      </c>
      <c r="E11">
        <v>2017</v>
      </c>
      <c r="F11">
        <v>2023</v>
      </c>
      <c r="G11" t="s">
        <v>44</v>
      </c>
      <c r="H11">
        <v>25</v>
      </c>
      <c r="L11" t="s">
        <v>99</v>
      </c>
      <c r="M11" t="s">
        <v>155</v>
      </c>
      <c r="O11" s="32">
        <f>27378/1000000</f>
        <v>2.7378E-2</v>
      </c>
      <c r="P11" t="s">
        <v>43</v>
      </c>
      <c r="Q11" s="6">
        <v>6</v>
      </c>
      <c r="R11" s="6">
        <v>6</v>
      </c>
      <c r="S11" s="6">
        <v>3</v>
      </c>
      <c r="T11" s="6">
        <v>3</v>
      </c>
      <c r="U11" s="6">
        <v>3</v>
      </c>
      <c r="V11" s="21">
        <v>0</v>
      </c>
      <c r="W11" s="6">
        <v>2</v>
      </c>
      <c r="X11" s="6"/>
      <c r="Y11" s="6"/>
      <c r="Z11" s="6">
        <v>2</v>
      </c>
      <c r="AA11" s="6">
        <v>3</v>
      </c>
      <c r="AB11" s="6">
        <v>3</v>
      </c>
      <c r="AC11" s="6">
        <v>3</v>
      </c>
      <c r="AD11" s="9">
        <v>2</v>
      </c>
      <c r="AE11" s="19">
        <v>2</v>
      </c>
      <c r="AF11" s="11">
        <f>20/3.281</f>
        <v>6.0957025297165499</v>
      </c>
      <c r="AG11" s="10"/>
      <c r="AH11" s="10"/>
      <c r="AI11" s="50">
        <v>0</v>
      </c>
      <c r="AJ11" s="50" t="s">
        <v>240</v>
      </c>
      <c r="AK11" s="52" t="s">
        <v>159</v>
      </c>
      <c r="AL11" s="50"/>
      <c r="AM11" s="50">
        <v>2</v>
      </c>
      <c r="AN11" s="50">
        <v>0</v>
      </c>
      <c r="AO11" s="50" t="s">
        <v>181</v>
      </c>
      <c r="AP11" s="11">
        <f>22/3.281</f>
        <v>6.7052727826882048</v>
      </c>
      <c r="AQ11" s="9"/>
      <c r="AR11" s="9"/>
      <c r="AS11" s="11">
        <f t="shared" si="2"/>
        <v>1.1000000000000001</v>
      </c>
      <c r="AT11" s="50" t="s">
        <v>55</v>
      </c>
      <c r="AU11" s="50"/>
      <c r="AW11" s="12"/>
      <c r="AX11" s="46">
        <v>2000</v>
      </c>
      <c r="AY11" s="46">
        <f>200*AZ11+50*2</f>
        <v>500</v>
      </c>
      <c r="AZ11" s="12">
        <v>2</v>
      </c>
      <c r="BA11" s="46">
        <v>80</v>
      </c>
      <c r="BB11" s="44">
        <v>125</v>
      </c>
      <c r="BC11" s="46"/>
      <c r="BD11" s="12">
        <v>450</v>
      </c>
      <c r="BE11" s="12"/>
      <c r="BF11" s="12"/>
      <c r="BG11" s="12"/>
      <c r="BH11" s="14">
        <f>(BA11/BB11)*60</f>
        <v>38.4</v>
      </c>
      <c r="BI11" t="s">
        <v>31</v>
      </c>
      <c r="BL11" t="s">
        <v>68</v>
      </c>
      <c r="BS11" s="36" t="s">
        <v>241</v>
      </c>
      <c r="BV11" s="54">
        <f t="shared" si="0"/>
        <v>22.000000000000004</v>
      </c>
      <c r="BW11" s="54">
        <f t="shared" si="1"/>
        <v>22</v>
      </c>
    </row>
    <row r="12" spans="1:75" x14ac:dyDescent="0.35">
      <c r="A12" s="73" t="s">
        <v>138</v>
      </c>
      <c r="B12" t="s">
        <v>139</v>
      </c>
      <c r="C12" t="s">
        <v>141</v>
      </c>
      <c r="D12" t="s">
        <v>140</v>
      </c>
      <c r="E12">
        <v>2016</v>
      </c>
      <c r="F12">
        <v>2020</v>
      </c>
      <c r="M12" t="s">
        <v>155</v>
      </c>
      <c r="Q12" s="6">
        <v>6</v>
      </c>
      <c r="R12" s="6"/>
      <c r="S12" s="6">
        <v>0</v>
      </c>
      <c r="T12" s="6">
        <v>0</v>
      </c>
      <c r="U12" s="6">
        <v>6</v>
      </c>
      <c r="V12" s="6">
        <v>0</v>
      </c>
      <c r="W12" s="6">
        <v>6</v>
      </c>
      <c r="X12" s="6"/>
      <c r="Y12" s="6"/>
      <c r="Z12" s="6">
        <v>0</v>
      </c>
      <c r="AA12" s="6">
        <v>4</v>
      </c>
      <c r="AB12" s="6">
        <v>0</v>
      </c>
      <c r="AC12" s="6">
        <v>4</v>
      </c>
      <c r="AD12" s="9"/>
      <c r="AE12" s="9"/>
      <c r="AF12" s="11">
        <v>3.75</v>
      </c>
      <c r="AG12" s="10"/>
      <c r="AH12" s="10"/>
      <c r="AI12" s="50"/>
      <c r="AJ12" s="50"/>
      <c r="AK12" s="50"/>
      <c r="AL12" s="50"/>
      <c r="AM12" s="50"/>
      <c r="AN12" s="50"/>
      <c r="AO12" s="50"/>
      <c r="AP12" s="11">
        <v>2.0099999999999998</v>
      </c>
      <c r="AQ12" s="9"/>
      <c r="AR12" s="9"/>
      <c r="AS12" s="11">
        <f t="shared" si="2"/>
        <v>0.53599999999999992</v>
      </c>
      <c r="AT12" s="50" t="s">
        <v>142</v>
      </c>
      <c r="AU12" s="50"/>
      <c r="AW12" s="12"/>
      <c r="AX12" s="44">
        <f>AY12/0.26</f>
        <v>57.692307692307693</v>
      </c>
      <c r="AY12" s="44">
        <v>15</v>
      </c>
      <c r="AZ12" s="12"/>
      <c r="BA12" s="46">
        <v>154</v>
      </c>
      <c r="BB12" s="44">
        <v>63</v>
      </c>
      <c r="BC12" s="46"/>
      <c r="BD12" s="12"/>
      <c r="BE12" s="12"/>
      <c r="BF12" s="12"/>
      <c r="BG12" s="12"/>
      <c r="BH12" s="14">
        <v>147</v>
      </c>
      <c r="BV12" s="54">
        <f t="shared" si="0"/>
        <v>21.510215999999996</v>
      </c>
      <c r="BW12" s="54">
        <f t="shared" si="1"/>
        <v>21.461439999999996</v>
      </c>
    </row>
    <row r="13" spans="1:75" x14ac:dyDescent="0.35">
      <c r="A13" s="73" t="s">
        <v>50</v>
      </c>
      <c r="B13" t="s">
        <v>52</v>
      </c>
      <c r="C13" t="s">
        <v>229</v>
      </c>
      <c r="D13" t="s">
        <v>51</v>
      </c>
      <c r="E13">
        <v>2013</v>
      </c>
      <c r="H13">
        <v>132</v>
      </c>
      <c r="L13" t="s">
        <v>99</v>
      </c>
      <c r="P13" t="s">
        <v>43</v>
      </c>
      <c r="Q13" s="6">
        <v>9</v>
      </c>
      <c r="R13" s="6">
        <v>9</v>
      </c>
      <c r="S13" s="6">
        <v>4</v>
      </c>
      <c r="T13" s="6">
        <v>0</v>
      </c>
      <c r="U13" s="6">
        <v>8</v>
      </c>
      <c r="V13" s="6"/>
      <c r="W13" s="6">
        <v>1</v>
      </c>
      <c r="X13" s="6"/>
      <c r="Y13" s="6"/>
      <c r="Z13" s="6">
        <v>0</v>
      </c>
      <c r="AA13" s="6">
        <v>3</v>
      </c>
      <c r="AB13" s="6">
        <v>0</v>
      </c>
      <c r="AC13" s="6">
        <v>2</v>
      </c>
      <c r="AD13" s="9"/>
      <c r="AE13" s="9"/>
      <c r="AF13" s="11">
        <v>12.5</v>
      </c>
      <c r="AG13" s="10"/>
      <c r="AH13" s="10"/>
      <c r="AI13" s="50">
        <v>0</v>
      </c>
      <c r="AJ13" s="50" t="s">
        <v>62</v>
      </c>
      <c r="AK13" s="50"/>
      <c r="AL13" s="50"/>
      <c r="AM13" s="50">
        <v>6</v>
      </c>
      <c r="AN13" s="50"/>
      <c r="AO13" s="50" t="s">
        <v>66</v>
      </c>
      <c r="AP13" s="11">
        <v>6.8</v>
      </c>
      <c r="AQ13" s="9"/>
      <c r="AR13" s="9">
        <v>2.1</v>
      </c>
      <c r="AS13" s="11">
        <f t="shared" si="2"/>
        <v>0.54400000000000004</v>
      </c>
      <c r="AT13" s="50" t="s">
        <v>34</v>
      </c>
      <c r="AU13" s="50"/>
      <c r="AV13" s="36" t="s">
        <v>62</v>
      </c>
      <c r="AW13" s="12">
        <v>1543</v>
      </c>
      <c r="AX13" s="44">
        <f>AY13+AW13</f>
        <v>1943</v>
      </c>
      <c r="AY13" s="44">
        <v>400</v>
      </c>
      <c r="AZ13" s="12">
        <v>2</v>
      </c>
      <c r="BA13" s="46">
        <v>186.4</v>
      </c>
      <c r="BB13" s="44">
        <f>BA13/(100/60)</f>
        <v>111.84</v>
      </c>
      <c r="BC13" s="46"/>
      <c r="BD13" s="12"/>
      <c r="BE13" s="12"/>
      <c r="BF13" s="12"/>
      <c r="BG13" s="12"/>
      <c r="BH13" s="14">
        <f t="shared" ref="BH13:BH28" si="3">(BA13/BB13)*60</f>
        <v>100</v>
      </c>
      <c r="BL13" t="s">
        <v>119</v>
      </c>
      <c r="BS13" s="36" t="s">
        <v>156</v>
      </c>
      <c r="BU13" s="1" t="s">
        <v>115</v>
      </c>
      <c r="BV13" s="54">
        <f t="shared" si="0"/>
        <v>20.875265054040149</v>
      </c>
      <c r="BW13" s="54">
        <f t="shared" si="1"/>
        <v>20.875265054040149</v>
      </c>
    </row>
    <row r="14" spans="1:75" x14ac:dyDescent="0.35">
      <c r="A14" s="73" t="s">
        <v>89</v>
      </c>
      <c r="B14" t="s">
        <v>102</v>
      </c>
      <c r="C14" t="s">
        <v>229</v>
      </c>
      <c r="D14" t="s">
        <v>118</v>
      </c>
      <c r="E14">
        <v>2017</v>
      </c>
      <c r="G14">
        <v>2023</v>
      </c>
      <c r="H14" t="s">
        <v>40</v>
      </c>
      <c r="L14" t="s">
        <v>99</v>
      </c>
      <c r="Q14" s="6">
        <v>10</v>
      </c>
      <c r="R14" s="6"/>
      <c r="S14" s="6">
        <v>0</v>
      </c>
      <c r="T14" s="6">
        <v>2</v>
      </c>
      <c r="U14" s="6">
        <v>8</v>
      </c>
      <c r="V14" s="6">
        <v>0</v>
      </c>
      <c r="W14" s="6">
        <v>2</v>
      </c>
      <c r="X14" s="6"/>
      <c r="Y14" s="6"/>
      <c r="Z14" s="6">
        <v>0</v>
      </c>
      <c r="AA14" s="6">
        <v>3</v>
      </c>
      <c r="AB14" s="6">
        <v>0</v>
      </c>
      <c r="AC14" s="6">
        <v>2</v>
      </c>
      <c r="AD14" s="9"/>
      <c r="AE14" s="9"/>
      <c r="AF14" s="11">
        <v>11.26</v>
      </c>
      <c r="AG14" s="10"/>
      <c r="AH14" s="10"/>
      <c r="AI14" s="50"/>
      <c r="AJ14" s="50" t="s">
        <v>32</v>
      </c>
      <c r="AK14" s="50"/>
      <c r="AL14" s="50"/>
      <c r="AM14" s="50"/>
      <c r="AN14" s="50"/>
      <c r="AO14" s="50"/>
      <c r="AP14" s="11">
        <v>9.8800000000000008</v>
      </c>
      <c r="AQ14" s="9"/>
      <c r="AR14" s="9">
        <v>3.42</v>
      </c>
      <c r="AS14" s="11">
        <f t="shared" si="2"/>
        <v>0.877442273534636</v>
      </c>
      <c r="AT14" s="50" t="s">
        <v>55</v>
      </c>
      <c r="AU14" s="50"/>
      <c r="AW14" s="12">
        <v>2000</v>
      </c>
      <c r="AX14" s="44">
        <f>AW14+AY14</f>
        <v>3200</v>
      </c>
      <c r="AY14" s="44">
        <f>200*5+50*4</f>
        <v>1200</v>
      </c>
      <c r="AZ14" s="12"/>
      <c r="BA14" s="46">
        <v>60</v>
      </c>
      <c r="BB14" s="44">
        <v>150</v>
      </c>
      <c r="BC14" s="46"/>
      <c r="BD14" s="12">
        <v>1000</v>
      </c>
      <c r="BE14" s="12"/>
      <c r="BF14" s="12"/>
      <c r="BG14" s="12"/>
      <c r="BH14" s="14">
        <f t="shared" si="3"/>
        <v>24</v>
      </c>
      <c r="BV14" s="54">
        <f t="shared" si="0"/>
        <v>19.742451154529313</v>
      </c>
      <c r="BW14" s="54">
        <f t="shared" si="1"/>
        <v>19.742451154529309</v>
      </c>
    </row>
    <row r="15" spans="1:75" x14ac:dyDescent="0.35">
      <c r="A15" s="73" t="s">
        <v>91</v>
      </c>
      <c r="B15" t="s">
        <v>106</v>
      </c>
      <c r="C15" s="4" t="s">
        <v>34</v>
      </c>
      <c r="D15" t="s">
        <v>125</v>
      </c>
      <c r="E15">
        <v>2017</v>
      </c>
      <c r="H15">
        <v>11</v>
      </c>
      <c r="L15" t="s">
        <v>99</v>
      </c>
      <c r="Q15" s="6">
        <v>8</v>
      </c>
      <c r="R15" s="6"/>
      <c r="S15" s="6">
        <v>1</v>
      </c>
      <c r="T15" s="6">
        <v>0</v>
      </c>
      <c r="U15" s="6">
        <v>8</v>
      </c>
      <c r="V15" s="6">
        <v>0</v>
      </c>
      <c r="W15" s="6">
        <v>6</v>
      </c>
      <c r="X15" s="6"/>
      <c r="Y15" s="6"/>
      <c r="Z15" s="6">
        <v>6</v>
      </c>
      <c r="AA15" s="6">
        <v>5</v>
      </c>
      <c r="AB15" s="6">
        <v>5</v>
      </c>
      <c r="AC15" s="6">
        <v>2</v>
      </c>
      <c r="AD15" s="9"/>
      <c r="AE15" s="9"/>
      <c r="AF15" s="11">
        <v>13.6</v>
      </c>
      <c r="AG15" s="10"/>
      <c r="AH15" s="10"/>
      <c r="AI15" s="50"/>
      <c r="AJ15" s="50" t="s">
        <v>32</v>
      </c>
      <c r="AK15" s="50"/>
      <c r="AL15" s="50"/>
      <c r="AM15" s="50"/>
      <c r="AN15" s="50"/>
      <c r="AO15" s="50" t="s">
        <v>126</v>
      </c>
      <c r="AP15" s="11">
        <v>12</v>
      </c>
      <c r="AQ15" s="9"/>
      <c r="AR15" s="9">
        <v>4</v>
      </c>
      <c r="AS15" s="11">
        <f t="shared" si="2"/>
        <v>0.88235294117647056</v>
      </c>
      <c r="AT15" s="50" t="s">
        <v>48</v>
      </c>
      <c r="AU15" s="50"/>
      <c r="AW15" s="12"/>
      <c r="AX15" s="44">
        <v>6173</v>
      </c>
      <c r="AY15" s="44">
        <v>1653</v>
      </c>
      <c r="AZ15" s="12"/>
      <c r="BA15" s="46">
        <v>75</v>
      </c>
      <c r="BB15" s="44">
        <v>217</v>
      </c>
      <c r="BC15" s="46"/>
      <c r="BD15" s="12"/>
      <c r="BE15" s="12"/>
      <c r="BF15" s="12"/>
      <c r="BG15" s="12"/>
      <c r="BH15" s="14">
        <f t="shared" si="3"/>
        <v>20.737327188940093</v>
      </c>
      <c r="BV15" s="54">
        <f t="shared" si="0"/>
        <v>17.720671615479176</v>
      </c>
      <c r="BW15" s="54">
        <f t="shared" si="1"/>
        <v>17.720671615479176</v>
      </c>
    </row>
    <row r="16" spans="1:75" x14ac:dyDescent="0.35">
      <c r="A16" s="74" t="s">
        <v>225</v>
      </c>
      <c r="B16" t="s">
        <v>226</v>
      </c>
      <c r="C16" t="s">
        <v>229</v>
      </c>
      <c r="D16" t="s">
        <v>140</v>
      </c>
      <c r="E16">
        <v>2006</v>
      </c>
      <c r="F16">
        <v>2019</v>
      </c>
      <c r="I16" s="40">
        <v>100</v>
      </c>
      <c r="J16">
        <v>2017</v>
      </c>
      <c r="M16" t="s">
        <v>253</v>
      </c>
      <c r="P16" t="s">
        <v>40</v>
      </c>
      <c r="Q16" s="6">
        <v>9</v>
      </c>
      <c r="R16" s="6">
        <v>9</v>
      </c>
      <c r="S16" s="6">
        <v>0</v>
      </c>
      <c r="T16" s="6">
        <v>0</v>
      </c>
      <c r="U16" s="6">
        <v>8</v>
      </c>
      <c r="V16" s="21">
        <v>0</v>
      </c>
      <c r="W16" s="6">
        <v>1</v>
      </c>
      <c r="X16" s="6"/>
      <c r="Y16" s="6"/>
      <c r="Z16" s="6">
        <v>0</v>
      </c>
      <c r="AA16" s="7">
        <v>3</v>
      </c>
      <c r="AB16" s="6">
        <v>0</v>
      </c>
      <c r="AC16" s="6">
        <v>2</v>
      </c>
      <c r="AD16" s="9">
        <v>1</v>
      </c>
      <c r="AE16" s="9">
        <v>0</v>
      </c>
      <c r="AF16" s="11">
        <v>4.5</v>
      </c>
      <c r="AG16" s="10"/>
      <c r="AH16" s="10"/>
      <c r="AI16" s="50">
        <v>0</v>
      </c>
      <c r="AJ16" s="50" t="s">
        <v>32</v>
      </c>
      <c r="AK16" s="52" t="s">
        <v>159</v>
      </c>
      <c r="AL16" s="50">
        <v>0</v>
      </c>
      <c r="AM16" s="50">
        <v>2</v>
      </c>
      <c r="AN16" s="50"/>
      <c r="AO16" s="50" t="s">
        <v>32</v>
      </c>
      <c r="AP16" s="11">
        <v>7.21</v>
      </c>
      <c r="AQ16" s="9"/>
      <c r="AR16" s="9">
        <v>2.0299999999999998</v>
      </c>
      <c r="AS16" s="11">
        <f t="shared" si="2"/>
        <v>1.6022222222222222</v>
      </c>
      <c r="AT16" s="50" t="s">
        <v>34</v>
      </c>
      <c r="AU16" s="50"/>
      <c r="AW16" s="12"/>
      <c r="AX16" s="46">
        <v>2646</v>
      </c>
      <c r="AY16" s="46">
        <v>441</v>
      </c>
      <c r="AZ16" s="12">
        <v>3</v>
      </c>
      <c r="BA16" s="46">
        <v>62</v>
      </c>
      <c r="BB16" s="44">
        <v>112</v>
      </c>
      <c r="BC16" s="46"/>
      <c r="BD16" s="12">
        <v>3000</v>
      </c>
      <c r="BE16" s="12"/>
      <c r="BF16" s="12"/>
      <c r="BG16" s="12"/>
      <c r="BH16" s="14">
        <f t="shared" si="3"/>
        <v>33.214285714285715</v>
      </c>
      <c r="BI16" t="s">
        <v>31</v>
      </c>
      <c r="BS16" s="36" t="s">
        <v>99</v>
      </c>
      <c r="BV16" s="54">
        <f t="shared" si="0"/>
        <v>16.556296296296296</v>
      </c>
      <c r="BW16" s="54">
        <f t="shared" si="1"/>
        <v>16.556296296296296</v>
      </c>
    </row>
    <row r="17" spans="1:75" x14ac:dyDescent="0.35">
      <c r="A17" s="73" t="s">
        <v>56</v>
      </c>
      <c r="B17" t="s">
        <v>57</v>
      </c>
      <c r="C17" t="s">
        <v>229</v>
      </c>
      <c r="D17" t="s">
        <v>6</v>
      </c>
      <c r="E17">
        <v>2011</v>
      </c>
      <c r="G17">
        <v>2026</v>
      </c>
      <c r="H17">
        <v>376.6</v>
      </c>
      <c r="L17" t="s">
        <v>232</v>
      </c>
      <c r="M17" t="s">
        <v>155</v>
      </c>
      <c r="P17" t="s">
        <v>43</v>
      </c>
      <c r="Q17" s="6">
        <v>8</v>
      </c>
      <c r="R17" s="6"/>
      <c r="S17" s="6">
        <v>0</v>
      </c>
      <c r="T17" s="6">
        <v>2</v>
      </c>
      <c r="U17" s="6">
        <v>6</v>
      </c>
      <c r="V17" s="6"/>
      <c r="W17" s="6">
        <v>2</v>
      </c>
      <c r="X17" s="6"/>
      <c r="Y17" s="6"/>
      <c r="Z17" s="6">
        <v>0</v>
      </c>
      <c r="AA17" s="6"/>
      <c r="AB17" s="6">
        <v>0</v>
      </c>
      <c r="AC17" s="6">
        <v>2</v>
      </c>
      <c r="AD17" s="9"/>
      <c r="AE17" s="9"/>
      <c r="AF17" s="11"/>
      <c r="AG17" s="10"/>
      <c r="AH17" s="10"/>
      <c r="AI17" s="50">
        <v>0</v>
      </c>
      <c r="AJ17" s="50" t="s">
        <v>32</v>
      </c>
      <c r="AK17" s="50"/>
      <c r="AL17" s="50"/>
      <c r="AM17" s="50"/>
      <c r="AN17" s="50"/>
      <c r="AO17" s="50" t="s">
        <v>66</v>
      </c>
      <c r="AP17" s="11"/>
      <c r="AQ17" s="9"/>
      <c r="AR17" s="9"/>
      <c r="AS17" s="11">
        <v>1</v>
      </c>
      <c r="AT17" s="50" t="s">
        <v>48</v>
      </c>
      <c r="AU17" s="50"/>
      <c r="AV17" s="36" t="s">
        <v>62</v>
      </c>
      <c r="AW17" s="12"/>
      <c r="AX17" s="47">
        <f>4*AY17</f>
        <v>3520</v>
      </c>
      <c r="AY17" s="44">
        <v>880</v>
      </c>
      <c r="AZ17" s="12"/>
      <c r="BA17" s="46">
        <v>62.13</v>
      </c>
      <c r="BB17" s="44">
        <v>62.13</v>
      </c>
      <c r="BC17" s="46"/>
      <c r="BD17" s="12"/>
      <c r="BE17" s="12"/>
      <c r="BF17" s="12"/>
      <c r="BG17" s="12"/>
      <c r="BH17" s="14">
        <f t="shared" si="3"/>
        <v>60</v>
      </c>
      <c r="BI17" t="s">
        <v>31</v>
      </c>
      <c r="BU17" s="1" t="s">
        <v>116</v>
      </c>
      <c r="BV17" s="54">
        <f t="shared" si="0"/>
        <v>15.532500000000001</v>
      </c>
      <c r="BW17" s="54">
        <f t="shared" si="1"/>
        <v>15.532500000000001</v>
      </c>
    </row>
    <row r="18" spans="1:75" s="17" customFormat="1" x14ac:dyDescent="0.35">
      <c r="A18" s="73" t="s">
        <v>222</v>
      </c>
      <c r="B18" t="s">
        <v>255</v>
      </c>
      <c r="C18" t="s">
        <v>229</v>
      </c>
      <c r="D18" t="s">
        <v>223</v>
      </c>
      <c r="E18">
        <v>1989</v>
      </c>
      <c r="F18">
        <v>2019</v>
      </c>
      <c r="G18"/>
      <c r="H18" t="s">
        <v>40</v>
      </c>
      <c r="I18" s="40">
        <v>470</v>
      </c>
      <c r="J18" t="s">
        <v>81</v>
      </c>
      <c r="K18"/>
      <c r="L18"/>
      <c r="M18" t="s">
        <v>253</v>
      </c>
      <c r="N18" s="32"/>
      <c r="O18" s="32"/>
      <c r="P18"/>
      <c r="Q18" s="6">
        <v>9</v>
      </c>
      <c r="R18" s="6"/>
      <c r="S18" s="6">
        <v>0</v>
      </c>
      <c r="T18" s="6">
        <v>0</v>
      </c>
      <c r="U18" s="6">
        <v>8</v>
      </c>
      <c r="V18" s="22"/>
      <c r="W18" s="6">
        <v>1</v>
      </c>
      <c r="X18" s="6"/>
      <c r="Y18" s="6"/>
      <c r="Z18" s="6">
        <v>0</v>
      </c>
      <c r="AA18" s="6">
        <v>5</v>
      </c>
      <c r="AB18" s="6">
        <v>0</v>
      </c>
      <c r="AC18" s="6">
        <v>2</v>
      </c>
      <c r="AD18" s="9">
        <v>3</v>
      </c>
      <c r="AE18" s="9">
        <v>2</v>
      </c>
      <c r="AF18" s="11">
        <v>8.5299999999999994</v>
      </c>
      <c r="AG18" s="10"/>
      <c r="AH18" s="10"/>
      <c r="AI18" s="50">
        <v>0</v>
      </c>
      <c r="AJ18" s="50" t="s">
        <v>63</v>
      </c>
      <c r="AK18" s="52" t="s">
        <v>159</v>
      </c>
      <c r="AL18" s="50">
        <v>0</v>
      </c>
      <c r="AM18" s="50">
        <v>0</v>
      </c>
      <c r="AN18" s="50">
        <v>0</v>
      </c>
      <c r="AO18" s="50" t="s">
        <v>181</v>
      </c>
      <c r="AP18" s="26">
        <v>9.14</v>
      </c>
      <c r="AQ18" s="9"/>
      <c r="AR18" s="9"/>
      <c r="AS18" s="11">
        <f t="shared" ref="AS18:AS24" si="4">AP18/AF18</f>
        <v>1.0715123094958969</v>
      </c>
      <c r="AT18" s="50" t="s">
        <v>55</v>
      </c>
      <c r="AU18" s="50"/>
      <c r="AV18" s="36"/>
      <c r="AW18" s="12">
        <v>1265</v>
      </c>
      <c r="AX18" s="44">
        <v>1760</v>
      </c>
      <c r="AY18" s="44">
        <v>496</v>
      </c>
      <c r="AZ18" s="12">
        <v>2</v>
      </c>
      <c r="BA18" s="46">
        <v>50</v>
      </c>
      <c r="BB18" s="44">
        <v>112</v>
      </c>
      <c r="BC18" s="46"/>
      <c r="BD18" s="12"/>
      <c r="BE18" s="12"/>
      <c r="BF18" s="12"/>
      <c r="BG18" s="12"/>
      <c r="BH18" s="14">
        <f t="shared" si="3"/>
        <v>26.785714285714288</v>
      </c>
      <c r="BI18" t="s">
        <v>224</v>
      </c>
      <c r="BJ18">
        <f>8*75*BH18/60</f>
        <v>267.85714285714289</v>
      </c>
      <c r="BK18"/>
      <c r="BL18"/>
      <c r="BM18"/>
      <c r="BN18"/>
      <c r="BO18"/>
      <c r="BP18"/>
      <c r="BQ18"/>
      <c r="BR18"/>
      <c r="BS18" s="36" t="s">
        <v>236</v>
      </c>
      <c r="BT18"/>
      <c r="BU18" s="23" t="s">
        <v>197</v>
      </c>
      <c r="BV18" s="54">
        <f t="shared" si="0"/>
        <v>15.098582542896731</v>
      </c>
      <c r="BW18" s="54">
        <f t="shared" si="1"/>
        <v>15.098582542896729</v>
      </c>
    </row>
    <row r="19" spans="1:75" x14ac:dyDescent="0.35">
      <c r="A19" s="73" t="s">
        <v>46</v>
      </c>
      <c r="B19" t="s">
        <v>47</v>
      </c>
      <c r="C19" t="s">
        <v>228</v>
      </c>
      <c r="D19" t="s">
        <v>49</v>
      </c>
      <c r="E19">
        <v>2016</v>
      </c>
      <c r="F19">
        <v>2022</v>
      </c>
      <c r="G19">
        <v>2024</v>
      </c>
      <c r="H19">
        <v>80</v>
      </c>
      <c r="I19" s="40">
        <v>130</v>
      </c>
      <c r="L19" t="s">
        <v>99</v>
      </c>
      <c r="M19" t="s">
        <v>40</v>
      </c>
      <c r="N19" s="32">
        <f>1.06*5*25</f>
        <v>132.50000000000003</v>
      </c>
      <c r="O19" s="32">
        <v>1.64</v>
      </c>
      <c r="P19" t="s">
        <v>122</v>
      </c>
      <c r="Q19" s="6">
        <v>8</v>
      </c>
      <c r="R19" s="6">
        <v>8</v>
      </c>
      <c r="S19" s="6">
        <v>0</v>
      </c>
      <c r="T19" s="6">
        <v>0</v>
      </c>
      <c r="U19" s="6">
        <v>8</v>
      </c>
      <c r="V19" s="6">
        <v>0</v>
      </c>
      <c r="W19" s="6">
        <v>4</v>
      </c>
      <c r="X19" s="6"/>
      <c r="Y19" s="6"/>
      <c r="Z19" s="6">
        <v>4</v>
      </c>
      <c r="AA19" s="6">
        <v>5</v>
      </c>
      <c r="AB19" s="6">
        <v>5</v>
      </c>
      <c r="AC19" s="6">
        <v>4</v>
      </c>
      <c r="AD19" s="9"/>
      <c r="AE19" s="9"/>
      <c r="AF19" s="11">
        <v>14.93</v>
      </c>
      <c r="AG19" s="10"/>
      <c r="AH19" s="10"/>
      <c r="AI19" s="50">
        <v>0</v>
      </c>
      <c r="AJ19" s="50" t="s">
        <v>32</v>
      </c>
      <c r="AK19" s="50"/>
      <c r="AL19" s="50"/>
      <c r="AM19" s="50"/>
      <c r="AN19" s="50"/>
      <c r="AO19" s="50" t="s">
        <v>33</v>
      </c>
      <c r="AP19" s="11">
        <v>13.1</v>
      </c>
      <c r="AQ19" s="9"/>
      <c r="AR19" s="9">
        <v>4</v>
      </c>
      <c r="AS19" s="11">
        <f t="shared" si="4"/>
        <v>0.87742799732083054</v>
      </c>
      <c r="AT19" s="50" t="s">
        <v>48</v>
      </c>
      <c r="AU19" s="50"/>
      <c r="AV19" s="36" t="s">
        <v>62</v>
      </c>
      <c r="AW19" s="12"/>
      <c r="AX19" s="44">
        <v>7000</v>
      </c>
      <c r="AY19" s="44">
        <f>992</f>
        <v>992</v>
      </c>
      <c r="AZ19" s="12">
        <v>5</v>
      </c>
      <c r="BA19" s="46">
        <v>100</v>
      </c>
      <c r="BB19" s="44">
        <v>150</v>
      </c>
      <c r="BC19" s="46"/>
      <c r="BD19" s="12"/>
      <c r="BE19" s="12"/>
      <c r="BF19" s="12"/>
      <c r="BG19" s="12"/>
      <c r="BH19" s="14">
        <f t="shared" si="3"/>
        <v>40</v>
      </c>
      <c r="BJ19">
        <v>270</v>
      </c>
      <c r="BL19" t="s">
        <v>68</v>
      </c>
      <c r="BT19" t="s">
        <v>28</v>
      </c>
      <c r="BV19" s="54">
        <f t="shared" si="0"/>
        <v>12.434408190603769</v>
      </c>
      <c r="BW19" s="54">
        <f t="shared" si="1"/>
        <v>12.43440819060377</v>
      </c>
    </row>
    <row r="20" spans="1:75" x14ac:dyDescent="0.35">
      <c r="A20" s="73" t="s">
        <v>74</v>
      </c>
      <c r="B20" t="s">
        <v>76</v>
      </c>
      <c r="C20" t="s">
        <v>229</v>
      </c>
      <c r="D20" t="s">
        <v>75</v>
      </c>
      <c r="E20">
        <v>2019</v>
      </c>
      <c r="H20">
        <v>1.3</v>
      </c>
      <c r="K20" t="s">
        <v>44</v>
      </c>
      <c r="L20" t="s">
        <v>99</v>
      </c>
      <c r="M20" t="s">
        <v>40</v>
      </c>
      <c r="P20" t="s">
        <v>43</v>
      </c>
      <c r="Q20" s="6">
        <v>5</v>
      </c>
      <c r="R20" s="6"/>
      <c r="S20" s="6"/>
      <c r="T20" s="6"/>
      <c r="U20" s="6">
        <v>1</v>
      </c>
      <c r="V20" s="6"/>
      <c r="W20" s="6">
        <v>4</v>
      </c>
      <c r="X20" s="6"/>
      <c r="Y20" s="6"/>
      <c r="Z20" s="6">
        <v>1</v>
      </c>
      <c r="AA20" s="6">
        <v>2</v>
      </c>
      <c r="AB20" s="6">
        <v>2</v>
      </c>
      <c r="AC20" s="6">
        <v>2</v>
      </c>
      <c r="AD20" s="9"/>
      <c r="AE20" s="9"/>
      <c r="AF20" s="11">
        <v>15.24</v>
      </c>
      <c r="AG20" s="10"/>
      <c r="AH20" s="10"/>
      <c r="AI20" s="50">
        <v>0</v>
      </c>
      <c r="AJ20" s="50" t="s">
        <v>32</v>
      </c>
      <c r="AK20" s="50"/>
      <c r="AL20" s="50"/>
      <c r="AM20" s="50">
        <v>0</v>
      </c>
      <c r="AN20" s="50"/>
      <c r="AO20" s="50" t="s">
        <v>77</v>
      </c>
      <c r="AP20" s="27">
        <v>11.8</v>
      </c>
      <c r="AQ20" s="9"/>
      <c r="AR20" s="9">
        <v>4.87</v>
      </c>
      <c r="AS20" s="11">
        <f t="shared" si="4"/>
        <v>0.77427821522309714</v>
      </c>
      <c r="AT20" s="50" t="s">
        <v>34</v>
      </c>
      <c r="AU20" s="50"/>
      <c r="AW20" s="12"/>
      <c r="AX20" s="44">
        <v>6000</v>
      </c>
      <c r="AY20" s="44">
        <f>5*200+50*4</f>
        <v>1200</v>
      </c>
      <c r="AZ20" s="12"/>
      <c r="BA20" s="46">
        <v>80</v>
      </c>
      <c r="BB20" s="44">
        <v>175</v>
      </c>
      <c r="BC20" s="46"/>
      <c r="BD20" s="12">
        <v>1829</v>
      </c>
      <c r="BE20" s="12"/>
      <c r="BF20" s="12"/>
      <c r="BG20" s="12"/>
      <c r="BH20" s="14">
        <f t="shared" si="3"/>
        <v>27.428571428571427</v>
      </c>
      <c r="BI20" t="s">
        <v>31</v>
      </c>
      <c r="BM20">
        <v>70</v>
      </c>
      <c r="BV20" s="54">
        <f t="shared" si="0"/>
        <v>12.388451443569554</v>
      </c>
      <c r="BW20" s="54">
        <f t="shared" si="1"/>
        <v>12.388451443569554</v>
      </c>
    </row>
    <row r="21" spans="1:75" x14ac:dyDescent="0.35">
      <c r="A21" s="73" t="s">
        <v>123</v>
      </c>
      <c r="B21" t="s">
        <v>104</v>
      </c>
      <c r="C21" t="s">
        <v>228</v>
      </c>
      <c r="D21" t="s">
        <v>80</v>
      </c>
      <c r="E21">
        <v>2004</v>
      </c>
      <c r="G21">
        <v>2025</v>
      </c>
      <c r="H21">
        <v>25</v>
      </c>
      <c r="L21" t="s">
        <v>99</v>
      </c>
      <c r="Q21" s="6">
        <v>4</v>
      </c>
      <c r="R21" s="6"/>
      <c r="S21" s="6">
        <v>0</v>
      </c>
      <c r="T21" s="6">
        <v>0</v>
      </c>
      <c r="U21" s="6">
        <v>4</v>
      </c>
      <c r="V21" s="6">
        <v>0</v>
      </c>
      <c r="W21" s="6">
        <v>4</v>
      </c>
      <c r="X21" s="6"/>
      <c r="Y21" s="6"/>
      <c r="Z21" s="6">
        <v>4</v>
      </c>
      <c r="AA21" s="6">
        <v>3</v>
      </c>
      <c r="AB21" s="6">
        <v>3</v>
      </c>
      <c r="AC21" s="6">
        <v>0</v>
      </c>
      <c r="AD21" s="9"/>
      <c r="AE21" s="9"/>
      <c r="AF21" s="11">
        <v>15</v>
      </c>
      <c r="AG21" s="10"/>
      <c r="AH21" s="10"/>
      <c r="AI21" s="50"/>
      <c r="AJ21" s="50" t="s">
        <v>32</v>
      </c>
      <c r="AK21" s="50"/>
      <c r="AL21" s="50"/>
      <c r="AM21" s="50"/>
      <c r="AN21" s="50"/>
      <c r="AO21" s="50" t="s">
        <v>33</v>
      </c>
      <c r="AP21" s="11">
        <v>10</v>
      </c>
      <c r="AQ21" s="9"/>
      <c r="AR21" s="9">
        <v>2.7</v>
      </c>
      <c r="AS21" s="11">
        <f t="shared" si="4"/>
        <v>0.66666666666666663</v>
      </c>
      <c r="AT21" s="50" t="s">
        <v>48</v>
      </c>
      <c r="AU21" s="50"/>
      <c r="AW21" s="12"/>
      <c r="AX21" s="44">
        <v>8000</v>
      </c>
      <c r="AY21" s="44">
        <v>1100</v>
      </c>
      <c r="AZ21" s="12"/>
      <c r="BA21" s="46">
        <v>100</v>
      </c>
      <c r="BB21" s="44">
        <v>200</v>
      </c>
      <c r="BC21" s="46"/>
      <c r="BD21" s="12"/>
      <c r="BE21" s="12"/>
      <c r="BF21" s="12"/>
      <c r="BG21" s="12"/>
      <c r="BH21" s="14">
        <f t="shared" si="3"/>
        <v>30</v>
      </c>
      <c r="BV21" s="54">
        <f t="shared" si="0"/>
        <v>9.1666666666666661</v>
      </c>
      <c r="BW21" s="54">
        <f t="shared" si="1"/>
        <v>9.1666666666666679</v>
      </c>
    </row>
    <row r="22" spans="1:75" x14ac:dyDescent="0.35">
      <c r="A22" s="73" t="s">
        <v>70</v>
      </c>
      <c r="B22" t="s">
        <v>72</v>
      </c>
      <c r="C22" t="s">
        <v>73</v>
      </c>
      <c r="D22" t="s">
        <v>71</v>
      </c>
      <c r="H22" t="s">
        <v>40</v>
      </c>
      <c r="L22" t="s">
        <v>232</v>
      </c>
      <c r="P22" t="s">
        <v>43</v>
      </c>
      <c r="Q22" s="6">
        <v>4</v>
      </c>
      <c r="R22" s="6"/>
      <c r="S22" s="6">
        <v>0</v>
      </c>
      <c r="T22" s="6">
        <v>0</v>
      </c>
      <c r="U22" s="6">
        <v>4</v>
      </c>
      <c r="V22" s="6"/>
      <c r="W22" s="6">
        <v>4</v>
      </c>
      <c r="X22" s="6"/>
      <c r="Y22" s="6"/>
      <c r="Z22" s="6">
        <v>0</v>
      </c>
      <c r="AA22" s="6">
        <v>4</v>
      </c>
      <c r="AB22" s="6">
        <v>0</v>
      </c>
      <c r="AC22" s="6">
        <v>4</v>
      </c>
      <c r="AD22" s="9"/>
      <c r="AE22" s="9"/>
      <c r="AF22" s="11">
        <v>2.75</v>
      </c>
      <c r="AG22" s="10"/>
      <c r="AH22" s="10"/>
      <c r="AI22" s="50"/>
      <c r="AJ22" s="50" t="s">
        <v>31</v>
      </c>
      <c r="AK22" s="50"/>
      <c r="AL22" s="50"/>
      <c r="AM22" s="50"/>
      <c r="AN22" s="50"/>
      <c r="AO22" s="50" t="s">
        <v>127</v>
      </c>
      <c r="AP22" s="11">
        <v>1.8</v>
      </c>
      <c r="AQ22" s="9"/>
      <c r="AR22" s="9"/>
      <c r="AS22" s="11">
        <f t="shared" si="4"/>
        <v>0.65454545454545454</v>
      </c>
      <c r="AT22" s="50" t="s">
        <v>73</v>
      </c>
      <c r="AU22" s="50"/>
      <c r="AW22" s="12"/>
      <c r="AX22" s="47">
        <f>5*57</f>
        <v>285</v>
      </c>
      <c r="AY22" s="44">
        <v>110</v>
      </c>
      <c r="AZ22" s="12"/>
      <c r="BA22" s="46">
        <v>35</v>
      </c>
      <c r="BB22" s="44">
        <v>81</v>
      </c>
      <c r="BC22" s="46"/>
      <c r="BD22" s="12"/>
      <c r="BE22" s="12"/>
      <c r="BF22" s="12"/>
      <c r="BG22" s="12"/>
      <c r="BH22" s="14">
        <f t="shared" si="3"/>
        <v>25.925925925925924</v>
      </c>
      <c r="BI22" t="s">
        <v>31</v>
      </c>
      <c r="BU22" s="1"/>
      <c r="BV22" s="54">
        <f t="shared" si="0"/>
        <v>8.8421052631578938</v>
      </c>
      <c r="BW22" s="54">
        <f t="shared" si="1"/>
        <v>8.8421052631578956</v>
      </c>
    </row>
    <row r="23" spans="1:75" x14ac:dyDescent="0.35">
      <c r="A23" s="73" t="s">
        <v>70</v>
      </c>
      <c r="B23" s="17" t="s">
        <v>157</v>
      </c>
      <c r="C23" s="17" t="s">
        <v>54</v>
      </c>
      <c r="D23" s="17" t="s">
        <v>158</v>
      </c>
      <c r="E23" s="17"/>
      <c r="F23" s="17"/>
      <c r="G23" s="17"/>
      <c r="H23" s="18" t="s">
        <v>40</v>
      </c>
      <c r="I23" s="41">
        <v>70</v>
      </c>
      <c r="J23" s="17"/>
      <c r="K23" s="17"/>
      <c r="L23" s="17" t="s">
        <v>99</v>
      </c>
      <c r="M23" s="17"/>
      <c r="N23" s="33"/>
      <c r="O23" s="33"/>
      <c r="P23" s="17" t="s">
        <v>40</v>
      </c>
      <c r="Q23" s="21">
        <v>4</v>
      </c>
      <c r="R23" s="21">
        <v>4</v>
      </c>
      <c r="S23" s="21">
        <v>0</v>
      </c>
      <c r="T23" s="21">
        <v>4</v>
      </c>
      <c r="U23" s="21">
        <v>4</v>
      </c>
      <c r="V23" s="21">
        <v>0</v>
      </c>
      <c r="W23" s="21">
        <v>4</v>
      </c>
      <c r="X23" s="21">
        <v>2.44</v>
      </c>
      <c r="Y23" s="21">
        <v>2.44</v>
      </c>
      <c r="Z23" s="21">
        <v>4</v>
      </c>
      <c r="AA23" s="21">
        <v>5</v>
      </c>
      <c r="AB23" s="21">
        <v>5</v>
      </c>
      <c r="AC23" s="21">
        <v>0</v>
      </c>
      <c r="AD23" s="19">
        <v>1</v>
      </c>
      <c r="AE23" s="19">
        <v>0</v>
      </c>
      <c r="AF23" s="26">
        <v>12.2</v>
      </c>
      <c r="AG23" s="26"/>
      <c r="AH23" s="26"/>
      <c r="AI23" s="51"/>
      <c r="AJ23" s="51" t="s">
        <v>32</v>
      </c>
      <c r="AK23" s="52" t="s">
        <v>159</v>
      </c>
      <c r="AL23" s="51"/>
      <c r="AM23" s="51">
        <v>2</v>
      </c>
      <c r="AN23" s="51"/>
      <c r="AO23" s="51" t="s">
        <v>33</v>
      </c>
      <c r="AP23" s="26">
        <v>12.2</v>
      </c>
      <c r="AQ23" s="19"/>
      <c r="AR23" s="19"/>
      <c r="AS23" s="11">
        <f t="shared" si="4"/>
        <v>1</v>
      </c>
      <c r="AT23" s="51" t="s">
        <v>34</v>
      </c>
      <c r="AU23" s="51"/>
      <c r="AV23" s="37"/>
      <c r="AW23" s="20">
        <v>7000</v>
      </c>
      <c r="AX23" s="45">
        <f>AW23+AY23</f>
        <v>8200</v>
      </c>
      <c r="AY23" s="45">
        <f>5*200+4*50</f>
        <v>1200</v>
      </c>
      <c r="AZ23" s="20">
        <v>5</v>
      </c>
      <c r="BA23" s="45">
        <v>60</v>
      </c>
      <c r="BB23" s="45">
        <v>150</v>
      </c>
      <c r="BC23" s="45"/>
      <c r="BD23" s="20"/>
      <c r="BE23" s="20"/>
      <c r="BF23" s="20"/>
      <c r="BG23" s="20"/>
      <c r="BH23" s="14">
        <f t="shared" si="3"/>
        <v>24</v>
      </c>
      <c r="BI23" s="17" t="s">
        <v>31</v>
      </c>
      <c r="BJ23" s="17"/>
      <c r="BK23" s="17"/>
      <c r="BL23" s="17"/>
      <c r="BM23" s="17"/>
      <c r="BN23" s="17"/>
      <c r="BO23" s="17"/>
      <c r="BP23" s="17"/>
      <c r="BQ23" s="17"/>
      <c r="BR23" s="17"/>
      <c r="BS23" s="37" t="s">
        <v>99</v>
      </c>
      <c r="BT23" s="17"/>
      <c r="BU23" s="17"/>
      <c r="BV23" s="54">
        <f t="shared" si="0"/>
        <v>8.7804878048780477</v>
      </c>
      <c r="BW23" s="54">
        <f t="shared" si="1"/>
        <v>8.7804878048780477</v>
      </c>
    </row>
    <row r="24" spans="1:75" s="24" customFormat="1" x14ac:dyDescent="0.35">
      <c r="A24" s="73" t="s">
        <v>17</v>
      </c>
      <c r="B24" t="s">
        <v>103</v>
      </c>
      <c r="C24" t="s">
        <v>228</v>
      </c>
      <c r="D24" t="s">
        <v>35</v>
      </c>
      <c r="E24">
        <v>2018</v>
      </c>
      <c r="F24"/>
      <c r="G24">
        <v>2024</v>
      </c>
      <c r="H24">
        <v>61.7</v>
      </c>
      <c r="I24" s="40">
        <v>109</v>
      </c>
      <c r="J24"/>
      <c r="K24"/>
      <c r="L24" t="s">
        <v>99</v>
      </c>
      <c r="M24" t="s">
        <v>40</v>
      </c>
      <c r="N24" s="32">
        <v>1.4</v>
      </c>
      <c r="O24" s="32">
        <v>1.2</v>
      </c>
      <c r="P24"/>
      <c r="Q24" s="6">
        <v>12</v>
      </c>
      <c r="R24" s="6"/>
      <c r="S24" s="6"/>
      <c r="T24" s="6">
        <v>0</v>
      </c>
      <c r="U24" s="6">
        <v>12</v>
      </c>
      <c r="V24" s="6"/>
      <c r="W24" s="6">
        <v>6</v>
      </c>
      <c r="X24" s="6"/>
      <c r="Y24" s="6"/>
      <c r="Z24" s="6">
        <v>6</v>
      </c>
      <c r="AA24" s="6"/>
      <c r="AB24" s="6">
        <v>5</v>
      </c>
      <c r="AC24" s="6">
        <v>2</v>
      </c>
      <c r="AD24" s="9"/>
      <c r="AE24" s="9"/>
      <c r="AF24" s="11">
        <v>10.43</v>
      </c>
      <c r="AG24" s="10"/>
      <c r="AH24" s="10"/>
      <c r="AI24" s="50">
        <v>0</v>
      </c>
      <c r="AJ24" s="50" t="s">
        <v>32</v>
      </c>
      <c r="AK24" s="50"/>
      <c r="AL24" s="50"/>
      <c r="AM24" s="50"/>
      <c r="AN24" s="50"/>
      <c r="AO24" s="50" t="s">
        <v>33</v>
      </c>
      <c r="AP24" s="11">
        <v>8.02</v>
      </c>
      <c r="AQ24" s="9"/>
      <c r="AR24" s="9">
        <v>3.06</v>
      </c>
      <c r="AS24" s="11">
        <f t="shared" si="4"/>
        <v>0.76893576222435278</v>
      </c>
      <c r="AT24" s="50" t="s">
        <v>34</v>
      </c>
      <c r="AU24" s="50"/>
      <c r="AV24" s="36" t="s">
        <v>62</v>
      </c>
      <c r="AW24" s="12">
        <v>3298.1</v>
      </c>
      <c r="AX24" s="44">
        <v>7000</v>
      </c>
      <c r="AY24" s="44">
        <f>5*200+4*50</f>
        <v>1200</v>
      </c>
      <c r="AZ24" s="12">
        <v>5</v>
      </c>
      <c r="BA24" s="46">
        <v>60</v>
      </c>
      <c r="BB24" s="44">
        <v>150</v>
      </c>
      <c r="BC24" s="46"/>
      <c r="BD24" s="12">
        <v>610</v>
      </c>
      <c r="BE24" s="12"/>
      <c r="BF24" s="12"/>
      <c r="BG24" s="12"/>
      <c r="BH24" s="14">
        <f t="shared" si="3"/>
        <v>24</v>
      </c>
      <c r="BI24" t="s">
        <v>31</v>
      </c>
      <c r="BJ24">
        <f>6*75</f>
        <v>450</v>
      </c>
      <c r="BK24"/>
      <c r="BL24"/>
      <c r="BM24">
        <v>45</v>
      </c>
      <c r="BN24"/>
      <c r="BO24"/>
      <c r="BP24"/>
      <c r="BQ24"/>
      <c r="BR24"/>
      <c r="BS24" s="36"/>
      <c r="BT24" t="s">
        <v>26</v>
      </c>
      <c r="BU24"/>
      <c r="BV24" s="54">
        <f t="shared" si="0"/>
        <v>7.9090535543076284</v>
      </c>
      <c r="BW24" s="54">
        <f t="shared" si="1"/>
        <v>7.9090535543076284</v>
      </c>
    </row>
    <row r="25" spans="1:75" x14ac:dyDescent="0.35">
      <c r="A25" s="73" t="s">
        <v>214</v>
      </c>
      <c r="B25" t="s">
        <v>215</v>
      </c>
      <c r="C25" t="s">
        <v>256</v>
      </c>
      <c r="D25" t="s">
        <v>216</v>
      </c>
      <c r="E25">
        <v>2020</v>
      </c>
      <c r="I25" s="40">
        <v>10</v>
      </c>
      <c r="L25" t="s">
        <v>232</v>
      </c>
      <c r="P25" t="s">
        <v>40</v>
      </c>
      <c r="Q25" s="6">
        <v>7</v>
      </c>
      <c r="R25" s="6">
        <v>7</v>
      </c>
      <c r="S25" s="6">
        <v>2</v>
      </c>
      <c r="T25" s="6">
        <v>0</v>
      </c>
      <c r="U25" s="6">
        <v>6</v>
      </c>
      <c r="V25" s="22">
        <v>0</v>
      </c>
      <c r="W25" s="6">
        <v>3</v>
      </c>
      <c r="X25" s="6"/>
      <c r="Y25" s="6"/>
      <c r="Z25" s="6">
        <v>2</v>
      </c>
      <c r="AA25" s="6">
        <v>4</v>
      </c>
      <c r="AB25" s="6">
        <v>4</v>
      </c>
      <c r="AC25" s="6">
        <v>2</v>
      </c>
      <c r="AD25" s="9">
        <v>3</v>
      </c>
      <c r="AE25" s="9">
        <v>0</v>
      </c>
      <c r="AF25" s="11"/>
      <c r="AG25" s="10"/>
      <c r="AH25" s="10"/>
      <c r="AI25" s="50">
        <v>0</v>
      </c>
      <c r="AJ25" s="50" t="s">
        <v>32</v>
      </c>
      <c r="AK25" s="52" t="s">
        <v>159</v>
      </c>
      <c r="AL25" s="50">
        <v>0</v>
      </c>
      <c r="AM25" s="50">
        <v>4</v>
      </c>
      <c r="AN25" s="50">
        <v>0</v>
      </c>
      <c r="AO25" s="50" t="s">
        <v>258</v>
      </c>
      <c r="AP25" s="27"/>
      <c r="AQ25" s="9"/>
      <c r="AR25" s="9"/>
      <c r="AS25" s="11">
        <f>5.83/8.55</f>
        <v>0.68187134502923974</v>
      </c>
      <c r="AT25" s="50" t="s">
        <v>48</v>
      </c>
      <c r="AU25" s="50">
        <v>3</v>
      </c>
      <c r="AW25" s="12"/>
      <c r="AX25" s="44">
        <f>2000*2</f>
        <v>4000</v>
      </c>
      <c r="AY25" s="47">
        <f>300*2.205</f>
        <v>661.5</v>
      </c>
      <c r="AZ25" s="12">
        <v>3</v>
      </c>
      <c r="BA25" s="47">
        <f>110/1.609</f>
        <v>68.365444375388435</v>
      </c>
      <c r="BB25" s="44">
        <v>127</v>
      </c>
      <c r="BC25" s="46"/>
      <c r="BD25" s="12"/>
      <c r="BE25" s="12"/>
      <c r="BF25" s="12"/>
      <c r="BG25" s="12"/>
      <c r="BH25" s="14">
        <f t="shared" si="3"/>
        <v>32.298635137978792</v>
      </c>
      <c r="BI25" t="s">
        <v>31</v>
      </c>
      <c r="BS25" s="36" t="s">
        <v>193</v>
      </c>
      <c r="BV25" s="54">
        <f t="shared" si="0"/>
        <v>7.7091933531778487</v>
      </c>
      <c r="BW25" s="54">
        <f t="shared" si="1"/>
        <v>7.7091933531778469</v>
      </c>
    </row>
    <row r="26" spans="1:75" x14ac:dyDescent="0.35">
      <c r="A26" s="73" t="s">
        <v>88</v>
      </c>
      <c r="B26" t="s">
        <v>101</v>
      </c>
      <c r="C26" t="s">
        <v>228</v>
      </c>
      <c r="G26">
        <v>2023</v>
      </c>
      <c r="H26" t="s">
        <v>40</v>
      </c>
      <c r="L26" t="s">
        <v>99</v>
      </c>
      <c r="P26" t="s">
        <v>40</v>
      </c>
      <c r="Q26" s="6">
        <v>8</v>
      </c>
      <c r="R26" s="6">
        <v>7</v>
      </c>
      <c r="S26" s="6">
        <v>4</v>
      </c>
      <c r="T26" s="6"/>
      <c r="U26" s="6">
        <v>8</v>
      </c>
      <c r="V26" s="6"/>
      <c r="W26" s="6">
        <v>4</v>
      </c>
      <c r="X26" s="6"/>
      <c r="Y26" s="6"/>
      <c r="Z26" s="6">
        <v>4</v>
      </c>
      <c r="AA26" s="6"/>
      <c r="AB26" s="6">
        <v>5</v>
      </c>
      <c r="AC26" s="6">
        <v>2</v>
      </c>
      <c r="AD26" s="9"/>
      <c r="AE26" s="9"/>
      <c r="AF26" s="11">
        <v>15</v>
      </c>
      <c r="AG26" s="10"/>
      <c r="AH26" s="10"/>
      <c r="AI26" s="50"/>
      <c r="AJ26" s="50" t="s">
        <v>32</v>
      </c>
      <c r="AK26" s="50"/>
      <c r="AL26" s="50"/>
      <c r="AM26" s="50">
        <v>4</v>
      </c>
      <c r="AN26" s="50"/>
      <c r="AO26" s="50" t="s">
        <v>33</v>
      </c>
      <c r="AP26" s="11">
        <v>12.02</v>
      </c>
      <c r="AQ26" s="9"/>
      <c r="AR26" s="9">
        <v>4.25</v>
      </c>
      <c r="AS26" s="11">
        <f t="shared" ref="AS26:AS32" si="5">AP26/AF26</f>
        <v>0.80133333333333334</v>
      </c>
      <c r="AT26" s="50" t="s">
        <v>48</v>
      </c>
      <c r="AU26" s="50"/>
      <c r="AW26" s="12">
        <v>6889</v>
      </c>
      <c r="AX26" s="44">
        <f>AY26+AW26</f>
        <v>8089</v>
      </c>
      <c r="AY26" s="44">
        <f>5*200+4*50</f>
        <v>1200</v>
      </c>
      <c r="AZ26" s="12">
        <v>5</v>
      </c>
      <c r="BA26" s="46">
        <v>62</v>
      </c>
      <c r="BB26" s="44">
        <v>180</v>
      </c>
      <c r="BC26" s="46"/>
      <c r="BD26" s="12">
        <v>609.6</v>
      </c>
      <c r="BE26" s="12"/>
      <c r="BF26" s="12"/>
      <c r="BG26" s="12"/>
      <c r="BH26" s="14">
        <f t="shared" si="3"/>
        <v>20.666666666666668</v>
      </c>
      <c r="BM26">
        <v>60</v>
      </c>
      <c r="BN26">
        <v>55</v>
      </c>
      <c r="BV26" s="54">
        <f t="shared" si="0"/>
        <v>7.3704042526888376</v>
      </c>
      <c r="BW26" s="54">
        <f t="shared" si="1"/>
        <v>7.3704042526888367</v>
      </c>
    </row>
    <row r="27" spans="1:75" x14ac:dyDescent="0.35">
      <c r="A27" s="73" t="s">
        <v>11</v>
      </c>
      <c r="B27" t="s">
        <v>64</v>
      </c>
      <c r="C27" t="s">
        <v>229</v>
      </c>
      <c r="D27" t="s">
        <v>6</v>
      </c>
      <c r="L27" t="s">
        <v>40</v>
      </c>
      <c r="Q27" s="6">
        <v>8</v>
      </c>
      <c r="R27" s="6"/>
      <c r="S27" s="6">
        <v>0</v>
      </c>
      <c r="T27" s="6">
        <v>0</v>
      </c>
      <c r="U27" s="6">
        <v>8</v>
      </c>
      <c r="V27" s="6"/>
      <c r="W27" s="6">
        <v>4</v>
      </c>
      <c r="X27" s="6"/>
      <c r="Y27" s="6"/>
      <c r="Z27" s="6">
        <v>4</v>
      </c>
      <c r="AA27" s="6">
        <v>2</v>
      </c>
      <c r="AB27" s="6">
        <v>2</v>
      </c>
      <c r="AC27" s="6">
        <v>2</v>
      </c>
      <c r="AD27" s="9"/>
      <c r="AE27" s="9"/>
      <c r="AF27" s="11">
        <v>1.98</v>
      </c>
      <c r="AG27" s="10"/>
      <c r="AH27" s="10"/>
      <c r="AI27" s="50"/>
      <c r="AJ27" s="50" t="s">
        <v>63</v>
      </c>
      <c r="AK27" s="50"/>
      <c r="AL27" s="50"/>
      <c r="AM27" s="50"/>
      <c r="AN27" s="50"/>
      <c r="AO27" s="50" t="s">
        <v>33</v>
      </c>
      <c r="AP27" s="11">
        <v>1.52</v>
      </c>
      <c r="AQ27" s="9"/>
      <c r="AR27" s="9"/>
      <c r="AS27" s="11">
        <f t="shared" si="5"/>
        <v>0.76767676767676774</v>
      </c>
      <c r="AT27" s="50" t="s">
        <v>55</v>
      </c>
      <c r="AU27" s="50"/>
      <c r="AV27" s="36" t="s">
        <v>65</v>
      </c>
      <c r="AW27" s="12">
        <f>20*2.205</f>
        <v>44.1</v>
      </c>
      <c r="AX27" s="44">
        <f>25*2.205</f>
        <v>55.125</v>
      </c>
      <c r="AY27" s="44">
        <f>5*2.205</f>
        <v>11.025</v>
      </c>
      <c r="AZ27" s="12"/>
      <c r="BA27" s="46">
        <f>75/1.609</f>
        <v>46.612802983219389</v>
      </c>
      <c r="BB27" s="44">
        <f>40*2.237</f>
        <v>89.48</v>
      </c>
      <c r="BC27" s="46">
        <f>3*2.237</f>
        <v>6.7110000000000003</v>
      </c>
      <c r="BD27" s="12">
        <v>5000</v>
      </c>
      <c r="BE27" s="12">
        <f>20*2.237</f>
        <v>44.74</v>
      </c>
      <c r="BF27" s="12"/>
      <c r="BG27" s="12"/>
      <c r="BH27" s="14">
        <f t="shared" si="3"/>
        <v>31.255791003499816</v>
      </c>
      <c r="BI27" t="s">
        <v>31</v>
      </c>
      <c r="BJ27">
        <f>2*0.814</f>
        <v>1.6279999999999999</v>
      </c>
      <c r="BL27" t="s">
        <v>68</v>
      </c>
      <c r="BS27" s="36" t="s">
        <v>237</v>
      </c>
      <c r="BT27" t="s">
        <v>69</v>
      </c>
      <c r="BU27" s="1" t="s">
        <v>59</v>
      </c>
      <c r="BV27" s="54">
        <f t="shared" si="0"/>
        <v>7.1567131853023724</v>
      </c>
      <c r="BW27" s="54">
        <f t="shared" si="1"/>
        <v>7.1567131853023715</v>
      </c>
    </row>
    <row r="28" spans="1:75" x14ac:dyDescent="0.35">
      <c r="A28" s="73" t="s">
        <v>282</v>
      </c>
      <c r="B28" t="s">
        <v>268</v>
      </c>
      <c r="C28" t="s">
        <v>228</v>
      </c>
      <c r="D28" t="s">
        <v>269</v>
      </c>
      <c r="E28">
        <v>2019</v>
      </c>
      <c r="F28">
        <v>2022</v>
      </c>
      <c r="L28" t="s">
        <v>99</v>
      </c>
      <c r="M28" t="s">
        <v>155</v>
      </c>
      <c r="Q28" s="6">
        <v>8</v>
      </c>
      <c r="R28" s="6">
        <v>8</v>
      </c>
      <c r="S28" s="6">
        <v>0</v>
      </c>
      <c r="T28" s="6">
        <v>0</v>
      </c>
      <c r="U28" s="6">
        <v>8</v>
      </c>
      <c r="V28" s="6">
        <v>0</v>
      </c>
      <c r="W28" s="6">
        <v>4</v>
      </c>
      <c r="X28" s="6">
        <v>1.5</v>
      </c>
      <c r="Y28" s="6"/>
      <c r="Z28" s="6">
        <v>4</v>
      </c>
      <c r="AA28" s="6">
        <v>3</v>
      </c>
      <c r="AB28" s="6">
        <v>3</v>
      </c>
      <c r="AC28" s="7">
        <v>3</v>
      </c>
      <c r="AD28" s="9">
        <v>1</v>
      </c>
      <c r="AE28" s="9">
        <v>1</v>
      </c>
      <c r="AF28" s="11">
        <v>7</v>
      </c>
      <c r="AG28" s="10">
        <f>1.103</f>
        <v>1.103</v>
      </c>
      <c r="AH28" s="10">
        <v>7</v>
      </c>
      <c r="AI28" s="9">
        <v>0</v>
      </c>
      <c r="AJ28" s="50" t="s">
        <v>32</v>
      </c>
      <c r="AK28" s="50" t="s">
        <v>159</v>
      </c>
      <c r="AL28" s="9">
        <v>0</v>
      </c>
      <c r="AM28" s="50">
        <v>4</v>
      </c>
      <c r="AN28" s="52">
        <v>1</v>
      </c>
      <c r="AO28" s="50" t="s">
        <v>253</v>
      </c>
      <c r="AP28" s="11">
        <v>6.1520000000000001</v>
      </c>
      <c r="AQ28" s="9"/>
      <c r="AR28" s="9"/>
      <c r="AS28" s="11">
        <f t="shared" si="5"/>
        <v>0.87885714285714289</v>
      </c>
      <c r="AT28" s="50" t="s">
        <v>34</v>
      </c>
      <c r="AU28" s="9"/>
      <c r="AW28" s="12"/>
      <c r="AX28" s="44">
        <f>650*2.205</f>
        <v>1433.25</v>
      </c>
      <c r="AY28" s="13">
        <f>100*2.205</f>
        <v>220.5</v>
      </c>
      <c r="AZ28" s="12">
        <v>1</v>
      </c>
      <c r="BA28" s="46">
        <f>50/1.609</f>
        <v>31.075201988812928</v>
      </c>
      <c r="BB28" s="44">
        <f>200/1.609</f>
        <v>124.30080795525171</v>
      </c>
      <c r="BC28" s="46"/>
      <c r="BD28" s="12"/>
      <c r="BE28" s="12"/>
      <c r="BF28" s="12"/>
      <c r="BG28" s="12"/>
      <c r="BH28" s="14">
        <f t="shared" si="3"/>
        <v>15</v>
      </c>
      <c r="BI28" t="s">
        <v>31</v>
      </c>
      <c r="BL28" t="s">
        <v>68</v>
      </c>
      <c r="BS28" s="36" t="s">
        <v>99</v>
      </c>
      <c r="BU28" t="s">
        <v>264</v>
      </c>
      <c r="BV28" s="54">
        <f t="shared" si="0"/>
        <v>4.2016404974764212</v>
      </c>
      <c r="BW28" s="54">
        <f t="shared" si="1"/>
        <v>4.2016404974764212</v>
      </c>
    </row>
    <row r="29" spans="1:75" x14ac:dyDescent="0.35">
      <c r="A29" s="73" t="s">
        <v>78</v>
      </c>
      <c r="B29" t="s">
        <v>79</v>
      </c>
      <c r="C29" t="s">
        <v>229</v>
      </c>
      <c r="D29" t="s">
        <v>80</v>
      </c>
      <c r="E29">
        <v>2010</v>
      </c>
      <c r="H29" t="s">
        <v>40</v>
      </c>
      <c r="K29" t="s">
        <v>44</v>
      </c>
      <c r="L29" t="s">
        <v>99</v>
      </c>
      <c r="Q29" s="6">
        <v>13</v>
      </c>
      <c r="R29" s="6"/>
      <c r="S29" s="6">
        <v>0</v>
      </c>
      <c r="T29" s="6">
        <v>0</v>
      </c>
      <c r="U29" s="6">
        <v>12</v>
      </c>
      <c r="V29" s="6"/>
      <c r="W29" s="6">
        <v>1</v>
      </c>
      <c r="X29" s="6"/>
      <c r="Y29" s="6"/>
      <c r="Z29" s="6">
        <v>0</v>
      </c>
      <c r="AA29" s="6">
        <v>3</v>
      </c>
      <c r="AB29" s="6">
        <v>0</v>
      </c>
      <c r="AC29" s="6">
        <v>2</v>
      </c>
      <c r="AD29" s="9"/>
      <c r="AE29" s="9"/>
      <c r="AF29" s="11">
        <v>10.97</v>
      </c>
      <c r="AG29" s="10"/>
      <c r="AH29" s="10"/>
      <c r="AI29" s="50">
        <v>0</v>
      </c>
      <c r="AJ29" s="50" t="s">
        <v>63</v>
      </c>
      <c r="AK29" s="50"/>
      <c r="AL29" s="50"/>
      <c r="AM29" s="50">
        <v>12</v>
      </c>
      <c r="AN29" s="50"/>
      <c r="AO29" s="50" t="s">
        <v>82</v>
      </c>
      <c r="AP29" s="11">
        <v>6.4</v>
      </c>
      <c r="AQ29" s="9"/>
      <c r="AR29" s="9">
        <v>2.08</v>
      </c>
      <c r="AS29" s="11">
        <f t="shared" si="5"/>
        <v>0.5834092980856882</v>
      </c>
      <c r="AT29" s="50" t="s">
        <v>34</v>
      </c>
      <c r="AU29" s="50"/>
      <c r="AV29" s="36" t="s">
        <v>62</v>
      </c>
      <c r="AW29" s="12">
        <v>2800</v>
      </c>
      <c r="AX29" s="44">
        <f>AW29+AY29</f>
        <v>3200</v>
      </c>
      <c r="AY29" s="44">
        <f>200*2</f>
        <v>400</v>
      </c>
      <c r="AZ29" s="12">
        <v>2</v>
      </c>
      <c r="BA29" s="46">
        <v>62</v>
      </c>
      <c r="BB29" s="44">
        <v>110</v>
      </c>
      <c r="BC29" s="46"/>
      <c r="BD29" s="12">
        <v>900</v>
      </c>
      <c r="BE29" s="12"/>
      <c r="BF29" s="12"/>
      <c r="BG29" s="12"/>
      <c r="BH29" s="14">
        <v>29</v>
      </c>
      <c r="BI29" t="s">
        <v>31</v>
      </c>
      <c r="BJ29" s="3">
        <v>63</v>
      </c>
      <c r="BK29" s="3">
        <v>157</v>
      </c>
      <c r="BT29" t="s">
        <v>81</v>
      </c>
      <c r="BV29" s="54">
        <f t="shared" si="0"/>
        <v>3.8772409601944693</v>
      </c>
      <c r="BW29" s="54">
        <f t="shared" si="1"/>
        <v>4.5214220601640838</v>
      </c>
    </row>
    <row r="30" spans="1:75" x14ac:dyDescent="0.35">
      <c r="A30" s="73" t="s">
        <v>58</v>
      </c>
      <c r="B30" t="s">
        <v>129</v>
      </c>
      <c r="C30" t="s">
        <v>229</v>
      </c>
      <c r="L30" t="s">
        <v>40</v>
      </c>
      <c r="Q30" s="6">
        <v>14</v>
      </c>
      <c r="R30" s="6"/>
      <c r="S30" s="6">
        <v>0</v>
      </c>
      <c r="T30" s="6">
        <v>0</v>
      </c>
      <c r="U30" s="6">
        <v>12</v>
      </c>
      <c r="V30" s="6"/>
      <c r="W30" s="6">
        <v>2</v>
      </c>
      <c r="X30" s="6"/>
      <c r="Y30" s="6"/>
      <c r="Z30" s="6"/>
      <c r="AA30" s="6">
        <v>2</v>
      </c>
      <c r="AB30" s="6">
        <v>0</v>
      </c>
      <c r="AC30" s="6">
        <v>4</v>
      </c>
      <c r="AD30" s="9"/>
      <c r="AE30" s="9"/>
      <c r="AF30" s="11">
        <v>1</v>
      </c>
      <c r="AG30" s="10"/>
      <c r="AH30" s="10"/>
      <c r="AI30" s="50"/>
      <c r="AJ30" s="50" t="s">
        <v>32</v>
      </c>
      <c r="AK30" s="50"/>
      <c r="AL30" s="50"/>
      <c r="AM30" s="50">
        <v>2</v>
      </c>
      <c r="AN30" s="50"/>
      <c r="AO30" s="50" t="s">
        <v>67</v>
      </c>
      <c r="AP30" s="11">
        <v>1.3</v>
      </c>
      <c r="AQ30" s="9"/>
      <c r="AR30" s="9"/>
      <c r="AS30" s="11">
        <f t="shared" si="5"/>
        <v>1.3</v>
      </c>
      <c r="AT30" s="50"/>
      <c r="AU30" s="50"/>
      <c r="AV30" s="36" t="s">
        <v>65</v>
      </c>
      <c r="AW30" s="12">
        <v>11.4</v>
      </c>
      <c r="AX30" s="44">
        <f>AY30+AW30</f>
        <v>14</v>
      </c>
      <c r="AY30" s="44">
        <v>2.6</v>
      </c>
      <c r="AZ30" s="12"/>
      <c r="BA30" s="46">
        <v>12</v>
      </c>
      <c r="BB30" s="44">
        <v>64.900000000000006</v>
      </c>
      <c r="BC30" s="46"/>
      <c r="BD30" s="12"/>
      <c r="BE30" s="12"/>
      <c r="BF30" s="12"/>
      <c r="BG30" s="12"/>
      <c r="BH30" s="14">
        <f>(BA30/BB30)*60</f>
        <v>11.093990755007704</v>
      </c>
      <c r="BS30" s="36" t="s">
        <v>155</v>
      </c>
      <c r="BU30" s="1" t="s">
        <v>59</v>
      </c>
      <c r="BV30" s="54">
        <f t="shared" si="0"/>
        <v>2.8971428571428577</v>
      </c>
      <c r="BW30" s="54">
        <f t="shared" si="1"/>
        <v>2.8971428571428572</v>
      </c>
    </row>
    <row r="31" spans="1:75" x14ac:dyDescent="0.35">
      <c r="A31" s="73" t="s">
        <v>286</v>
      </c>
      <c r="B31" t="s">
        <v>287</v>
      </c>
      <c r="C31" t="s">
        <v>229</v>
      </c>
      <c r="D31" t="s">
        <v>6</v>
      </c>
      <c r="E31">
        <v>2019</v>
      </c>
      <c r="L31" t="s">
        <v>40</v>
      </c>
      <c r="P31" t="s">
        <v>43</v>
      </c>
      <c r="Q31" s="6">
        <v>6</v>
      </c>
      <c r="R31" s="6">
        <v>6</v>
      </c>
      <c r="S31" s="6">
        <v>0</v>
      </c>
      <c r="T31" s="6">
        <v>0</v>
      </c>
      <c r="U31" s="6">
        <v>4</v>
      </c>
      <c r="V31" s="6"/>
      <c r="W31" s="6">
        <v>2</v>
      </c>
      <c r="X31" s="6"/>
      <c r="Y31" s="6"/>
      <c r="Z31" s="6">
        <v>0</v>
      </c>
      <c r="AA31" s="6">
        <v>2</v>
      </c>
      <c r="AB31" s="6"/>
      <c r="AC31" s="6">
        <v>2</v>
      </c>
      <c r="AD31" s="9">
        <v>1</v>
      </c>
      <c r="AE31" s="9">
        <v>0</v>
      </c>
      <c r="AF31" s="11">
        <v>3.6</v>
      </c>
      <c r="AG31" s="10"/>
      <c r="AH31" s="10"/>
      <c r="AI31" s="50"/>
      <c r="AJ31" s="50" t="s">
        <v>32</v>
      </c>
      <c r="AK31" s="52" t="s">
        <v>159</v>
      </c>
      <c r="AL31" s="50"/>
      <c r="AM31" s="50"/>
      <c r="AN31" s="50"/>
      <c r="AO31" s="50" t="s">
        <v>77</v>
      </c>
      <c r="AP31" s="27">
        <v>1.95</v>
      </c>
      <c r="AQ31" s="9"/>
      <c r="AR31" s="9">
        <v>0.66800000000000004</v>
      </c>
      <c r="AS31" s="11">
        <f t="shared" si="5"/>
        <v>0.54166666666666663</v>
      </c>
      <c r="AT31" s="50" t="s">
        <v>192</v>
      </c>
      <c r="AU31" s="50"/>
      <c r="AW31" s="12"/>
      <c r="AX31" s="46">
        <f>12*2.205</f>
        <v>26.46</v>
      </c>
      <c r="AY31" s="46">
        <f>2*2.205</f>
        <v>4.41</v>
      </c>
      <c r="AZ31" s="12"/>
      <c r="BA31" s="46">
        <f>51/1.609</f>
        <v>31.696706028589187</v>
      </c>
      <c r="BB31" s="44">
        <f>70/1.609</f>
        <v>43.5052827843381</v>
      </c>
      <c r="BC31" s="46"/>
      <c r="BD31" s="12">
        <v>4600</v>
      </c>
      <c r="BE31" s="12"/>
      <c r="BF31" s="12"/>
      <c r="BG31" s="12"/>
      <c r="BH31" s="14">
        <v>40</v>
      </c>
      <c r="BI31" t="s">
        <v>31</v>
      </c>
      <c r="BJ31">
        <v>0.33300000000000002</v>
      </c>
      <c r="BU31" t="s">
        <v>264</v>
      </c>
      <c r="BV31" s="54">
        <f t="shared" si="0"/>
        <v>2.6183735009092368</v>
      </c>
      <c r="BW31" s="54">
        <f t="shared" si="1"/>
        <v>2.8615081831365234</v>
      </c>
    </row>
    <row r="32" spans="1:75" x14ac:dyDescent="0.35">
      <c r="A32" s="73" t="s">
        <v>94</v>
      </c>
      <c r="B32" t="s">
        <v>242</v>
      </c>
      <c r="C32" t="s">
        <v>229</v>
      </c>
      <c r="D32" t="s">
        <v>220</v>
      </c>
      <c r="E32">
        <v>2015</v>
      </c>
      <c r="F32">
        <v>2023</v>
      </c>
      <c r="G32">
        <v>2025</v>
      </c>
      <c r="I32" s="40">
        <v>20000</v>
      </c>
      <c r="M32" t="s">
        <v>178</v>
      </c>
      <c r="P32" t="s">
        <v>43</v>
      </c>
      <c r="Q32" s="6">
        <v>8</v>
      </c>
      <c r="R32" s="6">
        <v>8</v>
      </c>
      <c r="S32" s="6">
        <v>0</v>
      </c>
      <c r="T32" s="6">
        <v>0</v>
      </c>
      <c r="U32" s="6">
        <v>6</v>
      </c>
      <c r="V32" s="6">
        <v>0</v>
      </c>
      <c r="W32" s="6">
        <v>2</v>
      </c>
      <c r="X32" s="6">
        <v>2.8</v>
      </c>
      <c r="Y32" s="6">
        <v>2.8</v>
      </c>
      <c r="Z32" s="6">
        <v>0</v>
      </c>
      <c r="AA32" s="6">
        <v>4</v>
      </c>
      <c r="AB32" s="6">
        <v>0</v>
      </c>
      <c r="AC32" s="6">
        <v>4</v>
      </c>
      <c r="AD32" s="9">
        <v>1</v>
      </c>
      <c r="AE32" s="9">
        <v>0</v>
      </c>
      <c r="AF32" s="11">
        <v>8</v>
      </c>
      <c r="AG32" s="10"/>
      <c r="AH32" s="10"/>
      <c r="AI32" s="50"/>
      <c r="AJ32" s="50" t="s">
        <v>32</v>
      </c>
      <c r="AK32" s="52"/>
      <c r="AL32" s="50"/>
      <c r="AM32" s="50"/>
      <c r="AN32" s="50"/>
      <c r="AO32" s="50" t="s">
        <v>33</v>
      </c>
      <c r="AP32" s="27">
        <v>8</v>
      </c>
      <c r="AQ32" s="9"/>
      <c r="AR32" s="9"/>
      <c r="AS32" s="11">
        <f t="shared" si="5"/>
        <v>1</v>
      </c>
      <c r="AT32" s="50" t="s">
        <v>37</v>
      </c>
      <c r="AU32" s="50"/>
      <c r="AW32" s="12"/>
      <c r="AX32" s="46">
        <v>4850</v>
      </c>
      <c r="AY32" s="46">
        <v>550</v>
      </c>
      <c r="AZ32" s="12">
        <v>4</v>
      </c>
      <c r="BA32" s="46">
        <v>50</v>
      </c>
      <c r="BB32" s="44">
        <v>75</v>
      </c>
      <c r="BC32" s="46"/>
      <c r="BD32" s="12"/>
      <c r="BE32" s="12"/>
      <c r="BF32" s="12"/>
      <c r="BG32" s="12"/>
      <c r="BH32" s="14">
        <v>15</v>
      </c>
      <c r="BI32" t="s">
        <v>31</v>
      </c>
      <c r="BJ32">
        <v>110</v>
      </c>
      <c r="BM32">
        <v>70</v>
      </c>
      <c r="BN32">
        <v>65</v>
      </c>
      <c r="BS32" s="36" t="s">
        <v>236</v>
      </c>
      <c r="BV32" s="54">
        <f t="shared" si="0"/>
        <v>2.1262886597938144</v>
      </c>
      <c r="BW32" s="54">
        <f t="shared" si="1"/>
        <v>5.6701030927835054</v>
      </c>
    </row>
    <row r="33" spans="1:75" s="55" customFormat="1" x14ac:dyDescent="0.35">
      <c r="A33" s="55" t="s">
        <v>300</v>
      </c>
      <c r="I33" s="56"/>
      <c r="N33" s="57"/>
      <c r="O33" s="57"/>
      <c r="AF33" s="58"/>
      <c r="AG33" s="59"/>
      <c r="AH33" s="59"/>
      <c r="AI33" s="60"/>
      <c r="AJ33" s="60"/>
      <c r="AK33" s="60"/>
      <c r="AL33" s="60"/>
      <c r="AM33" s="60"/>
      <c r="AN33" s="60"/>
      <c r="AO33" s="60"/>
      <c r="AP33" s="58"/>
      <c r="AS33" s="59"/>
      <c r="AT33" s="60"/>
      <c r="AU33" s="60"/>
      <c r="AV33" s="60"/>
      <c r="AX33" s="61"/>
      <c r="AY33" s="61"/>
      <c r="BA33" s="62"/>
      <c r="BB33" s="61"/>
      <c r="BC33" s="62"/>
      <c r="BH33" s="58"/>
      <c r="BS33" s="60"/>
      <c r="BV33" s="62"/>
      <c r="BW33" s="62"/>
    </row>
    <row r="34" spans="1:75" x14ac:dyDescent="0.35">
      <c r="A34" s="73" t="s">
        <v>294</v>
      </c>
      <c r="B34" t="s">
        <v>295</v>
      </c>
      <c r="D34" t="s">
        <v>6</v>
      </c>
      <c r="E34">
        <v>1999</v>
      </c>
      <c r="H34">
        <v>2.6</v>
      </c>
      <c r="L34" t="s">
        <v>296</v>
      </c>
      <c r="Q34" s="6">
        <v>6</v>
      </c>
      <c r="R34" s="6">
        <v>6</v>
      </c>
      <c r="S34" s="6"/>
      <c r="T34" s="6">
        <v>2</v>
      </c>
      <c r="U34" s="6">
        <v>4</v>
      </c>
      <c r="V34" s="6"/>
      <c r="W34" s="6">
        <v>2</v>
      </c>
      <c r="X34" s="6"/>
      <c r="Y34" s="6"/>
      <c r="Z34" s="6">
        <v>0</v>
      </c>
      <c r="AA34" s="6">
        <v>3</v>
      </c>
      <c r="AB34" s="6"/>
      <c r="AC34" s="6">
        <v>2</v>
      </c>
      <c r="AD34" s="9">
        <v>1</v>
      </c>
      <c r="AE34" s="9">
        <v>4</v>
      </c>
      <c r="AF34" s="11">
        <v>12</v>
      </c>
      <c r="AG34" s="10"/>
      <c r="AH34" s="10"/>
      <c r="AI34" s="50"/>
      <c r="AJ34" s="50" t="s">
        <v>32</v>
      </c>
      <c r="AK34" s="50" t="s">
        <v>159</v>
      </c>
      <c r="AL34" s="50"/>
      <c r="AM34" s="50"/>
      <c r="AN34" s="50"/>
      <c r="AO34" s="50"/>
      <c r="AP34" s="11">
        <v>10.1</v>
      </c>
      <c r="AQ34" s="9"/>
      <c r="AR34" s="9">
        <v>2.95</v>
      </c>
      <c r="AS34" s="11">
        <f>AP34/AF34</f>
        <v>0.84166666666666667</v>
      </c>
      <c r="AT34" s="50" t="s">
        <v>34</v>
      </c>
      <c r="AU34" s="50"/>
      <c r="AW34" s="12"/>
      <c r="AX34" s="44">
        <v>6613</v>
      </c>
      <c r="AY34" s="44">
        <v>800</v>
      </c>
      <c r="AZ34" s="12">
        <v>4</v>
      </c>
      <c r="BA34" s="46">
        <v>83</v>
      </c>
      <c r="BB34" s="44">
        <v>149</v>
      </c>
      <c r="BC34" s="46"/>
      <c r="BD34" s="12"/>
      <c r="BE34" s="12"/>
      <c r="BF34" s="12"/>
      <c r="BG34" s="12"/>
      <c r="BH34" s="14">
        <f>(BA34/BB34)*60</f>
        <v>33.422818791946305</v>
      </c>
      <c r="BI34" t="s">
        <v>31</v>
      </c>
      <c r="BU34" s="1" t="s">
        <v>264</v>
      </c>
      <c r="BV34" s="54">
        <f>AS34*BH34/60*BB34*(AY34/AX34)</f>
        <v>8.4510307979232806</v>
      </c>
      <c r="BW34" s="54">
        <f>AS34*(AY34/AX34)*BA34</f>
        <v>8.4510307979232824</v>
      </c>
    </row>
    <row r="35" spans="1:75" x14ac:dyDescent="0.35">
      <c r="A35" s="77" t="s">
        <v>283</v>
      </c>
      <c r="B35" t="s">
        <v>284</v>
      </c>
      <c r="C35" t="s">
        <v>229</v>
      </c>
      <c r="D35" t="s">
        <v>204</v>
      </c>
      <c r="E35">
        <v>2017</v>
      </c>
      <c r="M35" t="s">
        <v>40</v>
      </c>
      <c r="Q35" s="6"/>
      <c r="R35" s="6"/>
      <c r="S35" s="6"/>
      <c r="T35" s="6"/>
      <c r="U35" s="6"/>
      <c r="V35" s="6"/>
      <c r="W35" s="6"/>
      <c r="X35" s="6"/>
      <c r="Y35" s="6"/>
      <c r="Z35" s="6"/>
      <c r="AA35" s="6"/>
      <c r="AB35" s="6"/>
      <c r="AC35" s="6"/>
      <c r="AD35" s="9"/>
      <c r="AE35" s="9"/>
      <c r="AF35" s="11">
        <v>8</v>
      </c>
      <c r="AG35" s="10"/>
      <c r="AH35" s="10"/>
      <c r="AI35" s="50"/>
      <c r="AJ35" s="50"/>
      <c r="AK35" s="50"/>
      <c r="AL35" s="50"/>
      <c r="AM35" s="50"/>
      <c r="AN35" s="50"/>
      <c r="AO35" s="50" t="s">
        <v>33</v>
      </c>
      <c r="AP35" s="11">
        <v>6.8</v>
      </c>
      <c r="AQ35" s="9"/>
      <c r="AR35" s="9"/>
      <c r="AS35" s="11">
        <f>AP35/AF35</f>
        <v>0.85</v>
      </c>
      <c r="AT35" s="50"/>
      <c r="AU35" s="50"/>
      <c r="AW35" s="12"/>
      <c r="AX35" s="44">
        <v>1322.77</v>
      </c>
      <c r="AY35" s="44">
        <v>132.27000000000001</v>
      </c>
      <c r="AZ35" s="12"/>
      <c r="BA35" s="46">
        <v>100</v>
      </c>
      <c r="BB35" s="44">
        <v>180</v>
      </c>
      <c r="BC35" s="46"/>
      <c r="BD35" s="12">
        <v>3048</v>
      </c>
      <c r="BE35" s="12"/>
      <c r="BF35" s="12"/>
      <c r="BG35" s="12"/>
      <c r="BH35" s="14">
        <f t="shared" ref="BH35:BH37" si="6">(BA35/BB35)*60</f>
        <v>33.333333333333336</v>
      </c>
      <c r="BU35" s="1" t="s">
        <v>264</v>
      </c>
      <c r="BV35" s="54">
        <f t="shared" ref="BV35:BV39" si="7">AS35*BH35/60*BB35*(AY35/AX35)</f>
        <v>8.4995501863513709</v>
      </c>
      <c r="BW35" s="54">
        <f t="shared" ref="BW35:BW39" si="8">AS35*(AY35/AX35)*BA35</f>
        <v>8.4995501863513692</v>
      </c>
    </row>
    <row r="36" spans="1:75" x14ac:dyDescent="0.35">
      <c r="A36" s="78" t="s">
        <v>283</v>
      </c>
      <c r="B36" t="s">
        <v>285</v>
      </c>
      <c r="C36" t="s">
        <v>228</v>
      </c>
      <c r="D36" t="s">
        <v>204</v>
      </c>
      <c r="E36">
        <v>2017</v>
      </c>
      <c r="F36">
        <v>2020</v>
      </c>
      <c r="G36">
        <v>2026</v>
      </c>
      <c r="L36" t="s">
        <v>99</v>
      </c>
      <c r="M36" t="s">
        <v>143</v>
      </c>
      <c r="Q36" s="6">
        <v>5</v>
      </c>
      <c r="R36" s="6"/>
      <c r="S36" s="6">
        <v>0</v>
      </c>
      <c r="T36" s="6">
        <v>4</v>
      </c>
      <c r="U36" s="6">
        <v>4</v>
      </c>
      <c r="V36" s="6"/>
      <c r="W36" s="6"/>
      <c r="X36" s="6"/>
      <c r="Y36" s="6"/>
      <c r="Z36" s="6">
        <v>2</v>
      </c>
      <c r="AA36" s="6"/>
      <c r="AB36" s="6"/>
      <c r="AC36" s="6"/>
      <c r="AD36" s="9">
        <v>1</v>
      </c>
      <c r="AE36" s="9">
        <v>0</v>
      </c>
      <c r="AF36" s="11">
        <v>15</v>
      </c>
      <c r="AG36" s="10"/>
      <c r="AH36" s="10"/>
      <c r="AI36" s="50"/>
      <c r="AJ36" s="50" t="s">
        <v>32</v>
      </c>
      <c r="AK36" s="50" t="s">
        <v>31</v>
      </c>
      <c r="AL36" s="50">
        <v>0</v>
      </c>
      <c r="AM36" s="50">
        <v>0</v>
      </c>
      <c r="AN36" s="50"/>
      <c r="AO36" s="50" t="s">
        <v>33</v>
      </c>
      <c r="AP36" s="11">
        <v>3.2</v>
      </c>
      <c r="AQ36" s="9"/>
      <c r="AR36" s="9"/>
      <c r="AS36" s="11">
        <f>AP36/AF36</f>
        <v>0.21333333333333335</v>
      </c>
      <c r="AT36" s="50"/>
      <c r="AU36" s="50"/>
      <c r="AW36" s="12"/>
      <c r="AX36" s="44">
        <v>7000</v>
      </c>
      <c r="AY36" s="44"/>
      <c r="AZ36" s="12">
        <v>5</v>
      </c>
      <c r="BA36" s="46">
        <v>625</v>
      </c>
      <c r="BB36" s="44">
        <v>300</v>
      </c>
      <c r="BC36" s="46"/>
      <c r="BD36" s="12"/>
      <c r="BE36" s="12"/>
      <c r="BF36" s="12"/>
      <c r="BG36" s="12"/>
      <c r="BH36" s="14">
        <f>(BA36/BB36)*60</f>
        <v>125.00000000000001</v>
      </c>
      <c r="BU36" s="1" t="s">
        <v>264</v>
      </c>
      <c r="BV36" s="54">
        <f>AS36*BH36/60*BB36*(AY36/AX36)</f>
        <v>0</v>
      </c>
      <c r="BW36" s="54">
        <f>AS36*(AY36/AX36)*BA36</f>
        <v>0</v>
      </c>
    </row>
    <row r="37" spans="1:75" x14ac:dyDescent="0.35">
      <c r="A37" s="73" t="s">
        <v>288</v>
      </c>
      <c r="C37" t="s">
        <v>229</v>
      </c>
      <c r="D37" t="s">
        <v>289</v>
      </c>
      <c r="L37" t="s">
        <v>40</v>
      </c>
      <c r="M37" t="s">
        <v>143</v>
      </c>
      <c r="Q37" s="6"/>
      <c r="R37" s="6"/>
      <c r="S37" s="6"/>
      <c r="T37" s="6"/>
      <c r="U37" s="6">
        <v>12</v>
      </c>
      <c r="V37" s="6"/>
      <c r="W37" s="6">
        <v>1</v>
      </c>
      <c r="X37" s="6"/>
      <c r="Y37" s="6"/>
      <c r="Z37" s="6"/>
      <c r="AA37" s="6"/>
      <c r="AB37" s="6"/>
      <c r="AC37" s="6"/>
      <c r="AD37" s="9"/>
      <c r="AE37" s="9"/>
      <c r="AF37" s="11"/>
      <c r="AG37" s="10"/>
      <c r="AH37" s="10"/>
      <c r="AI37" s="50"/>
      <c r="AJ37" s="50"/>
      <c r="AK37" s="50"/>
      <c r="AL37" s="50"/>
      <c r="AM37" s="50"/>
      <c r="AN37" s="50"/>
      <c r="AO37" s="50"/>
      <c r="AP37" s="11"/>
      <c r="AQ37" s="9"/>
      <c r="AR37" s="9"/>
      <c r="AS37" s="11" t="e">
        <f t="shared" ref="AS37:AS39" si="9">AP37/AF37</f>
        <v>#DIV/0!</v>
      </c>
      <c r="AT37" s="50" t="s">
        <v>159</v>
      </c>
      <c r="AU37" s="50"/>
      <c r="AW37" s="12"/>
      <c r="AX37" s="44">
        <v>4806</v>
      </c>
      <c r="AY37" s="44">
        <v>1102</v>
      </c>
      <c r="AZ37" s="12"/>
      <c r="BA37" s="46">
        <v>78</v>
      </c>
      <c r="BB37" s="44">
        <v>155</v>
      </c>
      <c r="BC37" s="46"/>
      <c r="BD37" s="12"/>
      <c r="BE37" s="12"/>
      <c r="BF37" s="12"/>
      <c r="BG37" s="12"/>
      <c r="BH37" s="14">
        <f t="shared" si="6"/>
        <v>30.193548387096772</v>
      </c>
      <c r="BU37" s="1" t="s">
        <v>264</v>
      </c>
      <c r="BV37" s="54" t="e">
        <f>AS37*BH37/60*BB37*(AY37/AX37)</f>
        <v>#DIV/0!</v>
      </c>
      <c r="BW37" s="54" t="e">
        <f t="shared" si="8"/>
        <v>#DIV/0!</v>
      </c>
    </row>
    <row r="38" spans="1:75" x14ac:dyDescent="0.35">
      <c r="A38" s="76" t="s">
        <v>290</v>
      </c>
      <c r="B38" t="s">
        <v>291</v>
      </c>
      <c r="C38" t="s">
        <v>229</v>
      </c>
      <c r="D38" t="s">
        <v>80</v>
      </c>
      <c r="E38">
        <v>2017</v>
      </c>
      <c r="Q38" s="6"/>
      <c r="R38" s="6"/>
      <c r="S38" s="6"/>
      <c r="T38" s="6"/>
      <c r="U38" s="6"/>
      <c r="V38" s="6"/>
      <c r="W38" s="6"/>
      <c r="X38" s="6"/>
      <c r="Y38" s="6"/>
      <c r="Z38" s="6"/>
      <c r="AA38" s="6"/>
      <c r="AB38" s="6"/>
      <c r="AC38" s="6"/>
      <c r="AD38" s="9"/>
      <c r="AE38" s="9"/>
      <c r="AF38" s="11"/>
      <c r="AG38" s="10"/>
      <c r="AH38" s="10"/>
      <c r="AI38" s="50"/>
      <c r="AJ38" s="50"/>
      <c r="AK38" s="50"/>
      <c r="AL38" s="50"/>
      <c r="AM38" s="50"/>
      <c r="AN38" s="50"/>
      <c r="AO38" s="50"/>
      <c r="AP38" s="11">
        <v>5.2</v>
      </c>
      <c r="AQ38" s="9">
        <v>4.5</v>
      </c>
      <c r="AR38" s="9"/>
      <c r="AS38" s="11" t="e">
        <f t="shared" si="9"/>
        <v>#DIV/0!</v>
      </c>
      <c r="AT38" s="50"/>
      <c r="AU38" s="50"/>
      <c r="AW38" s="12"/>
      <c r="AX38" s="44">
        <v>2425</v>
      </c>
      <c r="AY38" s="44">
        <v>882</v>
      </c>
      <c r="AZ38" s="12">
        <v>4</v>
      </c>
      <c r="BA38" s="46"/>
      <c r="BB38" s="44">
        <v>186</v>
      </c>
      <c r="BC38" s="46"/>
      <c r="BD38" s="12">
        <v>1000</v>
      </c>
      <c r="BE38" s="12"/>
      <c r="BF38" s="12"/>
      <c r="BG38" s="12"/>
      <c r="BH38" s="14">
        <v>30</v>
      </c>
      <c r="BI38" t="s">
        <v>31</v>
      </c>
      <c r="BJ38">
        <v>64</v>
      </c>
      <c r="BK38">
        <v>200</v>
      </c>
      <c r="BQ38">
        <v>705</v>
      </c>
      <c r="BU38" s="1" t="s">
        <v>264</v>
      </c>
      <c r="BV38" s="54" t="e">
        <f t="shared" si="7"/>
        <v>#DIV/0!</v>
      </c>
      <c r="BW38" s="54" t="e">
        <f t="shared" si="8"/>
        <v>#DIV/0!</v>
      </c>
    </row>
    <row r="39" spans="1:75" x14ac:dyDescent="0.35">
      <c r="A39" s="78" t="s">
        <v>297</v>
      </c>
      <c r="B39" t="s">
        <v>298</v>
      </c>
      <c r="D39" t="s">
        <v>299</v>
      </c>
      <c r="L39" t="s">
        <v>99</v>
      </c>
      <c r="M39" t="s">
        <v>178</v>
      </c>
      <c r="Q39" s="6">
        <v>4</v>
      </c>
      <c r="R39" s="6"/>
      <c r="S39" s="6">
        <v>4</v>
      </c>
      <c r="T39" s="6"/>
      <c r="U39" s="6"/>
      <c r="V39" s="6"/>
      <c r="W39" s="6"/>
      <c r="X39" s="6"/>
      <c r="Y39" s="6"/>
      <c r="Z39" s="6">
        <v>4</v>
      </c>
      <c r="AA39" s="6"/>
      <c r="AB39" s="6"/>
      <c r="AC39" s="6"/>
      <c r="AD39" s="9">
        <v>1</v>
      </c>
      <c r="AE39" s="9"/>
      <c r="AF39" s="11"/>
      <c r="AG39" s="10"/>
      <c r="AH39" s="10"/>
      <c r="AI39" s="50"/>
      <c r="AJ39" s="50" t="s">
        <v>63</v>
      </c>
      <c r="AK39" s="50" t="s">
        <v>159</v>
      </c>
      <c r="AL39" s="50"/>
      <c r="AM39" s="50"/>
      <c r="AN39" s="50"/>
      <c r="AO39" s="50"/>
      <c r="AP39" s="11">
        <v>3</v>
      </c>
      <c r="AQ39" s="9">
        <v>2.5</v>
      </c>
      <c r="AR39" s="9">
        <v>2</v>
      </c>
      <c r="AS39" s="11" t="e">
        <f t="shared" si="9"/>
        <v>#DIV/0!</v>
      </c>
      <c r="AT39" s="50" t="s">
        <v>48</v>
      </c>
      <c r="AU39" s="50"/>
      <c r="AW39" s="12">
        <v>772</v>
      </c>
      <c r="AX39" s="44">
        <v>1213</v>
      </c>
      <c r="AY39" s="44">
        <v>441</v>
      </c>
      <c r="AZ39" s="12">
        <v>2</v>
      </c>
      <c r="BA39" s="46"/>
      <c r="BB39" s="44">
        <v>71</v>
      </c>
      <c r="BC39" s="46"/>
      <c r="BD39" s="12"/>
      <c r="BE39" s="12"/>
      <c r="BF39" s="12"/>
      <c r="BG39" s="12"/>
      <c r="BH39" s="14">
        <v>60</v>
      </c>
      <c r="BI39" t="s">
        <v>31</v>
      </c>
      <c r="BJ39">
        <v>535</v>
      </c>
      <c r="BL39" t="s">
        <v>68</v>
      </c>
      <c r="BU39" s="1" t="s">
        <v>264</v>
      </c>
      <c r="BV39" s="54" t="e">
        <f t="shared" si="7"/>
        <v>#DIV/0!</v>
      </c>
      <c r="BW39" s="54" t="e">
        <f t="shared" si="8"/>
        <v>#DIV/0!</v>
      </c>
    </row>
    <row r="40" spans="1:75" s="29" customFormat="1" x14ac:dyDescent="0.35">
      <c r="A40" s="29" t="s">
        <v>301</v>
      </c>
      <c r="I40" s="42"/>
      <c r="N40" s="34"/>
      <c r="O40" s="34"/>
      <c r="AF40" s="31"/>
      <c r="AG40" s="30"/>
      <c r="AH40" s="30"/>
      <c r="AI40" s="39"/>
      <c r="AJ40" s="39"/>
      <c r="AK40" s="39"/>
      <c r="AL40" s="39"/>
      <c r="AM40" s="39"/>
      <c r="AN40" s="39"/>
      <c r="AO40" s="39"/>
      <c r="AP40" s="31"/>
      <c r="AS40" s="30"/>
      <c r="AT40" s="39"/>
      <c r="AU40" s="39"/>
      <c r="AV40" s="39"/>
      <c r="AX40" s="48"/>
      <c r="AY40" s="48"/>
      <c r="BA40" s="53" t="s">
        <v>44</v>
      </c>
      <c r="BB40" s="48"/>
      <c r="BC40" s="53"/>
      <c r="BH40" s="31"/>
      <c r="BS40" s="39"/>
      <c r="BV40" s="53"/>
      <c r="BW40" s="53"/>
    </row>
    <row r="41" spans="1:75" x14ac:dyDescent="0.35">
      <c r="A41" s="75" t="s">
        <v>132</v>
      </c>
      <c r="B41" t="s">
        <v>133</v>
      </c>
      <c r="D41" t="s">
        <v>51</v>
      </c>
      <c r="E41">
        <v>2016</v>
      </c>
      <c r="Q41" s="6">
        <v>9</v>
      </c>
      <c r="R41" s="6"/>
      <c r="S41" s="6">
        <v>0</v>
      </c>
      <c r="T41" s="6">
        <v>0</v>
      </c>
      <c r="U41" s="6">
        <v>8</v>
      </c>
      <c r="V41" s="6">
        <v>0</v>
      </c>
      <c r="W41" s="6">
        <v>1</v>
      </c>
      <c r="X41" s="6"/>
      <c r="Y41" s="6"/>
      <c r="Z41" s="6">
        <v>0</v>
      </c>
      <c r="AA41" s="6"/>
      <c r="AB41" s="6"/>
      <c r="AC41" s="6"/>
      <c r="AD41" s="9"/>
      <c r="AE41" s="9"/>
      <c r="AF41" s="11"/>
      <c r="AG41" s="10"/>
      <c r="AH41" s="10"/>
      <c r="AI41" s="50"/>
      <c r="AJ41" s="50"/>
      <c r="AK41" s="50"/>
      <c r="AL41" s="50"/>
      <c r="AM41" s="50"/>
      <c r="AN41" s="50"/>
      <c r="AO41" s="50"/>
      <c r="AP41" s="11"/>
      <c r="AQ41" s="9"/>
      <c r="AR41" s="9"/>
      <c r="AS41" s="11" t="e">
        <f>AP41/AF41</f>
        <v>#DIV/0!</v>
      </c>
      <c r="AT41" s="50"/>
      <c r="AU41" s="50"/>
      <c r="AW41" s="12"/>
      <c r="AX41" s="44">
        <v>1000</v>
      </c>
      <c r="AY41" s="44">
        <v>300</v>
      </c>
      <c r="AZ41" s="12"/>
      <c r="BA41" s="46">
        <v>155.34</v>
      </c>
      <c r="BB41" s="44"/>
      <c r="BC41" s="46"/>
      <c r="BD41" s="12"/>
      <c r="BE41" s="12"/>
      <c r="BF41" s="12"/>
      <c r="BG41" s="12"/>
      <c r="BH41" s="14"/>
      <c r="BU41" s="1"/>
      <c r="BV41" s="54" t="e">
        <f t="shared" ref="BV41:BV47" si="10">AS41*BH41/60*BB41*(AY41/AX41)</f>
        <v>#DIV/0!</v>
      </c>
      <c r="BW41" s="54" t="e">
        <f t="shared" ref="BW41:BW47" si="11">AS41*(AY41/AX41)*BA41</f>
        <v>#DIV/0!</v>
      </c>
    </row>
    <row r="42" spans="1:75" x14ac:dyDescent="0.35">
      <c r="A42" s="73" t="s">
        <v>202</v>
      </c>
      <c r="B42" t="s">
        <v>205</v>
      </c>
      <c r="C42" t="s">
        <v>54</v>
      </c>
      <c r="D42" t="s">
        <v>204</v>
      </c>
      <c r="E42">
        <v>2017</v>
      </c>
      <c r="F42">
        <v>2023</v>
      </c>
      <c r="G42" t="s">
        <v>44</v>
      </c>
      <c r="H42">
        <v>25</v>
      </c>
      <c r="L42" t="s">
        <v>99</v>
      </c>
      <c r="P42" t="s">
        <v>43</v>
      </c>
      <c r="Q42" s="6">
        <v>6</v>
      </c>
      <c r="R42" s="6">
        <v>6</v>
      </c>
      <c r="S42" s="6">
        <v>3</v>
      </c>
      <c r="T42" s="6">
        <v>0</v>
      </c>
      <c r="U42" s="6">
        <v>3</v>
      </c>
      <c r="V42" s="6">
        <v>0</v>
      </c>
      <c r="W42" s="6">
        <v>2</v>
      </c>
      <c r="X42" s="6"/>
      <c r="Y42" s="6"/>
      <c r="Z42" s="6">
        <v>2</v>
      </c>
      <c r="AA42" s="6">
        <v>3</v>
      </c>
      <c r="AB42" s="6">
        <v>3</v>
      </c>
      <c r="AC42" s="6">
        <v>3</v>
      </c>
      <c r="AD42" s="9">
        <v>4</v>
      </c>
      <c r="AE42" s="9">
        <v>2</v>
      </c>
      <c r="AF42" s="11"/>
      <c r="AG42" s="10"/>
      <c r="AH42" s="10"/>
      <c r="AI42" s="50">
        <v>0</v>
      </c>
      <c r="AJ42" s="50" t="s">
        <v>240</v>
      </c>
      <c r="AK42" s="50" t="s">
        <v>159</v>
      </c>
      <c r="AL42" s="50"/>
      <c r="AM42" s="50">
        <v>0</v>
      </c>
      <c r="AN42" s="50">
        <v>0</v>
      </c>
      <c r="AO42" s="50" t="s">
        <v>181</v>
      </c>
      <c r="AP42" s="11"/>
      <c r="AQ42" s="9"/>
      <c r="AR42" s="9"/>
      <c r="AS42" s="11" t="e">
        <f t="shared" ref="AS42:AS44" si="12">AP42/AF42</f>
        <v>#DIV/0!</v>
      </c>
      <c r="AT42" s="50" t="s">
        <v>55</v>
      </c>
      <c r="AU42" s="50"/>
      <c r="AW42" s="12"/>
      <c r="AX42" s="44">
        <f>AX25/AY25*AY42</f>
        <v>8767.9516250944835</v>
      </c>
      <c r="AY42" s="44">
        <f>AZ42*200+5*50</f>
        <v>1450</v>
      </c>
      <c r="AZ42" s="12">
        <v>6</v>
      </c>
      <c r="BA42" s="46">
        <v>80</v>
      </c>
      <c r="BB42" s="44">
        <v>125</v>
      </c>
      <c r="BC42" s="46"/>
      <c r="BD42" s="12">
        <v>450</v>
      </c>
      <c r="BE42" s="12"/>
      <c r="BF42" s="12"/>
      <c r="BG42" s="12"/>
      <c r="BH42" s="14">
        <f>(BA42/BB42)*60</f>
        <v>38.4</v>
      </c>
      <c r="BI42" t="s">
        <v>31</v>
      </c>
      <c r="BL42" t="s">
        <v>68</v>
      </c>
      <c r="BS42" s="36" t="s">
        <v>241</v>
      </c>
      <c r="BU42" s="1"/>
      <c r="BV42" s="54" t="e">
        <f t="shared" si="10"/>
        <v>#DIV/0!</v>
      </c>
      <c r="BW42" s="54" t="e">
        <f t="shared" si="11"/>
        <v>#DIV/0!</v>
      </c>
    </row>
    <row r="43" spans="1:75" x14ac:dyDescent="0.35">
      <c r="A43" s="73" t="s">
        <v>270</v>
      </c>
      <c r="B43" t="s">
        <v>262</v>
      </c>
      <c r="C43" t="s">
        <v>273</v>
      </c>
      <c r="D43" t="s">
        <v>263</v>
      </c>
      <c r="E43">
        <v>2018</v>
      </c>
      <c r="G43">
        <v>2024</v>
      </c>
      <c r="H43">
        <v>10</v>
      </c>
      <c r="I43" s="40">
        <v>50</v>
      </c>
      <c r="L43" t="s">
        <v>99</v>
      </c>
      <c r="M43" t="s">
        <v>155</v>
      </c>
      <c r="Q43" s="6">
        <v>8</v>
      </c>
      <c r="R43" s="6">
        <v>8</v>
      </c>
      <c r="S43" s="6">
        <v>4</v>
      </c>
      <c r="T43" s="6">
        <v>0</v>
      </c>
      <c r="U43" s="6">
        <v>8</v>
      </c>
      <c r="V43" s="6">
        <v>0</v>
      </c>
      <c r="W43" s="6">
        <v>8</v>
      </c>
      <c r="X43" s="6">
        <v>3.7</v>
      </c>
      <c r="Y43" s="6"/>
      <c r="Z43" s="6">
        <v>0</v>
      </c>
      <c r="AA43" s="6">
        <v>3</v>
      </c>
      <c r="AB43" s="6">
        <v>0</v>
      </c>
      <c r="AC43" s="6">
        <v>3</v>
      </c>
      <c r="AD43" s="9">
        <v>1</v>
      </c>
      <c r="AE43" s="9">
        <v>4</v>
      </c>
      <c r="AF43" s="11"/>
      <c r="AG43" s="10"/>
      <c r="AH43" s="10"/>
      <c r="AI43" s="50"/>
      <c r="AJ43" s="50" t="s">
        <v>32</v>
      </c>
      <c r="AK43" s="50" t="s">
        <v>159</v>
      </c>
      <c r="AL43" s="50">
        <v>1</v>
      </c>
      <c r="AM43" s="50">
        <v>0</v>
      </c>
      <c r="AN43" s="50"/>
      <c r="AO43" s="50" t="s">
        <v>65</v>
      </c>
      <c r="AP43" s="11"/>
      <c r="AQ43" s="9"/>
      <c r="AR43" s="9"/>
      <c r="AS43" s="11" t="e">
        <f t="shared" si="12"/>
        <v>#DIV/0!</v>
      </c>
      <c r="AT43" s="50" t="s">
        <v>48</v>
      </c>
      <c r="AU43" s="50"/>
      <c r="AW43" s="12">
        <f>2.205*970</f>
        <v>2138.85</v>
      </c>
      <c r="AX43" s="44">
        <f>AW43+AY43</f>
        <v>2579.85</v>
      </c>
      <c r="AY43" s="44">
        <v>441</v>
      </c>
      <c r="AZ43" s="12">
        <v>2</v>
      </c>
      <c r="BA43" s="46">
        <v>110</v>
      </c>
      <c r="BB43" s="44">
        <v>155</v>
      </c>
      <c r="BC43" s="46"/>
      <c r="BD43" s="12"/>
      <c r="BE43" s="12"/>
      <c r="BF43" s="12"/>
      <c r="BG43" s="12"/>
      <c r="BH43" s="14">
        <v>60</v>
      </c>
      <c r="BI43" t="s">
        <v>180</v>
      </c>
      <c r="BR43">
        <v>60</v>
      </c>
      <c r="BS43" s="36" t="s">
        <v>99</v>
      </c>
      <c r="BU43" s="1" t="s">
        <v>264</v>
      </c>
      <c r="BV43" s="54" t="e">
        <f t="shared" si="10"/>
        <v>#DIV/0!</v>
      </c>
      <c r="BW43" s="54" t="e">
        <f t="shared" si="11"/>
        <v>#DIV/0!</v>
      </c>
    </row>
    <row r="44" spans="1:75" x14ac:dyDescent="0.35">
      <c r="A44" s="75" t="s">
        <v>198</v>
      </c>
      <c r="B44" t="s">
        <v>199</v>
      </c>
      <c r="C44" t="s">
        <v>229</v>
      </c>
      <c r="D44" t="s">
        <v>200</v>
      </c>
      <c r="E44">
        <v>2018</v>
      </c>
      <c r="F44">
        <v>2020</v>
      </c>
      <c r="G44">
        <v>2025</v>
      </c>
      <c r="L44" t="s">
        <v>99</v>
      </c>
      <c r="P44" t="s">
        <v>43</v>
      </c>
      <c r="Q44" s="6"/>
      <c r="R44" s="6">
        <v>11</v>
      </c>
      <c r="S44" s="6">
        <v>1</v>
      </c>
      <c r="T44" s="6"/>
      <c r="U44" s="6">
        <v>3</v>
      </c>
      <c r="V44" s="6">
        <v>1</v>
      </c>
      <c r="W44" s="6">
        <v>8</v>
      </c>
      <c r="X44" s="6">
        <v>3.7</v>
      </c>
      <c r="Y44" s="6"/>
      <c r="Z44" s="6"/>
      <c r="AA44" s="6"/>
      <c r="AB44" s="6"/>
      <c r="AC44" s="6">
        <v>9</v>
      </c>
      <c r="AD44" s="9"/>
      <c r="AE44" s="9">
        <v>2</v>
      </c>
      <c r="AF44" s="11"/>
      <c r="AG44" s="10"/>
      <c r="AH44" s="10"/>
      <c r="AI44" s="50"/>
      <c r="AJ44" s="50"/>
      <c r="AK44" s="50"/>
      <c r="AL44" s="50"/>
      <c r="AM44" s="50">
        <v>0</v>
      </c>
      <c r="AN44" s="50"/>
      <c r="AO44" s="50"/>
      <c r="AP44" s="11"/>
      <c r="AQ44" s="9"/>
      <c r="AR44" s="9"/>
      <c r="AS44" s="11" t="e">
        <f t="shared" si="12"/>
        <v>#DIV/0!</v>
      </c>
      <c r="AT44" s="50" t="s">
        <v>34</v>
      </c>
      <c r="AU44" s="50">
        <v>0</v>
      </c>
      <c r="AW44" s="12"/>
      <c r="AX44" s="44"/>
      <c r="AY44" s="44"/>
      <c r="AZ44" s="12">
        <v>5</v>
      </c>
      <c r="BA44" s="46">
        <v>200</v>
      </c>
      <c r="BB44" s="44">
        <v>175</v>
      </c>
      <c r="BC44" s="46"/>
      <c r="BD44" s="12"/>
      <c r="BE44" s="12"/>
      <c r="BF44" s="12"/>
      <c r="BG44" s="12"/>
      <c r="BH44" s="14"/>
      <c r="BI44" t="s">
        <v>31</v>
      </c>
      <c r="BS44" s="36" t="s">
        <v>156</v>
      </c>
      <c r="BU44" s="1"/>
      <c r="BV44" s="54" t="e">
        <f t="shared" si="10"/>
        <v>#DIV/0!</v>
      </c>
      <c r="BW44" s="54" t="e">
        <f t="shared" si="11"/>
        <v>#DIV/0!</v>
      </c>
    </row>
    <row r="45" spans="1:75" x14ac:dyDescent="0.35">
      <c r="A45" s="75" t="s">
        <v>206</v>
      </c>
      <c r="B45" t="s">
        <v>207</v>
      </c>
      <c r="C45" t="s">
        <v>54</v>
      </c>
      <c r="D45" t="s">
        <v>6</v>
      </c>
      <c r="F45">
        <v>2023</v>
      </c>
      <c r="G45">
        <v>2025</v>
      </c>
      <c r="L45" t="s">
        <v>99</v>
      </c>
      <c r="Q45" s="6">
        <v>9</v>
      </c>
      <c r="R45" s="6">
        <v>9</v>
      </c>
      <c r="S45" s="6">
        <v>8</v>
      </c>
      <c r="T45" s="6">
        <v>4</v>
      </c>
      <c r="U45" s="6">
        <v>9</v>
      </c>
      <c r="V45" s="6">
        <v>1</v>
      </c>
      <c r="W45" s="6">
        <v>8</v>
      </c>
      <c r="X45" s="6"/>
      <c r="Y45" s="6"/>
      <c r="Z45" s="6">
        <v>4</v>
      </c>
      <c r="AA45" s="6">
        <v>4</v>
      </c>
      <c r="AB45" s="6">
        <v>4</v>
      </c>
      <c r="AC45" s="6">
        <v>4</v>
      </c>
      <c r="AD45" s="9">
        <v>1</v>
      </c>
      <c r="AE45" s="9">
        <v>2</v>
      </c>
      <c r="AF45" s="11">
        <f>13.5</f>
        <v>13.5</v>
      </c>
      <c r="AG45" s="10"/>
      <c r="AH45" s="10"/>
      <c r="AI45" s="50">
        <v>0</v>
      </c>
      <c r="AJ45" s="50" t="s">
        <v>62</v>
      </c>
      <c r="AK45" s="50" t="s">
        <v>159</v>
      </c>
      <c r="AL45" s="50">
        <v>1</v>
      </c>
      <c r="AM45" s="50">
        <v>4</v>
      </c>
      <c r="AN45" s="50">
        <v>1</v>
      </c>
      <c r="AO45" s="50" t="s">
        <v>253</v>
      </c>
      <c r="AP45" s="11">
        <v>7.8</v>
      </c>
      <c r="AQ45" s="9">
        <v>1.8</v>
      </c>
      <c r="AR45" s="9">
        <v>1.5</v>
      </c>
      <c r="AS45" s="11">
        <f>AP45/AF45</f>
        <v>0.57777777777777772</v>
      </c>
      <c r="AT45" s="50" t="s">
        <v>48</v>
      </c>
      <c r="AU45" s="50">
        <v>3</v>
      </c>
      <c r="AW45" s="12"/>
      <c r="AX45" s="44"/>
      <c r="AY45" s="44">
        <v>1323</v>
      </c>
      <c r="AZ45" s="12">
        <v>5</v>
      </c>
      <c r="BA45" s="46">
        <v>124</v>
      </c>
      <c r="BB45" s="44">
        <v>186</v>
      </c>
      <c r="BC45" s="46"/>
      <c r="BD45" s="12"/>
      <c r="BE45" s="12"/>
      <c r="BF45" s="12"/>
      <c r="BG45" s="12"/>
      <c r="BH45" s="14">
        <f>(BA45/BB45)*60</f>
        <v>40</v>
      </c>
      <c r="BI45" t="s">
        <v>31</v>
      </c>
      <c r="BL45" t="s">
        <v>68</v>
      </c>
      <c r="BS45" s="36" t="s">
        <v>99</v>
      </c>
      <c r="BU45" s="1"/>
      <c r="BV45" s="54" t="e">
        <f t="shared" si="10"/>
        <v>#DIV/0!</v>
      </c>
      <c r="BW45" s="54" t="e">
        <f t="shared" si="11"/>
        <v>#DIV/0!</v>
      </c>
    </row>
    <row r="46" spans="1:75" x14ac:dyDescent="0.35">
      <c r="A46" s="75" t="s">
        <v>208</v>
      </c>
      <c r="B46" t="s">
        <v>209</v>
      </c>
      <c r="C46" t="s">
        <v>54</v>
      </c>
      <c r="D46" t="s">
        <v>80</v>
      </c>
      <c r="E46">
        <v>2012</v>
      </c>
      <c r="L46" t="s">
        <v>99</v>
      </c>
      <c r="M46" t="s">
        <v>143</v>
      </c>
      <c r="N46" s="32">
        <f>300000/1000000</f>
        <v>0.3</v>
      </c>
      <c r="Q46" s="6">
        <v>2</v>
      </c>
      <c r="R46" s="6"/>
      <c r="S46" s="6"/>
      <c r="T46" s="6">
        <v>2</v>
      </c>
      <c r="U46" s="6">
        <v>2</v>
      </c>
      <c r="V46" s="6"/>
      <c r="W46" s="6">
        <v>2</v>
      </c>
      <c r="X46" s="6"/>
      <c r="Y46" s="6"/>
      <c r="Z46" s="6">
        <v>2</v>
      </c>
      <c r="AA46" s="6">
        <v>9</v>
      </c>
      <c r="AB46" s="6">
        <v>9</v>
      </c>
      <c r="AC46" s="6">
        <v>9</v>
      </c>
      <c r="AD46" s="9">
        <v>2</v>
      </c>
      <c r="AE46" s="9">
        <v>2</v>
      </c>
      <c r="AF46" s="11">
        <v>5.6</v>
      </c>
      <c r="AG46" s="10"/>
      <c r="AH46" s="10"/>
      <c r="AI46" s="50"/>
      <c r="AJ46" s="50" t="s">
        <v>62</v>
      </c>
      <c r="AK46" s="50" t="s">
        <v>155</v>
      </c>
      <c r="AL46" s="50">
        <v>2</v>
      </c>
      <c r="AM46" s="50">
        <v>2</v>
      </c>
      <c r="AN46" s="50"/>
      <c r="AO46" s="50" t="s">
        <v>181</v>
      </c>
      <c r="AP46" s="11">
        <v>6</v>
      </c>
      <c r="AQ46" s="9"/>
      <c r="AR46" s="9"/>
      <c r="AS46" s="11">
        <f>AP46/AF46</f>
        <v>1.0714285714285714</v>
      </c>
      <c r="AT46" s="50" t="s">
        <v>34</v>
      </c>
      <c r="AU46" s="50"/>
      <c r="AW46" s="12"/>
      <c r="AX46" s="44"/>
      <c r="AY46" s="44">
        <f>AZ46*200</f>
        <v>400</v>
      </c>
      <c r="AZ46" s="12">
        <v>2</v>
      </c>
      <c r="BA46" s="46">
        <f>193/1.609*(241/389)</f>
        <v>74.313669414172537</v>
      </c>
      <c r="BB46" s="44">
        <f>241/1.609</f>
        <v>149.78247358607831</v>
      </c>
      <c r="BC46" s="46"/>
      <c r="BD46" s="12"/>
      <c r="BE46" s="12"/>
      <c r="BF46" s="12"/>
      <c r="BG46" s="12"/>
      <c r="BH46" s="14">
        <f>(BA46/BB46)*60</f>
        <v>29.768637532133681</v>
      </c>
      <c r="BI46" t="s">
        <v>31</v>
      </c>
      <c r="BU46" s="1"/>
      <c r="BV46" s="54" t="e">
        <f t="shared" si="10"/>
        <v>#DIV/0!</v>
      </c>
      <c r="BW46" s="54" t="e">
        <f t="shared" si="11"/>
        <v>#DIV/0!</v>
      </c>
    </row>
    <row r="47" spans="1:75" x14ac:dyDescent="0.35">
      <c r="A47" s="75" t="s">
        <v>400</v>
      </c>
      <c r="B47" t="s">
        <v>217</v>
      </c>
      <c r="C47" t="s">
        <v>54</v>
      </c>
      <c r="D47" t="s">
        <v>51</v>
      </c>
      <c r="G47">
        <v>2024</v>
      </c>
      <c r="H47">
        <v>10</v>
      </c>
      <c r="L47" t="s">
        <v>99</v>
      </c>
      <c r="N47" s="32">
        <v>0.75</v>
      </c>
      <c r="P47" t="s">
        <v>43</v>
      </c>
      <c r="Q47" s="6">
        <v>8</v>
      </c>
      <c r="R47" s="6">
        <v>6</v>
      </c>
      <c r="S47" s="6">
        <v>2</v>
      </c>
      <c r="T47" s="6">
        <v>0</v>
      </c>
      <c r="U47" s="6">
        <v>4</v>
      </c>
      <c r="V47" s="6">
        <v>0</v>
      </c>
      <c r="W47" s="6">
        <v>4</v>
      </c>
      <c r="X47" s="6"/>
      <c r="Y47" s="6"/>
      <c r="Z47" s="6">
        <v>4</v>
      </c>
      <c r="AA47" s="6">
        <v>5</v>
      </c>
      <c r="AB47" s="6">
        <v>5</v>
      </c>
      <c r="AC47" s="6">
        <v>2</v>
      </c>
      <c r="AD47" s="9">
        <v>1</v>
      </c>
      <c r="AE47" s="9">
        <v>2</v>
      </c>
      <c r="AF47" s="11"/>
      <c r="AG47" s="10"/>
      <c r="AH47" s="10"/>
      <c r="AI47" s="50">
        <v>0</v>
      </c>
      <c r="AJ47" s="50" t="s">
        <v>32</v>
      </c>
      <c r="AK47" s="50" t="s">
        <v>159</v>
      </c>
      <c r="AL47" s="50">
        <v>0</v>
      </c>
      <c r="AM47" s="50">
        <v>4</v>
      </c>
      <c r="AN47" s="50">
        <v>1</v>
      </c>
      <c r="AO47" s="50" t="s">
        <v>253</v>
      </c>
      <c r="AP47" s="11"/>
      <c r="AQ47" s="9"/>
      <c r="AR47" s="9"/>
      <c r="AS47" s="11">
        <f>4.94/6.89</f>
        <v>0.71698113207547176</v>
      </c>
      <c r="AT47" s="50" t="s">
        <v>48</v>
      </c>
      <c r="AU47" s="50">
        <v>0</v>
      </c>
      <c r="AW47" s="12"/>
      <c r="AX47" s="44"/>
      <c r="AY47" s="44">
        <v>992</v>
      </c>
      <c r="AZ47" s="12">
        <v>5</v>
      </c>
      <c r="BA47" s="46">
        <v>125</v>
      </c>
      <c r="BB47" s="44">
        <v>162</v>
      </c>
      <c r="BC47" s="46"/>
      <c r="BD47" s="12"/>
      <c r="BE47" s="12"/>
      <c r="BF47" s="12"/>
      <c r="BG47" s="12"/>
      <c r="BH47" s="14">
        <f>(BA47/BB47)*60</f>
        <v>46.296296296296298</v>
      </c>
      <c r="BI47" t="s">
        <v>180</v>
      </c>
      <c r="BS47" s="36" t="s">
        <v>99</v>
      </c>
      <c r="BU47" s="1" t="s">
        <v>197</v>
      </c>
      <c r="BV47" s="54" t="e">
        <f t="shared" si="10"/>
        <v>#DIV/0!</v>
      </c>
      <c r="BW47" s="54" t="e">
        <f t="shared" si="11"/>
        <v>#DIV/0!</v>
      </c>
    </row>
    <row r="48" spans="1:75" x14ac:dyDescent="0.35">
      <c r="A48" s="75" t="s">
        <v>274</v>
      </c>
      <c r="B48" t="s">
        <v>275</v>
      </c>
      <c r="Q48" s="6"/>
      <c r="R48" s="6"/>
      <c r="S48" s="6"/>
      <c r="T48" s="6"/>
      <c r="U48" s="6"/>
      <c r="V48" s="6"/>
      <c r="W48" s="6"/>
      <c r="X48" s="6"/>
      <c r="Y48" s="6"/>
      <c r="Z48" s="6"/>
      <c r="AA48" s="6"/>
      <c r="AB48" s="6"/>
      <c r="AC48" s="6"/>
      <c r="AD48" s="9"/>
      <c r="AE48" s="9"/>
      <c r="AF48" s="11"/>
      <c r="AG48" s="10"/>
      <c r="AH48" s="10"/>
      <c r="AI48" s="50"/>
      <c r="AJ48" s="50"/>
      <c r="AK48" s="50"/>
      <c r="AL48" s="50"/>
      <c r="AM48" s="50"/>
      <c r="AN48" s="50"/>
      <c r="AO48" s="50"/>
      <c r="AP48" s="11"/>
      <c r="AQ48" s="9"/>
      <c r="AR48" s="9"/>
      <c r="AS48" s="11" t="e">
        <f t="shared" ref="AS48:AS53" si="13">AP48/AF48</f>
        <v>#DIV/0!</v>
      </c>
      <c r="AT48" s="50"/>
      <c r="AU48" s="50"/>
      <c r="AW48" s="12"/>
      <c r="AX48" s="44"/>
      <c r="AY48" s="44"/>
      <c r="AZ48" s="12"/>
      <c r="BA48" s="46"/>
      <c r="BB48" s="44"/>
      <c r="BC48" s="46"/>
      <c r="BD48" s="12"/>
      <c r="BE48" s="12"/>
      <c r="BF48" s="12"/>
      <c r="BG48" s="12"/>
      <c r="BH48" s="14"/>
      <c r="BU48" s="1"/>
    </row>
    <row r="49" spans="1:75" x14ac:dyDescent="0.35">
      <c r="A49" s="75" t="s">
        <v>276</v>
      </c>
      <c r="B49" t="s">
        <v>277</v>
      </c>
      <c r="Q49" s="6"/>
      <c r="R49" s="6"/>
      <c r="S49" s="6"/>
      <c r="T49" s="6"/>
      <c r="U49" s="6"/>
      <c r="V49" s="6"/>
      <c r="W49" s="6"/>
      <c r="X49" s="6"/>
      <c r="Y49" s="6"/>
      <c r="Z49" s="6"/>
      <c r="AA49" s="6"/>
      <c r="AB49" s="6"/>
      <c r="AC49" s="6"/>
      <c r="AD49" s="9"/>
      <c r="AE49" s="9"/>
      <c r="AF49" s="11"/>
      <c r="AG49" s="10"/>
      <c r="AH49" s="10"/>
      <c r="AI49" s="50"/>
      <c r="AJ49" s="50"/>
      <c r="AK49" s="50"/>
      <c r="AL49" s="50"/>
      <c r="AM49" s="50"/>
      <c r="AN49" s="50"/>
      <c r="AO49" s="50"/>
      <c r="AP49" s="11"/>
      <c r="AQ49" s="9"/>
      <c r="AR49" s="9"/>
      <c r="AS49" s="11" t="e">
        <f t="shared" si="13"/>
        <v>#DIV/0!</v>
      </c>
      <c r="AT49" s="50"/>
      <c r="AU49" s="50"/>
      <c r="AW49" s="12"/>
      <c r="AX49" s="44"/>
      <c r="AY49" s="44"/>
      <c r="AZ49" s="12"/>
      <c r="BA49" s="46"/>
      <c r="BB49" s="44"/>
      <c r="BC49" s="46"/>
      <c r="BD49" s="12"/>
      <c r="BE49" s="12"/>
      <c r="BF49" s="12"/>
      <c r="BG49" s="12"/>
      <c r="BH49" s="14"/>
      <c r="BU49" s="1"/>
    </row>
    <row r="50" spans="1:75" x14ac:dyDescent="0.35">
      <c r="A50" s="75" t="s">
        <v>278</v>
      </c>
      <c r="B50" t="s">
        <v>279</v>
      </c>
      <c r="Q50" s="6"/>
      <c r="R50" s="6"/>
      <c r="S50" s="6"/>
      <c r="T50" s="6"/>
      <c r="U50" s="6"/>
      <c r="V50" s="6"/>
      <c r="W50" s="6"/>
      <c r="X50" s="6"/>
      <c r="Y50" s="6"/>
      <c r="Z50" s="6"/>
      <c r="AA50" s="6"/>
      <c r="AB50" s="6"/>
      <c r="AC50" s="6"/>
      <c r="AD50" s="9"/>
      <c r="AE50" s="9"/>
      <c r="AF50" s="11"/>
      <c r="AG50" s="10"/>
      <c r="AH50" s="10"/>
      <c r="AI50" s="50"/>
      <c r="AJ50" s="50"/>
      <c r="AK50" s="50"/>
      <c r="AL50" s="50"/>
      <c r="AM50" s="50"/>
      <c r="AN50" s="50"/>
      <c r="AO50" s="50"/>
      <c r="AP50" s="11"/>
      <c r="AQ50" s="9"/>
      <c r="AR50" s="9"/>
      <c r="AS50" s="11" t="e">
        <f t="shared" si="13"/>
        <v>#DIV/0!</v>
      </c>
      <c r="AT50" s="50"/>
      <c r="AU50" s="50"/>
      <c r="AW50" s="12"/>
      <c r="AX50" s="44"/>
      <c r="AY50" s="44"/>
      <c r="AZ50" s="12"/>
      <c r="BA50" s="46"/>
      <c r="BB50" s="44"/>
      <c r="BC50" s="46"/>
      <c r="BD50" s="12"/>
      <c r="BE50" s="12"/>
      <c r="BF50" s="12"/>
      <c r="BG50" s="12"/>
      <c r="BH50" s="14"/>
      <c r="BU50" s="1"/>
    </row>
    <row r="51" spans="1:75" x14ac:dyDescent="0.35">
      <c r="A51" s="75" t="s">
        <v>281</v>
      </c>
      <c r="B51" t="s">
        <v>280</v>
      </c>
      <c r="Q51" s="6"/>
      <c r="R51" s="6"/>
      <c r="S51" s="6"/>
      <c r="T51" s="6"/>
      <c r="U51" s="6"/>
      <c r="V51" s="6"/>
      <c r="W51" s="6"/>
      <c r="X51" s="6"/>
      <c r="Y51" s="6"/>
      <c r="Z51" s="6"/>
      <c r="AA51" s="6"/>
      <c r="AB51" s="6"/>
      <c r="AC51" s="6"/>
      <c r="AD51" s="9"/>
      <c r="AE51" s="9"/>
      <c r="AF51" s="11"/>
      <c r="AG51" s="10"/>
      <c r="AH51" s="10"/>
      <c r="AI51" s="50"/>
      <c r="AJ51" s="50"/>
      <c r="AK51" s="50"/>
      <c r="AL51" s="50"/>
      <c r="AM51" s="50"/>
      <c r="AN51" s="50"/>
      <c r="AO51" s="50"/>
      <c r="AP51" s="11"/>
      <c r="AQ51" s="9"/>
      <c r="AR51" s="9"/>
      <c r="AS51" s="11" t="e">
        <f t="shared" si="13"/>
        <v>#DIV/0!</v>
      </c>
      <c r="AT51" s="50"/>
      <c r="AU51" s="50"/>
      <c r="AW51" s="12"/>
      <c r="AX51" s="44"/>
      <c r="AY51" s="44"/>
      <c r="AZ51" s="12"/>
      <c r="BA51" s="46"/>
      <c r="BB51" s="44"/>
      <c r="BC51" s="46"/>
      <c r="BD51" s="12"/>
      <c r="BE51" s="12"/>
      <c r="BF51" s="12"/>
      <c r="BG51" s="12"/>
      <c r="BH51" s="14"/>
      <c r="BU51" s="1"/>
    </row>
    <row r="52" spans="1:75" x14ac:dyDescent="0.35">
      <c r="A52" s="75" t="s">
        <v>303</v>
      </c>
      <c r="B52" t="s">
        <v>304</v>
      </c>
      <c r="C52" t="s">
        <v>229</v>
      </c>
      <c r="D52" t="s">
        <v>80</v>
      </c>
      <c r="F52">
        <v>2023</v>
      </c>
      <c r="L52" t="s">
        <v>232</v>
      </c>
      <c r="M52" t="s">
        <v>143</v>
      </c>
      <c r="P52" t="s">
        <v>43</v>
      </c>
      <c r="Q52" s="6">
        <v>9</v>
      </c>
      <c r="R52" s="6">
        <v>9</v>
      </c>
      <c r="S52" s="6"/>
      <c r="T52" s="6"/>
      <c r="U52" s="6"/>
      <c r="V52" s="6"/>
      <c r="W52" s="6"/>
      <c r="X52" s="6"/>
      <c r="Y52" s="6"/>
      <c r="Z52" s="6"/>
      <c r="AA52" s="6"/>
      <c r="AB52" s="6"/>
      <c r="AC52" s="6"/>
      <c r="AD52" s="9">
        <v>1</v>
      </c>
      <c r="AE52" s="9">
        <v>2</v>
      </c>
      <c r="AF52" s="11"/>
      <c r="AG52" s="10"/>
      <c r="AH52" s="10"/>
      <c r="AI52" s="50"/>
      <c r="AJ52" s="50" t="s">
        <v>32</v>
      </c>
      <c r="AK52" s="50"/>
      <c r="AL52" s="50"/>
      <c r="AM52" s="50"/>
      <c r="AN52" s="50"/>
      <c r="AO52" s="50"/>
      <c r="AP52" s="11"/>
      <c r="AQ52" s="9"/>
      <c r="AR52" s="9"/>
      <c r="AS52" s="11" t="e">
        <f t="shared" si="13"/>
        <v>#DIV/0!</v>
      </c>
      <c r="AT52" s="50" t="s">
        <v>48</v>
      </c>
      <c r="AU52" s="50"/>
      <c r="AW52" s="12"/>
      <c r="AX52" s="44"/>
      <c r="AY52" s="44">
        <v>552</v>
      </c>
      <c r="AZ52" s="12">
        <v>5</v>
      </c>
      <c r="BA52" s="46">
        <v>130</v>
      </c>
      <c r="BB52" s="44"/>
      <c r="BC52" s="46"/>
      <c r="BD52" s="12"/>
      <c r="BE52" s="12"/>
      <c r="BF52" s="12"/>
      <c r="BG52" s="12"/>
      <c r="BH52" s="14"/>
      <c r="BI52" t="s">
        <v>31</v>
      </c>
      <c r="BS52" s="36" t="s">
        <v>99</v>
      </c>
      <c r="BU52" s="1" t="s">
        <v>264</v>
      </c>
      <c r="BV52" s="54" t="e">
        <f t="shared" ref="BV52:BV91" si="14">AS52*BH52/60*BB52*(AY52/AX52)</f>
        <v>#DIV/0!</v>
      </c>
      <c r="BW52" s="54" t="e">
        <f t="shared" ref="BW52:BW91" si="15">AS52*(AY52/AX52)*BA52</f>
        <v>#DIV/0!</v>
      </c>
    </row>
    <row r="53" spans="1:75" x14ac:dyDescent="0.35">
      <c r="A53" s="75" t="s">
        <v>305</v>
      </c>
      <c r="B53" t="s">
        <v>306</v>
      </c>
      <c r="C53" t="s">
        <v>34</v>
      </c>
      <c r="D53" t="s">
        <v>223</v>
      </c>
      <c r="M53" t="s">
        <v>143</v>
      </c>
      <c r="P53" t="s">
        <v>43</v>
      </c>
      <c r="Q53" s="6">
        <v>8</v>
      </c>
      <c r="R53" s="6">
        <v>8</v>
      </c>
      <c r="S53" s="6">
        <v>0</v>
      </c>
      <c r="T53" s="6">
        <v>0</v>
      </c>
      <c r="U53" s="6">
        <v>8</v>
      </c>
      <c r="V53" s="6">
        <v>0</v>
      </c>
      <c r="W53" s="6">
        <v>8</v>
      </c>
      <c r="X53" s="6"/>
      <c r="Y53" s="6"/>
      <c r="Z53" s="6"/>
      <c r="AA53" s="6">
        <v>3</v>
      </c>
      <c r="AB53" s="6"/>
      <c r="AC53" s="6">
        <v>3</v>
      </c>
      <c r="AD53" s="9">
        <v>2</v>
      </c>
      <c r="AE53" s="9"/>
      <c r="AF53" s="11"/>
      <c r="AG53" s="10"/>
      <c r="AH53" s="10"/>
      <c r="AI53" s="50">
        <v>2</v>
      </c>
      <c r="AJ53" s="50" t="s">
        <v>63</v>
      </c>
      <c r="AK53" s="50" t="s">
        <v>159</v>
      </c>
      <c r="AL53" s="50">
        <v>0</v>
      </c>
      <c r="AM53" s="50">
        <v>4</v>
      </c>
      <c r="AN53" s="50"/>
      <c r="AO53" s="50" t="s">
        <v>33</v>
      </c>
      <c r="AP53" s="11"/>
      <c r="AQ53" s="9"/>
      <c r="AR53" s="9"/>
      <c r="AS53" s="11" t="e">
        <f t="shared" si="13"/>
        <v>#DIV/0!</v>
      </c>
      <c r="AT53" s="50" t="s">
        <v>34</v>
      </c>
      <c r="AU53" s="50"/>
      <c r="AW53" s="12"/>
      <c r="AX53" s="44"/>
      <c r="AY53" s="44"/>
      <c r="AZ53" s="12"/>
      <c r="BA53" s="46"/>
      <c r="BB53" s="44"/>
      <c r="BC53" s="46"/>
      <c r="BD53" s="12"/>
      <c r="BE53" s="12"/>
      <c r="BF53" s="12"/>
      <c r="BG53" s="12"/>
      <c r="BH53" s="14"/>
      <c r="BL53" t="s">
        <v>60</v>
      </c>
      <c r="BS53" s="36" t="s">
        <v>156</v>
      </c>
      <c r="BU53" s="1" t="s">
        <v>264</v>
      </c>
      <c r="BV53" s="54" t="e">
        <f t="shared" si="14"/>
        <v>#DIV/0!</v>
      </c>
      <c r="BW53" s="54" t="e">
        <f t="shared" si="15"/>
        <v>#DIV/0!</v>
      </c>
    </row>
    <row r="54" spans="1:75" x14ac:dyDescent="0.35">
      <c r="A54" s="75" t="s">
        <v>307</v>
      </c>
      <c r="B54" t="s">
        <v>308</v>
      </c>
      <c r="C54" t="s">
        <v>228</v>
      </c>
      <c r="D54" t="s">
        <v>220</v>
      </c>
      <c r="E54">
        <v>2001</v>
      </c>
      <c r="G54">
        <v>2026</v>
      </c>
      <c r="M54" t="s">
        <v>143</v>
      </c>
      <c r="Q54" s="6">
        <v>8</v>
      </c>
      <c r="R54" s="6"/>
      <c r="S54" s="6"/>
      <c r="T54" s="6"/>
      <c r="U54" s="6"/>
      <c r="V54" s="6"/>
      <c r="W54" s="6"/>
      <c r="X54" s="6"/>
      <c r="Y54" s="6"/>
      <c r="Z54" s="6"/>
      <c r="AA54" s="6"/>
      <c r="AB54" s="6"/>
      <c r="AC54" s="6"/>
      <c r="AD54" s="9"/>
      <c r="AE54" s="9"/>
      <c r="AF54" s="11">
        <v>4</v>
      </c>
      <c r="AG54" s="10"/>
      <c r="AH54" s="10"/>
      <c r="AI54" s="50"/>
      <c r="AJ54" s="50"/>
      <c r="AK54" s="50"/>
      <c r="AL54" s="50"/>
      <c r="AM54" s="50"/>
      <c r="AN54" s="50"/>
      <c r="AO54" s="50"/>
      <c r="AP54" s="11"/>
      <c r="AQ54" s="9"/>
      <c r="AR54" s="9"/>
      <c r="AS54" s="11">
        <f>AP54/AF54</f>
        <v>0</v>
      </c>
      <c r="AT54" s="50"/>
      <c r="AU54" s="50"/>
      <c r="AW54" s="12"/>
      <c r="AX54" s="44"/>
      <c r="AY54" s="44"/>
      <c r="AZ54" s="12">
        <v>4</v>
      </c>
      <c r="BA54" s="46">
        <v>50</v>
      </c>
      <c r="BB54" s="44">
        <v>120</v>
      </c>
      <c r="BC54" s="46"/>
      <c r="BD54" s="12"/>
      <c r="BE54" s="12"/>
      <c r="BF54" s="12"/>
      <c r="BG54" s="12"/>
      <c r="BH54" s="14"/>
      <c r="BS54" s="36" t="s">
        <v>99</v>
      </c>
      <c r="BU54" s="1" t="s">
        <v>264</v>
      </c>
      <c r="BV54" s="54" t="e">
        <f t="shared" si="14"/>
        <v>#DIV/0!</v>
      </c>
      <c r="BW54" s="54" t="e">
        <f t="shared" si="15"/>
        <v>#DIV/0!</v>
      </c>
    </row>
    <row r="55" spans="1:75" x14ac:dyDescent="0.35">
      <c r="A55" s="75" t="s">
        <v>309</v>
      </c>
      <c r="B55" t="s">
        <v>310</v>
      </c>
      <c r="C55" t="s">
        <v>228</v>
      </c>
      <c r="D55" t="s">
        <v>311</v>
      </c>
      <c r="E55">
        <v>1926</v>
      </c>
      <c r="L55" t="s">
        <v>232</v>
      </c>
      <c r="M55" t="s">
        <v>143</v>
      </c>
      <c r="P55" t="s">
        <v>43</v>
      </c>
      <c r="Q55" s="6">
        <v>10</v>
      </c>
      <c r="R55" s="6">
        <v>10</v>
      </c>
      <c r="S55" s="6">
        <v>0</v>
      </c>
      <c r="T55" s="6">
        <v>0</v>
      </c>
      <c r="U55" s="6">
        <v>6</v>
      </c>
      <c r="V55" s="6"/>
      <c r="W55" s="6">
        <v>4</v>
      </c>
      <c r="X55" s="6"/>
      <c r="Y55" s="6"/>
      <c r="Z55" s="6">
        <v>4</v>
      </c>
      <c r="AA55" s="6"/>
      <c r="AB55" s="6"/>
      <c r="AC55" s="6"/>
      <c r="AD55" s="9">
        <v>1</v>
      </c>
      <c r="AE55" s="9"/>
      <c r="AF55" s="11"/>
      <c r="AG55" s="10"/>
      <c r="AH55" s="10"/>
      <c r="AI55" s="50"/>
      <c r="AJ55" s="50" t="s">
        <v>32</v>
      </c>
      <c r="AK55" s="50" t="s">
        <v>159</v>
      </c>
      <c r="AL55" s="50"/>
      <c r="AM55" s="50"/>
      <c r="AN55" s="50"/>
      <c r="AO55" s="50" t="s">
        <v>196</v>
      </c>
      <c r="AP55" s="11"/>
      <c r="AQ55" s="9"/>
      <c r="AR55" s="9"/>
      <c r="AS55" s="11" t="e">
        <f t="shared" ref="AS55" si="16">AP55/AF55</f>
        <v>#DIV/0!</v>
      </c>
      <c r="AT55" s="50" t="s">
        <v>34</v>
      </c>
      <c r="AU55" s="50"/>
      <c r="AW55" s="12"/>
      <c r="AX55" s="44"/>
      <c r="AY55" s="44">
        <v>595</v>
      </c>
      <c r="AZ55" s="12">
        <v>3</v>
      </c>
      <c r="BA55" s="46"/>
      <c r="BB55" s="44">
        <v>112</v>
      </c>
      <c r="BC55" s="46"/>
      <c r="BD55" s="12"/>
      <c r="BE55" s="12"/>
      <c r="BF55" s="12"/>
      <c r="BG55" s="12"/>
      <c r="BH55" s="14">
        <v>50</v>
      </c>
      <c r="BI55" t="s">
        <v>31</v>
      </c>
      <c r="BS55" s="36" t="s">
        <v>156</v>
      </c>
      <c r="BU55" s="1" t="s">
        <v>264</v>
      </c>
      <c r="BV55" s="54" t="e">
        <f t="shared" si="14"/>
        <v>#DIV/0!</v>
      </c>
      <c r="BW55" s="54" t="e">
        <f t="shared" si="15"/>
        <v>#DIV/0!</v>
      </c>
    </row>
    <row r="56" spans="1:75" x14ac:dyDescent="0.35">
      <c r="A56" s="73" t="s">
        <v>312</v>
      </c>
      <c r="B56" t="s">
        <v>313</v>
      </c>
      <c r="C56" t="s">
        <v>229</v>
      </c>
      <c r="D56" t="s">
        <v>51</v>
      </c>
      <c r="E56">
        <v>2016</v>
      </c>
      <c r="G56">
        <v>2024</v>
      </c>
      <c r="H56">
        <v>100</v>
      </c>
      <c r="L56" t="s">
        <v>99</v>
      </c>
      <c r="M56" t="s">
        <v>314</v>
      </c>
      <c r="P56" t="s">
        <v>43</v>
      </c>
      <c r="Q56" s="6">
        <v>10</v>
      </c>
      <c r="R56" s="6"/>
      <c r="S56" s="6"/>
      <c r="T56" s="6"/>
      <c r="U56" s="6"/>
      <c r="V56" s="6"/>
      <c r="W56" s="6">
        <v>2</v>
      </c>
      <c r="X56" s="6"/>
      <c r="Y56" s="6"/>
      <c r="Z56" s="6"/>
      <c r="AA56" s="6"/>
      <c r="AB56" s="6"/>
      <c r="AC56" s="6"/>
      <c r="AD56" s="9">
        <v>1</v>
      </c>
      <c r="AE56" s="9"/>
      <c r="AF56" s="11">
        <v>12.8</v>
      </c>
      <c r="AG56" s="10"/>
      <c r="AH56" s="10"/>
      <c r="AI56" s="50"/>
      <c r="AJ56" s="50" t="s">
        <v>32</v>
      </c>
      <c r="AK56" s="50"/>
      <c r="AL56" s="50"/>
      <c r="AM56" s="50"/>
      <c r="AN56" s="50"/>
      <c r="AO56" s="50"/>
      <c r="AP56" s="11">
        <v>10.3</v>
      </c>
      <c r="AQ56" s="9"/>
      <c r="AR56" s="9">
        <v>3</v>
      </c>
      <c r="AS56" s="11">
        <f t="shared" ref="AS56:AS61" si="17">AP56/AF56</f>
        <v>0.8046875</v>
      </c>
      <c r="AT56" s="50" t="s">
        <v>37</v>
      </c>
      <c r="AU56" s="50"/>
      <c r="AW56" s="12"/>
      <c r="AX56" s="44">
        <v>3307</v>
      </c>
      <c r="AY56" s="44"/>
      <c r="AZ56" s="12">
        <v>4</v>
      </c>
      <c r="BA56" s="46">
        <v>155</v>
      </c>
      <c r="BB56" s="44">
        <v>124</v>
      </c>
      <c r="BC56" s="46"/>
      <c r="BD56" s="12"/>
      <c r="BE56" s="12"/>
      <c r="BF56" s="12"/>
      <c r="BG56" s="12"/>
      <c r="BH56" s="14"/>
      <c r="BI56" t="s">
        <v>31</v>
      </c>
      <c r="BS56" s="36" t="s">
        <v>156</v>
      </c>
      <c r="BU56" s="1" t="s">
        <v>264</v>
      </c>
      <c r="BV56" s="54">
        <f t="shared" si="14"/>
        <v>0</v>
      </c>
      <c r="BW56" s="54">
        <f t="shared" si="15"/>
        <v>0</v>
      </c>
    </row>
    <row r="57" spans="1:75" x14ac:dyDescent="0.35">
      <c r="A57" s="73" t="s">
        <v>315</v>
      </c>
      <c r="B57" t="s">
        <v>316</v>
      </c>
      <c r="C57" t="s">
        <v>229</v>
      </c>
      <c r="D57" t="s">
        <v>6</v>
      </c>
      <c r="E57">
        <v>2018</v>
      </c>
      <c r="F57">
        <v>2022</v>
      </c>
      <c r="G57">
        <v>2025</v>
      </c>
      <c r="L57" t="s">
        <v>99</v>
      </c>
      <c r="M57" t="s">
        <v>314</v>
      </c>
      <c r="Q57" s="6">
        <v>9</v>
      </c>
      <c r="R57" s="6">
        <v>9</v>
      </c>
      <c r="S57" s="6"/>
      <c r="T57" s="6"/>
      <c r="U57" s="6">
        <v>6</v>
      </c>
      <c r="V57" s="6"/>
      <c r="W57" s="6">
        <v>1</v>
      </c>
      <c r="X57" s="6">
        <v>2.5</v>
      </c>
      <c r="Y57" s="6">
        <v>1.8</v>
      </c>
      <c r="Z57" s="6"/>
      <c r="AA57" s="6">
        <v>2</v>
      </c>
      <c r="AB57" s="6"/>
      <c r="AC57" s="6">
        <v>2</v>
      </c>
      <c r="AD57" s="9">
        <v>2</v>
      </c>
      <c r="AE57" s="9"/>
      <c r="AF57" s="11"/>
      <c r="AG57" s="10"/>
      <c r="AH57" s="10"/>
      <c r="AI57" s="50"/>
      <c r="AJ57" s="50" t="s">
        <v>32</v>
      </c>
      <c r="AK57" s="50" t="s">
        <v>31</v>
      </c>
      <c r="AL57" s="50"/>
      <c r="AM57" s="50"/>
      <c r="AN57" s="50"/>
      <c r="AO57" s="50"/>
      <c r="AP57" s="11"/>
      <c r="AQ57" s="9"/>
      <c r="AR57" s="9"/>
      <c r="AS57" s="11" t="e">
        <f t="shared" si="17"/>
        <v>#DIV/0!</v>
      </c>
      <c r="AT57" s="50"/>
      <c r="AU57" s="50"/>
      <c r="AW57" s="12"/>
      <c r="AX57" s="44">
        <v>1323</v>
      </c>
      <c r="AY57" s="44"/>
      <c r="AZ57" s="12">
        <v>4</v>
      </c>
      <c r="BA57" s="46"/>
      <c r="BB57" s="44"/>
      <c r="BC57" s="46"/>
      <c r="BD57" s="12"/>
      <c r="BE57" s="12"/>
      <c r="BF57" s="12"/>
      <c r="BG57" s="12"/>
      <c r="BH57" s="14"/>
      <c r="BU57" s="1" t="s">
        <v>264</v>
      </c>
      <c r="BV57" s="54" t="e">
        <f t="shared" si="14"/>
        <v>#DIV/0!</v>
      </c>
      <c r="BW57" s="54" t="e">
        <f t="shared" si="15"/>
        <v>#DIV/0!</v>
      </c>
    </row>
    <row r="58" spans="1:75" x14ac:dyDescent="0.35">
      <c r="A58" s="75" t="s">
        <v>312</v>
      </c>
      <c r="B58" t="s">
        <v>317</v>
      </c>
      <c r="C58" t="s">
        <v>229</v>
      </c>
      <c r="D58" t="s">
        <v>51</v>
      </c>
      <c r="E58">
        <v>2016</v>
      </c>
      <c r="L58" t="s">
        <v>40</v>
      </c>
      <c r="M58" t="s">
        <v>143</v>
      </c>
      <c r="Q58" s="6">
        <v>9</v>
      </c>
      <c r="R58" s="6">
        <v>9</v>
      </c>
      <c r="S58" s="6"/>
      <c r="T58" s="6"/>
      <c r="U58" s="6">
        <v>8</v>
      </c>
      <c r="V58" s="6"/>
      <c r="W58" s="6">
        <v>1</v>
      </c>
      <c r="X58" s="6"/>
      <c r="Y58" s="6"/>
      <c r="Z58" s="6"/>
      <c r="AA58" s="6"/>
      <c r="AB58" s="6"/>
      <c r="AC58" s="6"/>
      <c r="AD58" s="9"/>
      <c r="AE58" s="9"/>
      <c r="AF58" s="11"/>
      <c r="AG58" s="10"/>
      <c r="AH58" s="10"/>
      <c r="AI58" s="50"/>
      <c r="AJ58" s="50"/>
      <c r="AK58" s="50"/>
      <c r="AL58" s="50"/>
      <c r="AM58" s="50"/>
      <c r="AN58" s="50"/>
      <c r="AO58" s="50"/>
      <c r="AP58" s="11"/>
      <c r="AQ58" s="9"/>
      <c r="AR58" s="9"/>
      <c r="AS58" s="11" t="e">
        <f t="shared" si="17"/>
        <v>#DIV/0!</v>
      </c>
      <c r="AT58" s="50"/>
      <c r="AU58" s="50"/>
      <c r="AW58" s="12"/>
      <c r="AX58" s="44">
        <v>2205</v>
      </c>
      <c r="AY58" s="44"/>
      <c r="AZ58" s="12"/>
      <c r="BA58" s="46"/>
      <c r="BB58" s="44"/>
      <c r="BC58" s="46"/>
      <c r="BD58" s="12"/>
      <c r="BE58" s="12"/>
      <c r="BF58" s="12"/>
      <c r="BG58" s="12"/>
      <c r="BH58" s="14"/>
      <c r="BS58" s="36" t="s">
        <v>156</v>
      </c>
      <c r="BU58" s="1" t="s">
        <v>264</v>
      </c>
      <c r="BV58" s="54" t="e">
        <f t="shared" si="14"/>
        <v>#DIV/0!</v>
      </c>
      <c r="BW58" s="54" t="e">
        <f t="shared" si="15"/>
        <v>#DIV/0!</v>
      </c>
    </row>
    <row r="59" spans="1:75" x14ac:dyDescent="0.35">
      <c r="A59" s="75" t="s">
        <v>318</v>
      </c>
      <c r="B59" t="s">
        <v>319</v>
      </c>
      <c r="C59" t="s">
        <v>111</v>
      </c>
      <c r="D59" t="s">
        <v>320</v>
      </c>
      <c r="E59">
        <v>2018</v>
      </c>
      <c r="F59">
        <v>2022</v>
      </c>
      <c r="G59">
        <v>2025</v>
      </c>
      <c r="P59" t="s">
        <v>43</v>
      </c>
      <c r="Q59" s="6">
        <v>33</v>
      </c>
      <c r="R59" s="6"/>
      <c r="S59" s="6"/>
      <c r="T59" s="6"/>
      <c r="U59" s="6">
        <v>32</v>
      </c>
      <c r="V59" s="6"/>
      <c r="W59" s="6">
        <v>1</v>
      </c>
      <c r="X59" s="6"/>
      <c r="Y59" s="6"/>
      <c r="Z59" s="6"/>
      <c r="AA59" s="6">
        <v>3</v>
      </c>
      <c r="AB59" s="6"/>
      <c r="AC59" s="6">
        <v>2</v>
      </c>
      <c r="AD59" s="9">
        <v>2</v>
      </c>
      <c r="AE59" s="9">
        <v>4</v>
      </c>
      <c r="AF59" s="11">
        <v>8.6199999999999992</v>
      </c>
      <c r="AG59" s="10"/>
      <c r="AH59" s="10"/>
      <c r="AI59" s="50"/>
      <c r="AJ59" s="50"/>
      <c r="AK59" s="50"/>
      <c r="AL59" s="50"/>
      <c r="AM59" s="50"/>
      <c r="AN59" s="50"/>
      <c r="AO59" s="50"/>
      <c r="AP59" s="11">
        <v>6.15</v>
      </c>
      <c r="AQ59" s="9"/>
      <c r="AR59" s="9">
        <v>2.5099999999999998</v>
      </c>
      <c r="AS59" s="11">
        <f t="shared" si="17"/>
        <v>0.71345707656612545</v>
      </c>
      <c r="AT59" s="50" t="s">
        <v>34</v>
      </c>
      <c r="AU59" s="50"/>
      <c r="AW59" s="12"/>
      <c r="AX59" s="44"/>
      <c r="AY59" s="44"/>
      <c r="AZ59" s="12"/>
      <c r="BA59" s="46">
        <v>162</v>
      </c>
      <c r="BB59" s="44">
        <v>162</v>
      </c>
      <c r="BC59" s="46"/>
      <c r="BD59" s="12"/>
      <c r="BE59" s="12"/>
      <c r="BF59" s="12"/>
      <c r="BG59" s="12"/>
      <c r="BH59" s="14">
        <v>60</v>
      </c>
      <c r="BI59" t="s">
        <v>31</v>
      </c>
      <c r="BU59" s="1" t="s">
        <v>264</v>
      </c>
      <c r="BV59" s="54" t="e">
        <f t="shared" si="14"/>
        <v>#DIV/0!</v>
      </c>
      <c r="BW59" s="54" t="e">
        <f t="shared" si="15"/>
        <v>#DIV/0!</v>
      </c>
    </row>
    <row r="60" spans="1:75" x14ac:dyDescent="0.35">
      <c r="A60" s="75" t="s">
        <v>281</v>
      </c>
      <c r="B60" t="s">
        <v>321</v>
      </c>
      <c r="C60" t="s">
        <v>229</v>
      </c>
      <c r="D60" t="s">
        <v>322</v>
      </c>
      <c r="L60" t="s">
        <v>232</v>
      </c>
      <c r="M60" t="s">
        <v>40</v>
      </c>
      <c r="P60" t="s">
        <v>43</v>
      </c>
      <c r="Q60" s="6">
        <v>22</v>
      </c>
      <c r="R60" s="6">
        <v>22</v>
      </c>
      <c r="S60" s="6"/>
      <c r="T60" s="6">
        <v>22</v>
      </c>
      <c r="U60" s="6">
        <v>16</v>
      </c>
      <c r="V60" s="6"/>
      <c r="W60" s="6">
        <v>6</v>
      </c>
      <c r="X60" s="6"/>
      <c r="Y60" s="6"/>
      <c r="Z60" s="6"/>
      <c r="AA60" s="6"/>
      <c r="AB60" s="6"/>
      <c r="AC60" s="6"/>
      <c r="AD60" s="9">
        <v>2</v>
      </c>
      <c r="AE60" s="9"/>
      <c r="AF60" s="11"/>
      <c r="AG60" s="10"/>
      <c r="AH60" s="10"/>
      <c r="AI60" s="50"/>
      <c r="AJ60" s="50" t="s">
        <v>63</v>
      </c>
      <c r="AK60" s="50" t="s">
        <v>31</v>
      </c>
      <c r="AL60" s="50"/>
      <c r="AM60" s="50"/>
      <c r="AN60" s="50"/>
      <c r="AO60" s="50"/>
      <c r="AP60" s="11">
        <v>6.1</v>
      </c>
      <c r="AQ60" s="9"/>
      <c r="AR60" s="9"/>
      <c r="AS60" s="11" t="e">
        <f t="shared" si="17"/>
        <v>#DIV/0!</v>
      </c>
      <c r="AT60" s="50"/>
      <c r="AU60" s="50"/>
      <c r="AW60" s="12"/>
      <c r="AX60" s="44"/>
      <c r="AY60" s="44"/>
      <c r="AZ60" s="12">
        <v>3</v>
      </c>
      <c r="BA60" s="46">
        <v>300</v>
      </c>
      <c r="BB60" s="44">
        <v>250</v>
      </c>
      <c r="BC60" s="46"/>
      <c r="BD60" s="12"/>
      <c r="BE60" s="12"/>
      <c r="BF60" s="12"/>
      <c r="BG60" s="12"/>
      <c r="BH60" s="14">
        <v>75</v>
      </c>
      <c r="BS60" s="36" t="s">
        <v>99</v>
      </c>
      <c r="BU60" s="1" t="s">
        <v>264</v>
      </c>
      <c r="BV60" s="54" t="e">
        <f t="shared" si="14"/>
        <v>#DIV/0!</v>
      </c>
      <c r="BW60" s="54" t="e">
        <f t="shared" si="15"/>
        <v>#DIV/0!</v>
      </c>
    </row>
    <row r="61" spans="1:75" x14ac:dyDescent="0.35">
      <c r="A61" s="73" t="s">
        <v>323</v>
      </c>
      <c r="B61" t="s">
        <v>324</v>
      </c>
      <c r="C61" t="s">
        <v>228</v>
      </c>
      <c r="D61" t="s">
        <v>80</v>
      </c>
      <c r="E61">
        <v>2019</v>
      </c>
      <c r="M61" t="s">
        <v>40</v>
      </c>
      <c r="Q61" s="6">
        <v>8</v>
      </c>
      <c r="R61" s="6">
        <v>8</v>
      </c>
      <c r="S61" s="6">
        <v>0</v>
      </c>
      <c r="T61" s="6">
        <v>0</v>
      </c>
      <c r="U61" s="6">
        <v>8</v>
      </c>
      <c r="V61" s="6"/>
      <c r="W61" s="6">
        <v>8</v>
      </c>
      <c r="X61" s="6"/>
      <c r="Y61" s="6"/>
      <c r="Z61" s="6">
        <v>8</v>
      </c>
      <c r="AA61" s="6">
        <v>2</v>
      </c>
      <c r="AB61" s="6">
        <v>2</v>
      </c>
      <c r="AC61" s="6">
        <v>2</v>
      </c>
      <c r="AD61" s="9">
        <v>1</v>
      </c>
      <c r="AE61" s="9">
        <v>2</v>
      </c>
      <c r="AF61" s="11">
        <v>6</v>
      </c>
      <c r="AG61" s="10"/>
      <c r="AH61" s="10"/>
      <c r="AI61" s="50"/>
      <c r="AJ61" s="50" t="s">
        <v>32</v>
      </c>
      <c r="AK61" s="50" t="s">
        <v>31</v>
      </c>
      <c r="AL61" s="50"/>
      <c r="AM61" s="50"/>
      <c r="AN61" s="50"/>
      <c r="AO61" s="50" t="s">
        <v>40</v>
      </c>
      <c r="AP61" s="11"/>
      <c r="AQ61" s="9"/>
      <c r="AR61" s="9"/>
      <c r="AS61" s="11">
        <f t="shared" si="17"/>
        <v>0</v>
      </c>
      <c r="AT61" s="50" t="s">
        <v>192</v>
      </c>
      <c r="AU61" s="50"/>
      <c r="AW61" s="12"/>
      <c r="AX61" s="44"/>
      <c r="AY61" s="44">
        <v>496</v>
      </c>
      <c r="AZ61" s="12">
        <v>1</v>
      </c>
      <c r="BA61" s="46">
        <v>100</v>
      </c>
      <c r="BB61" s="44">
        <v>220</v>
      </c>
      <c r="BC61" s="46"/>
      <c r="BD61" s="12"/>
      <c r="BE61" s="12"/>
      <c r="BF61" s="12"/>
      <c r="BG61" s="12"/>
      <c r="BH61" s="14">
        <v>25</v>
      </c>
      <c r="BI61" t="s">
        <v>31</v>
      </c>
      <c r="BN61">
        <v>38</v>
      </c>
      <c r="BS61" s="36" t="s">
        <v>236</v>
      </c>
      <c r="BU61" s="1" t="s">
        <v>264</v>
      </c>
      <c r="BV61" s="54" t="e">
        <f t="shared" si="14"/>
        <v>#DIV/0!</v>
      </c>
      <c r="BW61" s="54" t="e">
        <f t="shared" si="15"/>
        <v>#DIV/0!</v>
      </c>
    </row>
    <row r="62" spans="1:75" x14ac:dyDescent="0.35">
      <c r="A62" s="75" t="s">
        <v>325</v>
      </c>
      <c r="B62" t="s">
        <v>326</v>
      </c>
      <c r="C62" t="s">
        <v>141</v>
      </c>
      <c r="D62" t="s">
        <v>220</v>
      </c>
      <c r="E62">
        <v>2017</v>
      </c>
      <c r="O62" s="32">
        <v>0.5</v>
      </c>
      <c r="Q62" s="6">
        <v>26</v>
      </c>
      <c r="R62" s="6"/>
      <c r="S62" s="6"/>
      <c r="T62" s="6">
        <v>16</v>
      </c>
      <c r="U62" s="6">
        <v>4</v>
      </c>
      <c r="V62" s="6"/>
      <c r="W62" s="6">
        <v>16</v>
      </c>
      <c r="X62" s="6"/>
      <c r="Y62" s="6"/>
      <c r="Z62" s="6">
        <v>4</v>
      </c>
      <c r="AA62" s="6"/>
      <c r="AB62" s="6"/>
      <c r="AC62" s="6"/>
      <c r="AD62" s="9">
        <v>1</v>
      </c>
      <c r="AE62" s="9">
        <v>0</v>
      </c>
      <c r="AF62" s="11">
        <v>10</v>
      </c>
      <c r="AG62" s="10">
        <v>2</v>
      </c>
      <c r="AH62" s="10"/>
      <c r="AI62" s="50"/>
      <c r="AJ62" s="50"/>
      <c r="AK62" s="50"/>
      <c r="AL62" s="50">
        <v>1</v>
      </c>
      <c r="AM62" s="50"/>
      <c r="AN62" s="50"/>
      <c r="AO62" s="50"/>
      <c r="AP62" s="11">
        <v>4.3</v>
      </c>
      <c r="AQ62" s="9"/>
      <c r="AR62" s="9">
        <v>2.7</v>
      </c>
      <c r="AS62" s="11">
        <f>AP62/AF62</f>
        <v>0.43</v>
      </c>
      <c r="AT62" s="50"/>
      <c r="AU62" s="50"/>
      <c r="AW62" s="12"/>
      <c r="AX62" s="44"/>
      <c r="AY62" s="44">
        <v>551</v>
      </c>
      <c r="AZ62" s="12">
        <v>2</v>
      </c>
      <c r="BA62" s="46">
        <v>155.34</v>
      </c>
      <c r="BB62" s="44">
        <v>250</v>
      </c>
      <c r="BC62" s="46"/>
      <c r="BD62" s="12">
        <v>350</v>
      </c>
      <c r="BE62" s="12"/>
      <c r="BF62" s="12"/>
      <c r="BG62" s="12"/>
      <c r="BH62" s="14"/>
      <c r="BN62">
        <v>68</v>
      </c>
      <c r="BU62" s="1" t="s">
        <v>264</v>
      </c>
      <c r="BV62" s="54" t="e">
        <f t="shared" si="14"/>
        <v>#DIV/0!</v>
      </c>
      <c r="BW62" s="54" t="e">
        <f t="shared" si="15"/>
        <v>#DIV/0!</v>
      </c>
    </row>
    <row r="63" spans="1:75" x14ac:dyDescent="0.35">
      <c r="A63" s="75" t="s">
        <v>325</v>
      </c>
      <c r="B63" t="s">
        <v>327</v>
      </c>
      <c r="C63" t="s">
        <v>141</v>
      </c>
      <c r="D63" t="s">
        <v>328</v>
      </c>
      <c r="E63">
        <v>2019</v>
      </c>
      <c r="Q63" s="6">
        <v>24</v>
      </c>
      <c r="R63" s="6"/>
      <c r="S63" s="6"/>
      <c r="T63" s="6">
        <v>24</v>
      </c>
      <c r="U63" s="6"/>
      <c r="V63" s="6"/>
      <c r="W63" s="6"/>
      <c r="X63" s="6"/>
      <c r="Y63" s="6"/>
      <c r="Z63" s="6"/>
      <c r="AA63" s="6"/>
      <c r="AB63" s="6"/>
      <c r="AC63" s="6"/>
      <c r="AD63" s="9">
        <v>1</v>
      </c>
      <c r="AE63" s="9"/>
      <c r="AF63" s="11"/>
      <c r="AG63" s="10"/>
      <c r="AH63" s="10"/>
      <c r="AI63" s="50"/>
      <c r="AJ63" s="50"/>
      <c r="AK63" s="50"/>
      <c r="AL63" s="50">
        <v>1</v>
      </c>
      <c r="AM63" s="50"/>
      <c r="AN63" s="50"/>
      <c r="AO63" s="50"/>
      <c r="AP63" s="11">
        <v>1</v>
      </c>
      <c r="AQ63" s="9">
        <v>2</v>
      </c>
      <c r="AR63" s="9"/>
      <c r="AS63" s="11" t="e">
        <f t="shared" ref="AS63" si="18">AP63/AF63</f>
        <v>#DIV/0!</v>
      </c>
      <c r="AT63" s="50"/>
      <c r="AU63" s="50"/>
      <c r="AW63" s="12"/>
      <c r="AX63" s="44"/>
      <c r="AY63" s="44">
        <v>22</v>
      </c>
      <c r="AZ63" s="12"/>
      <c r="BA63" s="46"/>
      <c r="BB63" s="44">
        <v>124</v>
      </c>
      <c r="BC63" s="46"/>
      <c r="BD63" s="12"/>
      <c r="BE63" s="12"/>
      <c r="BF63" s="12"/>
      <c r="BG63" s="12"/>
      <c r="BH63" s="14">
        <v>60</v>
      </c>
      <c r="BU63" s="1" t="s">
        <v>264</v>
      </c>
      <c r="BV63" s="54" t="e">
        <f t="shared" si="14"/>
        <v>#DIV/0!</v>
      </c>
      <c r="BW63" s="54" t="e">
        <f t="shared" si="15"/>
        <v>#DIV/0!</v>
      </c>
    </row>
    <row r="64" spans="1:75" x14ac:dyDescent="0.35">
      <c r="A64" s="73" t="s">
        <v>329</v>
      </c>
      <c r="B64" t="s">
        <v>330</v>
      </c>
      <c r="C64" t="s">
        <v>34</v>
      </c>
      <c r="D64" t="s">
        <v>331</v>
      </c>
      <c r="Q64" s="6">
        <v>8</v>
      </c>
      <c r="R64" s="6"/>
      <c r="S64" s="6"/>
      <c r="T64" s="6">
        <v>8</v>
      </c>
      <c r="U64" s="6"/>
      <c r="V64" s="6"/>
      <c r="W64" s="6"/>
      <c r="X64" s="6"/>
      <c r="Y64" s="6"/>
      <c r="Z64" s="6"/>
      <c r="AA64" s="6"/>
      <c r="AB64" s="6"/>
      <c r="AC64" s="6"/>
      <c r="AD64" s="9">
        <v>2</v>
      </c>
      <c r="AE64" s="9">
        <v>2</v>
      </c>
      <c r="AF64" s="11">
        <v>8</v>
      </c>
      <c r="AG64" s="10"/>
      <c r="AH64" s="10"/>
      <c r="AI64" s="50">
        <v>2</v>
      </c>
      <c r="AJ64" s="50"/>
      <c r="AK64" s="50"/>
      <c r="AL64" s="50"/>
      <c r="AM64" s="50"/>
      <c r="AN64" s="50"/>
      <c r="AO64" s="50"/>
      <c r="AP64" s="11">
        <v>7</v>
      </c>
      <c r="AQ64" s="9"/>
      <c r="AR64" s="9"/>
      <c r="AS64" s="11">
        <f t="shared" ref="AS64:AS97" si="19">AP64/AF64</f>
        <v>0.875</v>
      </c>
      <c r="AT64" s="50"/>
      <c r="AU64" s="50"/>
      <c r="AW64" s="12"/>
      <c r="AX64" s="44">
        <v>1800</v>
      </c>
      <c r="AY64" s="44"/>
      <c r="AZ64" s="12">
        <v>4</v>
      </c>
      <c r="BA64" s="46">
        <v>115</v>
      </c>
      <c r="BB64" s="44">
        <v>138</v>
      </c>
      <c r="BC64" s="46"/>
      <c r="BD64" s="12"/>
      <c r="BE64" s="12"/>
      <c r="BF64" s="12"/>
      <c r="BG64" s="12"/>
      <c r="BH64" s="14"/>
      <c r="BS64" s="36" t="s">
        <v>156</v>
      </c>
      <c r="BU64" s="1" t="s">
        <v>264</v>
      </c>
      <c r="BV64" s="54">
        <f t="shared" si="14"/>
        <v>0</v>
      </c>
      <c r="BW64" s="54">
        <f t="shared" si="15"/>
        <v>0</v>
      </c>
    </row>
    <row r="65" spans="1:75" x14ac:dyDescent="0.35">
      <c r="A65" s="75" t="s">
        <v>332</v>
      </c>
      <c r="B65" t="s">
        <v>333</v>
      </c>
      <c r="C65" t="s">
        <v>228</v>
      </c>
      <c r="D65" t="s">
        <v>289</v>
      </c>
      <c r="E65">
        <v>2019</v>
      </c>
      <c r="L65" t="s">
        <v>99</v>
      </c>
      <c r="P65" t="s">
        <v>334</v>
      </c>
      <c r="Q65" s="6">
        <v>8</v>
      </c>
      <c r="R65" s="6"/>
      <c r="S65" s="6">
        <v>4</v>
      </c>
      <c r="T65" s="6">
        <v>4</v>
      </c>
      <c r="U65" s="6">
        <v>8</v>
      </c>
      <c r="V65" s="6"/>
      <c r="W65" s="6">
        <v>8</v>
      </c>
      <c r="X65" s="6"/>
      <c r="Y65" s="6"/>
      <c r="Z65" s="6">
        <v>4</v>
      </c>
      <c r="AA65" s="6">
        <v>2</v>
      </c>
      <c r="AB65" s="6">
        <v>2</v>
      </c>
      <c r="AC65" s="6">
        <v>2</v>
      </c>
      <c r="AD65" s="9">
        <v>2</v>
      </c>
      <c r="AE65" s="9">
        <v>2</v>
      </c>
      <c r="AF65" s="11"/>
      <c r="AG65" s="10"/>
      <c r="AH65" s="10"/>
      <c r="AI65" s="50"/>
      <c r="AJ65" s="50"/>
      <c r="AK65" s="50"/>
      <c r="AL65" s="50"/>
      <c r="AM65" s="50"/>
      <c r="AN65" s="50"/>
      <c r="AO65" s="50"/>
      <c r="AP65" s="11"/>
      <c r="AQ65" s="9"/>
      <c r="AR65" s="9"/>
      <c r="AS65" s="11" t="e">
        <f t="shared" si="19"/>
        <v>#DIV/0!</v>
      </c>
      <c r="AT65" s="50" t="s">
        <v>55</v>
      </c>
      <c r="AU65" s="50"/>
      <c r="AW65" s="12"/>
      <c r="AX65" s="44"/>
      <c r="AY65" s="44">
        <v>992</v>
      </c>
      <c r="AZ65" s="12">
        <v>2</v>
      </c>
      <c r="BA65" s="46">
        <v>25</v>
      </c>
      <c r="BB65" s="44">
        <v>62</v>
      </c>
      <c r="BC65" s="46"/>
      <c r="BD65" s="12">
        <v>2000</v>
      </c>
      <c r="BE65" s="12"/>
      <c r="BF65" s="12"/>
      <c r="BG65" s="12"/>
      <c r="BH65" s="14">
        <v>30</v>
      </c>
      <c r="BI65" t="s">
        <v>31</v>
      </c>
      <c r="BU65" s="1" t="s">
        <v>264</v>
      </c>
      <c r="BV65" s="54" t="e">
        <f t="shared" si="14"/>
        <v>#DIV/0!</v>
      </c>
      <c r="BW65" s="54" t="e">
        <f t="shared" si="15"/>
        <v>#DIV/0!</v>
      </c>
    </row>
    <row r="66" spans="1:75" x14ac:dyDescent="0.35">
      <c r="A66" s="75" t="s">
        <v>335</v>
      </c>
      <c r="B66" t="s">
        <v>336</v>
      </c>
      <c r="C66" t="s">
        <v>229</v>
      </c>
      <c r="D66" t="s">
        <v>337</v>
      </c>
      <c r="E66">
        <v>2017</v>
      </c>
      <c r="Q66" s="6"/>
      <c r="R66" s="6"/>
      <c r="S66" s="6"/>
      <c r="T66" s="6"/>
      <c r="U66" s="6"/>
      <c r="V66" s="6"/>
      <c r="W66" s="6"/>
      <c r="X66" s="6"/>
      <c r="Y66" s="6"/>
      <c r="Z66" s="6"/>
      <c r="AA66" s="6"/>
      <c r="AB66" s="6"/>
      <c r="AC66" s="6"/>
      <c r="AD66" s="9"/>
      <c r="AE66" s="9"/>
      <c r="AF66" s="11">
        <v>3.04</v>
      </c>
      <c r="AG66" s="10"/>
      <c r="AH66" s="10"/>
      <c r="AI66" s="50"/>
      <c r="AJ66" s="50"/>
      <c r="AK66" s="50"/>
      <c r="AL66" s="50"/>
      <c r="AM66" s="50"/>
      <c r="AN66" s="50"/>
      <c r="AO66" s="50"/>
      <c r="AP66" s="11"/>
      <c r="AQ66" s="9"/>
      <c r="AR66" s="9">
        <v>1.3</v>
      </c>
      <c r="AS66" s="11">
        <f t="shared" si="19"/>
        <v>0</v>
      </c>
      <c r="AT66" s="50"/>
      <c r="AU66" s="50"/>
      <c r="AW66" s="12">
        <v>1190</v>
      </c>
      <c r="AX66" s="44"/>
      <c r="AY66" s="44"/>
      <c r="AZ66" s="12">
        <v>3</v>
      </c>
      <c r="BA66" s="46">
        <v>93</v>
      </c>
      <c r="BB66" s="44">
        <v>149</v>
      </c>
      <c r="BC66" s="46"/>
      <c r="BD66" s="12"/>
      <c r="BE66" s="12"/>
      <c r="BF66" s="12"/>
      <c r="BG66" s="12"/>
      <c r="BH66" s="14">
        <v>50</v>
      </c>
      <c r="BU66" s="1" t="s">
        <v>264</v>
      </c>
      <c r="BV66" s="54" t="e">
        <f t="shared" si="14"/>
        <v>#DIV/0!</v>
      </c>
      <c r="BW66" s="54" t="e">
        <f t="shared" si="15"/>
        <v>#DIV/0!</v>
      </c>
    </row>
    <row r="67" spans="1:75" x14ac:dyDescent="0.35">
      <c r="A67" s="75" t="s">
        <v>338</v>
      </c>
      <c r="B67" t="s">
        <v>339</v>
      </c>
      <c r="C67" t="s">
        <v>228</v>
      </c>
      <c r="D67" t="s">
        <v>80</v>
      </c>
      <c r="G67">
        <v>2023</v>
      </c>
      <c r="I67" s="40">
        <v>80</v>
      </c>
      <c r="L67" t="s">
        <v>296</v>
      </c>
      <c r="Q67" s="6">
        <v>10</v>
      </c>
      <c r="R67" s="6">
        <v>10</v>
      </c>
      <c r="S67" s="6">
        <v>4</v>
      </c>
      <c r="T67" s="6">
        <v>0</v>
      </c>
      <c r="U67" s="6">
        <v>8</v>
      </c>
      <c r="V67" s="6"/>
      <c r="W67" s="6">
        <v>2</v>
      </c>
      <c r="X67" s="6"/>
      <c r="Y67" s="6"/>
      <c r="Z67" s="6">
        <v>2</v>
      </c>
      <c r="AA67" s="6">
        <v>5</v>
      </c>
      <c r="AB67" s="6">
        <v>5</v>
      </c>
      <c r="AC67" s="6">
        <v>2</v>
      </c>
      <c r="AD67" s="9">
        <v>1</v>
      </c>
      <c r="AE67" s="9">
        <v>4</v>
      </c>
      <c r="AF67" s="11"/>
      <c r="AG67" s="10"/>
      <c r="AH67" s="10"/>
      <c r="AI67" s="50"/>
      <c r="AJ67" s="50"/>
      <c r="AK67" s="50"/>
      <c r="AL67" s="50"/>
      <c r="AM67" s="50"/>
      <c r="AN67" s="50"/>
      <c r="AO67" s="50"/>
      <c r="AP67" s="11"/>
      <c r="AQ67" s="9"/>
      <c r="AR67" s="9"/>
      <c r="AS67" s="11" t="e">
        <f t="shared" si="19"/>
        <v>#DIV/0!</v>
      </c>
      <c r="AT67" s="50"/>
      <c r="AU67" s="50"/>
      <c r="AW67" s="12"/>
      <c r="AX67" s="44"/>
      <c r="AY67" s="44"/>
      <c r="AZ67" s="12">
        <v>5</v>
      </c>
      <c r="BA67" s="46">
        <v>60</v>
      </c>
      <c r="BB67" s="44">
        <v>150</v>
      </c>
      <c r="BC67" s="46"/>
      <c r="BD67" s="12"/>
      <c r="BE67" s="12"/>
      <c r="BF67" s="12"/>
      <c r="BG67" s="12"/>
      <c r="BH67" s="14">
        <v>180</v>
      </c>
      <c r="BS67" s="36" t="s">
        <v>99</v>
      </c>
      <c r="BU67" s="1" t="s">
        <v>264</v>
      </c>
      <c r="BV67" s="54" t="e">
        <f t="shared" si="14"/>
        <v>#DIV/0!</v>
      </c>
      <c r="BW67" s="54" t="e">
        <f t="shared" si="15"/>
        <v>#DIV/0!</v>
      </c>
    </row>
    <row r="68" spans="1:75" x14ac:dyDescent="0.35">
      <c r="A68" s="75" t="s">
        <v>340</v>
      </c>
      <c r="B68" t="s">
        <v>341</v>
      </c>
      <c r="D68" t="s">
        <v>213</v>
      </c>
      <c r="E68">
        <v>2016</v>
      </c>
      <c r="L68" t="s">
        <v>232</v>
      </c>
      <c r="P68" t="s">
        <v>43</v>
      </c>
      <c r="Q68" s="6">
        <v>10</v>
      </c>
      <c r="R68" s="6">
        <v>10</v>
      </c>
      <c r="S68" s="6"/>
      <c r="T68" s="6">
        <v>4</v>
      </c>
      <c r="U68" s="6">
        <v>8</v>
      </c>
      <c r="V68" s="6"/>
      <c r="W68" s="6">
        <v>2</v>
      </c>
      <c r="X68" s="6"/>
      <c r="Y68" s="6"/>
      <c r="Z68" s="6"/>
      <c r="AA68" s="6"/>
      <c r="AB68" s="6"/>
      <c r="AC68" s="6"/>
      <c r="AD68" s="9">
        <v>2</v>
      </c>
      <c r="AE68" s="9">
        <v>4</v>
      </c>
      <c r="AF68" s="11"/>
      <c r="AG68" s="10"/>
      <c r="AH68" s="10"/>
      <c r="AI68" s="50"/>
      <c r="AJ68" s="50" t="s">
        <v>32</v>
      </c>
      <c r="AK68" s="50"/>
      <c r="AL68" s="50"/>
      <c r="AM68" s="50"/>
      <c r="AN68" s="50"/>
      <c r="AO68" s="50"/>
      <c r="AP68" s="11"/>
      <c r="AQ68" s="9"/>
      <c r="AR68" s="9"/>
      <c r="AS68" s="11" t="e">
        <f t="shared" si="19"/>
        <v>#DIV/0!</v>
      </c>
      <c r="AT68" s="50" t="s">
        <v>342</v>
      </c>
      <c r="AU68" s="50"/>
      <c r="AW68" s="12"/>
      <c r="AX68" s="44"/>
      <c r="AY68" s="44">
        <v>400</v>
      </c>
      <c r="AZ68" s="12">
        <v>2</v>
      </c>
      <c r="BA68" s="46">
        <v>60</v>
      </c>
      <c r="BB68" s="44">
        <v>100</v>
      </c>
      <c r="BC68" s="46"/>
      <c r="BD68" s="12"/>
      <c r="BE68" s="12"/>
      <c r="BF68" s="12"/>
      <c r="BG68" s="12"/>
      <c r="BH68" s="14">
        <v>40</v>
      </c>
      <c r="BI68" t="s">
        <v>31</v>
      </c>
      <c r="BL68" t="s">
        <v>343</v>
      </c>
      <c r="BU68" s="1" t="s">
        <v>264</v>
      </c>
      <c r="BV68" s="54" t="e">
        <f t="shared" si="14"/>
        <v>#DIV/0!</v>
      </c>
      <c r="BW68" s="54" t="e">
        <f t="shared" si="15"/>
        <v>#DIV/0!</v>
      </c>
    </row>
    <row r="69" spans="1:75" x14ac:dyDescent="0.35">
      <c r="A69" s="75" t="s">
        <v>344</v>
      </c>
      <c r="B69" t="s">
        <v>345</v>
      </c>
      <c r="D69" t="s">
        <v>289</v>
      </c>
      <c r="E69">
        <v>2017</v>
      </c>
      <c r="G69">
        <v>2025</v>
      </c>
      <c r="L69" t="s">
        <v>232</v>
      </c>
      <c r="P69" t="s">
        <v>43</v>
      </c>
      <c r="Q69" s="6">
        <v>8</v>
      </c>
      <c r="R69" s="6">
        <v>8</v>
      </c>
      <c r="S69" s="6"/>
      <c r="T69" s="6">
        <v>8</v>
      </c>
      <c r="U69" s="6"/>
      <c r="V69" s="6"/>
      <c r="W69" s="6"/>
      <c r="X69" s="6"/>
      <c r="Y69" s="6"/>
      <c r="Z69" s="6"/>
      <c r="AA69" s="6"/>
      <c r="AB69" s="6"/>
      <c r="AC69" s="6"/>
      <c r="AD69" s="9">
        <v>2</v>
      </c>
      <c r="AE69" s="9">
        <v>2</v>
      </c>
      <c r="AF69" s="11">
        <v>4</v>
      </c>
      <c r="AG69" s="10"/>
      <c r="AH69" s="10"/>
      <c r="AI69" s="50"/>
      <c r="AJ69" s="50" t="s">
        <v>63</v>
      </c>
      <c r="AK69" s="50" t="s">
        <v>159</v>
      </c>
      <c r="AL69" s="50"/>
      <c r="AM69" s="50"/>
      <c r="AN69" s="50"/>
      <c r="AO69" s="50" t="s">
        <v>181</v>
      </c>
      <c r="AP69" s="11">
        <v>4</v>
      </c>
      <c r="AQ69" s="9"/>
      <c r="AR69" s="9"/>
      <c r="AS69" s="11">
        <f t="shared" si="19"/>
        <v>1</v>
      </c>
      <c r="AT69" s="50" t="s">
        <v>159</v>
      </c>
      <c r="AU69" s="50"/>
      <c r="AW69" s="12"/>
      <c r="AX69" s="44"/>
      <c r="AY69" s="44">
        <v>441</v>
      </c>
      <c r="AZ69" s="12"/>
      <c r="BA69" s="46">
        <v>200</v>
      </c>
      <c r="BB69" s="44">
        <v>124</v>
      </c>
      <c r="BC69" s="46"/>
      <c r="BD69" s="12">
        <v>457</v>
      </c>
      <c r="BE69" s="12"/>
      <c r="BF69" s="12"/>
      <c r="BG69" s="12"/>
      <c r="BH69" s="14">
        <v>30</v>
      </c>
      <c r="BI69" t="s">
        <v>31</v>
      </c>
      <c r="BS69" s="36" t="s">
        <v>99</v>
      </c>
      <c r="BU69" s="1" t="s">
        <v>264</v>
      </c>
      <c r="BV69" s="54" t="e">
        <f t="shared" si="14"/>
        <v>#DIV/0!</v>
      </c>
      <c r="BW69" s="54" t="e">
        <f t="shared" si="15"/>
        <v>#DIV/0!</v>
      </c>
    </row>
    <row r="70" spans="1:75" x14ac:dyDescent="0.35">
      <c r="A70" s="75" t="s">
        <v>346</v>
      </c>
      <c r="B70" t="s">
        <v>347</v>
      </c>
      <c r="D70" t="s">
        <v>204</v>
      </c>
      <c r="E70">
        <v>2018</v>
      </c>
      <c r="Q70" s="6">
        <v>8</v>
      </c>
      <c r="R70" s="6">
        <v>8</v>
      </c>
      <c r="S70" s="6">
        <v>4</v>
      </c>
      <c r="T70" s="6"/>
      <c r="U70" s="6"/>
      <c r="V70" s="6"/>
      <c r="W70" s="6"/>
      <c r="X70" s="6"/>
      <c r="Y70" s="6"/>
      <c r="Z70" s="6"/>
      <c r="AA70" s="6"/>
      <c r="AB70" s="6"/>
      <c r="AC70" s="6"/>
      <c r="AD70" s="9">
        <v>1</v>
      </c>
      <c r="AE70" s="9">
        <v>4</v>
      </c>
      <c r="AF70" s="11"/>
      <c r="AG70" s="10"/>
      <c r="AH70" s="10"/>
      <c r="AI70" s="50"/>
      <c r="AJ70" s="50" t="s">
        <v>32</v>
      </c>
      <c r="AK70" s="50"/>
      <c r="AL70" s="50"/>
      <c r="AM70" s="50"/>
      <c r="AN70" s="50"/>
      <c r="AO70" s="50"/>
      <c r="AP70" s="11"/>
      <c r="AQ70" s="9"/>
      <c r="AR70" s="9"/>
      <c r="AS70" s="11" t="e">
        <f t="shared" si="19"/>
        <v>#DIV/0!</v>
      </c>
      <c r="AT70" s="50"/>
      <c r="AU70" s="50"/>
      <c r="AW70" s="12"/>
      <c r="AX70" s="44"/>
      <c r="AY70" s="44">
        <v>264</v>
      </c>
      <c r="AZ70" s="12"/>
      <c r="BA70" s="46"/>
      <c r="BB70" s="44">
        <v>90</v>
      </c>
      <c r="BC70" s="46"/>
      <c r="BD70" s="12"/>
      <c r="BE70" s="12"/>
      <c r="BF70" s="12"/>
      <c r="BG70" s="12"/>
      <c r="BH70" s="14">
        <v>32</v>
      </c>
      <c r="BU70" s="1" t="s">
        <v>264</v>
      </c>
      <c r="BV70" s="54" t="e">
        <f t="shared" si="14"/>
        <v>#DIV/0!</v>
      </c>
      <c r="BW70" s="54" t="e">
        <f t="shared" si="15"/>
        <v>#DIV/0!</v>
      </c>
    </row>
    <row r="71" spans="1:75" x14ac:dyDescent="0.35">
      <c r="A71" s="75" t="s">
        <v>348</v>
      </c>
      <c r="B71" t="s">
        <v>349</v>
      </c>
      <c r="D71" t="s">
        <v>350</v>
      </c>
      <c r="E71">
        <v>2016</v>
      </c>
      <c r="L71" t="s">
        <v>40</v>
      </c>
      <c r="P71" t="s">
        <v>43</v>
      </c>
      <c r="Q71" s="6">
        <v>5</v>
      </c>
      <c r="R71" s="6">
        <v>5</v>
      </c>
      <c r="S71" s="6"/>
      <c r="T71" s="6">
        <v>4</v>
      </c>
      <c r="U71" s="6">
        <v>4</v>
      </c>
      <c r="V71" s="6"/>
      <c r="W71" s="6">
        <v>1</v>
      </c>
      <c r="X71" s="6"/>
      <c r="Y71" s="6"/>
      <c r="Z71" s="6"/>
      <c r="AA71" s="6"/>
      <c r="AB71" s="6">
        <v>6</v>
      </c>
      <c r="AC71" s="6">
        <v>4</v>
      </c>
      <c r="AD71" s="9">
        <v>2</v>
      </c>
      <c r="AE71" s="9"/>
      <c r="AF71" s="11">
        <v>4</v>
      </c>
      <c r="AG71" s="10"/>
      <c r="AH71" s="10"/>
      <c r="AI71" s="50"/>
      <c r="AJ71" s="50"/>
      <c r="AK71" s="50"/>
      <c r="AL71" s="50"/>
      <c r="AM71" s="50"/>
      <c r="AN71" s="50"/>
      <c r="AO71" s="50"/>
      <c r="AP71" s="11">
        <v>4</v>
      </c>
      <c r="AQ71" s="9"/>
      <c r="AR71" s="9"/>
      <c r="AS71" s="11">
        <f t="shared" si="19"/>
        <v>1</v>
      </c>
      <c r="AT71" s="50" t="s">
        <v>37</v>
      </c>
      <c r="AU71" s="50"/>
      <c r="AW71" s="12"/>
      <c r="AX71" s="44"/>
      <c r="AY71" s="44"/>
      <c r="AZ71" s="12"/>
      <c r="BA71" s="46"/>
      <c r="BB71" s="44"/>
      <c r="BC71" s="46"/>
      <c r="BD71" s="12"/>
      <c r="BE71" s="12"/>
      <c r="BF71" s="12"/>
      <c r="BG71" s="12"/>
      <c r="BH71" s="14"/>
      <c r="BI71" t="s">
        <v>31</v>
      </c>
      <c r="BS71" s="36" t="s">
        <v>156</v>
      </c>
      <c r="BU71" s="1" t="s">
        <v>264</v>
      </c>
      <c r="BV71" s="54" t="e">
        <f t="shared" si="14"/>
        <v>#DIV/0!</v>
      </c>
      <c r="BW71" s="54" t="e">
        <f t="shared" si="15"/>
        <v>#DIV/0!</v>
      </c>
    </row>
    <row r="72" spans="1:75" x14ac:dyDescent="0.35">
      <c r="A72" s="75" t="s">
        <v>281</v>
      </c>
      <c r="B72" t="s">
        <v>351</v>
      </c>
      <c r="D72" t="s">
        <v>322</v>
      </c>
      <c r="L72" t="s">
        <v>40</v>
      </c>
      <c r="P72" t="s">
        <v>43</v>
      </c>
      <c r="Q72" s="6">
        <v>22</v>
      </c>
      <c r="R72" s="6">
        <v>22</v>
      </c>
      <c r="S72" s="6"/>
      <c r="T72" s="6">
        <v>22</v>
      </c>
      <c r="U72" s="6">
        <v>16</v>
      </c>
      <c r="V72" s="6"/>
      <c r="W72" s="6">
        <v>6</v>
      </c>
      <c r="X72" s="6"/>
      <c r="Y72" s="6"/>
      <c r="Z72" s="6"/>
      <c r="AA72" s="6"/>
      <c r="AB72" s="6"/>
      <c r="AC72" s="6"/>
      <c r="AD72" s="9">
        <v>2</v>
      </c>
      <c r="AE72" s="9"/>
      <c r="AF72" s="11">
        <v>5.5</v>
      </c>
      <c r="AG72" s="10"/>
      <c r="AH72" s="10"/>
      <c r="AI72" s="50"/>
      <c r="AJ72" s="50" t="s">
        <v>32</v>
      </c>
      <c r="AK72" s="50" t="s">
        <v>31</v>
      </c>
      <c r="AL72" s="50"/>
      <c r="AM72" s="50"/>
      <c r="AN72" s="50"/>
      <c r="AO72" s="50"/>
      <c r="AP72" s="11">
        <v>6.1</v>
      </c>
      <c r="AQ72" s="9"/>
      <c r="AR72" s="9"/>
      <c r="AS72" s="11">
        <f t="shared" si="19"/>
        <v>1.1090909090909091</v>
      </c>
      <c r="AT72" s="50" t="s">
        <v>55</v>
      </c>
      <c r="AU72" s="50"/>
      <c r="AW72" s="12"/>
      <c r="AX72" s="44"/>
      <c r="AY72" s="44"/>
      <c r="AZ72" s="12"/>
      <c r="BA72" s="46"/>
      <c r="BB72" s="44"/>
      <c r="BC72" s="46"/>
      <c r="BD72" s="12"/>
      <c r="BE72" s="12"/>
      <c r="BF72" s="12"/>
      <c r="BG72" s="12"/>
      <c r="BH72" s="14"/>
      <c r="BS72" s="36" t="s">
        <v>156</v>
      </c>
      <c r="BU72" s="1"/>
      <c r="BV72" s="54" t="e">
        <f t="shared" si="14"/>
        <v>#DIV/0!</v>
      </c>
      <c r="BW72" s="54" t="e">
        <f t="shared" si="15"/>
        <v>#DIV/0!</v>
      </c>
    </row>
    <row r="73" spans="1:75" x14ac:dyDescent="0.35">
      <c r="A73" s="75" t="s">
        <v>352</v>
      </c>
      <c r="B73" t="s">
        <v>353</v>
      </c>
      <c r="D73" t="s">
        <v>320</v>
      </c>
      <c r="E73">
        <v>2020</v>
      </c>
      <c r="M73" t="s">
        <v>178</v>
      </c>
      <c r="Q73" s="6">
        <v>8</v>
      </c>
      <c r="R73" s="6">
        <v>8</v>
      </c>
      <c r="S73" s="6"/>
      <c r="T73" s="6"/>
      <c r="U73" s="6"/>
      <c r="V73" s="6"/>
      <c r="W73" s="6"/>
      <c r="X73" s="6"/>
      <c r="Y73" s="6"/>
      <c r="Z73" s="6"/>
      <c r="AA73" s="6"/>
      <c r="AB73" s="6"/>
      <c r="AC73" s="6"/>
      <c r="AD73" s="9"/>
      <c r="AE73" s="9"/>
      <c r="AF73" s="11"/>
      <c r="AG73" s="10"/>
      <c r="AH73" s="10"/>
      <c r="AI73" s="50"/>
      <c r="AJ73" s="50"/>
      <c r="AK73" s="50"/>
      <c r="AL73" s="50"/>
      <c r="AM73" s="50"/>
      <c r="AN73" s="50"/>
      <c r="AO73" s="50"/>
      <c r="AP73" s="11"/>
      <c r="AQ73" s="9"/>
      <c r="AR73" s="9"/>
      <c r="AS73" s="11" t="e">
        <f t="shared" si="19"/>
        <v>#DIV/0!</v>
      </c>
      <c r="AT73" s="50"/>
      <c r="AU73" s="50"/>
      <c r="AW73" s="12"/>
      <c r="AX73" s="44"/>
      <c r="AY73" s="44"/>
      <c r="AZ73" s="12">
        <v>1</v>
      </c>
      <c r="BA73" s="46"/>
      <c r="BB73" s="44">
        <v>124</v>
      </c>
      <c r="BC73" s="46"/>
      <c r="BD73" s="12"/>
      <c r="BE73" s="12"/>
      <c r="BF73" s="12"/>
      <c r="BG73" s="12"/>
      <c r="BH73" s="14">
        <v>30</v>
      </c>
      <c r="BI73" t="s">
        <v>31</v>
      </c>
      <c r="BU73" s="1" t="s">
        <v>264</v>
      </c>
      <c r="BV73" s="54" t="e">
        <f t="shared" si="14"/>
        <v>#DIV/0!</v>
      </c>
      <c r="BW73" s="54" t="e">
        <f t="shared" si="15"/>
        <v>#DIV/0!</v>
      </c>
    </row>
    <row r="74" spans="1:75" x14ac:dyDescent="0.35">
      <c r="A74" s="75" t="s">
        <v>354</v>
      </c>
      <c r="B74" t="s">
        <v>355</v>
      </c>
      <c r="C74" t="s">
        <v>111</v>
      </c>
      <c r="D74" t="s">
        <v>235</v>
      </c>
      <c r="G74">
        <v>2025</v>
      </c>
      <c r="L74" t="s">
        <v>296</v>
      </c>
      <c r="M74" t="s">
        <v>178</v>
      </c>
      <c r="Q74" s="6"/>
      <c r="R74" s="6"/>
      <c r="S74" s="6"/>
      <c r="T74" s="6"/>
      <c r="U74" s="6"/>
      <c r="V74" s="6"/>
      <c r="W74" s="6"/>
      <c r="X74" s="6"/>
      <c r="Y74" s="6"/>
      <c r="Z74" s="6"/>
      <c r="AA74" s="6"/>
      <c r="AB74" s="6"/>
      <c r="AC74" s="6"/>
      <c r="AD74" s="9"/>
      <c r="AE74" s="9"/>
      <c r="AF74" s="11"/>
      <c r="AG74" s="10">
        <v>8.5</v>
      </c>
      <c r="AH74" s="10"/>
      <c r="AI74" s="50"/>
      <c r="AJ74" s="50"/>
      <c r="AK74" s="50"/>
      <c r="AL74" s="50"/>
      <c r="AM74" s="50"/>
      <c r="AN74" s="50"/>
      <c r="AO74" s="50"/>
      <c r="AP74" s="11">
        <v>2.6</v>
      </c>
      <c r="AQ74" s="9">
        <v>2.6</v>
      </c>
      <c r="AR74" s="9"/>
      <c r="AS74" s="11" t="e">
        <f t="shared" si="19"/>
        <v>#DIV/0!</v>
      </c>
      <c r="AT74" s="50"/>
      <c r="AU74" s="50"/>
      <c r="AW74" s="12"/>
      <c r="AX74" s="44"/>
      <c r="AY74" s="44">
        <v>220</v>
      </c>
      <c r="AZ74" s="12">
        <v>1</v>
      </c>
      <c r="BA74" s="46">
        <v>50</v>
      </c>
      <c r="BB74" s="44">
        <v>160</v>
      </c>
      <c r="BC74" s="46"/>
      <c r="BD74" s="12"/>
      <c r="BE74" s="12"/>
      <c r="BF74" s="12"/>
      <c r="BG74" s="12"/>
      <c r="BH74" s="14">
        <v>20</v>
      </c>
      <c r="BN74">
        <v>87</v>
      </c>
      <c r="BU74" s="1" t="s">
        <v>264</v>
      </c>
      <c r="BV74" s="54" t="e">
        <f t="shared" si="14"/>
        <v>#DIV/0!</v>
      </c>
      <c r="BW74" s="54" t="e">
        <f t="shared" si="15"/>
        <v>#DIV/0!</v>
      </c>
    </row>
    <row r="75" spans="1:75" x14ac:dyDescent="0.35">
      <c r="A75" s="75" t="s">
        <v>356</v>
      </c>
      <c r="B75" t="s">
        <v>357</v>
      </c>
      <c r="C75" t="s">
        <v>34</v>
      </c>
      <c r="D75" t="s">
        <v>357</v>
      </c>
      <c r="E75">
        <v>2006</v>
      </c>
      <c r="L75" t="s">
        <v>296</v>
      </c>
      <c r="M75" t="s">
        <v>178</v>
      </c>
      <c r="P75" t="s">
        <v>43</v>
      </c>
      <c r="Q75" s="6">
        <v>14</v>
      </c>
      <c r="R75" s="6">
        <v>14</v>
      </c>
      <c r="S75" s="6"/>
      <c r="T75" s="6">
        <v>2</v>
      </c>
      <c r="U75" s="6">
        <v>14</v>
      </c>
      <c r="V75" s="6"/>
      <c r="W75" s="6">
        <v>12</v>
      </c>
      <c r="X75" s="6"/>
      <c r="Y75" s="6"/>
      <c r="Z75" s="6"/>
      <c r="AA75" s="6">
        <v>6</v>
      </c>
      <c r="AB75" s="6">
        <v>6</v>
      </c>
      <c r="AC75" s="6">
        <v>6</v>
      </c>
      <c r="AD75" s="9">
        <v>2</v>
      </c>
      <c r="AE75" s="9">
        <v>6</v>
      </c>
      <c r="AF75" s="11"/>
      <c r="AG75" s="10"/>
      <c r="AH75" s="10"/>
      <c r="AI75" s="50">
        <v>2</v>
      </c>
      <c r="AJ75" s="50" t="s">
        <v>32</v>
      </c>
      <c r="AK75" s="50" t="s">
        <v>159</v>
      </c>
      <c r="AL75" s="50"/>
      <c r="AM75" s="50"/>
      <c r="AN75" s="50"/>
      <c r="AO75" s="50" t="s">
        <v>40</v>
      </c>
      <c r="AP75" s="11"/>
      <c r="AQ75" s="9"/>
      <c r="AR75" s="9"/>
      <c r="AS75" s="11" t="e">
        <f t="shared" si="19"/>
        <v>#DIV/0!</v>
      </c>
      <c r="AT75" s="50" t="s">
        <v>358</v>
      </c>
      <c r="AU75" s="50"/>
      <c r="AW75" s="12"/>
      <c r="AX75" s="44"/>
      <c r="AY75" s="44"/>
      <c r="AZ75" s="12">
        <v>1900</v>
      </c>
      <c r="BA75" s="46"/>
      <c r="BB75" s="44"/>
      <c r="BC75" s="46"/>
      <c r="BD75" s="12"/>
      <c r="BE75" s="12"/>
      <c r="BF75" s="12"/>
      <c r="BG75" s="12"/>
      <c r="BH75" s="14"/>
      <c r="BU75" s="1" t="s">
        <v>264</v>
      </c>
      <c r="BV75" s="54" t="e">
        <f t="shared" si="14"/>
        <v>#DIV/0!</v>
      </c>
      <c r="BW75" s="54" t="e">
        <f t="shared" si="15"/>
        <v>#DIV/0!</v>
      </c>
    </row>
    <row r="76" spans="1:75" x14ac:dyDescent="0.35">
      <c r="A76" s="75" t="s">
        <v>359</v>
      </c>
      <c r="B76" t="s">
        <v>360</v>
      </c>
      <c r="D76" t="s">
        <v>311</v>
      </c>
      <c r="E76">
        <v>2014</v>
      </c>
      <c r="M76" t="s">
        <v>178</v>
      </c>
      <c r="P76" t="s">
        <v>43</v>
      </c>
      <c r="Q76" s="6">
        <v>18</v>
      </c>
      <c r="R76" s="6"/>
      <c r="S76" s="6"/>
      <c r="T76" s="6"/>
      <c r="U76" s="6">
        <v>16</v>
      </c>
      <c r="V76" s="6"/>
      <c r="W76" s="6">
        <v>2</v>
      </c>
      <c r="X76" s="6"/>
      <c r="Y76" s="6"/>
      <c r="Z76" s="6"/>
      <c r="AA76" s="6"/>
      <c r="AB76" s="6"/>
      <c r="AC76" s="6"/>
      <c r="AD76" s="9"/>
      <c r="AE76" s="9"/>
      <c r="AF76" s="11"/>
      <c r="AG76" s="10"/>
      <c r="AH76" s="10"/>
      <c r="AI76" s="50"/>
      <c r="AJ76" s="50"/>
      <c r="AK76" s="50"/>
      <c r="AL76" s="50"/>
      <c r="AM76" s="50"/>
      <c r="AN76" s="50"/>
      <c r="AO76" s="50"/>
      <c r="AP76" s="11"/>
      <c r="AQ76" s="9"/>
      <c r="AR76" s="9"/>
      <c r="AS76" s="11" t="e">
        <f t="shared" si="19"/>
        <v>#DIV/0!</v>
      </c>
      <c r="AT76" s="50"/>
      <c r="AU76" s="50"/>
      <c r="AW76" s="12"/>
      <c r="AX76" s="44"/>
      <c r="AY76" s="44"/>
      <c r="AZ76" s="12">
        <v>2</v>
      </c>
      <c r="BA76" s="46"/>
      <c r="BB76" s="44">
        <v>155</v>
      </c>
      <c r="BC76" s="46"/>
      <c r="BD76" s="12"/>
      <c r="BE76" s="12"/>
      <c r="BF76" s="12"/>
      <c r="BG76" s="12"/>
      <c r="BH76" s="14"/>
      <c r="BI76" t="s">
        <v>31</v>
      </c>
      <c r="BS76" s="36" t="s">
        <v>156</v>
      </c>
      <c r="BU76" s="1" t="s">
        <v>264</v>
      </c>
      <c r="BV76" s="54" t="e">
        <f t="shared" si="14"/>
        <v>#DIV/0!</v>
      </c>
      <c r="BW76" s="54" t="e">
        <f t="shared" si="15"/>
        <v>#DIV/0!</v>
      </c>
    </row>
    <row r="77" spans="1:75" x14ac:dyDescent="0.35">
      <c r="A77" s="75" t="s">
        <v>225</v>
      </c>
      <c r="B77" t="s">
        <v>361</v>
      </c>
      <c r="D77" t="s">
        <v>140</v>
      </c>
      <c r="E77">
        <v>2017</v>
      </c>
      <c r="I77" s="40">
        <v>100</v>
      </c>
      <c r="M77" t="s">
        <v>178</v>
      </c>
      <c r="Q77" s="6"/>
      <c r="R77" s="6"/>
      <c r="S77" s="6"/>
      <c r="T77" s="6"/>
      <c r="U77" s="6"/>
      <c r="V77" s="6"/>
      <c r="W77" s="6"/>
      <c r="X77" s="6"/>
      <c r="Y77" s="6"/>
      <c r="Z77" s="6"/>
      <c r="AA77" s="6"/>
      <c r="AB77" s="6"/>
      <c r="AC77" s="6"/>
      <c r="AD77" s="9"/>
      <c r="AE77" s="9"/>
      <c r="AF77" s="11">
        <v>14.8</v>
      </c>
      <c r="AG77" s="10"/>
      <c r="AH77" s="10"/>
      <c r="AI77" s="50"/>
      <c r="AJ77" s="50"/>
      <c r="AK77" s="50"/>
      <c r="AL77" s="50"/>
      <c r="AM77" s="50"/>
      <c r="AN77" s="50"/>
      <c r="AO77" s="50"/>
      <c r="AP77" s="11"/>
      <c r="AQ77" s="9"/>
      <c r="AR77" s="9"/>
      <c r="AS77" s="11">
        <f t="shared" si="19"/>
        <v>0</v>
      </c>
      <c r="AT77" s="50" t="s">
        <v>55</v>
      </c>
      <c r="AU77" s="50"/>
      <c r="AW77" s="12"/>
      <c r="AX77" s="44">
        <v>132</v>
      </c>
      <c r="AY77" s="44"/>
      <c r="AZ77" s="12"/>
      <c r="BA77" s="46"/>
      <c r="BB77" s="44">
        <v>62</v>
      </c>
      <c r="BC77" s="46"/>
      <c r="BD77" s="12"/>
      <c r="BE77" s="12"/>
      <c r="BF77" s="12"/>
      <c r="BG77" s="12"/>
      <c r="BH77" s="14"/>
      <c r="BU77" s="1" t="s">
        <v>264</v>
      </c>
      <c r="BV77" s="54">
        <f t="shared" si="14"/>
        <v>0</v>
      </c>
      <c r="BW77" s="54">
        <f t="shared" si="15"/>
        <v>0</v>
      </c>
    </row>
    <row r="78" spans="1:75" x14ac:dyDescent="0.35">
      <c r="A78" s="75" t="s">
        <v>362</v>
      </c>
      <c r="B78" t="s">
        <v>363</v>
      </c>
      <c r="D78" t="s">
        <v>204</v>
      </c>
      <c r="E78">
        <v>2019</v>
      </c>
      <c r="M78" t="s">
        <v>178</v>
      </c>
      <c r="P78" t="s">
        <v>43</v>
      </c>
      <c r="Q78" s="6">
        <v>4</v>
      </c>
      <c r="R78" s="6">
        <v>4</v>
      </c>
      <c r="S78" s="6"/>
      <c r="T78" s="6">
        <v>4</v>
      </c>
      <c r="U78" s="6"/>
      <c r="V78" s="6"/>
      <c r="W78" s="6"/>
      <c r="X78" s="6"/>
      <c r="Y78" s="6"/>
      <c r="Z78" s="6"/>
      <c r="AA78" s="6"/>
      <c r="AB78" s="6"/>
      <c r="AC78" s="6"/>
      <c r="AD78" s="9"/>
      <c r="AE78" s="9"/>
      <c r="AF78" s="11"/>
      <c r="AG78" s="10"/>
      <c r="AH78" s="10"/>
      <c r="AI78" s="50"/>
      <c r="AJ78" s="50"/>
      <c r="AK78" s="50"/>
      <c r="AL78" s="50"/>
      <c r="AM78" s="50"/>
      <c r="AN78" s="50"/>
      <c r="AO78" s="50" t="s">
        <v>33</v>
      </c>
      <c r="AP78" s="11"/>
      <c r="AQ78" s="9"/>
      <c r="AR78" s="9"/>
      <c r="AS78" s="11" t="e">
        <f t="shared" si="19"/>
        <v>#DIV/0!</v>
      </c>
      <c r="AT78" s="50"/>
      <c r="AU78" s="50"/>
      <c r="AW78" s="12"/>
      <c r="AX78" s="44"/>
      <c r="AY78" s="44"/>
      <c r="AZ78" s="12"/>
      <c r="BA78" s="46"/>
      <c r="BB78" s="44"/>
      <c r="BC78" s="46"/>
      <c r="BD78" s="12"/>
      <c r="BE78" s="12"/>
      <c r="BF78" s="12"/>
      <c r="BG78" s="12"/>
      <c r="BH78" s="14"/>
      <c r="BS78" s="36" t="s">
        <v>99</v>
      </c>
      <c r="BU78" s="1" t="s">
        <v>264</v>
      </c>
      <c r="BV78" s="54" t="e">
        <f t="shared" si="14"/>
        <v>#DIV/0!</v>
      </c>
      <c r="BW78" s="54" t="e">
        <f t="shared" si="15"/>
        <v>#DIV/0!</v>
      </c>
    </row>
    <row r="79" spans="1:75" x14ac:dyDescent="0.35">
      <c r="A79" s="75" t="s">
        <v>364</v>
      </c>
      <c r="B79" t="s">
        <v>365</v>
      </c>
      <c r="D79">
        <v>1902</v>
      </c>
      <c r="E79">
        <v>2018</v>
      </c>
      <c r="L79" t="s">
        <v>40</v>
      </c>
      <c r="M79" t="s">
        <v>178</v>
      </c>
      <c r="P79" t="s">
        <v>43</v>
      </c>
      <c r="Q79" s="6">
        <v>8</v>
      </c>
      <c r="R79" s="6"/>
      <c r="S79" s="6"/>
      <c r="T79" s="6">
        <v>4</v>
      </c>
      <c r="U79" s="6"/>
      <c r="V79" s="6"/>
      <c r="W79" s="6"/>
      <c r="X79" s="6"/>
      <c r="Y79" s="6"/>
      <c r="Z79" s="6">
        <v>8</v>
      </c>
      <c r="AA79" s="6">
        <v>3</v>
      </c>
      <c r="AB79" s="6">
        <v>3</v>
      </c>
      <c r="AC79" s="6">
        <v>3</v>
      </c>
      <c r="AD79" s="9">
        <v>2</v>
      </c>
      <c r="AE79" s="9"/>
      <c r="AF79" s="11"/>
      <c r="AG79" s="10"/>
      <c r="AH79" s="10"/>
      <c r="AI79" s="50"/>
      <c r="AJ79" s="50"/>
      <c r="AK79" s="50"/>
      <c r="AL79" s="50"/>
      <c r="AM79" s="50"/>
      <c r="AN79" s="50"/>
      <c r="AO79" s="50" t="s">
        <v>181</v>
      </c>
      <c r="AP79" s="11"/>
      <c r="AQ79" s="9"/>
      <c r="AR79" s="9"/>
      <c r="AS79" s="11" t="e">
        <f t="shared" si="19"/>
        <v>#DIV/0!</v>
      </c>
      <c r="AT79" s="50" t="s">
        <v>55</v>
      </c>
      <c r="AU79" s="50"/>
      <c r="AW79" s="12"/>
      <c r="AX79" s="44"/>
      <c r="AY79" s="44"/>
      <c r="AZ79" s="12"/>
      <c r="BA79" s="46"/>
      <c r="BB79" s="44"/>
      <c r="BC79" s="46"/>
      <c r="BD79" s="12"/>
      <c r="BE79" s="12"/>
      <c r="BF79" s="12"/>
      <c r="BG79" s="12"/>
      <c r="BH79" s="14"/>
      <c r="BI79" t="s">
        <v>31</v>
      </c>
      <c r="BS79" s="36" t="s">
        <v>156</v>
      </c>
      <c r="BU79" s="1" t="s">
        <v>264</v>
      </c>
      <c r="BV79" s="54" t="e">
        <f t="shared" si="14"/>
        <v>#DIV/0!</v>
      </c>
      <c r="BW79" s="54" t="e">
        <f t="shared" si="15"/>
        <v>#DIV/0!</v>
      </c>
    </row>
    <row r="80" spans="1:75" x14ac:dyDescent="0.35">
      <c r="A80" s="75" t="s">
        <v>366</v>
      </c>
      <c r="B80" t="s">
        <v>367</v>
      </c>
      <c r="D80" t="s">
        <v>111</v>
      </c>
      <c r="M80" t="s">
        <v>178</v>
      </c>
      <c r="Q80" s="6"/>
      <c r="R80" s="6"/>
      <c r="S80" s="6"/>
      <c r="T80" s="6"/>
      <c r="U80" s="6"/>
      <c r="V80" s="6"/>
      <c r="W80" s="6"/>
      <c r="X80" s="6"/>
      <c r="Y80" s="6"/>
      <c r="Z80" s="6"/>
      <c r="AA80" s="6"/>
      <c r="AB80" s="6"/>
      <c r="AC80" s="6"/>
      <c r="AD80" s="9"/>
      <c r="AE80" s="9"/>
      <c r="AF80" s="11"/>
      <c r="AG80" s="10"/>
      <c r="AH80" s="10"/>
      <c r="AI80" s="50"/>
      <c r="AJ80" s="50"/>
      <c r="AK80" s="50"/>
      <c r="AL80" s="50"/>
      <c r="AM80" s="50"/>
      <c r="AN80" s="50"/>
      <c r="AO80" s="50"/>
      <c r="AP80" s="11"/>
      <c r="AQ80" s="9"/>
      <c r="AR80" s="9"/>
      <c r="AS80" s="11" t="e">
        <f t="shared" si="19"/>
        <v>#DIV/0!</v>
      </c>
      <c r="AT80" s="50" t="s">
        <v>48</v>
      </c>
      <c r="AU80" s="50"/>
      <c r="AW80" s="12"/>
      <c r="AX80" s="44"/>
      <c r="AY80" s="44"/>
      <c r="AZ80" s="12">
        <v>1</v>
      </c>
      <c r="BA80" s="46"/>
      <c r="BB80" s="44">
        <v>56</v>
      </c>
      <c r="BC80" s="46"/>
      <c r="BD80" s="12"/>
      <c r="BE80" s="12"/>
      <c r="BF80" s="12"/>
      <c r="BG80" s="12"/>
      <c r="BH80" s="14"/>
      <c r="BI80" t="s">
        <v>31</v>
      </c>
      <c r="BJ80">
        <v>90</v>
      </c>
      <c r="BS80" s="36" t="s">
        <v>156</v>
      </c>
      <c r="BU80" s="1" t="s">
        <v>264</v>
      </c>
      <c r="BV80" s="54" t="e">
        <f t="shared" si="14"/>
        <v>#DIV/0!</v>
      </c>
      <c r="BW80" s="54" t="e">
        <f t="shared" si="15"/>
        <v>#DIV/0!</v>
      </c>
    </row>
    <row r="81" spans="1:75" x14ac:dyDescent="0.35">
      <c r="A81" s="75" t="s">
        <v>368</v>
      </c>
      <c r="B81" t="s">
        <v>369</v>
      </c>
      <c r="D81" t="s">
        <v>204</v>
      </c>
      <c r="M81" t="s">
        <v>178</v>
      </c>
      <c r="P81" t="s">
        <v>43</v>
      </c>
      <c r="Q81" s="6">
        <v>3</v>
      </c>
      <c r="R81" s="6">
        <v>3</v>
      </c>
      <c r="S81" s="6"/>
      <c r="T81" s="6">
        <v>3</v>
      </c>
      <c r="U81" s="6">
        <v>3</v>
      </c>
      <c r="V81" s="6"/>
      <c r="W81" s="6">
        <v>3</v>
      </c>
      <c r="X81" s="6"/>
      <c r="Y81" s="6"/>
      <c r="Z81" s="6"/>
      <c r="AA81" s="6"/>
      <c r="AB81" s="6"/>
      <c r="AC81" s="6"/>
      <c r="AD81" s="9"/>
      <c r="AE81" s="9"/>
      <c r="AF81" s="11"/>
      <c r="AG81" s="10"/>
      <c r="AH81" s="10"/>
      <c r="AI81" s="50"/>
      <c r="AJ81" s="50"/>
      <c r="AK81" s="50"/>
      <c r="AL81" s="50"/>
      <c r="AM81" s="50"/>
      <c r="AN81" s="50"/>
      <c r="AO81" s="50"/>
      <c r="AP81" s="11"/>
      <c r="AQ81" s="9"/>
      <c r="AR81" s="9"/>
      <c r="AS81" s="11" t="e">
        <f t="shared" si="19"/>
        <v>#DIV/0!</v>
      </c>
      <c r="AT81" s="50"/>
      <c r="AU81" s="50"/>
      <c r="AW81" s="12"/>
      <c r="AX81" s="44"/>
      <c r="AY81" s="44"/>
      <c r="AZ81" s="12">
        <v>1</v>
      </c>
      <c r="BA81" s="46"/>
      <c r="BB81" s="44"/>
      <c r="BC81" s="46"/>
      <c r="BD81" s="12"/>
      <c r="BE81" s="12"/>
      <c r="BF81" s="12"/>
      <c r="BG81" s="12"/>
      <c r="BH81" s="14"/>
      <c r="BI81" t="s">
        <v>31</v>
      </c>
      <c r="BU81" s="1" t="s">
        <v>264</v>
      </c>
      <c r="BV81" s="54" t="e">
        <f t="shared" si="14"/>
        <v>#DIV/0!</v>
      </c>
      <c r="BW81" s="54" t="e">
        <f t="shared" si="15"/>
        <v>#DIV/0!</v>
      </c>
    </row>
    <row r="82" spans="1:75" x14ac:dyDescent="0.35">
      <c r="A82" s="75" t="s">
        <v>370</v>
      </c>
      <c r="B82" t="s">
        <v>371</v>
      </c>
      <c r="D82" t="s">
        <v>372</v>
      </c>
      <c r="L82" t="s">
        <v>40</v>
      </c>
      <c r="M82" t="s">
        <v>178</v>
      </c>
      <c r="Q82" s="6">
        <v>3</v>
      </c>
      <c r="R82" s="6"/>
      <c r="S82" s="6"/>
      <c r="T82" s="6">
        <v>3</v>
      </c>
      <c r="U82" s="6"/>
      <c r="V82" s="6"/>
      <c r="W82" s="6"/>
      <c r="X82" s="6"/>
      <c r="Y82" s="6"/>
      <c r="Z82" s="6"/>
      <c r="AA82" s="6"/>
      <c r="AB82" s="6"/>
      <c r="AC82" s="6"/>
      <c r="AD82" s="9">
        <v>1</v>
      </c>
      <c r="AE82" s="9">
        <v>2</v>
      </c>
      <c r="AF82" s="11">
        <v>4.5</v>
      </c>
      <c r="AG82" s="10"/>
      <c r="AH82" s="10"/>
      <c r="AI82" s="50"/>
      <c r="AJ82" s="50" t="s">
        <v>63</v>
      </c>
      <c r="AK82" s="50"/>
      <c r="AL82" s="50">
        <v>1</v>
      </c>
      <c r="AM82" s="50"/>
      <c r="AN82" s="50"/>
      <c r="AO82" s="50" t="s">
        <v>181</v>
      </c>
      <c r="AP82" s="11"/>
      <c r="AQ82" s="9"/>
      <c r="AR82" s="9"/>
      <c r="AS82" s="11">
        <f t="shared" si="19"/>
        <v>0</v>
      </c>
      <c r="AT82" s="50" t="s">
        <v>48</v>
      </c>
      <c r="AU82" s="50"/>
      <c r="AW82" s="12"/>
      <c r="AX82" s="44"/>
      <c r="AY82" s="44"/>
      <c r="AZ82" s="12"/>
      <c r="BA82" s="46"/>
      <c r="BB82" s="44"/>
      <c r="BC82" s="46"/>
      <c r="BD82" s="12"/>
      <c r="BE82" s="12"/>
      <c r="BF82" s="12"/>
      <c r="BG82" s="12"/>
      <c r="BH82" s="14"/>
      <c r="BI82" t="s">
        <v>31</v>
      </c>
      <c r="BS82" s="36" t="s">
        <v>156</v>
      </c>
      <c r="BU82" s="1" t="s">
        <v>264</v>
      </c>
      <c r="BV82" s="54" t="e">
        <f t="shared" si="14"/>
        <v>#DIV/0!</v>
      </c>
      <c r="BW82" s="54" t="e">
        <f t="shared" si="15"/>
        <v>#DIV/0!</v>
      </c>
    </row>
    <row r="83" spans="1:75" x14ac:dyDescent="0.35">
      <c r="A83" s="75" t="s">
        <v>370</v>
      </c>
      <c r="B83" t="s">
        <v>373</v>
      </c>
      <c r="D83" t="s">
        <v>372</v>
      </c>
      <c r="L83" t="s">
        <v>99</v>
      </c>
      <c r="M83" t="s">
        <v>178</v>
      </c>
      <c r="Q83" s="6">
        <v>3</v>
      </c>
      <c r="R83" s="6"/>
      <c r="S83" s="6"/>
      <c r="T83" s="6">
        <v>3</v>
      </c>
      <c r="U83" s="6"/>
      <c r="V83" s="6"/>
      <c r="W83" s="6"/>
      <c r="X83" s="6"/>
      <c r="Y83" s="6"/>
      <c r="Z83" s="6"/>
      <c r="AA83" s="6">
        <v>4</v>
      </c>
      <c r="AB83" s="6"/>
      <c r="AC83" s="6">
        <v>4</v>
      </c>
      <c r="AD83" s="9">
        <v>1</v>
      </c>
      <c r="AE83" s="9"/>
      <c r="AF83" s="11">
        <v>10.5</v>
      </c>
      <c r="AG83" s="10"/>
      <c r="AH83" s="10"/>
      <c r="AI83" s="50"/>
      <c r="AJ83" s="50" t="s">
        <v>32</v>
      </c>
      <c r="AK83" s="50" t="s">
        <v>31</v>
      </c>
      <c r="AL83" s="50"/>
      <c r="AM83" s="50"/>
      <c r="AN83" s="50"/>
      <c r="AO83" s="50" t="s">
        <v>181</v>
      </c>
      <c r="AP83" s="11"/>
      <c r="AQ83" s="9"/>
      <c r="AR83" s="9"/>
      <c r="AS83" s="11">
        <f t="shared" si="19"/>
        <v>0</v>
      </c>
      <c r="AT83" s="50" t="s">
        <v>48</v>
      </c>
      <c r="AU83" s="50"/>
      <c r="AW83" s="12"/>
      <c r="AX83" s="44"/>
      <c r="AY83" s="44"/>
      <c r="AZ83" s="12">
        <v>2</v>
      </c>
      <c r="BA83" s="46"/>
      <c r="BB83" s="44"/>
      <c r="BC83" s="46"/>
      <c r="BD83" s="12"/>
      <c r="BE83" s="12"/>
      <c r="BF83" s="12"/>
      <c r="BG83" s="12"/>
      <c r="BH83" s="14"/>
      <c r="BI83" t="s">
        <v>31</v>
      </c>
      <c r="BS83" s="36" t="s">
        <v>156</v>
      </c>
      <c r="BU83" s="1" t="s">
        <v>264</v>
      </c>
      <c r="BV83" s="54" t="e">
        <f t="shared" si="14"/>
        <v>#DIV/0!</v>
      </c>
      <c r="BW83" s="54" t="e">
        <f t="shared" si="15"/>
        <v>#DIV/0!</v>
      </c>
    </row>
    <row r="84" spans="1:75" x14ac:dyDescent="0.35">
      <c r="A84" s="75" t="s">
        <v>370</v>
      </c>
      <c r="B84" t="s">
        <v>374</v>
      </c>
      <c r="D84" t="s">
        <v>372</v>
      </c>
      <c r="L84" t="s">
        <v>99</v>
      </c>
      <c r="M84" t="s">
        <v>178</v>
      </c>
      <c r="Q84" s="6">
        <v>3</v>
      </c>
      <c r="R84" s="6"/>
      <c r="S84" s="6"/>
      <c r="T84" s="6">
        <v>3</v>
      </c>
      <c r="U84" s="6">
        <v>3</v>
      </c>
      <c r="V84" s="6"/>
      <c r="W84" s="6">
        <v>2</v>
      </c>
      <c r="X84" s="6"/>
      <c r="Y84" s="6"/>
      <c r="Z84" s="6">
        <v>2</v>
      </c>
      <c r="AA84" s="6"/>
      <c r="AB84" s="6"/>
      <c r="AC84" s="6"/>
      <c r="AD84" s="9">
        <v>1</v>
      </c>
      <c r="AE84" s="9">
        <v>2</v>
      </c>
      <c r="AF84" s="11">
        <v>17</v>
      </c>
      <c r="AG84" s="10"/>
      <c r="AH84" s="10"/>
      <c r="AI84" s="50"/>
      <c r="AJ84" s="50" t="s">
        <v>32</v>
      </c>
      <c r="AK84" s="50" t="s">
        <v>31</v>
      </c>
      <c r="AL84" s="50"/>
      <c r="AM84" s="50"/>
      <c r="AN84" s="50"/>
      <c r="AO84" s="50" t="s">
        <v>181</v>
      </c>
      <c r="AP84" s="11"/>
      <c r="AQ84" s="9"/>
      <c r="AR84" s="9"/>
      <c r="AS84" s="11">
        <f t="shared" si="19"/>
        <v>0</v>
      </c>
      <c r="AT84" s="50" t="s">
        <v>48</v>
      </c>
      <c r="AU84" s="50"/>
      <c r="AW84" s="12"/>
      <c r="AX84" s="44"/>
      <c r="AY84" s="44"/>
      <c r="AZ84" s="12">
        <v>9</v>
      </c>
      <c r="BA84" s="46"/>
      <c r="BB84" s="44"/>
      <c r="BC84" s="46"/>
      <c r="BD84" s="12"/>
      <c r="BE84" s="12"/>
      <c r="BF84" s="12"/>
      <c r="BG84" s="12"/>
      <c r="BH84" s="14"/>
      <c r="BI84" t="s">
        <v>31</v>
      </c>
      <c r="BS84" s="36" t="s">
        <v>156</v>
      </c>
      <c r="BU84" s="1" t="s">
        <v>264</v>
      </c>
      <c r="BV84" s="54" t="e">
        <f t="shared" si="14"/>
        <v>#DIV/0!</v>
      </c>
      <c r="BW84" s="54" t="e">
        <f t="shared" si="15"/>
        <v>#DIV/0!</v>
      </c>
    </row>
    <row r="85" spans="1:75" x14ac:dyDescent="0.35">
      <c r="A85" s="75" t="s">
        <v>370</v>
      </c>
      <c r="B85" t="s">
        <v>375</v>
      </c>
      <c r="D85" t="s">
        <v>372</v>
      </c>
      <c r="L85" t="s">
        <v>232</v>
      </c>
      <c r="M85" t="s">
        <v>178</v>
      </c>
      <c r="Q85" s="6">
        <v>6</v>
      </c>
      <c r="R85" s="6">
        <v>6</v>
      </c>
      <c r="S85" s="6"/>
      <c r="T85" s="6"/>
      <c r="U85" s="6"/>
      <c r="V85" s="6"/>
      <c r="W85" s="6"/>
      <c r="X85" s="6"/>
      <c r="Y85" s="6"/>
      <c r="Z85" s="6"/>
      <c r="AA85" s="6"/>
      <c r="AB85" s="6"/>
      <c r="AC85" s="6"/>
      <c r="AD85" s="9">
        <v>1</v>
      </c>
      <c r="AE85" s="9">
        <v>2</v>
      </c>
      <c r="AF85" s="11"/>
      <c r="AG85" s="10"/>
      <c r="AH85" s="10"/>
      <c r="AI85" s="50"/>
      <c r="AJ85" s="50"/>
      <c r="AK85" s="50" t="s">
        <v>31</v>
      </c>
      <c r="AL85" s="50"/>
      <c r="AM85" s="50"/>
      <c r="AN85" s="50"/>
      <c r="AO85" s="50" t="s">
        <v>181</v>
      </c>
      <c r="AP85" s="11">
        <v>48</v>
      </c>
      <c r="AQ85" s="9"/>
      <c r="AR85" s="9"/>
      <c r="AS85" s="11" t="e">
        <f t="shared" si="19"/>
        <v>#DIV/0!</v>
      </c>
      <c r="AT85" s="50" t="s">
        <v>48</v>
      </c>
      <c r="AU85" s="50"/>
      <c r="AW85" s="12"/>
      <c r="AX85" s="44"/>
      <c r="AY85" s="44">
        <v>105.82</v>
      </c>
      <c r="AZ85" s="12">
        <v>10</v>
      </c>
      <c r="BA85" s="46"/>
      <c r="BB85" s="44">
        <v>87</v>
      </c>
      <c r="BC85" s="46"/>
      <c r="BD85" s="12"/>
      <c r="BE85" s="12"/>
      <c r="BF85" s="12"/>
      <c r="BG85" s="12"/>
      <c r="BH85" s="14"/>
      <c r="BI85" t="s">
        <v>31</v>
      </c>
      <c r="BU85" s="1" t="s">
        <v>264</v>
      </c>
      <c r="BV85" s="54" t="e">
        <f t="shared" si="14"/>
        <v>#DIV/0!</v>
      </c>
      <c r="BW85" s="54" t="e">
        <f t="shared" si="15"/>
        <v>#DIV/0!</v>
      </c>
    </row>
    <row r="86" spans="1:75" x14ac:dyDescent="0.35">
      <c r="A86" s="75" t="s">
        <v>211</v>
      </c>
      <c r="B86" t="s">
        <v>376</v>
      </c>
      <c r="D86" t="s">
        <v>213</v>
      </c>
      <c r="E86">
        <v>2017</v>
      </c>
      <c r="M86" t="s">
        <v>178</v>
      </c>
      <c r="P86" t="s">
        <v>40</v>
      </c>
      <c r="Q86" s="6">
        <v>12</v>
      </c>
      <c r="R86" s="6"/>
      <c r="S86" s="6"/>
      <c r="T86" s="6">
        <v>12</v>
      </c>
      <c r="U86" s="6">
        <v>10</v>
      </c>
      <c r="V86" s="6"/>
      <c r="W86" s="6">
        <v>2</v>
      </c>
      <c r="X86" s="6"/>
      <c r="Y86" s="6"/>
      <c r="Z86" s="6"/>
      <c r="AA86" s="6">
        <v>4</v>
      </c>
      <c r="AB86" s="6"/>
      <c r="AC86" s="6">
        <v>4</v>
      </c>
      <c r="AD86" s="9">
        <v>1</v>
      </c>
      <c r="AE86" s="9">
        <v>4</v>
      </c>
      <c r="AF86" s="11"/>
      <c r="AG86" s="10"/>
      <c r="AH86" s="10"/>
      <c r="AI86" s="50"/>
      <c r="AJ86" s="50" t="s">
        <v>62</v>
      </c>
      <c r="AK86" s="50" t="s">
        <v>31</v>
      </c>
      <c r="AL86" s="50"/>
      <c r="AM86" s="50"/>
      <c r="AN86" s="50"/>
      <c r="AO86" s="50"/>
      <c r="AP86" s="11"/>
      <c r="AQ86" s="9"/>
      <c r="AR86" s="9"/>
      <c r="AS86" s="11" t="e">
        <f t="shared" si="19"/>
        <v>#DIV/0!</v>
      </c>
      <c r="AT86" s="50"/>
      <c r="AU86" s="50"/>
      <c r="AW86" s="12"/>
      <c r="AX86" s="44"/>
      <c r="AY86" s="44"/>
      <c r="AZ86" s="12"/>
      <c r="BA86" s="46"/>
      <c r="BB86" s="44"/>
      <c r="BC86" s="46"/>
      <c r="BD86" s="12"/>
      <c r="BE86" s="12"/>
      <c r="BF86" s="12"/>
      <c r="BG86" s="12"/>
      <c r="BH86" s="14"/>
      <c r="BI86" t="s">
        <v>180</v>
      </c>
      <c r="BS86" s="36" t="s">
        <v>236</v>
      </c>
      <c r="BU86" s="1" t="s">
        <v>264</v>
      </c>
      <c r="BV86" s="54" t="e">
        <f t="shared" si="14"/>
        <v>#DIV/0!</v>
      </c>
      <c r="BW86" s="54" t="e">
        <f t="shared" si="15"/>
        <v>#DIV/0!</v>
      </c>
    </row>
    <row r="87" spans="1:75" x14ac:dyDescent="0.35">
      <c r="A87" s="75" t="s">
        <v>377</v>
      </c>
      <c r="B87" t="s">
        <v>378</v>
      </c>
      <c r="D87" t="s">
        <v>213</v>
      </c>
      <c r="E87">
        <v>2018</v>
      </c>
      <c r="M87" t="s">
        <v>178</v>
      </c>
      <c r="P87" t="s">
        <v>40</v>
      </c>
      <c r="Q87" s="6">
        <v>8</v>
      </c>
      <c r="R87" s="6">
        <v>8</v>
      </c>
      <c r="S87" s="6">
        <v>4</v>
      </c>
      <c r="T87" s="6"/>
      <c r="U87" s="6"/>
      <c r="V87" s="6"/>
      <c r="W87" s="6"/>
      <c r="X87" s="6"/>
      <c r="Y87" s="6"/>
      <c r="Z87" s="6"/>
      <c r="AA87" s="6"/>
      <c r="AB87" s="6"/>
      <c r="AC87" s="6"/>
      <c r="AD87" s="9">
        <v>2</v>
      </c>
      <c r="AE87" s="9"/>
      <c r="AF87" s="11"/>
      <c r="AG87" s="10"/>
      <c r="AH87" s="10"/>
      <c r="AI87" s="50"/>
      <c r="AJ87" s="50"/>
      <c r="AK87" s="50"/>
      <c r="AL87" s="50"/>
      <c r="AM87" s="50"/>
      <c r="AN87" s="50"/>
      <c r="AO87" s="50"/>
      <c r="AP87" s="11"/>
      <c r="AQ87" s="9"/>
      <c r="AR87" s="9"/>
      <c r="AS87" s="11" t="e">
        <f t="shared" si="19"/>
        <v>#DIV/0!</v>
      </c>
      <c r="AT87" s="50"/>
      <c r="AU87" s="50"/>
      <c r="AW87" s="12"/>
      <c r="AX87" s="44"/>
      <c r="AY87" s="44"/>
      <c r="AZ87" s="12">
        <v>4</v>
      </c>
      <c r="BA87" s="46"/>
      <c r="BB87" s="44"/>
      <c r="BC87" s="46"/>
      <c r="BD87" s="12"/>
      <c r="BE87" s="12"/>
      <c r="BF87" s="12"/>
      <c r="BG87" s="12"/>
      <c r="BH87" s="14"/>
      <c r="BI87" t="s">
        <v>180</v>
      </c>
      <c r="BS87" s="36" t="s">
        <v>236</v>
      </c>
      <c r="BU87" s="1" t="s">
        <v>264</v>
      </c>
      <c r="BV87" s="54" t="e">
        <f t="shared" si="14"/>
        <v>#DIV/0!</v>
      </c>
      <c r="BW87" s="54" t="e">
        <f t="shared" si="15"/>
        <v>#DIV/0!</v>
      </c>
    </row>
    <row r="88" spans="1:75" x14ac:dyDescent="0.35">
      <c r="A88" s="75" t="s">
        <v>377</v>
      </c>
      <c r="B88" t="s">
        <v>379</v>
      </c>
      <c r="D88" t="s">
        <v>213</v>
      </c>
      <c r="E88">
        <v>2019</v>
      </c>
      <c r="M88" t="s">
        <v>178</v>
      </c>
      <c r="P88" t="s">
        <v>40</v>
      </c>
      <c r="Q88" s="6">
        <v>8</v>
      </c>
      <c r="R88" s="6">
        <v>8</v>
      </c>
      <c r="S88" s="6">
        <v>4</v>
      </c>
      <c r="T88" s="6"/>
      <c r="U88" s="6"/>
      <c r="V88" s="6"/>
      <c r="W88" s="6"/>
      <c r="X88" s="6"/>
      <c r="Y88" s="6"/>
      <c r="Z88" s="6"/>
      <c r="AA88" s="6">
        <v>3</v>
      </c>
      <c r="AB88" s="6"/>
      <c r="AC88" s="6">
        <v>3</v>
      </c>
      <c r="AD88" s="9">
        <v>2</v>
      </c>
      <c r="AE88" s="9"/>
      <c r="AF88" s="11"/>
      <c r="AG88" s="10"/>
      <c r="AH88" s="10"/>
      <c r="AI88" s="50"/>
      <c r="AJ88" s="50" t="s">
        <v>32</v>
      </c>
      <c r="AK88" s="50"/>
      <c r="AL88" s="50"/>
      <c r="AM88" s="50"/>
      <c r="AN88" s="50"/>
      <c r="AO88" s="50"/>
      <c r="AP88" s="11"/>
      <c r="AQ88" s="9"/>
      <c r="AR88" s="9"/>
      <c r="AS88" s="11" t="e">
        <f t="shared" si="19"/>
        <v>#DIV/0!</v>
      </c>
      <c r="AT88" s="50"/>
      <c r="AU88" s="50"/>
      <c r="AW88" s="12"/>
      <c r="AX88" s="44"/>
      <c r="AY88" s="44"/>
      <c r="AZ88" s="12">
        <v>8</v>
      </c>
      <c r="BA88" s="46"/>
      <c r="BB88" s="44"/>
      <c r="BC88" s="46"/>
      <c r="BD88" s="12"/>
      <c r="BE88" s="12"/>
      <c r="BF88" s="12"/>
      <c r="BG88" s="12"/>
      <c r="BH88" s="14"/>
      <c r="BI88" t="s">
        <v>180</v>
      </c>
      <c r="BS88" s="36" t="s">
        <v>236</v>
      </c>
      <c r="BU88" s="1" t="s">
        <v>264</v>
      </c>
      <c r="BV88" s="54" t="e">
        <f t="shared" si="14"/>
        <v>#DIV/0!</v>
      </c>
      <c r="BW88" s="54" t="e">
        <f t="shared" si="15"/>
        <v>#DIV/0!</v>
      </c>
    </row>
    <row r="89" spans="1:75" x14ac:dyDescent="0.35">
      <c r="A89" s="75" t="s">
        <v>377</v>
      </c>
      <c r="B89" t="s">
        <v>380</v>
      </c>
      <c r="D89" t="s">
        <v>213</v>
      </c>
      <c r="E89">
        <v>2020</v>
      </c>
      <c r="L89" t="s">
        <v>232</v>
      </c>
      <c r="M89" t="s">
        <v>178</v>
      </c>
      <c r="P89" t="s">
        <v>40</v>
      </c>
      <c r="Q89" s="6">
        <v>8</v>
      </c>
      <c r="R89" s="6">
        <v>8</v>
      </c>
      <c r="S89" s="6"/>
      <c r="T89" s="6"/>
      <c r="U89" s="6"/>
      <c r="V89" s="6"/>
      <c r="W89" s="6"/>
      <c r="X89" s="6"/>
      <c r="Y89" s="6"/>
      <c r="Z89" s="6"/>
      <c r="AA89" s="6"/>
      <c r="AB89" s="6"/>
      <c r="AC89" s="6"/>
      <c r="AD89" s="9">
        <v>1</v>
      </c>
      <c r="AE89" s="9"/>
      <c r="AF89" s="11"/>
      <c r="AG89" s="10"/>
      <c r="AH89" s="10"/>
      <c r="AI89" s="50"/>
      <c r="AJ89" s="50"/>
      <c r="AK89" s="50"/>
      <c r="AL89" s="50"/>
      <c r="AM89" s="50"/>
      <c r="AN89" s="50"/>
      <c r="AO89" s="50" t="s">
        <v>181</v>
      </c>
      <c r="AP89" s="11"/>
      <c r="AQ89" s="9"/>
      <c r="AR89" s="9"/>
      <c r="AS89" s="11" t="e">
        <f t="shared" si="19"/>
        <v>#DIV/0!</v>
      </c>
      <c r="AT89" s="50" t="s">
        <v>37</v>
      </c>
      <c r="AU89" s="50"/>
      <c r="AW89" s="12"/>
      <c r="AX89" s="44"/>
      <c r="AY89" s="44"/>
      <c r="AZ89" s="12">
        <v>1</v>
      </c>
      <c r="BA89" s="46"/>
      <c r="BB89" s="44"/>
      <c r="BC89" s="46"/>
      <c r="BD89" s="12"/>
      <c r="BE89" s="12"/>
      <c r="BF89" s="12"/>
      <c r="BG89" s="12"/>
      <c r="BH89" s="14"/>
      <c r="BI89" t="s">
        <v>180</v>
      </c>
      <c r="BS89" s="36" t="s">
        <v>236</v>
      </c>
      <c r="BU89" s="1" t="s">
        <v>264</v>
      </c>
      <c r="BV89" s="54" t="e">
        <f t="shared" si="14"/>
        <v>#DIV/0!</v>
      </c>
      <c r="BW89" s="54" t="e">
        <f t="shared" si="15"/>
        <v>#DIV/0!</v>
      </c>
    </row>
    <row r="90" spans="1:75" x14ac:dyDescent="0.35">
      <c r="A90" s="75" t="s">
        <v>377</v>
      </c>
      <c r="B90" t="s">
        <v>381</v>
      </c>
      <c r="D90" t="s">
        <v>213</v>
      </c>
      <c r="E90">
        <v>2021</v>
      </c>
      <c r="L90" t="s">
        <v>99</v>
      </c>
      <c r="M90" t="s">
        <v>178</v>
      </c>
      <c r="P90" t="s">
        <v>40</v>
      </c>
      <c r="Q90" s="6"/>
      <c r="R90" s="6"/>
      <c r="S90" s="6"/>
      <c r="T90" s="6"/>
      <c r="U90" s="6"/>
      <c r="V90" s="6"/>
      <c r="W90" s="6"/>
      <c r="X90" s="6"/>
      <c r="Y90" s="6"/>
      <c r="Z90" s="6"/>
      <c r="AA90" s="6"/>
      <c r="AB90" s="6"/>
      <c r="AC90" s="6"/>
      <c r="AD90" s="9">
        <v>1</v>
      </c>
      <c r="AE90" s="9">
        <v>2</v>
      </c>
      <c r="AF90" s="11"/>
      <c r="AG90" s="10"/>
      <c r="AH90" s="10"/>
      <c r="AI90" s="50"/>
      <c r="AJ90" s="50" t="s">
        <v>62</v>
      </c>
      <c r="AK90" s="50" t="s">
        <v>31</v>
      </c>
      <c r="AL90" s="50"/>
      <c r="AM90" s="50">
        <v>4</v>
      </c>
      <c r="AN90" s="50"/>
      <c r="AO90" s="50" t="s">
        <v>40</v>
      </c>
      <c r="AP90" s="11"/>
      <c r="AQ90" s="9"/>
      <c r="AR90" s="9"/>
      <c r="AS90" s="11" t="e">
        <f t="shared" si="19"/>
        <v>#DIV/0!</v>
      </c>
      <c r="AT90" s="50" t="s">
        <v>37</v>
      </c>
      <c r="AU90" s="50"/>
      <c r="AW90" s="12"/>
      <c r="AX90" s="44"/>
      <c r="AY90" s="44"/>
      <c r="AZ90" s="12"/>
      <c r="BA90" s="46"/>
      <c r="BB90" s="44"/>
      <c r="BC90" s="46"/>
      <c r="BD90" s="12"/>
      <c r="BE90" s="12"/>
      <c r="BF90" s="12"/>
      <c r="BG90" s="12"/>
      <c r="BH90" s="14"/>
      <c r="BI90" t="s">
        <v>180</v>
      </c>
      <c r="BS90" s="36" t="s">
        <v>236</v>
      </c>
      <c r="BU90" s="1" t="s">
        <v>264</v>
      </c>
      <c r="BV90" s="54" t="e">
        <f t="shared" si="14"/>
        <v>#DIV/0!</v>
      </c>
      <c r="BW90" s="54" t="e">
        <f t="shared" si="15"/>
        <v>#DIV/0!</v>
      </c>
    </row>
    <row r="91" spans="1:75" x14ac:dyDescent="0.35">
      <c r="A91" s="75" t="s">
        <v>382</v>
      </c>
      <c r="B91" t="s">
        <v>383</v>
      </c>
      <c r="D91" t="s">
        <v>204</v>
      </c>
      <c r="M91" t="s">
        <v>178</v>
      </c>
      <c r="Q91" s="6">
        <v>20</v>
      </c>
      <c r="R91" s="6">
        <v>10</v>
      </c>
      <c r="S91" s="6"/>
      <c r="T91" s="6">
        <v>20</v>
      </c>
      <c r="U91" s="6">
        <v>20</v>
      </c>
      <c r="V91" s="6"/>
      <c r="W91" s="6">
        <v>20</v>
      </c>
      <c r="X91" s="6"/>
      <c r="Y91" s="6"/>
      <c r="Z91" s="6">
        <v>20</v>
      </c>
      <c r="AA91" s="6"/>
      <c r="AB91" s="6"/>
      <c r="AC91" s="6"/>
      <c r="AD91" s="9"/>
      <c r="AE91" s="9"/>
      <c r="AF91" s="11"/>
      <c r="AG91" s="10"/>
      <c r="AH91" s="10"/>
      <c r="AI91" s="50"/>
      <c r="AJ91" s="50" t="s">
        <v>32</v>
      </c>
      <c r="AK91" s="50" t="s">
        <v>159</v>
      </c>
      <c r="AL91" s="50"/>
      <c r="AM91" s="50"/>
      <c r="AN91" s="50"/>
      <c r="AO91" s="50"/>
      <c r="AP91" s="11"/>
      <c r="AQ91" s="9"/>
      <c r="AR91" s="9"/>
      <c r="AS91" s="11" t="e">
        <f t="shared" si="19"/>
        <v>#DIV/0!</v>
      </c>
      <c r="AT91" s="50" t="s">
        <v>55</v>
      </c>
      <c r="AU91" s="50"/>
      <c r="AW91" s="12"/>
      <c r="AX91" s="44"/>
      <c r="AY91" s="44"/>
      <c r="AZ91" s="12">
        <v>2</v>
      </c>
      <c r="BA91" s="46"/>
      <c r="BB91" s="44"/>
      <c r="BC91" s="46"/>
      <c r="BD91" s="12"/>
      <c r="BE91" s="12"/>
      <c r="BF91" s="12"/>
      <c r="BG91" s="12"/>
      <c r="BH91" s="14"/>
      <c r="BI91" t="s">
        <v>31</v>
      </c>
      <c r="BS91" s="36" t="s">
        <v>156</v>
      </c>
      <c r="BU91" s="1" t="s">
        <v>264</v>
      </c>
      <c r="BV91" s="54" t="e">
        <f t="shared" si="14"/>
        <v>#DIV/0!</v>
      </c>
      <c r="BW91" s="54" t="e">
        <f t="shared" si="15"/>
        <v>#DIV/0!</v>
      </c>
    </row>
    <row r="92" spans="1:75" x14ac:dyDescent="0.35">
      <c r="A92" s="4" t="s">
        <v>384</v>
      </c>
      <c r="B92" t="s">
        <v>365</v>
      </c>
      <c r="C92" t="s">
        <v>228</v>
      </c>
      <c r="D92" t="s">
        <v>385</v>
      </c>
      <c r="E92">
        <v>2017</v>
      </c>
      <c r="M92" t="s">
        <v>178</v>
      </c>
      <c r="Q92" s="6">
        <v>3</v>
      </c>
      <c r="R92" s="6">
        <v>3</v>
      </c>
      <c r="S92" s="6"/>
      <c r="T92" s="6"/>
      <c r="U92" s="6"/>
      <c r="V92" s="6"/>
      <c r="W92" s="6"/>
      <c r="X92" s="6"/>
      <c r="Y92" s="6"/>
      <c r="Z92" s="6">
        <v>2</v>
      </c>
      <c r="AA92" s="6">
        <v>2</v>
      </c>
      <c r="AB92" s="6">
        <v>2</v>
      </c>
      <c r="AC92" s="6">
        <v>4</v>
      </c>
      <c r="AD92" s="9"/>
      <c r="AE92" s="9"/>
      <c r="AF92" s="11"/>
      <c r="AG92" s="10"/>
      <c r="AH92" s="10"/>
      <c r="AI92" s="50"/>
      <c r="AJ92" s="50" t="s">
        <v>32</v>
      </c>
      <c r="AK92" s="50"/>
      <c r="AL92" s="50"/>
      <c r="AM92" s="50"/>
      <c r="AN92" s="50">
        <v>2</v>
      </c>
      <c r="AO92" s="50"/>
      <c r="AP92" s="11"/>
      <c r="AQ92" s="9"/>
      <c r="AR92" s="9"/>
      <c r="AS92" s="11">
        <v>0.89</v>
      </c>
      <c r="AT92" s="50" t="s">
        <v>34</v>
      </c>
      <c r="AU92" s="50"/>
      <c r="AW92" s="12"/>
      <c r="AX92" s="44"/>
      <c r="AY92" s="44"/>
      <c r="AZ92" s="12">
        <v>4</v>
      </c>
      <c r="BA92" s="46"/>
      <c r="BB92" s="44"/>
      <c r="BC92" s="46"/>
      <c r="BD92" s="12"/>
      <c r="BE92" s="12"/>
      <c r="BF92" s="12"/>
      <c r="BG92" s="12"/>
      <c r="BH92" s="14"/>
      <c r="BI92" t="s">
        <v>31</v>
      </c>
      <c r="BS92" s="36" t="s">
        <v>156</v>
      </c>
      <c r="BU92" s="1" t="s">
        <v>264</v>
      </c>
      <c r="BV92" s="54" t="e">
        <f t="shared" ref="BV92:BV93" si="20">AS92*BH92/60*BB92*(AY92/AX92)</f>
        <v>#DIV/0!</v>
      </c>
      <c r="BW92" s="54" t="e">
        <f t="shared" ref="BW92:BW93" si="21">AS92*(AY92/AX92)*BA92</f>
        <v>#DIV/0!</v>
      </c>
    </row>
    <row r="93" spans="1:75" x14ac:dyDescent="0.35">
      <c r="A93" s="4" t="s">
        <v>386</v>
      </c>
      <c r="B93" t="s">
        <v>365</v>
      </c>
      <c r="D93" t="s">
        <v>210</v>
      </c>
      <c r="E93">
        <v>2018</v>
      </c>
      <c r="G93">
        <v>2022</v>
      </c>
      <c r="L93" t="s">
        <v>232</v>
      </c>
      <c r="M93" t="s">
        <v>178</v>
      </c>
      <c r="P93" t="s">
        <v>43</v>
      </c>
      <c r="Q93" s="6">
        <v>8</v>
      </c>
      <c r="R93" s="6">
        <v>8</v>
      </c>
      <c r="S93" s="6">
        <v>4</v>
      </c>
      <c r="T93" s="6">
        <v>4</v>
      </c>
      <c r="U93" s="6"/>
      <c r="V93" s="6"/>
      <c r="W93" s="6"/>
      <c r="X93" s="6"/>
      <c r="Y93" s="6"/>
      <c r="Z93" s="6"/>
      <c r="AA93" s="6"/>
      <c r="AB93" s="6"/>
      <c r="AC93" s="6"/>
      <c r="AD93" s="9">
        <v>2</v>
      </c>
      <c r="AE93" s="9"/>
      <c r="AF93" s="11"/>
      <c r="AG93" s="10"/>
      <c r="AH93" s="10"/>
      <c r="AI93" s="50"/>
      <c r="AJ93" s="50"/>
      <c r="AK93" s="50"/>
      <c r="AL93" s="50"/>
      <c r="AM93" s="50"/>
      <c r="AN93" s="50"/>
      <c r="AO93" s="50" t="s">
        <v>33</v>
      </c>
      <c r="AP93" s="11"/>
      <c r="AQ93" s="9"/>
      <c r="AR93" s="9"/>
      <c r="AS93" s="11" t="e">
        <f t="shared" si="19"/>
        <v>#DIV/0!</v>
      </c>
      <c r="AT93" s="50"/>
      <c r="AU93" s="50"/>
      <c r="AW93" s="12"/>
      <c r="AX93" s="44"/>
      <c r="AY93" s="44"/>
      <c r="AZ93" s="12"/>
      <c r="BA93" s="46"/>
      <c r="BB93" s="44"/>
      <c r="BC93" s="46"/>
      <c r="BD93" s="12"/>
      <c r="BE93" s="12"/>
      <c r="BF93" s="12"/>
      <c r="BG93" s="12"/>
      <c r="BH93" s="14"/>
      <c r="BS93" s="36" t="s">
        <v>236</v>
      </c>
      <c r="BU93" s="1" t="s">
        <v>264</v>
      </c>
      <c r="BV93" s="54" t="e">
        <f t="shared" si="20"/>
        <v>#DIV/0!</v>
      </c>
      <c r="BW93" s="54" t="e">
        <f t="shared" si="21"/>
        <v>#DIV/0!</v>
      </c>
    </row>
    <row r="94" spans="1:75" x14ac:dyDescent="0.35">
      <c r="A94" s="4" t="s">
        <v>206</v>
      </c>
      <c r="B94" t="s">
        <v>387</v>
      </c>
      <c r="D94" t="s">
        <v>6</v>
      </c>
      <c r="M94" t="s">
        <v>178</v>
      </c>
      <c r="Q94" s="6">
        <v>6</v>
      </c>
      <c r="R94" s="6">
        <v>6</v>
      </c>
      <c r="S94" s="6"/>
      <c r="T94" s="6">
        <v>6</v>
      </c>
      <c r="U94" s="6"/>
      <c r="V94" s="6"/>
      <c r="W94" s="6"/>
      <c r="X94" s="6"/>
      <c r="Y94" s="6"/>
      <c r="Z94" s="6"/>
      <c r="AA94" s="6"/>
      <c r="AB94" s="6"/>
      <c r="AC94" s="6"/>
      <c r="AD94" s="9">
        <v>3</v>
      </c>
      <c r="AE94" s="9"/>
      <c r="AF94" s="11"/>
      <c r="AG94" s="10"/>
      <c r="AH94" s="10"/>
      <c r="AI94" s="50"/>
      <c r="AJ94" s="50"/>
      <c r="AK94" s="50"/>
      <c r="AL94" s="50"/>
      <c r="AM94" s="50"/>
      <c r="AN94" s="50"/>
      <c r="AO94" s="50"/>
      <c r="AP94" s="11"/>
      <c r="AQ94" s="9"/>
      <c r="AR94" s="9"/>
      <c r="AS94" s="11" t="e">
        <f t="shared" si="19"/>
        <v>#DIV/0!</v>
      </c>
      <c r="AT94" s="50" t="s">
        <v>34</v>
      </c>
      <c r="AU94" s="50"/>
      <c r="AW94" s="12"/>
      <c r="AX94" s="44"/>
      <c r="AY94" s="44"/>
      <c r="AZ94" s="12"/>
      <c r="BA94" s="46"/>
      <c r="BB94" s="44"/>
      <c r="BC94" s="46"/>
      <c r="BD94" s="12"/>
      <c r="BE94" s="12"/>
      <c r="BF94" s="12"/>
      <c r="BG94" s="12"/>
      <c r="BH94" s="14"/>
      <c r="BU94" s="1" t="s">
        <v>264</v>
      </c>
      <c r="BV94" s="54" t="e">
        <f t="shared" ref="BV94:BV95" si="22">AS94*BH94/60*BB94*(AY94/AX94)</f>
        <v>#DIV/0!</v>
      </c>
      <c r="BW94" s="54" t="e">
        <f t="shared" ref="BW94:BW95" si="23">AS94*(AY94/AX94)*BA94</f>
        <v>#DIV/0!</v>
      </c>
    </row>
    <row r="95" spans="1:75" x14ac:dyDescent="0.35">
      <c r="A95" s="4" t="s">
        <v>389</v>
      </c>
      <c r="B95" t="s">
        <v>388</v>
      </c>
      <c r="C95" t="s">
        <v>54</v>
      </c>
      <c r="D95" t="s">
        <v>320</v>
      </c>
      <c r="M95" t="s">
        <v>155</v>
      </c>
      <c r="Q95" s="6">
        <v>6</v>
      </c>
      <c r="R95" s="6">
        <v>6</v>
      </c>
      <c r="S95" s="6"/>
      <c r="T95" s="6">
        <v>6</v>
      </c>
      <c r="U95" s="6"/>
      <c r="V95" s="6"/>
      <c r="W95" s="6"/>
      <c r="X95" s="6"/>
      <c r="Y95" s="6"/>
      <c r="Z95" s="6">
        <v>2</v>
      </c>
      <c r="AA95" s="6"/>
      <c r="AB95" s="6"/>
      <c r="AC95" s="6"/>
      <c r="AD95" s="9">
        <v>1</v>
      </c>
      <c r="AE95" s="9"/>
      <c r="AF95" s="11">
        <v>1.98</v>
      </c>
      <c r="AG95" s="10"/>
      <c r="AH95" s="10"/>
      <c r="AI95" s="50"/>
      <c r="AJ95" s="50" t="s">
        <v>63</v>
      </c>
      <c r="AK95" s="50" t="s">
        <v>159</v>
      </c>
      <c r="AL95" s="50"/>
      <c r="AM95" s="50"/>
      <c r="AN95" s="50"/>
      <c r="AO95" s="50"/>
      <c r="AP95" s="11">
        <v>2.2999999999999998</v>
      </c>
      <c r="AQ95" s="9"/>
      <c r="AR95" s="9">
        <v>0.5</v>
      </c>
      <c r="AS95" s="11" t="b">
        <f>AD972=AP95/AF95</f>
        <v>0</v>
      </c>
      <c r="AT95" s="50"/>
      <c r="AU95" s="50"/>
      <c r="AW95" s="12"/>
      <c r="AX95" s="44"/>
      <c r="AY95" s="44"/>
      <c r="AZ95" s="12"/>
      <c r="BA95" s="46"/>
      <c r="BB95" s="44"/>
      <c r="BC95" s="46"/>
      <c r="BD95" s="12"/>
      <c r="BE95" s="12"/>
      <c r="BF95" s="12"/>
      <c r="BG95" s="12"/>
      <c r="BH95" s="14"/>
      <c r="BU95" s="1" t="s">
        <v>264</v>
      </c>
      <c r="BV95" s="54" t="e">
        <f t="shared" si="22"/>
        <v>#DIV/0!</v>
      </c>
      <c r="BW95" s="54" t="e">
        <f t="shared" si="23"/>
        <v>#DIV/0!</v>
      </c>
    </row>
    <row r="96" spans="1:75" x14ac:dyDescent="0.35">
      <c r="A96" s="4" t="s">
        <v>390</v>
      </c>
      <c r="B96" t="s">
        <v>392</v>
      </c>
      <c r="D96" t="s">
        <v>391</v>
      </c>
      <c r="L96" t="s">
        <v>232</v>
      </c>
      <c r="P96" t="s">
        <v>40</v>
      </c>
      <c r="Q96" s="6">
        <v>16</v>
      </c>
      <c r="R96" s="6">
        <v>8</v>
      </c>
      <c r="S96" s="6">
        <v>8</v>
      </c>
      <c r="T96" s="6">
        <v>8</v>
      </c>
      <c r="U96" s="6"/>
      <c r="V96" s="6"/>
      <c r="W96" s="6"/>
      <c r="X96" s="6"/>
      <c r="Y96" s="6"/>
      <c r="Z96" s="6">
        <v>8</v>
      </c>
      <c r="AA96" s="6"/>
      <c r="AB96" s="6"/>
      <c r="AC96" s="6"/>
      <c r="AD96" s="9">
        <v>2</v>
      </c>
      <c r="AE96" s="9"/>
      <c r="AF96" s="11"/>
      <c r="AG96" s="10"/>
      <c r="AH96" s="10"/>
      <c r="AI96" s="50"/>
      <c r="AJ96" s="50"/>
      <c r="AK96" s="50"/>
      <c r="AL96" s="50"/>
      <c r="AM96" s="50"/>
      <c r="AN96" s="50"/>
      <c r="AO96" s="50" t="s">
        <v>181</v>
      </c>
      <c r="AP96" s="11"/>
      <c r="AQ96" s="9"/>
      <c r="AR96" s="9"/>
      <c r="AS96" s="11" t="e">
        <f t="shared" si="19"/>
        <v>#DIV/0!</v>
      </c>
      <c r="AT96" s="50" t="s">
        <v>48</v>
      </c>
      <c r="AU96" s="50">
        <v>4</v>
      </c>
      <c r="AW96" s="12"/>
      <c r="AX96" s="44"/>
      <c r="AY96" s="44">
        <v>10000</v>
      </c>
      <c r="AZ96" s="12">
        <v>41</v>
      </c>
      <c r="BA96" s="46">
        <v>350</v>
      </c>
      <c r="BB96" s="44"/>
      <c r="BC96" s="46"/>
      <c r="BD96" s="12"/>
      <c r="BE96" s="12"/>
      <c r="BF96" s="12"/>
      <c r="BG96" s="12"/>
      <c r="BH96" s="14"/>
      <c r="BI96" t="s">
        <v>31</v>
      </c>
      <c r="BU96" s="1" t="s">
        <v>264</v>
      </c>
      <c r="BV96" s="54" t="e">
        <f t="shared" ref="BV96" si="24">AS96*BH96/60*BB96*(AY96/AX96)</f>
        <v>#DIV/0!</v>
      </c>
      <c r="BW96" s="54" t="e">
        <f t="shared" ref="BW96" si="25">AS96*(AY96/AX96)*BA96</f>
        <v>#DIV/0!</v>
      </c>
    </row>
    <row r="97" spans="1:75" x14ac:dyDescent="0.35">
      <c r="A97" s="4" t="s">
        <v>393</v>
      </c>
      <c r="B97" t="s">
        <v>394</v>
      </c>
      <c r="D97" t="s">
        <v>395</v>
      </c>
      <c r="E97">
        <v>2014</v>
      </c>
      <c r="L97" t="s">
        <v>99</v>
      </c>
      <c r="P97" t="s">
        <v>43</v>
      </c>
      <c r="Q97" s="6">
        <v>6</v>
      </c>
      <c r="R97" s="6">
        <v>6</v>
      </c>
      <c r="S97" s="6"/>
      <c r="T97" s="6"/>
      <c r="U97" s="6"/>
      <c r="V97" s="6"/>
      <c r="W97" s="6"/>
      <c r="X97" s="6">
        <v>1.5</v>
      </c>
      <c r="Y97" s="6">
        <v>1.5</v>
      </c>
      <c r="Z97" s="6"/>
      <c r="AA97" s="6">
        <v>7</v>
      </c>
      <c r="AB97" s="6"/>
      <c r="AC97" s="6">
        <v>7</v>
      </c>
      <c r="AD97" s="9">
        <v>2</v>
      </c>
      <c r="AE97" s="9"/>
      <c r="AF97" s="11">
        <v>6.13</v>
      </c>
      <c r="AG97" s="10"/>
      <c r="AH97" s="10"/>
      <c r="AI97" s="50"/>
      <c r="AJ97" s="50"/>
      <c r="AK97" s="50"/>
      <c r="AL97" s="50">
        <v>1</v>
      </c>
      <c r="AM97" s="50"/>
      <c r="AN97" s="50"/>
      <c r="AO97" s="50"/>
      <c r="AP97" s="11">
        <v>5.08</v>
      </c>
      <c r="AQ97" s="9"/>
      <c r="AR97" s="9">
        <v>1.04</v>
      </c>
      <c r="AS97" s="11">
        <f t="shared" si="19"/>
        <v>0.82871125611745522</v>
      </c>
      <c r="AT97" s="50"/>
      <c r="AU97" s="50"/>
      <c r="AW97" s="12"/>
      <c r="AX97" s="44">
        <v>1323</v>
      </c>
      <c r="AY97" s="44">
        <v>441</v>
      </c>
      <c r="AZ97" s="12">
        <v>2</v>
      </c>
      <c r="BA97" s="46">
        <v>50</v>
      </c>
      <c r="BB97" s="44">
        <v>81</v>
      </c>
      <c r="BC97" s="46"/>
      <c r="BD97" s="12"/>
      <c r="BE97" s="12"/>
      <c r="BF97" s="12"/>
      <c r="BG97" s="12"/>
      <c r="BH97" s="14">
        <v>10</v>
      </c>
      <c r="BI97" t="s">
        <v>31</v>
      </c>
      <c r="BU97" s="1" t="s">
        <v>264</v>
      </c>
      <c r="BV97" s="54">
        <f>AS97*BH97/60*BB97*(AY97/AX97)</f>
        <v>3.7292006525285482</v>
      </c>
      <c r="BW97" s="54">
        <f>AS97*(AY97/AX97)*BA97</f>
        <v>13.811854268624252</v>
      </c>
    </row>
    <row r="98" spans="1:75" x14ac:dyDescent="0.35">
      <c r="A98" s="4" t="s">
        <v>396</v>
      </c>
      <c r="B98" t="s">
        <v>365</v>
      </c>
      <c r="D98" t="s">
        <v>6</v>
      </c>
      <c r="E98">
        <v>2019</v>
      </c>
      <c r="L98" t="s">
        <v>99</v>
      </c>
      <c r="P98" t="s">
        <v>40</v>
      </c>
      <c r="Q98" s="6"/>
      <c r="R98" s="6"/>
      <c r="S98" s="6"/>
      <c r="T98" s="6"/>
      <c r="U98" s="6"/>
      <c r="V98" s="6"/>
      <c r="W98" s="6"/>
      <c r="X98" s="6"/>
      <c r="Y98" s="6"/>
      <c r="Z98" s="6"/>
      <c r="AA98" s="6"/>
      <c r="AB98" s="6"/>
      <c r="AC98" s="6"/>
      <c r="AD98" s="9">
        <v>1</v>
      </c>
      <c r="AE98" s="9"/>
      <c r="AF98" s="11"/>
      <c r="AG98" s="10"/>
      <c r="AH98" s="10"/>
      <c r="AI98" s="50"/>
      <c r="AJ98" s="50"/>
      <c r="AK98" s="50"/>
      <c r="AL98" s="50"/>
      <c r="AM98" s="50"/>
      <c r="AN98" s="50"/>
      <c r="AO98" s="50"/>
      <c r="AP98" s="11"/>
      <c r="AQ98" s="9"/>
      <c r="AR98" s="9"/>
      <c r="AS98" s="11">
        <v>0.74</v>
      </c>
      <c r="AT98" s="50" t="s">
        <v>34</v>
      </c>
      <c r="AU98" s="50"/>
      <c r="AW98" s="12"/>
      <c r="AX98" s="44"/>
      <c r="AY98" s="44"/>
      <c r="AZ98" s="12">
        <v>2</v>
      </c>
      <c r="BA98" s="46"/>
      <c r="BB98" s="44"/>
      <c r="BC98" s="46"/>
      <c r="BD98" s="12"/>
      <c r="BE98" s="12"/>
      <c r="BF98" s="12"/>
      <c r="BG98" s="12"/>
      <c r="BH98" s="14"/>
      <c r="BI98" t="s">
        <v>180</v>
      </c>
      <c r="BU98" s="1" t="s">
        <v>264</v>
      </c>
      <c r="BV98" s="54" t="e">
        <f>AS98*BH98/60*BB98*(AY98/AX98)</f>
        <v>#DIV/0!</v>
      </c>
      <c r="BW98" s="54" t="e">
        <f>AS98*(AY98/AX98)*BA98</f>
        <v>#DIV/0!</v>
      </c>
    </row>
    <row r="99" spans="1:75" s="64" customFormat="1" x14ac:dyDescent="0.35">
      <c r="A99" s="63" t="s">
        <v>397</v>
      </c>
      <c r="B99" s="72" t="s">
        <v>398</v>
      </c>
      <c r="D99" s="63" t="s">
        <v>399</v>
      </c>
      <c r="I99" s="65"/>
      <c r="L99" s="64" t="s">
        <v>40</v>
      </c>
      <c r="N99" s="66"/>
      <c r="O99" s="66"/>
      <c r="P99" s="64" t="s">
        <v>43</v>
      </c>
      <c r="Q99" s="64">
        <v>2</v>
      </c>
      <c r="R99" s="64">
        <v>2</v>
      </c>
      <c r="T99" s="64">
        <v>2</v>
      </c>
      <c r="Z99" s="64">
        <v>2</v>
      </c>
      <c r="AD99" s="64">
        <v>1</v>
      </c>
      <c r="AF99" s="67"/>
      <c r="AG99" s="68"/>
      <c r="AH99" s="68"/>
      <c r="AI99" s="69"/>
      <c r="AJ99" s="69" t="s">
        <v>63</v>
      </c>
      <c r="AK99" s="69"/>
      <c r="AL99" s="69"/>
      <c r="AM99" s="69"/>
      <c r="AN99" s="69"/>
      <c r="AO99" s="69"/>
      <c r="AP99" s="67"/>
      <c r="AS99" s="68"/>
      <c r="AT99" s="69" t="s">
        <v>142</v>
      </c>
      <c r="AU99" s="69"/>
      <c r="AV99" s="69"/>
      <c r="AX99" s="70"/>
      <c r="AY99" s="70"/>
      <c r="BA99" s="71"/>
      <c r="BB99" s="70"/>
      <c r="BC99" s="71"/>
      <c r="BH99" s="67"/>
      <c r="BS99" s="69" t="s">
        <v>156</v>
      </c>
      <c r="BV99" s="71"/>
      <c r="BW99" s="71"/>
    </row>
  </sheetData>
  <sortState xmlns:xlrd2="http://schemas.microsoft.com/office/spreadsheetml/2017/richdata2" ref="A3:BW32">
    <sortCondition descending="1" ref="BV3:BV32"/>
  </sortState>
  <hyperlinks>
    <hyperlink ref="BU30" r:id="rId1" xr:uid="{33C4C19D-9057-4A2E-806A-F6C8EA97067F}"/>
    <hyperlink ref="BU27" r:id="rId2" xr:uid="{A0501409-DD9F-4047-8EED-E4EB0D607CE8}"/>
    <hyperlink ref="BU13" r:id="rId3" xr:uid="{2C9D002F-8D8F-4A34-AC8E-1E0B681B1E03}"/>
    <hyperlink ref="BU17" r:id="rId4" xr:uid="{DF90D5CF-1C78-4F51-8733-93DB65EEDC85}"/>
    <hyperlink ref="BU47" r:id="rId5" xr:uid="{66AFB77E-8C4B-4821-872E-7B92BB13F625}"/>
    <hyperlink ref="BU18" r:id="rId6" xr:uid="{88ABA844-CEA4-4A60-9916-7106BAD297B9}"/>
  </hyperlinks>
  <pageMargins left="0.7" right="0.7" top="0.75" bottom="0.75" header="0.3" footer="0.3"/>
  <pageSetup orientation="portrait" r:id="rId7"/>
  <legacy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82ED9-2B40-4AE1-BCC6-5169F010B762}">
  <dimension ref="A1:BW23"/>
  <sheetViews>
    <sheetView zoomScale="85" zoomScaleNormal="85" workbookViewId="0">
      <selection activeCell="A14" sqref="A14"/>
    </sheetView>
  </sheetViews>
  <sheetFormatPr defaultRowHeight="14.5" x14ac:dyDescent="0.35"/>
  <cols>
    <col min="1" max="1" width="18.1796875" bestFit="1" customWidth="1"/>
    <col min="2" max="2" width="13.54296875" bestFit="1" customWidth="1"/>
    <col min="3" max="3" width="5.26953125" bestFit="1" customWidth="1"/>
    <col min="4" max="4" width="8.81640625" bestFit="1" customWidth="1"/>
    <col min="5" max="5" width="7.7265625" bestFit="1" customWidth="1"/>
    <col min="6" max="6" width="7.81640625" bestFit="1" customWidth="1"/>
    <col min="7" max="7" width="7.54296875" bestFit="1" customWidth="1"/>
    <col min="8" max="8" width="10.81640625" bestFit="1" customWidth="1"/>
    <col min="9" max="9" width="11" bestFit="1" customWidth="1"/>
    <col min="10" max="10" width="11.7265625" bestFit="1" customWidth="1"/>
    <col min="11" max="11" width="9.26953125" bestFit="1" customWidth="1"/>
    <col min="12" max="12" width="4.7265625" bestFit="1" customWidth="1"/>
    <col min="13" max="13" width="6.7265625" bestFit="1" customWidth="1"/>
    <col min="14" max="14" width="8" bestFit="1" customWidth="1"/>
    <col min="15" max="15" width="8.81640625" bestFit="1" customWidth="1"/>
    <col min="16" max="16" width="7.54296875" bestFit="1" customWidth="1"/>
    <col min="17" max="17" width="6.1796875" bestFit="1" customWidth="1"/>
    <col min="18" max="18" width="4.81640625" bestFit="1" customWidth="1"/>
    <col min="19" max="19" width="5.26953125" bestFit="1" customWidth="1"/>
    <col min="20" max="20" width="6.1796875" bestFit="1" customWidth="1"/>
    <col min="21" max="21" width="4.1796875" bestFit="1" customWidth="1"/>
    <col min="22" max="22" width="5.1796875" bestFit="1" customWidth="1"/>
    <col min="23" max="24" width="4.26953125" bestFit="1" customWidth="1"/>
    <col min="25" max="25" width="4.54296875" bestFit="1" customWidth="1"/>
    <col min="26" max="26" width="4.26953125" bestFit="1" customWidth="1"/>
    <col min="27" max="29" width="5.54296875" bestFit="1" customWidth="1"/>
    <col min="30" max="30" width="6.81640625" bestFit="1" customWidth="1"/>
    <col min="31" max="31" width="9.453125" bestFit="1" customWidth="1"/>
    <col min="32" max="32" width="7.1796875" bestFit="1" customWidth="1"/>
    <col min="33" max="33" width="8.1796875" bestFit="1" customWidth="1"/>
    <col min="34" max="34" width="7.54296875" bestFit="1" customWidth="1"/>
    <col min="35" max="37" width="4" bestFit="1" customWidth="1"/>
    <col min="38" max="38" width="5.1796875" bestFit="1" customWidth="1"/>
    <col min="39" max="39" width="6.1796875" bestFit="1" customWidth="1"/>
    <col min="40" max="40" width="6.1796875" customWidth="1"/>
    <col min="41" max="41" width="4.7265625" bestFit="1" customWidth="1"/>
    <col min="42" max="42" width="7.1796875" bestFit="1" customWidth="1"/>
    <col min="43" max="43" width="8.453125" bestFit="1" customWidth="1"/>
    <col min="44" max="44" width="7.1796875" bestFit="1" customWidth="1"/>
    <col min="45" max="45" width="7.81640625" bestFit="1" customWidth="1"/>
    <col min="46" max="46" width="5.54296875" bestFit="1" customWidth="1"/>
    <col min="47" max="47" width="4.81640625" bestFit="1" customWidth="1"/>
    <col min="48" max="48" width="4.1796875" bestFit="1" customWidth="1"/>
    <col min="49" max="49" width="6.54296875" bestFit="1" customWidth="1"/>
    <col min="50" max="50" width="7" bestFit="1" customWidth="1"/>
    <col min="51" max="51" width="8.453125" bestFit="1" customWidth="1"/>
    <col min="52" max="52" width="6.1796875" bestFit="1" customWidth="1"/>
    <col min="53" max="53" width="7.1796875" bestFit="1" customWidth="1"/>
    <col min="54" max="54" width="8.453125" bestFit="1" customWidth="1"/>
    <col min="55" max="55" width="8.54296875" bestFit="1" customWidth="1"/>
    <col min="56" max="56" width="12.26953125" bestFit="1" customWidth="1"/>
    <col min="57" max="57" width="7" bestFit="1" customWidth="1"/>
    <col min="58" max="58" width="5.26953125" bestFit="1" customWidth="1"/>
    <col min="59" max="59" width="5.81640625" bestFit="1" customWidth="1"/>
    <col min="60" max="60" width="6.7265625" bestFit="1" customWidth="1"/>
    <col min="61" max="62" width="5.1796875" bestFit="1" customWidth="1"/>
    <col min="63" max="63" width="7" bestFit="1" customWidth="1"/>
    <col min="64" max="64" width="6.1796875" bestFit="1" customWidth="1"/>
    <col min="65" max="65" width="7.81640625" bestFit="1" customWidth="1"/>
    <col min="66" max="66" width="8" bestFit="1" customWidth="1"/>
    <col min="67" max="67" width="9.26953125" bestFit="1" customWidth="1"/>
    <col min="68" max="68" width="9.453125" bestFit="1" customWidth="1"/>
    <col min="69" max="69" width="4.1796875" bestFit="1" customWidth="1"/>
    <col min="70" max="70" width="7.453125" bestFit="1" customWidth="1"/>
    <col min="71" max="71" width="5.26953125" bestFit="1" customWidth="1"/>
    <col min="72" max="72" width="10.7265625" bestFit="1" customWidth="1"/>
    <col min="73" max="73" width="6.453125" bestFit="1" customWidth="1"/>
    <col min="74" max="75" width="7.7265625" bestFit="1" customWidth="1"/>
  </cols>
  <sheetData>
    <row r="1" spans="1:75" x14ac:dyDescent="0.35">
      <c r="A1" t="s">
        <v>0</v>
      </c>
      <c r="B1" t="s">
        <v>1</v>
      </c>
      <c r="C1" t="s">
        <v>8</v>
      </c>
      <c r="D1" t="s">
        <v>5</v>
      </c>
      <c r="E1" t="s">
        <v>4</v>
      </c>
      <c r="F1" t="s">
        <v>96</v>
      </c>
      <c r="G1" t="s">
        <v>14</v>
      </c>
      <c r="H1" t="s">
        <v>41</v>
      </c>
      <c r="I1" t="s">
        <v>9</v>
      </c>
      <c r="J1" t="s">
        <v>12</v>
      </c>
      <c r="K1" t="s">
        <v>13</v>
      </c>
      <c r="L1" t="s">
        <v>98</v>
      </c>
      <c r="M1" t="s">
        <v>179</v>
      </c>
      <c r="N1" t="s">
        <v>23</v>
      </c>
      <c r="O1" t="s">
        <v>24</v>
      </c>
      <c r="P1" t="s">
        <v>182</v>
      </c>
      <c r="Q1" s="6" t="s">
        <v>184</v>
      </c>
      <c r="R1" s="6" t="s">
        <v>153</v>
      </c>
      <c r="S1" s="6" t="s">
        <v>183</v>
      </c>
      <c r="T1" s="6" t="s">
        <v>185</v>
      </c>
      <c r="U1" s="6" t="s">
        <v>186</v>
      </c>
      <c r="V1" s="6" t="s">
        <v>187</v>
      </c>
      <c r="W1" s="6" t="s">
        <v>188</v>
      </c>
      <c r="X1" s="6" t="s">
        <v>160</v>
      </c>
      <c r="Y1" s="6" t="s">
        <v>161</v>
      </c>
      <c r="Z1" s="6" t="s">
        <v>162</v>
      </c>
      <c r="AA1" s="6" t="s">
        <v>163</v>
      </c>
      <c r="AB1" s="6" t="s">
        <v>164</v>
      </c>
      <c r="AC1" s="6" t="s">
        <v>233</v>
      </c>
      <c r="AD1" s="9" t="s">
        <v>146</v>
      </c>
      <c r="AE1" s="9" t="s">
        <v>147</v>
      </c>
      <c r="AF1" s="8" t="s">
        <v>131</v>
      </c>
      <c r="AG1" s="10" t="s">
        <v>130</v>
      </c>
      <c r="AH1" s="9" t="s">
        <v>148</v>
      </c>
      <c r="AI1" s="9" t="s">
        <v>34</v>
      </c>
      <c r="AJ1" s="9" t="s">
        <v>230</v>
      </c>
      <c r="AK1" s="9" t="s">
        <v>165</v>
      </c>
      <c r="AL1" s="9" t="s">
        <v>149</v>
      </c>
      <c r="AM1" s="9" t="s">
        <v>61</v>
      </c>
      <c r="AN1" s="9" t="s">
        <v>238</v>
      </c>
      <c r="AO1" s="9" t="s">
        <v>128</v>
      </c>
      <c r="AP1" s="8" t="s">
        <v>114</v>
      </c>
      <c r="AQ1" s="9" t="s">
        <v>39</v>
      </c>
      <c r="AR1" s="9" t="s">
        <v>113</v>
      </c>
      <c r="AS1" s="10" t="s">
        <v>120</v>
      </c>
      <c r="AT1" s="9" t="s">
        <v>166</v>
      </c>
      <c r="AU1" s="9" t="s">
        <v>231</v>
      </c>
      <c r="AV1" t="s">
        <v>150</v>
      </c>
      <c r="AW1" s="12" t="s">
        <v>167</v>
      </c>
      <c r="AX1" s="13" t="s">
        <v>124</v>
      </c>
      <c r="AY1" s="13" t="s">
        <v>7</v>
      </c>
      <c r="AZ1" s="12" t="s">
        <v>154</v>
      </c>
      <c r="BA1" s="12" t="s">
        <v>2</v>
      </c>
      <c r="BB1" s="13" t="s">
        <v>83</v>
      </c>
      <c r="BC1" s="15" t="s">
        <v>3</v>
      </c>
      <c r="BD1" s="12" t="s">
        <v>29</v>
      </c>
      <c r="BE1" s="12" t="s">
        <v>15</v>
      </c>
      <c r="BF1" s="12" t="s">
        <v>168</v>
      </c>
      <c r="BG1" s="12" t="s">
        <v>169</v>
      </c>
      <c r="BH1" s="14" t="s">
        <v>170</v>
      </c>
      <c r="BI1" t="s">
        <v>171</v>
      </c>
      <c r="BJ1" t="s">
        <v>172</v>
      </c>
      <c r="BK1" t="s">
        <v>173</v>
      </c>
      <c r="BL1" t="s">
        <v>30</v>
      </c>
      <c r="BM1" t="s">
        <v>20</v>
      </c>
      <c r="BN1" t="s">
        <v>19</v>
      </c>
      <c r="BO1" t="s">
        <v>21</v>
      </c>
      <c r="BP1" t="s">
        <v>22</v>
      </c>
      <c r="BQ1" t="s">
        <v>151</v>
      </c>
      <c r="BR1" t="s">
        <v>174</v>
      </c>
      <c r="BS1" t="s">
        <v>152</v>
      </c>
      <c r="BT1" t="s">
        <v>175</v>
      </c>
      <c r="BU1" t="s">
        <v>10</v>
      </c>
      <c r="BV1" s="2" t="s">
        <v>117</v>
      </c>
      <c r="BW1" t="s">
        <v>134</v>
      </c>
    </row>
    <row r="2" spans="1:75" x14ac:dyDescent="0.35">
      <c r="A2" t="s">
        <v>87</v>
      </c>
      <c r="B2" t="s">
        <v>100</v>
      </c>
      <c r="C2" t="s">
        <v>229</v>
      </c>
      <c r="H2" t="s">
        <v>40</v>
      </c>
      <c r="L2" t="s">
        <v>40</v>
      </c>
      <c r="Q2" s="6"/>
      <c r="R2" s="6"/>
      <c r="S2" s="6"/>
      <c r="T2" s="6"/>
      <c r="U2" s="6"/>
      <c r="V2" s="6"/>
      <c r="W2" s="6"/>
      <c r="X2" s="6"/>
      <c r="Y2" s="6"/>
      <c r="Z2" s="6"/>
      <c r="AA2" s="6"/>
      <c r="AB2" s="6"/>
      <c r="AC2" s="6"/>
      <c r="AD2" s="9"/>
      <c r="AE2" s="9"/>
      <c r="AF2" s="9">
        <v>13.2</v>
      </c>
      <c r="AG2" s="9"/>
      <c r="AH2" s="9"/>
      <c r="AI2" s="9"/>
      <c r="AJ2" s="9"/>
      <c r="AK2" s="9"/>
      <c r="AL2" s="9"/>
      <c r="AM2" s="9"/>
      <c r="AN2" s="9"/>
      <c r="AO2" s="9"/>
      <c r="AP2" s="9"/>
      <c r="AQ2" s="9"/>
      <c r="AR2" s="9">
        <v>3.1</v>
      </c>
      <c r="AS2" s="9"/>
      <c r="AT2" s="9"/>
      <c r="AU2" s="9"/>
      <c r="AW2" s="12"/>
      <c r="AX2" s="12">
        <v>11.3</v>
      </c>
      <c r="AY2" s="12"/>
      <c r="AZ2" s="12" t="s">
        <v>32</v>
      </c>
      <c r="BA2" s="12"/>
      <c r="BB2" s="12"/>
      <c r="BC2" s="12"/>
      <c r="BD2" s="12"/>
      <c r="BE2" s="12"/>
      <c r="BF2" s="12"/>
      <c r="BG2" s="12"/>
      <c r="BH2" s="12"/>
      <c r="BV2" s="2">
        <f>(AP2/AF2)*BH2/60*BB2*(AY2/AX2)</f>
        <v>0</v>
      </c>
      <c r="BW2" s="2">
        <f>(AP2/AF2)*(AY2/AX2)*BA2</f>
        <v>0</v>
      </c>
    </row>
    <row r="3" spans="1:75" x14ac:dyDescent="0.35">
      <c r="A3" s="3" t="s">
        <v>92</v>
      </c>
      <c r="B3" t="s">
        <v>107</v>
      </c>
      <c r="C3" t="s">
        <v>108</v>
      </c>
      <c r="H3">
        <v>27</v>
      </c>
      <c r="L3" t="s">
        <v>99</v>
      </c>
      <c r="Q3" s="6"/>
      <c r="R3" s="6"/>
      <c r="S3" s="6"/>
      <c r="T3" s="6"/>
      <c r="U3" s="6"/>
      <c r="V3" s="6"/>
      <c r="W3" s="6"/>
      <c r="X3" s="6"/>
      <c r="Y3" s="6"/>
      <c r="Z3" s="6"/>
      <c r="AA3" s="6"/>
      <c r="AB3" s="6"/>
      <c r="AC3" s="6"/>
      <c r="AD3" s="9"/>
      <c r="AE3" s="9"/>
      <c r="AF3" s="9"/>
      <c r="AG3" s="9"/>
      <c r="AH3" s="9"/>
      <c r="AI3" s="9"/>
      <c r="AJ3" s="9"/>
      <c r="AK3" s="9"/>
      <c r="AL3" s="9"/>
      <c r="AM3" s="9"/>
      <c r="AN3" s="9"/>
      <c r="AO3" s="9"/>
      <c r="AP3" s="9"/>
      <c r="AQ3" s="9"/>
      <c r="AR3" s="9">
        <v>3.68</v>
      </c>
      <c r="AS3" s="9"/>
      <c r="AT3" s="9"/>
      <c r="AU3" s="9"/>
      <c r="AW3" s="12"/>
      <c r="AX3" s="12"/>
      <c r="AY3" s="12"/>
      <c r="AZ3" s="12"/>
      <c r="BA3" s="12"/>
      <c r="BB3" s="12"/>
      <c r="BC3" s="12"/>
      <c r="BD3" s="12"/>
      <c r="BE3" s="12"/>
      <c r="BF3" s="12"/>
      <c r="BG3" s="12"/>
      <c r="BH3" s="12"/>
      <c r="BV3" s="2" t="e">
        <f>(AP3/AF3)*BH3/60*BB3*(AY3/AX3)</f>
        <v>#DIV/0!</v>
      </c>
      <c r="BW3" s="2" t="e">
        <f>(AP3/AF3)*(AY3/AX3)*BA3</f>
        <v>#DIV/0!</v>
      </c>
    </row>
    <row r="4" spans="1:75" x14ac:dyDescent="0.35">
      <c r="A4" s="3" t="s">
        <v>94</v>
      </c>
      <c r="B4" t="s">
        <v>110</v>
      </c>
      <c r="C4" t="s">
        <v>111</v>
      </c>
      <c r="H4" t="s">
        <v>40</v>
      </c>
      <c r="L4" t="s">
        <v>99</v>
      </c>
      <c r="Q4" s="6"/>
      <c r="R4" s="6"/>
      <c r="S4" s="6"/>
      <c r="T4" s="6"/>
      <c r="U4" s="6"/>
      <c r="V4" s="6"/>
      <c r="W4" s="6"/>
      <c r="X4" s="6"/>
      <c r="Y4" s="6"/>
      <c r="Z4" s="6"/>
      <c r="AA4" s="6"/>
      <c r="AB4" s="6"/>
      <c r="AC4" s="6"/>
      <c r="AD4" s="9"/>
      <c r="AE4" s="9"/>
      <c r="AF4" s="9">
        <v>8</v>
      </c>
      <c r="AG4" s="9"/>
      <c r="AH4" s="9"/>
      <c r="AI4" s="9"/>
      <c r="AJ4" s="9"/>
      <c r="AK4" s="9"/>
      <c r="AL4" s="9"/>
      <c r="AM4" s="9"/>
      <c r="AN4" s="9"/>
      <c r="AO4" s="9"/>
      <c r="AP4" s="9"/>
      <c r="AQ4" s="9"/>
      <c r="AR4" s="9">
        <v>2.3199999999999998</v>
      </c>
      <c r="AS4" s="9"/>
      <c r="AT4" s="9"/>
      <c r="AU4" s="9"/>
      <c r="AW4" s="12"/>
      <c r="AX4" s="12">
        <v>8</v>
      </c>
      <c r="AY4" s="12"/>
      <c r="AZ4" s="12"/>
      <c r="BA4" s="12"/>
      <c r="BB4" s="12"/>
      <c r="BC4" s="12"/>
      <c r="BD4" s="12"/>
      <c r="BE4" s="12"/>
      <c r="BF4" s="12"/>
      <c r="BG4" s="12"/>
      <c r="BH4" s="12"/>
      <c r="BV4" s="2">
        <f>(AP4/AF4)*BH4/60*BB4*(AY4/AX4)</f>
        <v>0</v>
      </c>
      <c r="BW4" s="2">
        <f>(AP4/AF4)*(AY4/AX4)*BA4</f>
        <v>0</v>
      </c>
    </row>
    <row r="5" spans="1:75" x14ac:dyDescent="0.35">
      <c r="A5" t="s">
        <v>218</v>
      </c>
      <c r="B5" t="s">
        <v>219</v>
      </c>
      <c r="C5" t="s">
        <v>229</v>
      </c>
      <c r="D5" t="s">
        <v>220</v>
      </c>
      <c r="E5">
        <v>2025</v>
      </c>
      <c r="G5">
        <v>2019</v>
      </c>
      <c r="I5" s="40"/>
      <c r="N5" s="32"/>
      <c r="O5" s="32"/>
      <c r="P5" t="s">
        <v>43</v>
      </c>
      <c r="Q5" s="6">
        <v>8</v>
      </c>
      <c r="R5" s="6">
        <v>8</v>
      </c>
      <c r="S5" s="6">
        <v>8</v>
      </c>
      <c r="T5" s="6">
        <v>0</v>
      </c>
      <c r="U5" s="6">
        <v>8</v>
      </c>
      <c r="V5" s="22"/>
      <c r="W5" s="6">
        <v>8</v>
      </c>
      <c r="X5" s="6"/>
      <c r="Y5" s="6"/>
      <c r="Z5" s="6"/>
      <c r="AA5" s="6">
        <v>4</v>
      </c>
      <c r="AB5" s="6"/>
      <c r="AC5" s="6"/>
      <c r="AD5" s="9">
        <v>1</v>
      </c>
      <c r="AE5" s="9"/>
      <c r="AF5" s="11"/>
      <c r="AG5" s="10"/>
      <c r="AH5" s="10"/>
      <c r="AI5" s="9"/>
      <c r="AJ5" s="35" t="s">
        <v>32</v>
      </c>
      <c r="AK5" s="9" t="s">
        <v>159</v>
      </c>
      <c r="AL5" s="9"/>
      <c r="AM5" s="9"/>
      <c r="AN5" s="9"/>
      <c r="AO5" s="35" t="s">
        <v>33</v>
      </c>
      <c r="AP5" s="27"/>
      <c r="AQ5" s="9"/>
      <c r="AR5" s="9"/>
      <c r="AS5" s="11" t="e">
        <f>AP5/AF5</f>
        <v>#DIV/0!</v>
      </c>
      <c r="AT5" s="35" t="s">
        <v>221</v>
      </c>
      <c r="AU5" s="9"/>
      <c r="AV5" s="36"/>
      <c r="AW5" s="12"/>
      <c r="AX5" s="12"/>
      <c r="AY5" s="12">
        <v>50</v>
      </c>
      <c r="AZ5" s="12">
        <v>4</v>
      </c>
      <c r="BA5" s="12">
        <v>0</v>
      </c>
      <c r="BB5" s="14">
        <v>75</v>
      </c>
      <c r="BC5" s="15"/>
      <c r="BD5" s="12"/>
      <c r="BE5" s="12"/>
      <c r="BF5" s="12"/>
      <c r="BG5" s="12"/>
      <c r="BH5" s="14"/>
      <c r="BI5" t="s">
        <v>31</v>
      </c>
      <c r="BM5">
        <v>70</v>
      </c>
      <c r="BN5">
        <v>65</v>
      </c>
      <c r="BS5" t="s">
        <v>99</v>
      </c>
      <c r="BV5" s="2" t="e">
        <f>(AP5/AF5)*BH5/60*BB5*(AY5/AX5)</f>
        <v>#DIV/0!</v>
      </c>
      <c r="BW5" s="2" t="e">
        <f>(AP5/AF5)*(AY5/AX5)*BA5</f>
        <v>#DIV/0!</v>
      </c>
    </row>
    <row r="6" spans="1:75" x14ac:dyDescent="0.35">
      <c r="A6" s="3" t="s">
        <v>94</v>
      </c>
      <c r="B6" t="s">
        <v>242</v>
      </c>
      <c r="Q6" s="6"/>
      <c r="R6" s="6"/>
      <c r="S6" s="6"/>
      <c r="T6" s="6"/>
      <c r="U6" s="6"/>
      <c r="V6" s="6"/>
      <c r="W6" s="6"/>
      <c r="X6" s="6"/>
      <c r="Y6" s="6"/>
      <c r="Z6" s="6"/>
      <c r="AA6" s="6"/>
      <c r="AB6" s="6"/>
      <c r="AC6" s="6"/>
      <c r="AD6" s="9"/>
      <c r="AE6" s="9"/>
      <c r="AF6" s="9"/>
      <c r="AG6" s="9"/>
      <c r="AH6" s="9"/>
      <c r="AI6" s="9"/>
      <c r="AJ6" s="9"/>
      <c r="AK6" s="9"/>
      <c r="AL6" s="9"/>
      <c r="AM6" s="9"/>
      <c r="AN6" s="9"/>
      <c r="AO6" s="9"/>
      <c r="AP6" s="9"/>
      <c r="AQ6" s="9"/>
      <c r="AR6" s="9"/>
      <c r="AS6" s="9"/>
      <c r="AT6" s="9"/>
      <c r="AU6" s="9"/>
      <c r="AW6" s="12"/>
      <c r="AX6" s="12"/>
      <c r="AY6" s="12"/>
      <c r="AZ6" s="12"/>
      <c r="BA6" s="12"/>
      <c r="BB6" s="12"/>
      <c r="BC6" s="12"/>
      <c r="BD6" s="12"/>
      <c r="BE6" s="12"/>
      <c r="BF6" s="12"/>
      <c r="BG6" s="12"/>
      <c r="BH6" s="12"/>
      <c r="BV6" s="2"/>
      <c r="BW6" s="2"/>
    </row>
    <row r="7" spans="1:75" x14ac:dyDescent="0.35">
      <c r="A7" s="3" t="s">
        <v>95</v>
      </c>
      <c r="B7" t="s">
        <v>112</v>
      </c>
      <c r="C7" t="s">
        <v>108</v>
      </c>
      <c r="H7" t="s">
        <v>97</v>
      </c>
      <c r="L7" t="s">
        <v>40</v>
      </c>
      <c r="Q7" s="6"/>
      <c r="R7" s="6"/>
      <c r="S7" s="6"/>
      <c r="T7" s="6"/>
      <c r="U7" s="6"/>
      <c r="V7" s="6"/>
      <c r="W7" s="6"/>
      <c r="X7" s="6"/>
      <c r="Y7" s="6"/>
      <c r="Z7" s="6"/>
      <c r="AA7" s="6"/>
      <c r="AB7" s="6"/>
      <c r="AC7" s="6"/>
      <c r="AD7" s="9"/>
      <c r="AE7" s="9"/>
      <c r="AF7" s="9">
        <v>14.5</v>
      </c>
      <c r="AG7" s="9"/>
      <c r="AH7" s="9"/>
      <c r="AI7" s="9"/>
      <c r="AJ7" s="9"/>
      <c r="AK7" s="9"/>
      <c r="AL7" s="9"/>
      <c r="AM7" s="9"/>
      <c r="AN7" s="9"/>
      <c r="AO7" s="9"/>
      <c r="AP7" s="9"/>
      <c r="AQ7" s="9"/>
      <c r="AR7" s="9">
        <v>3.5</v>
      </c>
      <c r="AS7" s="9"/>
      <c r="AT7" s="9"/>
      <c r="AU7" s="9"/>
      <c r="AW7" s="12"/>
      <c r="AX7" s="12">
        <v>11</v>
      </c>
      <c r="AY7" s="12"/>
      <c r="AZ7" s="12"/>
      <c r="BA7" s="12"/>
      <c r="BB7" s="12"/>
      <c r="BC7" s="12"/>
      <c r="BD7" s="12"/>
      <c r="BE7" s="12"/>
      <c r="BF7" s="12"/>
      <c r="BG7" s="12"/>
      <c r="BH7" s="12"/>
      <c r="BV7" s="2">
        <f t="shared" ref="BV7:BV22" si="0">(AP7/AF7)*BH7/60*BB7*(AY7/AX7)</f>
        <v>0</v>
      </c>
      <c r="BW7" s="2">
        <f t="shared" ref="BW7:BW22" si="1">(AP7/AF7)*(AY7/AX7)*BA7</f>
        <v>0</v>
      </c>
    </row>
    <row r="8" spans="1:75" x14ac:dyDescent="0.35">
      <c r="A8" t="s">
        <v>90</v>
      </c>
      <c r="B8" t="s">
        <v>105</v>
      </c>
      <c r="C8" t="s">
        <v>36</v>
      </c>
      <c r="G8">
        <v>2023</v>
      </c>
      <c r="H8">
        <v>48</v>
      </c>
      <c r="L8" t="s">
        <v>40</v>
      </c>
      <c r="Q8" s="6">
        <v>7</v>
      </c>
      <c r="R8" s="6"/>
      <c r="S8" s="6"/>
      <c r="T8" s="6"/>
      <c r="U8" s="6">
        <v>6</v>
      </c>
      <c r="V8" s="6"/>
      <c r="W8" s="6">
        <v>1</v>
      </c>
      <c r="X8" s="6"/>
      <c r="Y8" s="6"/>
      <c r="Z8" s="6"/>
      <c r="AA8" s="6"/>
      <c r="AB8" s="6"/>
      <c r="AC8" s="6"/>
      <c r="AD8" s="9"/>
      <c r="AE8" s="9"/>
      <c r="AF8" s="8">
        <v>8.5299999999999994</v>
      </c>
      <c r="AG8" s="9"/>
      <c r="AH8" s="9"/>
      <c r="AI8" s="9"/>
      <c r="AJ8" s="9"/>
      <c r="AK8" s="9"/>
      <c r="AL8" s="9"/>
      <c r="AM8" s="9"/>
      <c r="AN8" s="9"/>
      <c r="AO8" s="9"/>
      <c r="AP8" s="9"/>
      <c r="AQ8" s="9"/>
      <c r="AR8" s="9">
        <v>2.19</v>
      </c>
      <c r="AS8" s="8"/>
      <c r="AT8" s="9"/>
      <c r="AU8" s="9"/>
      <c r="AW8" s="12"/>
      <c r="AX8" s="13">
        <v>5.88</v>
      </c>
      <c r="AY8" s="13">
        <v>300</v>
      </c>
      <c r="AZ8" s="12"/>
      <c r="BA8" s="12"/>
      <c r="BB8" s="12"/>
      <c r="BC8" s="12"/>
      <c r="BD8" s="12"/>
      <c r="BE8" s="12"/>
      <c r="BF8" s="12"/>
      <c r="BG8" s="12"/>
      <c r="BH8" s="12"/>
      <c r="BJ8">
        <v>300</v>
      </c>
      <c r="BV8" s="2">
        <f t="shared" si="0"/>
        <v>0</v>
      </c>
      <c r="BW8" s="2">
        <f t="shared" si="1"/>
        <v>0</v>
      </c>
    </row>
    <row r="9" spans="1:75" x14ac:dyDescent="0.35">
      <c r="A9" t="s">
        <v>93</v>
      </c>
      <c r="B9" t="s">
        <v>109</v>
      </c>
      <c r="C9" t="s">
        <v>36</v>
      </c>
      <c r="D9" t="s">
        <v>80</v>
      </c>
      <c r="H9">
        <v>2.8</v>
      </c>
      <c r="L9" t="s">
        <v>40</v>
      </c>
      <c r="Q9" s="6"/>
      <c r="R9" s="6"/>
      <c r="S9" s="6"/>
      <c r="T9" s="6"/>
      <c r="U9" s="6"/>
      <c r="V9" s="6"/>
      <c r="W9" s="6"/>
      <c r="X9" s="6"/>
      <c r="Y9" s="6"/>
      <c r="Z9" s="6"/>
      <c r="AA9" s="6"/>
      <c r="AB9" s="6"/>
      <c r="AC9" s="6"/>
      <c r="AD9" s="9"/>
      <c r="AE9" s="9"/>
      <c r="AF9" s="8">
        <v>17</v>
      </c>
      <c r="AG9" s="9"/>
      <c r="AH9" s="9"/>
      <c r="AI9" s="9"/>
      <c r="AJ9" s="11"/>
      <c r="AK9" s="9"/>
      <c r="AL9" s="9"/>
      <c r="AM9" s="9"/>
      <c r="AN9" s="9"/>
      <c r="AO9" s="9"/>
      <c r="AP9" s="9"/>
      <c r="AQ9" s="8"/>
      <c r="AR9" s="9">
        <v>4.5999999999999996</v>
      </c>
      <c r="AS9" s="9"/>
      <c r="AT9" s="8"/>
      <c r="AU9" s="9"/>
      <c r="AV9" s="12"/>
      <c r="AW9" s="12"/>
      <c r="AX9" s="13">
        <v>14.6</v>
      </c>
      <c r="AY9" s="12"/>
      <c r="AZ9" s="14"/>
      <c r="BA9" s="12"/>
      <c r="BB9" s="12"/>
      <c r="BC9" s="12"/>
      <c r="BD9" s="12"/>
      <c r="BE9" s="12"/>
      <c r="BF9" s="12"/>
      <c r="BG9" s="12"/>
      <c r="BH9" s="12"/>
      <c r="BK9" s="2"/>
      <c r="BV9" s="2">
        <f t="shared" si="0"/>
        <v>0</v>
      </c>
      <c r="BW9" s="2">
        <f t="shared" si="1"/>
        <v>0</v>
      </c>
    </row>
    <row r="10" spans="1:75" x14ac:dyDescent="0.35">
      <c r="A10" s="4" t="s">
        <v>135</v>
      </c>
      <c r="B10" t="s">
        <v>136</v>
      </c>
      <c r="C10" t="s">
        <v>34</v>
      </c>
      <c r="D10" t="s">
        <v>137</v>
      </c>
      <c r="E10">
        <v>2013</v>
      </c>
      <c r="Q10" s="6">
        <v>10</v>
      </c>
      <c r="R10" s="6"/>
      <c r="S10" s="6"/>
      <c r="T10" s="6"/>
      <c r="U10" s="6"/>
      <c r="V10" s="6"/>
      <c r="W10" s="6"/>
      <c r="X10" s="6"/>
      <c r="Y10" s="6"/>
      <c r="Z10" s="6"/>
      <c r="AA10" s="6"/>
      <c r="AB10" s="6"/>
      <c r="AC10" s="6"/>
      <c r="AD10" s="9"/>
      <c r="AE10" s="9"/>
      <c r="AF10" s="8">
        <v>3.05</v>
      </c>
      <c r="AG10" s="9"/>
      <c r="AH10" s="9"/>
      <c r="AI10" s="9"/>
      <c r="AJ10" s="10"/>
      <c r="AK10" s="9"/>
      <c r="AL10" s="9"/>
      <c r="AM10" s="8"/>
      <c r="AN10" s="8"/>
      <c r="AO10" s="9"/>
      <c r="AP10" s="9"/>
      <c r="AQ10" s="9"/>
      <c r="AR10" s="8"/>
      <c r="AS10" s="9"/>
      <c r="AT10" s="8"/>
      <c r="AU10" s="9"/>
      <c r="AW10" s="12"/>
      <c r="AX10" s="12"/>
      <c r="AY10" s="13">
        <v>62</v>
      </c>
      <c r="AZ10" s="14"/>
      <c r="BA10" s="12"/>
      <c r="BB10" s="12"/>
      <c r="BC10" s="12"/>
      <c r="BD10" s="12"/>
      <c r="BE10" s="12"/>
      <c r="BF10" s="12"/>
      <c r="BG10" s="12"/>
      <c r="BH10" s="12"/>
      <c r="BK10" s="2"/>
      <c r="BV10" s="2" t="e">
        <f t="shared" si="0"/>
        <v>#DIV/0!</v>
      </c>
      <c r="BW10" s="2" t="e">
        <f t="shared" si="1"/>
        <v>#DIV/0!</v>
      </c>
    </row>
    <row r="11" spans="1:75" x14ac:dyDescent="0.35">
      <c r="A11" t="s">
        <v>194</v>
      </c>
      <c r="B11" t="s">
        <v>195</v>
      </c>
      <c r="C11" t="s">
        <v>228</v>
      </c>
      <c r="D11" t="s">
        <v>80</v>
      </c>
      <c r="E11">
        <v>2007</v>
      </c>
      <c r="L11" t="s">
        <v>232</v>
      </c>
      <c r="P11" t="s">
        <v>43</v>
      </c>
      <c r="Q11" s="6">
        <v>4</v>
      </c>
      <c r="R11" s="6">
        <v>4</v>
      </c>
      <c r="S11" s="6">
        <v>0</v>
      </c>
      <c r="T11" s="6">
        <v>0</v>
      </c>
      <c r="U11" s="6">
        <v>4</v>
      </c>
      <c r="V11" s="6">
        <v>0</v>
      </c>
      <c r="W11" s="6">
        <v>4</v>
      </c>
      <c r="X11" s="6"/>
      <c r="Y11" s="6"/>
      <c r="Z11" s="6">
        <v>4</v>
      </c>
      <c r="AA11" s="6">
        <v>6</v>
      </c>
      <c r="AB11" s="6">
        <v>6</v>
      </c>
      <c r="AC11" s="6">
        <v>0</v>
      </c>
      <c r="AD11" s="9">
        <v>1</v>
      </c>
      <c r="AE11" s="9">
        <v>0</v>
      </c>
      <c r="AF11" s="9">
        <v>7.22</v>
      </c>
      <c r="AG11" s="10"/>
      <c r="AH11" s="9"/>
      <c r="AI11" s="9">
        <v>0</v>
      </c>
      <c r="AJ11" s="9" t="s">
        <v>32</v>
      </c>
      <c r="AK11" s="9" t="s">
        <v>159</v>
      </c>
      <c r="AL11" s="9"/>
      <c r="AM11" s="9">
        <v>0</v>
      </c>
      <c r="AN11" s="9"/>
      <c r="AO11" s="9" t="s">
        <v>196</v>
      </c>
      <c r="AP11" s="9">
        <v>8.25</v>
      </c>
      <c r="AQ11" s="9"/>
      <c r="AR11" s="9"/>
      <c r="AS11" s="9"/>
      <c r="AT11" s="9" t="s">
        <v>48</v>
      </c>
      <c r="AU11" s="9">
        <v>3</v>
      </c>
      <c r="AW11" s="12">
        <v>15000</v>
      </c>
      <c r="AX11" s="12">
        <v>27500</v>
      </c>
      <c r="AY11" s="12">
        <v>12500</v>
      </c>
      <c r="AZ11" s="12">
        <v>14</v>
      </c>
      <c r="BA11" s="12">
        <f>2400*1.151</f>
        <v>2762.4</v>
      </c>
      <c r="BB11" s="12">
        <f>400*1.151</f>
        <v>460.40000000000003</v>
      </c>
      <c r="BC11" s="15"/>
      <c r="BD11" s="12">
        <f>40000/3.281</f>
        <v>12191.405059433098</v>
      </c>
      <c r="BE11" s="12"/>
      <c r="BF11" s="12"/>
      <c r="BG11" s="12"/>
      <c r="BH11" s="15">
        <f>(BA11/BB11)*60</f>
        <v>360</v>
      </c>
      <c r="BI11" t="s">
        <v>32</v>
      </c>
      <c r="BU11" s="28" t="s">
        <v>197</v>
      </c>
      <c r="BV11" s="2">
        <f t="shared" si="0"/>
        <v>1434.7645429362883</v>
      </c>
      <c r="BW11" s="2">
        <f t="shared" si="1"/>
        <v>1434.7645429362883</v>
      </c>
    </row>
    <row r="12" spans="1:75" x14ac:dyDescent="0.35">
      <c r="A12" s="4" t="s">
        <v>144</v>
      </c>
      <c r="B12" t="s">
        <v>145</v>
      </c>
      <c r="C12" t="s">
        <v>34</v>
      </c>
      <c r="D12" t="s">
        <v>140</v>
      </c>
      <c r="F12">
        <v>2021</v>
      </c>
      <c r="G12">
        <v>2023</v>
      </c>
      <c r="I12" s="40"/>
      <c r="M12" t="s">
        <v>253</v>
      </c>
      <c r="N12" s="32"/>
      <c r="O12" s="32">
        <f>3.5</f>
        <v>3.5</v>
      </c>
      <c r="Q12" s="6"/>
      <c r="R12" s="6"/>
      <c r="S12" s="6"/>
      <c r="T12" s="6"/>
      <c r="U12" s="6"/>
      <c r="V12" s="22"/>
      <c r="W12" s="6"/>
      <c r="X12" s="6"/>
      <c r="Y12" s="6"/>
      <c r="Z12" s="6"/>
      <c r="AA12" s="6"/>
      <c r="AB12" s="6"/>
      <c r="AC12" s="6"/>
      <c r="AD12" s="9"/>
      <c r="AE12" s="9"/>
      <c r="AF12" s="11"/>
      <c r="AG12" s="10"/>
      <c r="AH12" s="10"/>
      <c r="AI12" s="50"/>
      <c r="AJ12" s="50"/>
      <c r="AK12" s="50"/>
      <c r="AL12" s="50"/>
      <c r="AM12" s="50"/>
      <c r="AN12" s="50"/>
      <c r="AO12" s="50"/>
      <c r="AP12" s="27"/>
      <c r="AQ12" s="9"/>
      <c r="AR12" s="9"/>
      <c r="AS12" s="9"/>
      <c r="AT12" s="50"/>
      <c r="AU12" s="50"/>
      <c r="AV12" s="36"/>
      <c r="AW12" s="46">
        <f>AX12-AY12</f>
        <v>5790</v>
      </c>
      <c r="AX12" s="12">
        <v>6990</v>
      </c>
      <c r="AY12" s="46">
        <f>200*AZ12+50*(AZ12-1)</f>
        <v>1200</v>
      </c>
      <c r="AZ12" s="12">
        <v>5</v>
      </c>
      <c r="BA12" s="12">
        <f>725/1.609</f>
        <v>450.59042883778744</v>
      </c>
      <c r="BB12" s="14">
        <f>650/1.609</f>
        <v>403.97762585456803</v>
      </c>
      <c r="BC12" s="15">
        <v>40</v>
      </c>
      <c r="BD12" s="12">
        <f>15000/3.281</f>
        <v>4571.7768972874119</v>
      </c>
      <c r="BE12" s="12"/>
      <c r="BF12" s="12"/>
      <c r="BG12" s="12"/>
      <c r="BH12" s="14"/>
      <c r="BI12" t="s">
        <v>239</v>
      </c>
      <c r="BV12" s="2" t="e">
        <f>(AP12/AF12)*BH12/60*BB12*(AY12/AX12)</f>
        <v>#DIV/0!</v>
      </c>
      <c r="BW12" s="2" t="e">
        <f>(AP12/AF12)*(AY12/AX12)*BA12</f>
        <v>#DIV/0!</v>
      </c>
    </row>
    <row r="13" spans="1:75" x14ac:dyDescent="0.35">
      <c r="A13" t="s">
        <v>265</v>
      </c>
      <c r="B13" t="s">
        <v>266</v>
      </c>
      <c r="D13" t="s">
        <v>235</v>
      </c>
      <c r="E13">
        <v>2018</v>
      </c>
      <c r="F13">
        <v>2019</v>
      </c>
      <c r="I13" s="40">
        <v>10</v>
      </c>
      <c r="M13" t="s">
        <v>155</v>
      </c>
      <c r="N13" s="32"/>
      <c r="O13" s="32"/>
      <c r="Q13" s="6">
        <v>4</v>
      </c>
      <c r="R13" s="6"/>
      <c r="S13" s="6">
        <v>0</v>
      </c>
      <c r="T13" s="6">
        <v>4</v>
      </c>
      <c r="U13" s="6">
        <v>4</v>
      </c>
      <c r="V13" s="6">
        <v>2</v>
      </c>
      <c r="W13" s="6">
        <v>2</v>
      </c>
      <c r="X13" s="6"/>
      <c r="Y13" s="6"/>
      <c r="Z13" s="6"/>
      <c r="AA13" s="6"/>
      <c r="AB13" s="6"/>
      <c r="AC13" s="6"/>
      <c r="AD13" s="9"/>
      <c r="AE13" s="9"/>
      <c r="AF13" s="11"/>
      <c r="AG13" s="10"/>
      <c r="AH13" s="10"/>
      <c r="AI13" s="9"/>
      <c r="AJ13" s="35"/>
      <c r="AK13" s="9"/>
      <c r="AL13" s="9"/>
      <c r="AM13" s="9"/>
      <c r="AN13" s="9"/>
      <c r="AO13" s="35"/>
      <c r="AP13" s="11"/>
      <c r="AQ13" s="9"/>
      <c r="AR13" s="9"/>
      <c r="AS13" s="10"/>
      <c r="AT13" s="35"/>
      <c r="AU13" s="9"/>
      <c r="AV13" s="36"/>
      <c r="AW13" s="12"/>
      <c r="AX13" s="13">
        <v>2000</v>
      </c>
      <c r="AY13" s="13">
        <v>400</v>
      </c>
      <c r="AZ13" s="12"/>
      <c r="BA13" s="12">
        <v>200</v>
      </c>
      <c r="BB13" s="13">
        <v>200</v>
      </c>
      <c r="BC13" s="15"/>
      <c r="BD13" s="12">
        <v>4572</v>
      </c>
      <c r="BE13" s="12"/>
      <c r="BF13" s="12"/>
      <c r="BG13" s="12"/>
      <c r="BH13" s="14"/>
      <c r="BI13" t="s">
        <v>267</v>
      </c>
      <c r="BU13" t="s">
        <v>264</v>
      </c>
      <c r="BV13" s="2" t="e">
        <f>(AP13/AF13)*BH13/60*BB13*(AY13/AX13)</f>
        <v>#DIV/0!</v>
      </c>
      <c r="BW13" s="2" t="e">
        <f>(AP13/AF13)*(AY13/AX13)*BA13</f>
        <v>#DIV/0!</v>
      </c>
    </row>
    <row r="14" spans="1:75" x14ac:dyDescent="0.35">
      <c r="Q14" s="6"/>
      <c r="R14" s="6"/>
      <c r="S14" s="6"/>
      <c r="T14" s="6"/>
      <c r="U14" s="6"/>
      <c r="V14" s="6"/>
      <c r="W14" s="6"/>
      <c r="X14" s="6"/>
      <c r="Y14" s="6"/>
      <c r="Z14" s="6"/>
      <c r="AA14" s="6"/>
      <c r="AB14" s="6"/>
      <c r="AC14" s="6"/>
      <c r="AD14" s="9"/>
      <c r="AE14" s="9"/>
      <c r="AF14" s="9"/>
      <c r="AG14" s="9"/>
      <c r="AH14" s="9"/>
      <c r="AI14" s="9"/>
      <c r="AJ14" s="9"/>
      <c r="AK14" s="9"/>
      <c r="AL14" s="9"/>
      <c r="AM14" s="9"/>
      <c r="AN14" s="9"/>
      <c r="AO14" s="9"/>
      <c r="AP14" s="9"/>
      <c r="AQ14" s="9"/>
      <c r="AR14" s="9"/>
      <c r="AS14" s="9"/>
      <c r="AT14" s="9"/>
      <c r="AU14" s="9"/>
      <c r="AW14" s="12"/>
      <c r="AX14" s="12"/>
      <c r="AY14" s="12"/>
      <c r="AZ14" s="12"/>
      <c r="BA14" s="12"/>
      <c r="BB14" s="12"/>
      <c r="BC14" s="12"/>
      <c r="BD14" s="12"/>
      <c r="BE14" s="12"/>
      <c r="BF14" s="12"/>
      <c r="BG14" s="12"/>
      <c r="BH14" s="12"/>
      <c r="BV14" s="2" t="e">
        <f t="shared" si="0"/>
        <v>#DIV/0!</v>
      </c>
      <c r="BW14" s="2" t="e">
        <f t="shared" si="1"/>
        <v>#DIV/0!</v>
      </c>
    </row>
    <row r="15" spans="1:75" x14ac:dyDescent="0.35">
      <c r="Q15" s="6"/>
      <c r="R15" s="6"/>
      <c r="S15" s="6"/>
      <c r="T15" s="6"/>
      <c r="U15" s="6"/>
      <c r="V15" s="6"/>
      <c r="W15" s="6"/>
      <c r="X15" s="6"/>
      <c r="Y15" s="6"/>
      <c r="Z15" s="6"/>
      <c r="AA15" s="6"/>
      <c r="AB15" s="6"/>
      <c r="AC15" s="6"/>
      <c r="AD15" s="9"/>
      <c r="AE15" s="9"/>
      <c r="AF15" s="9"/>
      <c r="AG15" s="9"/>
      <c r="AH15" s="9"/>
      <c r="AI15" s="9"/>
      <c r="AJ15" s="9"/>
      <c r="AK15" s="9"/>
      <c r="AL15" s="9"/>
      <c r="AM15" s="9"/>
      <c r="AN15" s="9"/>
      <c r="AO15" s="9"/>
      <c r="AP15" s="9"/>
      <c r="AQ15" s="9"/>
      <c r="AR15" s="9"/>
      <c r="AS15" s="9"/>
      <c r="AT15" s="9"/>
      <c r="AU15" s="9"/>
      <c r="AW15" s="12"/>
      <c r="AX15" s="12"/>
      <c r="AY15" s="12"/>
      <c r="AZ15" s="12"/>
      <c r="BA15" s="12"/>
      <c r="BB15" s="12"/>
      <c r="BC15" s="12"/>
      <c r="BD15" s="12"/>
      <c r="BE15" s="12"/>
      <c r="BF15" s="12"/>
      <c r="BG15" s="12"/>
      <c r="BH15" s="12"/>
      <c r="BV15" s="2" t="e">
        <f t="shared" si="0"/>
        <v>#DIV/0!</v>
      </c>
      <c r="BW15" s="2" t="e">
        <f t="shared" si="1"/>
        <v>#DIV/0!</v>
      </c>
    </row>
    <row r="16" spans="1:75" x14ac:dyDescent="0.35">
      <c r="Q16" s="6"/>
      <c r="R16" s="6"/>
      <c r="S16" s="6"/>
      <c r="T16" s="6"/>
      <c r="U16" s="6"/>
      <c r="V16" s="6"/>
      <c r="W16" s="6"/>
      <c r="X16" s="6"/>
      <c r="Y16" s="6"/>
      <c r="Z16" s="6"/>
      <c r="AA16" s="6"/>
      <c r="AB16" s="6"/>
      <c r="AC16" s="6"/>
      <c r="AD16" s="9"/>
      <c r="AE16" s="9"/>
      <c r="AF16" s="9"/>
      <c r="AG16" s="9"/>
      <c r="AH16" s="9"/>
      <c r="AI16" s="9"/>
      <c r="AJ16" s="9"/>
      <c r="AK16" s="9"/>
      <c r="AL16" s="9"/>
      <c r="AM16" s="9"/>
      <c r="AN16" s="9"/>
      <c r="AO16" s="9"/>
      <c r="AP16" s="9"/>
      <c r="AQ16" s="9"/>
      <c r="AR16" s="9"/>
      <c r="AS16" s="9"/>
      <c r="AT16" s="9"/>
      <c r="AU16" s="9"/>
      <c r="AW16" s="12"/>
      <c r="AX16" s="12"/>
      <c r="AY16" s="12"/>
      <c r="AZ16" s="12"/>
      <c r="BA16" s="12"/>
      <c r="BB16" s="12"/>
      <c r="BC16" s="12"/>
      <c r="BD16" s="12"/>
      <c r="BE16" s="12"/>
      <c r="BF16" s="12"/>
      <c r="BG16" s="12"/>
      <c r="BH16" s="12"/>
      <c r="BV16" s="2" t="e">
        <f t="shared" si="0"/>
        <v>#DIV/0!</v>
      </c>
      <c r="BW16" s="2" t="e">
        <f t="shared" si="1"/>
        <v>#DIV/0!</v>
      </c>
    </row>
    <row r="17" spans="17:75" x14ac:dyDescent="0.35">
      <c r="Q17" s="6"/>
      <c r="R17" s="6"/>
      <c r="S17" s="6"/>
      <c r="T17" s="6"/>
      <c r="U17" s="6"/>
      <c r="V17" s="6"/>
      <c r="W17" s="6"/>
      <c r="X17" s="6"/>
      <c r="Y17" s="6"/>
      <c r="Z17" s="6"/>
      <c r="AA17" s="6"/>
      <c r="AB17" s="6"/>
      <c r="AC17" s="6"/>
      <c r="AD17" s="9"/>
      <c r="AE17" s="9"/>
      <c r="AF17" s="9"/>
      <c r="AG17" s="9"/>
      <c r="AH17" s="9"/>
      <c r="AI17" s="9"/>
      <c r="AJ17" s="9"/>
      <c r="AK17" s="9"/>
      <c r="AL17" s="9"/>
      <c r="AM17" s="9"/>
      <c r="AN17" s="9"/>
      <c r="AO17" s="9"/>
      <c r="AP17" s="9"/>
      <c r="AQ17" s="9"/>
      <c r="AR17" s="9"/>
      <c r="AS17" s="9"/>
      <c r="AT17" s="9"/>
      <c r="AU17" s="9"/>
      <c r="AW17" s="12"/>
      <c r="AX17" s="12"/>
      <c r="AY17" s="12"/>
      <c r="AZ17" s="12"/>
      <c r="BA17" s="12"/>
      <c r="BB17" s="12"/>
      <c r="BC17" s="12"/>
      <c r="BD17" s="12"/>
      <c r="BE17" s="12"/>
      <c r="BF17" s="12"/>
      <c r="BG17" s="12"/>
      <c r="BH17" s="12"/>
      <c r="BV17" s="2" t="e">
        <f t="shared" si="0"/>
        <v>#DIV/0!</v>
      </c>
      <c r="BW17" s="2" t="e">
        <f t="shared" si="1"/>
        <v>#DIV/0!</v>
      </c>
    </row>
    <row r="18" spans="17:75" x14ac:dyDescent="0.35">
      <c r="Q18" s="6"/>
      <c r="R18" s="6"/>
      <c r="S18" s="6"/>
      <c r="T18" s="6"/>
      <c r="U18" s="6"/>
      <c r="V18" s="6"/>
      <c r="W18" s="6"/>
      <c r="X18" s="6"/>
      <c r="Y18" s="6"/>
      <c r="Z18" s="6"/>
      <c r="AA18" s="6"/>
      <c r="AB18" s="6"/>
      <c r="AC18" s="6"/>
      <c r="AD18" s="9"/>
      <c r="AE18" s="9"/>
      <c r="AF18" s="9"/>
      <c r="AG18" s="9"/>
      <c r="AH18" s="9"/>
      <c r="AI18" s="9"/>
      <c r="AJ18" s="9"/>
      <c r="AK18" s="9"/>
      <c r="AL18" s="9"/>
      <c r="AM18" s="9"/>
      <c r="AN18" s="9"/>
      <c r="AO18" s="9"/>
      <c r="AP18" s="9"/>
      <c r="AQ18" s="9"/>
      <c r="AR18" s="9"/>
      <c r="AS18" s="9"/>
      <c r="AT18" s="9"/>
      <c r="AU18" s="9"/>
      <c r="AW18" s="12"/>
      <c r="AX18" s="12"/>
      <c r="AY18" s="12"/>
      <c r="AZ18" s="12"/>
      <c r="BA18" s="12"/>
      <c r="BB18" s="12"/>
      <c r="BC18" s="12"/>
      <c r="BD18" s="12"/>
      <c r="BE18" s="12"/>
      <c r="BF18" s="12"/>
      <c r="BG18" s="12"/>
      <c r="BH18" s="12"/>
      <c r="BV18" s="2" t="e">
        <f t="shared" si="0"/>
        <v>#DIV/0!</v>
      </c>
      <c r="BW18" s="2" t="e">
        <f t="shared" si="1"/>
        <v>#DIV/0!</v>
      </c>
    </row>
    <row r="19" spans="17:75" x14ac:dyDescent="0.35">
      <c r="Q19" s="6"/>
      <c r="R19" s="6"/>
      <c r="S19" s="6"/>
      <c r="T19" s="6"/>
      <c r="U19" s="6"/>
      <c r="V19" s="6"/>
      <c r="W19" s="6"/>
      <c r="X19" s="6"/>
      <c r="Y19" s="6"/>
      <c r="Z19" s="6"/>
      <c r="AA19" s="6"/>
      <c r="AB19" s="6"/>
      <c r="AC19" s="6"/>
      <c r="AD19" s="9"/>
      <c r="AE19" s="9"/>
      <c r="AF19" s="9"/>
      <c r="AG19" s="9"/>
      <c r="AH19" s="9"/>
      <c r="AI19" s="9"/>
      <c r="AJ19" s="9"/>
      <c r="AK19" s="9"/>
      <c r="AL19" s="9"/>
      <c r="AM19" s="9"/>
      <c r="AN19" s="9"/>
      <c r="AO19" s="9"/>
      <c r="AP19" s="9"/>
      <c r="AQ19" s="9"/>
      <c r="AR19" s="9"/>
      <c r="AS19" s="9"/>
      <c r="AT19" s="9"/>
      <c r="AU19" s="9"/>
      <c r="AW19" s="12"/>
      <c r="AX19" s="12"/>
      <c r="AY19" s="12"/>
      <c r="AZ19" s="12"/>
      <c r="BA19" s="12"/>
      <c r="BB19" s="12"/>
      <c r="BC19" s="12"/>
      <c r="BD19" s="12"/>
      <c r="BE19" s="12"/>
      <c r="BF19" s="12"/>
      <c r="BG19" s="12"/>
      <c r="BH19" s="12"/>
      <c r="BV19" s="2" t="e">
        <f t="shared" si="0"/>
        <v>#DIV/0!</v>
      </c>
      <c r="BW19" s="2" t="e">
        <f t="shared" si="1"/>
        <v>#DIV/0!</v>
      </c>
    </row>
    <row r="20" spans="17:75" x14ac:dyDescent="0.35">
      <c r="Q20" s="6"/>
      <c r="R20" s="6"/>
      <c r="S20" s="6"/>
      <c r="T20" s="6"/>
      <c r="U20" s="6"/>
      <c r="V20" s="6"/>
      <c r="W20" s="6"/>
      <c r="X20" s="6"/>
      <c r="Y20" s="6"/>
      <c r="Z20" s="6"/>
      <c r="AA20" s="6"/>
      <c r="AB20" s="6"/>
      <c r="AC20" s="6"/>
      <c r="AD20" s="9"/>
      <c r="AE20" s="9"/>
      <c r="AF20" s="9"/>
      <c r="AG20" s="9"/>
      <c r="AH20" s="9"/>
      <c r="AI20" s="9"/>
      <c r="AJ20" s="9"/>
      <c r="AK20" s="9"/>
      <c r="AL20" s="9"/>
      <c r="AM20" s="9"/>
      <c r="AN20" s="9"/>
      <c r="AO20" s="9"/>
      <c r="AP20" s="9"/>
      <c r="AQ20" s="9"/>
      <c r="AR20" s="9"/>
      <c r="AS20" s="9"/>
      <c r="AT20" s="9"/>
      <c r="AU20" s="9"/>
      <c r="AW20" s="12"/>
      <c r="AX20" s="12"/>
      <c r="AY20" s="12"/>
      <c r="AZ20" s="12"/>
      <c r="BA20" s="12"/>
      <c r="BB20" s="12"/>
      <c r="BC20" s="12"/>
      <c r="BD20" s="12"/>
      <c r="BE20" s="12"/>
      <c r="BF20" s="12"/>
      <c r="BG20" s="12"/>
      <c r="BH20" s="12"/>
      <c r="BV20" s="2" t="e">
        <f t="shared" si="0"/>
        <v>#DIV/0!</v>
      </c>
      <c r="BW20" s="2" t="e">
        <f t="shared" si="1"/>
        <v>#DIV/0!</v>
      </c>
    </row>
    <row r="21" spans="17:75" x14ac:dyDescent="0.35">
      <c r="Q21" s="6"/>
      <c r="R21" s="6"/>
      <c r="S21" s="6"/>
      <c r="T21" s="6"/>
      <c r="U21" s="6"/>
      <c r="V21" s="6"/>
      <c r="W21" s="6"/>
      <c r="X21" s="6"/>
      <c r="Y21" s="6"/>
      <c r="Z21" s="6"/>
      <c r="AA21" s="6"/>
      <c r="AB21" s="6"/>
      <c r="AC21" s="6"/>
      <c r="AD21" s="9"/>
      <c r="AE21" s="9"/>
      <c r="AF21" s="9"/>
      <c r="AG21" s="9"/>
      <c r="AH21" s="9"/>
      <c r="AI21" s="9"/>
      <c r="AJ21" s="9"/>
      <c r="AK21" s="9"/>
      <c r="AL21" s="9"/>
      <c r="AM21" s="9"/>
      <c r="AN21" s="9"/>
      <c r="AO21" s="9"/>
      <c r="AP21" s="9"/>
      <c r="AQ21" s="9"/>
      <c r="AR21" s="9"/>
      <c r="AS21" s="9"/>
      <c r="AT21" s="9"/>
      <c r="AU21" s="9"/>
      <c r="AW21" s="12"/>
      <c r="AX21" s="12"/>
      <c r="AY21" s="12"/>
      <c r="AZ21" s="12"/>
      <c r="BA21" s="12"/>
      <c r="BB21" s="12"/>
      <c r="BC21" s="12"/>
      <c r="BD21" s="12"/>
      <c r="BE21" s="12"/>
      <c r="BF21" s="12"/>
      <c r="BG21" s="12"/>
      <c r="BH21" s="12"/>
      <c r="BV21" s="2" t="e">
        <f t="shared" si="0"/>
        <v>#DIV/0!</v>
      </c>
      <c r="BW21" s="2" t="e">
        <f t="shared" si="1"/>
        <v>#DIV/0!</v>
      </c>
    </row>
    <row r="22" spans="17:75" x14ac:dyDescent="0.35">
      <c r="Q22" s="6"/>
      <c r="R22" s="6"/>
      <c r="S22" s="6"/>
      <c r="T22" s="6"/>
      <c r="U22" s="6"/>
      <c r="V22" s="6"/>
      <c r="W22" s="6"/>
      <c r="X22" s="6"/>
      <c r="Y22" s="6"/>
      <c r="Z22" s="6"/>
      <c r="AA22" s="6"/>
      <c r="AB22" s="6"/>
      <c r="AC22" s="6"/>
      <c r="AD22" s="9"/>
      <c r="AE22" s="9"/>
      <c r="AF22" s="9"/>
      <c r="AG22" s="9"/>
      <c r="AH22" s="9"/>
      <c r="AI22" s="9"/>
      <c r="AJ22" s="9"/>
      <c r="AK22" s="9"/>
      <c r="AL22" s="9"/>
      <c r="AM22" s="9"/>
      <c r="AN22" s="9"/>
      <c r="AO22" s="9"/>
      <c r="AP22" s="9"/>
      <c r="AQ22" s="9"/>
      <c r="AR22" s="9"/>
      <c r="AS22" s="9"/>
      <c r="AT22" s="9"/>
      <c r="AU22" s="9"/>
      <c r="AW22" s="12"/>
      <c r="AX22" s="12"/>
      <c r="AY22" s="12"/>
      <c r="AZ22" s="12"/>
      <c r="BA22" s="12"/>
      <c r="BB22" s="12"/>
      <c r="BC22" s="12"/>
      <c r="BD22" s="12"/>
      <c r="BE22" s="12"/>
      <c r="BF22" s="12"/>
      <c r="BG22" s="12"/>
      <c r="BH22" s="12"/>
      <c r="BV22" s="2" t="e">
        <f t="shared" si="0"/>
        <v>#DIV/0!</v>
      </c>
      <c r="BW22" s="2" t="e">
        <f t="shared" si="1"/>
        <v>#DIV/0!</v>
      </c>
    </row>
    <row r="23" spans="17:75" x14ac:dyDescent="0.35">
      <c r="Q23" s="6"/>
      <c r="R23" s="6"/>
      <c r="S23" s="6"/>
      <c r="T23" s="6"/>
      <c r="U23" s="6"/>
      <c r="V23" s="6"/>
      <c r="W23" s="6"/>
      <c r="X23" s="6"/>
      <c r="Y23" s="6"/>
      <c r="Z23" s="6"/>
      <c r="AA23" s="6"/>
      <c r="AB23" s="6"/>
      <c r="AC23" s="6"/>
      <c r="AD23" s="9"/>
      <c r="AE23" s="9"/>
      <c r="AF23" s="9"/>
      <c r="AG23" s="9"/>
      <c r="AH23" s="9"/>
      <c r="AI23" s="9"/>
      <c r="AJ23" s="9"/>
      <c r="AK23" s="9"/>
      <c r="AL23" s="9"/>
      <c r="AM23" s="9"/>
      <c r="AN23" s="9"/>
      <c r="AO23" s="9"/>
      <c r="AP23" s="9"/>
      <c r="AQ23" s="9"/>
      <c r="AR23" s="9"/>
      <c r="AS23" s="9"/>
      <c r="AT23" s="9"/>
      <c r="AU23" s="9"/>
    </row>
  </sheetData>
  <hyperlinks>
    <hyperlink ref="BU11" r:id="rId1" xr:uid="{4114B5DB-5C12-429A-98CD-5CED314A0C9D}"/>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9AAD1-5EC9-4ABA-8DE3-C2CAFBCA1393}">
  <dimension ref="A1:C32"/>
  <sheetViews>
    <sheetView workbookViewId="0">
      <selection activeCell="C30" sqref="C30"/>
    </sheetView>
  </sheetViews>
  <sheetFormatPr defaultRowHeight="14.5" x14ac:dyDescent="0.35"/>
  <cols>
    <col min="1" max="1" width="4.54296875" style="54" bestFit="1" customWidth="1"/>
    <col min="2" max="2" width="6.54296875" style="54" bestFit="1" customWidth="1"/>
  </cols>
  <sheetData>
    <row r="1" spans="1:3" x14ac:dyDescent="0.35">
      <c r="A1" s="54" t="str">
        <f>'Battery-Only Winged'!BV1</f>
        <v>PEX</v>
      </c>
      <c r="B1" s="54" t="str">
        <f>'Battery-Only Winged'!BH1</f>
        <v>Time</v>
      </c>
      <c r="C1" s="54" t="str">
        <f>'Battery-Only Winged'!BA1</f>
        <v>Range</v>
      </c>
    </row>
    <row r="2" spans="1:3" x14ac:dyDescent="0.35">
      <c r="A2" s="54">
        <f>'Battery-Only Winged'!BV2</f>
        <v>11.415380322421075</v>
      </c>
      <c r="B2" s="54">
        <f>'Battery-Only Winged'!BH2</f>
        <v>122.48619762013855</v>
      </c>
      <c r="C2" s="54">
        <f>'Battery-Only Winged'!BA2</f>
        <v>279.67681789931635</v>
      </c>
    </row>
    <row r="3" spans="1:3" x14ac:dyDescent="0.35">
      <c r="A3" s="54">
        <f>'Battery-Only Winged'!BV3</f>
        <v>82.229581395348845</v>
      </c>
      <c r="B3" s="54">
        <f>'Battery-Only Winged'!BH3</f>
        <v>120</v>
      </c>
      <c r="C3" s="54">
        <f>'Battery-Only Winged'!BA3</f>
        <v>250</v>
      </c>
    </row>
    <row r="4" spans="1:3" x14ac:dyDescent="0.35">
      <c r="A4" s="54">
        <f>'Battery-Only Winged'!BV4</f>
        <v>55.09196105595769</v>
      </c>
      <c r="B4" s="54">
        <f>'Battery-Only Winged'!BH4</f>
        <v>152</v>
      </c>
      <c r="C4" s="54">
        <f>'Battery-Only Winged'!BA4</f>
        <v>310.75201988812927</v>
      </c>
    </row>
    <row r="5" spans="1:3" x14ac:dyDescent="0.35">
      <c r="A5" s="54">
        <f>'Battery-Only Winged'!BV5</f>
        <v>24.777569692076753</v>
      </c>
      <c r="B5" s="54">
        <f>'Battery-Only Winged'!BH5</f>
        <v>90</v>
      </c>
      <c r="C5" s="54">
        <f>'Battery-Only Winged'!BA5</f>
        <v>93.225605966438778</v>
      </c>
    </row>
    <row r="6" spans="1:3" x14ac:dyDescent="0.35">
      <c r="A6" s="54">
        <f>'Battery-Only Winged'!BV6</f>
        <v>0</v>
      </c>
      <c r="B6" s="54">
        <f>'Battery-Only Winged'!BH6</f>
        <v>100</v>
      </c>
      <c r="C6" s="54">
        <f>'Battery-Only Winged'!BA6</f>
        <v>250</v>
      </c>
    </row>
    <row r="7" spans="1:3" x14ac:dyDescent="0.35">
      <c r="A7" s="54">
        <f>'Battery-Only Winged'!BV7</f>
        <v>36.090523863933932</v>
      </c>
      <c r="B7" s="54">
        <f>'Battery-Only Winged'!BH7</f>
        <v>60</v>
      </c>
      <c r="C7" s="54">
        <f>'Battery-Only Winged'!BA7</f>
        <v>192.66625233064016</v>
      </c>
    </row>
    <row r="8" spans="1:3" x14ac:dyDescent="0.35">
      <c r="A8" s="54">
        <f>'Battery-Only Winged'!BV8</f>
        <v>33.105343877551022</v>
      </c>
      <c r="B8" s="54">
        <f>'Battery-Only Winged'!BH8</f>
        <v>90</v>
      </c>
      <c r="C8" s="54">
        <f>'Battery-Only Winged'!BA8</f>
        <v>186.45121193287756</v>
      </c>
    </row>
    <row r="9" spans="1:3" x14ac:dyDescent="0.35">
      <c r="A9" s="54">
        <f>'Battery-Only Winged'!BV9</f>
        <v>25.584112149532711</v>
      </c>
      <c r="B9" s="54">
        <f>'Battery-Only Winged'!BH9</f>
        <v>45</v>
      </c>
      <c r="C9" s="54">
        <f>'Battery-Only Winged'!BA9</f>
        <v>150</v>
      </c>
    </row>
    <row r="10" spans="1:3" x14ac:dyDescent="0.35">
      <c r="A10" s="54">
        <f>'Battery-Only Winged'!BV10</f>
        <v>23.019013360739979</v>
      </c>
      <c r="B10" s="54">
        <f>'Battery-Only Winged'!BH10</f>
        <v>53.142857142857139</v>
      </c>
      <c r="C10" s="54">
        <f>'Battery-Only Winged'!BA10</f>
        <v>155</v>
      </c>
    </row>
    <row r="11" spans="1:3" x14ac:dyDescent="0.35">
      <c r="A11" s="54">
        <f>'Battery-Only Winged'!BV11</f>
        <v>22.000000000000004</v>
      </c>
      <c r="B11" s="54">
        <f>'Battery-Only Winged'!BH11</f>
        <v>38.4</v>
      </c>
      <c r="C11" s="54">
        <f>'Battery-Only Winged'!BA11</f>
        <v>80</v>
      </c>
    </row>
    <row r="12" spans="1:3" x14ac:dyDescent="0.35">
      <c r="A12" s="54">
        <f>'Battery-Only Winged'!BV12</f>
        <v>21.510215999999996</v>
      </c>
      <c r="B12" s="54">
        <f>'Battery-Only Winged'!BH12</f>
        <v>147</v>
      </c>
      <c r="C12" s="54">
        <f>'Battery-Only Winged'!BA12</f>
        <v>154</v>
      </c>
    </row>
    <row r="13" spans="1:3" x14ac:dyDescent="0.35">
      <c r="A13" s="54">
        <f>'Battery-Only Winged'!BV13</f>
        <v>20.875265054040149</v>
      </c>
      <c r="B13" s="54">
        <f>'Battery-Only Winged'!BH13</f>
        <v>100</v>
      </c>
      <c r="C13" s="54">
        <f>'Battery-Only Winged'!BA13</f>
        <v>186.4</v>
      </c>
    </row>
    <row r="14" spans="1:3" x14ac:dyDescent="0.35">
      <c r="A14" s="54">
        <f>'Battery-Only Winged'!BV14</f>
        <v>19.742451154529313</v>
      </c>
      <c r="B14" s="54">
        <f>'Battery-Only Winged'!BH14</f>
        <v>24</v>
      </c>
      <c r="C14" s="54">
        <f>'Battery-Only Winged'!BA14</f>
        <v>60</v>
      </c>
    </row>
    <row r="15" spans="1:3" x14ac:dyDescent="0.35">
      <c r="A15" s="54">
        <f>'Battery-Only Winged'!BV15</f>
        <v>17.720671615479176</v>
      </c>
      <c r="B15" s="54">
        <f>'Battery-Only Winged'!BH15</f>
        <v>20.737327188940093</v>
      </c>
      <c r="C15" s="54">
        <f>'Battery-Only Winged'!BA15</f>
        <v>75</v>
      </c>
    </row>
    <row r="16" spans="1:3" x14ac:dyDescent="0.35">
      <c r="A16" s="54">
        <f>'Battery-Only Winged'!BV16</f>
        <v>16.556296296296296</v>
      </c>
      <c r="B16" s="54">
        <f>'Battery-Only Winged'!BH16</f>
        <v>33.214285714285715</v>
      </c>
      <c r="C16" s="54">
        <f>'Battery-Only Winged'!BA16</f>
        <v>62</v>
      </c>
    </row>
    <row r="17" spans="1:3" x14ac:dyDescent="0.35">
      <c r="A17" s="54">
        <f>'Battery-Only Winged'!BV17</f>
        <v>15.532500000000001</v>
      </c>
      <c r="B17" s="54">
        <f>'Battery-Only Winged'!BH17</f>
        <v>60</v>
      </c>
      <c r="C17" s="54">
        <f>'Battery-Only Winged'!BA17</f>
        <v>62.13</v>
      </c>
    </row>
    <row r="18" spans="1:3" x14ac:dyDescent="0.35">
      <c r="A18" s="54">
        <f>'Battery-Only Winged'!BV18</f>
        <v>15.098582542896731</v>
      </c>
      <c r="B18" s="54">
        <f>'Battery-Only Winged'!BH18</f>
        <v>26.785714285714288</v>
      </c>
      <c r="C18" s="54">
        <f>'Battery-Only Winged'!BA18</f>
        <v>50</v>
      </c>
    </row>
    <row r="19" spans="1:3" x14ac:dyDescent="0.35">
      <c r="A19" s="54">
        <f>'Battery-Only Winged'!BV19</f>
        <v>12.434408190603769</v>
      </c>
      <c r="B19" s="54">
        <f>'Battery-Only Winged'!BH19</f>
        <v>40</v>
      </c>
      <c r="C19" s="54">
        <f>'Battery-Only Winged'!BA19</f>
        <v>100</v>
      </c>
    </row>
    <row r="20" spans="1:3" x14ac:dyDescent="0.35">
      <c r="A20" s="54">
        <f>'Battery-Only Winged'!BV20</f>
        <v>12.388451443569554</v>
      </c>
      <c r="B20" s="54">
        <f>'Battery-Only Winged'!BH20</f>
        <v>27.428571428571427</v>
      </c>
      <c r="C20" s="54">
        <f>'Battery-Only Winged'!BA20</f>
        <v>80</v>
      </c>
    </row>
    <row r="21" spans="1:3" x14ac:dyDescent="0.35">
      <c r="A21" s="54">
        <f>'Battery-Only Winged'!BV21</f>
        <v>9.1666666666666661</v>
      </c>
      <c r="B21" s="54">
        <f>'Battery-Only Winged'!BH21</f>
        <v>30</v>
      </c>
      <c r="C21" s="54">
        <f>'Battery-Only Winged'!BA21</f>
        <v>100</v>
      </c>
    </row>
    <row r="22" spans="1:3" x14ac:dyDescent="0.35">
      <c r="A22" s="54">
        <f>'Battery-Only Winged'!BV22</f>
        <v>8.8421052631578938</v>
      </c>
      <c r="B22" s="54">
        <f>'Battery-Only Winged'!BH22</f>
        <v>25.925925925925924</v>
      </c>
      <c r="C22" s="54">
        <f>'Battery-Only Winged'!BA22</f>
        <v>35</v>
      </c>
    </row>
    <row r="23" spans="1:3" x14ac:dyDescent="0.35">
      <c r="A23" s="54">
        <f>'Battery-Only Winged'!BV23</f>
        <v>8.7804878048780477</v>
      </c>
      <c r="B23" s="54">
        <f>'Battery-Only Winged'!BH23</f>
        <v>24</v>
      </c>
      <c r="C23" s="54">
        <f>'Battery-Only Winged'!BA23</f>
        <v>60</v>
      </c>
    </row>
    <row r="24" spans="1:3" x14ac:dyDescent="0.35">
      <c r="A24" s="54">
        <f>'Battery-Only Winged'!BV24</f>
        <v>7.9090535543076284</v>
      </c>
      <c r="B24" s="54">
        <f>'Battery-Only Winged'!BH24</f>
        <v>24</v>
      </c>
      <c r="C24" s="54">
        <f>'Battery-Only Winged'!BA24</f>
        <v>60</v>
      </c>
    </row>
    <row r="25" spans="1:3" x14ac:dyDescent="0.35">
      <c r="A25" s="54">
        <f>'Battery-Only Winged'!BV25</f>
        <v>7.7091933531778487</v>
      </c>
      <c r="B25" s="54">
        <f>'Battery-Only Winged'!BH25</f>
        <v>32.298635137978792</v>
      </c>
      <c r="C25" s="54">
        <f>'Battery-Only Winged'!BA25</f>
        <v>68.365444375388435</v>
      </c>
    </row>
    <row r="26" spans="1:3" x14ac:dyDescent="0.35">
      <c r="A26" s="54">
        <f>'Battery-Only Winged'!BV26</f>
        <v>7.3704042526888376</v>
      </c>
      <c r="B26" s="54">
        <f>'Battery-Only Winged'!BH26</f>
        <v>20.666666666666668</v>
      </c>
      <c r="C26" s="54">
        <f>'Battery-Only Winged'!BA26</f>
        <v>62</v>
      </c>
    </row>
    <row r="27" spans="1:3" x14ac:dyDescent="0.35">
      <c r="A27" s="54">
        <f>'Battery-Only Winged'!BV27</f>
        <v>7.1567131853023724</v>
      </c>
      <c r="B27" s="54">
        <f>'Battery-Only Winged'!BH27</f>
        <v>31.255791003499816</v>
      </c>
      <c r="C27" s="54">
        <f>'Battery-Only Winged'!BA27</f>
        <v>46.612802983219389</v>
      </c>
    </row>
    <row r="28" spans="1:3" x14ac:dyDescent="0.35">
      <c r="A28" s="54">
        <f>'Battery-Only Winged'!BV28</f>
        <v>4.2016404974764212</v>
      </c>
      <c r="B28" s="54">
        <f>'Battery-Only Winged'!BH28</f>
        <v>15</v>
      </c>
      <c r="C28" s="54">
        <f>'Battery-Only Winged'!BA28</f>
        <v>31.075201988812928</v>
      </c>
    </row>
    <row r="29" spans="1:3" x14ac:dyDescent="0.35">
      <c r="A29" s="54">
        <f>'Battery-Only Winged'!BV29</f>
        <v>3.8772409601944693</v>
      </c>
      <c r="B29" s="54">
        <f>'Battery-Only Winged'!BH29</f>
        <v>29</v>
      </c>
      <c r="C29" s="54">
        <f>'Battery-Only Winged'!BA29</f>
        <v>62</v>
      </c>
    </row>
    <row r="30" spans="1:3" x14ac:dyDescent="0.35">
      <c r="A30" s="54">
        <f>'Battery-Only Winged'!BV30</f>
        <v>2.8971428571428577</v>
      </c>
      <c r="B30" s="54">
        <f>'Battery-Only Winged'!BH30</f>
        <v>11.093990755007704</v>
      </c>
      <c r="C30" s="54">
        <f>'Battery-Only Winged'!BA30</f>
        <v>12</v>
      </c>
    </row>
    <row r="31" spans="1:3" x14ac:dyDescent="0.35">
      <c r="A31" s="54">
        <f>'Battery-Only Winged'!BV31</f>
        <v>2.6183735009092368</v>
      </c>
      <c r="B31" s="54">
        <f>'Battery-Only Winged'!BH31</f>
        <v>40</v>
      </c>
      <c r="C31" s="54">
        <f>'Battery-Only Winged'!BA31</f>
        <v>31.696706028589187</v>
      </c>
    </row>
    <row r="32" spans="1:3" x14ac:dyDescent="0.35">
      <c r="A32" s="54">
        <f>'Battery-Only Winged'!BV32</f>
        <v>2.1262886597938144</v>
      </c>
      <c r="B32" s="54">
        <f>'Battery-Only Winged'!BH32</f>
        <v>15</v>
      </c>
      <c r="C32" s="54">
        <f>'Battery-Only Winged'!BA32</f>
        <v>50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Battery-Only Winged</vt:lpstr>
      <vt:lpstr>Hybrid</vt:lpstr>
      <vt:lpstr>Regressions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Askarzadeh, Taraneh</cp:lastModifiedBy>
  <dcterms:created xsi:type="dcterms:W3CDTF">2015-06-05T18:17:20Z</dcterms:created>
  <dcterms:modified xsi:type="dcterms:W3CDTF">2024-02-05T22:55:26Z</dcterms:modified>
</cp:coreProperties>
</file>