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20.xml" ContentType="application/vnd.ms-excel.controlproperties+xml"/>
  <Override PartName="/xl/ctrlProps/ctrlProp21.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backupFile="1" codeName="ThisWorkbook"/>
  <mc:AlternateContent xmlns:mc="http://schemas.openxmlformats.org/markup-compatibility/2006">
    <mc:Choice Requires="x15">
      <x15ac:absPath xmlns:x15ac="http://schemas.microsoft.com/office/spreadsheetml/2010/11/ac" url="C:\Users\flowm\Google Drive\Projet TARANIS\Masse et centrage\"/>
    </mc:Choice>
  </mc:AlternateContent>
  <xr:revisionPtr revIDLastSave="0" documentId="13_ncr:1_{1C0221DE-CB86-4462-8062-1F8311E5CD6F}" xr6:coauthVersionLast="47" xr6:coauthVersionMax="47" xr10:uidLastSave="{00000000-0000-0000-0000-000000000000}"/>
  <bookViews>
    <workbookView xWindow="-120" yWindow="-120" windowWidth="29040" windowHeight="1584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Propu!$O$307:$P$335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Info!$E$51</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Propu!$F$307:$F$336</definedName>
    <definedName name="Liste_fusex">Propu!$R$307:$R$336</definedName>
    <definedName name="Liste_H2O">Propu!$C$307:$D$336</definedName>
    <definedName name="Liste_minif">Propu!$L$307:$M$336</definedName>
    <definedName name="Liste_minifT">Propu!$O$307:$O$336</definedName>
    <definedName name="Liste_propu">Propu!$A$307:$A$317</definedName>
    <definedName name="Liste_RC">Propu!$I$307:$J$336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Info!$E$52</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6" l="1"/>
  <c r="C172" i="6"/>
  <c r="C13" i="6"/>
  <c r="I317" i="4"/>
  <c r="I316" i="4"/>
  <c r="I315" i="4"/>
  <c r="I314" i="4"/>
  <c r="I313" i="4"/>
  <c r="I312" i="4"/>
  <c r="I311" i="4"/>
  <c r="I310" i="4"/>
  <c r="I309" i="4"/>
  <c r="I308" i="4"/>
  <c r="I307" i="4"/>
  <c r="L311" i="4"/>
  <c r="D103" i="4"/>
  <c r="E103" i="4"/>
  <c r="F103" i="4"/>
  <c r="E105" i="4" s="1"/>
  <c r="G103" i="4"/>
  <c r="H103" i="4"/>
  <c r="I103" i="4"/>
  <c r="J103" i="4"/>
  <c r="J105" i="4" s="1"/>
  <c r="K103" i="4"/>
  <c r="L103" i="4"/>
  <c r="M103" i="4"/>
  <c r="N103" i="4"/>
  <c r="O103" i="4"/>
  <c r="P103" i="4"/>
  <c r="O105" i="4" s="1"/>
  <c r="Q103" i="4"/>
  <c r="R103" i="4"/>
  <c r="S103" i="4"/>
  <c r="T103" i="4"/>
  <c r="S105" i="4" s="1"/>
  <c r="U103" i="4"/>
  <c r="V103" i="4"/>
  <c r="W103" i="4"/>
  <c r="X103" i="4"/>
  <c r="X105" i="4" s="1"/>
  <c r="S98" i="4"/>
  <c r="T98" i="4"/>
  <c r="U98" i="4"/>
  <c r="V98" i="4"/>
  <c r="W98" i="4"/>
  <c r="X98" i="4"/>
  <c r="X100" i="4" s="1"/>
  <c r="D98" i="4"/>
  <c r="E98" i="4"/>
  <c r="F98" i="4"/>
  <c r="G98" i="4"/>
  <c r="F100" i="4" s="1"/>
  <c r="H98" i="4"/>
  <c r="I98" i="4"/>
  <c r="J98" i="4"/>
  <c r="K98" i="4"/>
  <c r="L98" i="4"/>
  <c r="M98" i="4"/>
  <c r="N98" i="4"/>
  <c r="O98" i="4"/>
  <c r="P98" i="4"/>
  <c r="Q98" i="4"/>
  <c r="R98" i="4"/>
  <c r="C103" i="4"/>
  <c r="C98" i="4"/>
  <c r="X104" i="4"/>
  <c r="W104" i="4"/>
  <c r="V105" i="4" s="1"/>
  <c r="V104" i="4"/>
  <c r="U104" i="4"/>
  <c r="T104" i="4"/>
  <c r="S104" i="4"/>
  <c r="R104" i="4"/>
  <c r="R105" i="4" s="1"/>
  <c r="Q104" i="4"/>
  <c r="P104" i="4"/>
  <c r="O104" i="4"/>
  <c r="N104" i="4"/>
  <c r="M104" i="4"/>
  <c r="L104" i="4"/>
  <c r="K104" i="4"/>
  <c r="J104" i="4"/>
  <c r="I104" i="4"/>
  <c r="H104" i="4"/>
  <c r="G104" i="4"/>
  <c r="F104" i="4"/>
  <c r="E104" i="4"/>
  <c r="D104" i="4"/>
  <c r="C104" i="4"/>
  <c r="B105" i="4"/>
  <c r="B104" i="4"/>
  <c r="L102" i="4"/>
  <c r="H102" i="4"/>
  <c r="J102" i="4"/>
  <c r="B102" i="4"/>
  <c r="X99" i="4"/>
  <c r="W99" i="4"/>
  <c r="V99" i="4"/>
  <c r="U99" i="4"/>
  <c r="T99" i="4"/>
  <c r="S99" i="4"/>
  <c r="R99" i="4"/>
  <c r="Q99" i="4"/>
  <c r="P100" i="4" s="1"/>
  <c r="P99" i="4"/>
  <c r="O99" i="4"/>
  <c r="N99" i="4"/>
  <c r="M100" i="4" s="1"/>
  <c r="M99" i="4"/>
  <c r="L99" i="4"/>
  <c r="L100" i="4" s="1"/>
  <c r="K99" i="4"/>
  <c r="J100" i="4" s="1"/>
  <c r="J99" i="4"/>
  <c r="I99" i="4"/>
  <c r="H99" i="4"/>
  <c r="G99" i="4"/>
  <c r="F99" i="4"/>
  <c r="E99" i="4"/>
  <c r="D99" i="4"/>
  <c r="D100" i="4" s="1"/>
  <c r="C99" i="4"/>
  <c r="B99" i="4"/>
  <c r="B100" i="4" s="1"/>
  <c r="L97" i="4"/>
  <c r="J97" i="4" s="1"/>
  <c r="H97" i="4"/>
  <c r="B97" i="4"/>
  <c r="X95" i="4"/>
  <c r="W95" i="4"/>
  <c r="V95" i="4"/>
  <c r="U95" i="4"/>
  <c r="T95" i="4"/>
  <c r="S95" i="4"/>
  <c r="R95" i="4"/>
  <c r="Q95" i="4"/>
  <c r="P95" i="4"/>
  <c r="O95" i="4"/>
  <c r="N95" i="4"/>
  <c r="M95" i="4"/>
  <c r="L95" i="4"/>
  <c r="K95" i="4"/>
  <c r="J95" i="4"/>
  <c r="I95" i="4"/>
  <c r="H95" i="4"/>
  <c r="G95" i="4"/>
  <c r="F95" i="4"/>
  <c r="E95" i="4"/>
  <c r="D92" i="4"/>
  <c r="D95" i="4"/>
  <c r="C95" i="4"/>
  <c r="B95" i="4"/>
  <c r="J92" i="4"/>
  <c r="B92" i="4"/>
  <c r="O334" i="4"/>
  <c r="O333" i="4"/>
  <c r="O332" i="4"/>
  <c r="O331" i="4"/>
  <c r="Q201" i="4"/>
  <c r="P201" i="4"/>
  <c r="O201" i="4"/>
  <c r="N201" i="4"/>
  <c r="M201" i="4"/>
  <c r="L201" i="4"/>
  <c r="K201" i="4"/>
  <c r="J201" i="4"/>
  <c r="I201" i="4"/>
  <c r="H201" i="4"/>
  <c r="G201" i="4"/>
  <c r="F201" i="4"/>
  <c r="E201" i="4"/>
  <c r="D201" i="4"/>
  <c r="C201" i="4"/>
  <c r="B201" i="4"/>
  <c r="J198" i="4"/>
  <c r="B198" i="4"/>
  <c r="E5" i="7"/>
  <c r="H7" i="7"/>
  <c r="E7" i="7"/>
  <c r="E6" i="7"/>
  <c r="H9" i="7"/>
  <c r="K26" i="7"/>
  <c r="K25" i="7"/>
  <c r="K24" i="7"/>
  <c r="K23" i="7"/>
  <c r="J26" i="7"/>
  <c r="J25" i="7"/>
  <c r="J24" i="7"/>
  <c r="J23" i="7"/>
  <c r="G27" i="7"/>
  <c r="G26" i="7"/>
  <c r="F26" i="7"/>
  <c r="G25" i="7"/>
  <c r="F25" i="7"/>
  <c r="G24" i="7"/>
  <c r="F24" i="7"/>
  <c r="G23" i="7"/>
  <c r="F23" i="7"/>
  <c r="D27"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D27" i="1"/>
  <c r="D24" i="1"/>
  <c r="D30" i="1"/>
  <c r="I68" i="7" s="1"/>
  <c r="K49" i="1"/>
  <c r="C18" i="1"/>
  <c r="C161" i="6"/>
  <c r="C162" i="6"/>
  <c r="C160" i="6"/>
  <c r="C159" i="6"/>
  <c r="C158" i="6"/>
  <c r="C25" i="6"/>
  <c r="M21" i="6"/>
  <c r="C14" i="6"/>
  <c r="B55" i="8"/>
  <c r="C55" i="8"/>
  <c r="H6" i="7"/>
  <c r="F108" i="1"/>
  <c r="C113" i="1"/>
  <c r="H17" i="7" s="1"/>
  <c r="C152" i="1"/>
  <c r="C150" i="1"/>
  <c r="C148" i="1"/>
  <c r="N33" i="1"/>
  <c r="C19" i="6"/>
  <c r="C131" i="1"/>
  <c r="B25" i="1"/>
  <c r="L310" i="4"/>
  <c r="L309" i="4"/>
  <c r="J30" i="6"/>
  <c r="G30" i="6"/>
  <c r="E184" i="6"/>
  <c r="J29" i="6"/>
  <c r="B188" i="6" s="1"/>
  <c r="G29" i="6"/>
  <c r="J28" i="6"/>
  <c r="J27" i="6"/>
  <c r="G28" i="6"/>
  <c r="C183" i="6" s="1"/>
  <c r="G27" i="6"/>
  <c r="W35" i="6"/>
  <c r="B100" i="6"/>
  <c r="L308" i="4"/>
  <c r="A307" i="4" a="1"/>
  <c r="L307" i="4"/>
  <c r="B97" i="6"/>
  <c r="B98" i="6"/>
  <c r="Q236" i="4"/>
  <c r="P236" i="4"/>
  <c r="O236" i="4"/>
  <c r="N236" i="4"/>
  <c r="M236" i="4"/>
  <c r="L236" i="4"/>
  <c r="K236" i="4"/>
  <c r="J236" i="4"/>
  <c r="I236" i="4"/>
  <c r="H236" i="4"/>
  <c r="G236" i="4"/>
  <c r="F236" i="4"/>
  <c r="E236" i="4"/>
  <c r="D236" i="4"/>
  <c r="C236" i="4"/>
  <c r="B236" i="4"/>
  <c r="S235" i="4"/>
  <c r="S234" i="4"/>
  <c r="J233" i="4"/>
  <c r="B233" i="4"/>
  <c r="O311" i="4"/>
  <c r="O310" i="4"/>
  <c r="S131" i="4"/>
  <c r="R131" i="4"/>
  <c r="Q131" i="4"/>
  <c r="P131" i="4"/>
  <c r="O131" i="4"/>
  <c r="N131" i="4"/>
  <c r="M131" i="4"/>
  <c r="L131" i="4"/>
  <c r="K131" i="4"/>
  <c r="J131" i="4"/>
  <c r="I131" i="4"/>
  <c r="H131" i="4"/>
  <c r="G131" i="4"/>
  <c r="F131" i="4"/>
  <c r="E131" i="4"/>
  <c r="D131" i="4"/>
  <c r="C131" i="4"/>
  <c r="B131" i="4"/>
  <c r="V130" i="4"/>
  <c r="T131" i="4"/>
  <c r="J128" i="4"/>
  <c r="B128" i="4"/>
  <c r="R126" i="4"/>
  <c r="Q126" i="4"/>
  <c r="P126" i="4"/>
  <c r="O126" i="4"/>
  <c r="N126" i="4"/>
  <c r="M126" i="4"/>
  <c r="L126" i="4"/>
  <c r="K126" i="4"/>
  <c r="J126" i="4"/>
  <c r="I126" i="4"/>
  <c r="H126" i="4"/>
  <c r="G126" i="4"/>
  <c r="F126" i="4"/>
  <c r="E126" i="4"/>
  <c r="D126" i="4"/>
  <c r="C126" i="4"/>
  <c r="B126" i="4"/>
  <c r="T125" i="4"/>
  <c r="J123" i="4"/>
  <c r="B123" i="4"/>
  <c r="O330" i="4"/>
  <c r="T251" i="4"/>
  <c r="S251" i="4"/>
  <c r="R251" i="4"/>
  <c r="Q251" i="4"/>
  <c r="P251" i="4"/>
  <c r="O251" i="4"/>
  <c r="N251" i="4"/>
  <c r="M251" i="4"/>
  <c r="L251" i="4"/>
  <c r="K251" i="4"/>
  <c r="J251" i="4"/>
  <c r="I251" i="4"/>
  <c r="H251" i="4"/>
  <c r="G251" i="4"/>
  <c r="F251" i="4"/>
  <c r="E251" i="4"/>
  <c r="D251" i="4"/>
  <c r="C251" i="4"/>
  <c r="B251" i="4"/>
  <c r="V250" i="4"/>
  <c r="V249" i="4"/>
  <c r="U251" i="4" s="1"/>
  <c r="W249" i="4"/>
  <c r="X249" i="4"/>
  <c r="J248" i="4"/>
  <c r="B248" i="4"/>
  <c r="O327" i="4"/>
  <c r="Q231" i="4"/>
  <c r="P231" i="4"/>
  <c r="O231" i="4"/>
  <c r="N231" i="4"/>
  <c r="M231" i="4"/>
  <c r="L231" i="4"/>
  <c r="K231" i="4"/>
  <c r="J231" i="4"/>
  <c r="I231" i="4"/>
  <c r="H231" i="4"/>
  <c r="G231" i="4"/>
  <c r="F231" i="4"/>
  <c r="E231" i="4"/>
  <c r="D231" i="4"/>
  <c r="C231" i="4"/>
  <c r="B231" i="4"/>
  <c r="S230" i="4"/>
  <c r="T230" i="4" s="1"/>
  <c r="U230" i="4" s="1"/>
  <c r="S229" i="4"/>
  <c r="T229" i="4"/>
  <c r="U229" i="4"/>
  <c r="V229" i="4"/>
  <c r="W229" i="4" s="1"/>
  <c r="J228" i="4"/>
  <c r="B228" i="4"/>
  <c r="O336" i="4"/>
  <c r="Q206" i="4"/>
  <c r="P206" i="4"/>
  <c r="O206" i="4"/>
  <c r="N206" i="4"/>
  <c r="M206" i="4"/>
  <c r="L206" i="4"/>
  <c r="K206" i="4"/>
  <c r="J206" i="4"/>
  <c r="I206" i="4"/>
  <c r="H206" i="4"/>
  <c r="G206" i="4"/>
  <c r="F206" i="4"/>
  <c r="E206" i="4"/>
  <c r="D206" i="4"/>
  <c r="C206" i="4"/>
  <c r="B206" i="4"/>
  <c r="S206" i="4"/>
  <c r="R206" i="4"/>
  <c r="J203" i="4"/>
  <c r="B203" i="4"/>
  <c r="O326" i="4"/>
  <c r="O325" i="4"/>
  <c r="O324" i="4"/>
  <c r="O323" i="4"/>
  <c r="O328" i="4"/>
  <c r="O329" i="4"/>
  <c r="O335" i="4"/>
  <c r="O313" i="4"/>
  <c r="O314" i="4"/>
  <c r="O315" i="4"/>
  <c r="O316" i="4"/>
  <c r="O317" i="4"/>
  <c r="O309" i="4"/>
  <c r="O312" i="4"/>
  <c r="O318" i="4"/>
  <c r="O319" i="4"/>
  <c r="O320" i="4"/>
  <c r="O321" i="4"/>
  <c r="O322" i="4"/>
  <c r="O308" i="4"/>
  <c r="O307" i="4"/>
  <c r="X226" i="4"/>
  <c r="W226" i="4"/>
  <c r="V226" i="4"/>
  <c r="U226" i="4"/>
  <c r="T226" i="4"/>
  <c r="S226" i="4"/>
  <c r="R226" i="4"/>
  <c r="Q226" i="4"/>
  <c r="P226" i="4"/>
  <c r="O226" i="4"/>
  <c r="N226" i="4"/>
  <c r="M226" i="4"/>
  <c r="L226" i="4"/>
  <c r="K226" i="4"/>
  <c r="J226" i="4"/>
  <c r="I226" i="4"/>
  <c r="H226" i="4"/>
  <c r="G226" i="4"/>
  <c r="F226" i="4"/>
  <c r="E226" i="4"/>
  <c r="D226" i="4"/>
  <c r="C226" i="4"/>
  <c r="D223" i="4"/>
  <c r="F223" i="4" s="1"/>
  <c r="B226" i="4"/>
  <c r="J223" i="4"/>
  <c r="B223" i="4"/>
  <c r="Q221" i="4"/>
  <c r="P221" i="4"/>
  <c r="O221" i="4"/>
  <c r="N221" i="4"/>
  <c r="M221" i="4"/>
  <c r="L221" i="4"/>
  <c r="K221" i="4"/>
  <c r="J221" i="4"/>
  <c r="I221" i="4"/>
  <c r="H221" i="4"/>
  <c r="G221" i="4"/>
  <c r="F221" i="4"/>
  <c r="E221" i="4"/>
  <c r="D221" i="4"/>
  <c r="C221" i="4"/>
  <c r="B221" i="4"/>
  <c r="T220" i="4"/>
  <c r="R221" i="4"/>
  <c r="T219" i="4"/>
  <c r="U219" i="4" s="1"/>
  <c r="V219" i="4" s="1"/>
  <c r="J218" i="4"/>
  <c r="B218" i="4"/>
  <c r="V244" i="4"/>
  <c r="W244" i="4"/>
  <c r="V246" i="4" s="1"/>
  <c r="W239" i="4"/>
  <c r="Q246" i="4"/>
  <c r="P246" i="4"/>
  <c r="O246" i="4"/>
  <c r="N246" i="4"/>
  <c r="M246" i="4"/>
  <c r="L246" i="4"/>
  <c r="K246" i="4"/>
  <c r="J246" i="4"/>
  <c r="I246" i="4"/>
  <c r="H246" i="4"/>
  <c r="G246" i="4"/>
  <c r="F246" i="4"/>
  <c r="E246" i="4"/>
  <c r="D246" i="4"/>
  <c r="C246" i="4"/>
  <c r="B246" i="4"/>
  <c r="J243" i="4"/>
  <c r="B243" i="4"/>
  <c r="J241" i="4"/>
  <c r="I241" i="4"/>
  <c r="H241" i="4"/>
  <c r="G241" i="4"/>
  <c r="F241" i="4"/>
  <c r="E241" i="4"/>
  <c r="D241" i="4"/>
  <c r="C241" i="4"/>
  <c r="B241" i="4"/>
  <c r="J238" i="4"/>
  <c r="B238" i="4"/>
  <c r="L189" i="4"/>
  <c r="K191" i="4" s="1"/>
  <c r="M189" i="4"/>
  <c r="N189" i="4" s="1"/>
  <c r="M191" i="4" s="1"/>
  <c r="R324" i="4"/>
  <c r="R325" i="4"/>
  <c r="R326" i="4"/>
  <c r="R327" i="4"/>
  <c r="R328" i="4"/>
  <c r="R329" i="4"/>
  <c r="S190" i="4"/>
  <c r="T190" i="4" s="1"/>
  <c r="U190" i="4"/>
  <c r="V190" i="4" s="1"/>
  <c r="J191" i="4"/>
  <c r="I191" i="4"/>
  <c r="H191" i="4"/>
  <c r="G191" i="4"/>
  <c r="F191" i="4"/>
  <c r="E191" i="4"/>
  <c r="D191" i="4"/>
  <c r="C191" i="4"/>
  <c r="B191" i="4"/>
  <c r="J188" i="4"/>
  <c r="B188" i="4"/>
  <c r="S195" i="4"/>
  <c r="T195" i="4"/>
  <c r="U195" i="4"/>
  <c r="T196" i="4" s="1"/>
  <c r="S194" i="4"/>
  <c r="T194" i="4"/>
  <c r="Q196" i="4"/>
  <c r="P196" i="4"/>
  <c r="O196" i="4"/>
  <c r="N196" i="4"/>
  <c r="M196" i="4"/>
  <c r="L196" i="4"/>
  <c r="K196" i="4"/>
  <c r="J196" i="4"/>
  <c r="I196" i="4"/>
  <c r="H196" i="4"/>
  <c r="G196" i="4"/>
  <c r="F196" i="4"/>
  <c r="E196" i="4"/>
  <c r="D196" i="4"/>
  <c r="C196" i="4"/>
  <c r="B196" i="4"/>
  <c r="J193" i="4"/>
  <c r="B193" i="4"/>
  <c r="B2" i="4" s="1"/>
  <c r="B208" i="4"/>
  <c r="B211" i="4"/>
  <c r="C211" i="4"/>
  <c r="D211" i="4"/>
  <c r="E211" i="4"/>
  <c r="F211" i="4"/>
  <c r="G211" i="4"/>
  <c r="H211" i="4"/>
  <c r="I211" i="4"/>
  <c r="J211" i="4"/>
  <c r="K211" i="4"/>
  <c r="L211" i="4"/>
  <c r="M211" i="4"/>
  <c r="N211" i="4"/>
  <c r="O211" i="4"/>
  <c r="P211" i="4"/>
  <c r="Q211" i="4"/>
  <c r="S210" i="4"/>
  <c r="R211" i="4" s="1"/>
  <c r="S209" i="4"/>
  <c r="T209" i="4"/>
  <c r="U209" i="4" s="1"/>
  <c r="V209" i="4" s="1"/>
  <c r="W209" i="4" s="1"/>
  <c r="J208" i="4"/>
  <c r="A2" i="4"/>
  <c r="B133" i="4"/>
  <c r="B4" i="3"/>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J4" i="3"/>
  <c r="K4" i="3"/>
  <c r="I4" i="3"/>
  <c r="B113" i="4"/>
  <c r="C35" i="6"/>
  <c r="M23" i="6"/>
  <c r="M24" i="6"/>
  <c r="M18" i="6"/>
  <c r="E182" i="6"/>
  <c r="B116" i="4"/>
  <c r="C116" i="4"/>
  <c r="D116" i="4"/>
  <c r="E116" i="4"/>
  <c r="F116" i="4"/>
  <c r="G116" i="4"/>
  <c r="H116" i="4"/>
  <c r="I116" i="4"/>
  <c r="J116" i="4"/>
  <c r="K116" i="4"/>
  <c r="L116" i="4"/>
  <c r="M116" i="4"/>
  <c r="N116" i="4"/>
  <c r="O116" i="4"/>
  <c r="P116" i="4"/>
  <c r="Q116" i="4"/>
  <c r="R116" i="4"/>
  <c r="S116" i="4"/>
  <c r="U115" i="4"/>
  <c r="J113" i="4"/>
  <c r="B161" i="4"/>
  <c r="C161" i="4"/>
  <c r="D161" i="4"/>
  <c r="E161" i="4"/>
  <c r="F161" i="4"/>
  <c r="G161" i="4"/>
  <c r="H161" i="4"/>
  <c r="I161" i="4"/>
  <c r="J161" i="4"/>
  <c r="K161" i="4"/>
  <c r="L161" i="4"/>
  <c r="M161" i="4"/>
  <c r="N161" i="4"/>
  <c r="O161" i="4"/>
  <c r="P161" i="4"/>
  <c r="Q161" i="4"/>
  <c r="R161" i="4"/>
  <c r="T160" i="4"/>
  <c r="X159" i="4"/>
  <c r="L158" i="4"/>
  <c r="J158" i="4" s="1"/>
  <c r="B47" i="1"/>
  <c r="C27" i="1" s="1"/>
  <c r="D29" i="1"/>
  <c r="B29" i="4"/>
  <c r="C29" i="4"/>
  <c r="D29" i="4"/>
  <c r="E29" i="4"/>
  <c r="D26" i="4" s="1"/>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D36" i="4" s="1"/>
  <c r="F36" i="4" s="1"/>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R54" i="4"/>
  <c r="S54" i="4"/>
  <c r="T54" i="4"/>
  <c r="U54" i="4"/>
  <c r="V54" i="4"/>
  <c r="W54" i="4"/>
  <c r="X54" i="4"/>
  <c r="J51" i="4"/>
  <c r="B59" i="4"/>
  <c r="C59" i="4"/>
  <c r="D59" i="4"/>
  <c r="E59" i="4"/>
  <c r="D56" i="4" s="1"/>
  <c r="F56" i="4" s="1"/>
  <c r="F59" i="4"/>
  <c r="G59" i="4"/>
  <c r="H59" i="4"/>
  <c r="I59" i="4"/>
  <c r="J59" i="4"/>
  <c r="K59" i="4"/>
  <c r="L59" i="4"/>
  <c r="M59" i="4"/>
  <c r="N59" i="4"/>
  <c r="O59" i="4"/>
  <c r="P59" i="4"/>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c r="F72" i="4" s="1"/>
  <c r="I75" i="4"/>
  <c r="J75" i="4"/>
  <c r="K75" i="4"/>
  <c r="L75" i="4"/>
  <c r="M75" i="4"/>
  <c r="N75" i="4"/>
  <c r="O75" i="4"/>
  <c r="P75" i="4"/>
  <c r="Q75" i="4"/>
  <c r="R75" i="4"/>
  <c r="S75" i="4"/>
  <c r="T75" i="4"/>
  <c r="U75" i="4"/>
  <c r="V75" i="4"/>
  <c r="W75" i="4"/>
  <c r="X75" i="4"/>
  <c r="J72" i="4"/>
  <c r="B80" i="4"/>
  <c r="D77" i="4" s="1"/>
  <c r="C80" i="4"/>
  <c r="D80" i="4"/>
  <c r="E80" i="4"/>
  <c r="F80" i="4"/>
  <c r="G80" i="4"/>
  <c r="H80" i="4"/>
  <c r="I80" i="4"/>
  <c r="J80" i="4"/>
  <c r="K80" i="4"/>
  <c r="L80" i="4"/>
  <c r="M80" i="4"/>
  <c r="N80" i="4"/>
  <c r="O80" i="4"/>
  <c r="P80" i="4"/>
  <c r="Q80" i="4"/>
  <c r="R80" i="4"/>
  <c r="S80" i="4"/>
  <c r="T80" i="4"/>
  <c r="U80" i="4"/>
  <c r="V80" i="4"/>
  <c r="W80" i="4"/>
  <c r="X80" i="4"/>
  <c r="J77" i="4"/>
  <c r="C84" i="4"/>
  <c r="B85" i="4" s="1"/>
  <c r="C85" i="4"/>
  <c r="B84" i="4"/>
  <c r="D84" i="4"/>
  <c r="E84" i="4"/>
  <c r="D85" i="4" s="1"/>
  <c r="F84" i="4"/>
  <c r="G84" i="4"/>
  <c r="H84" i="4"/>
  <c r="I84" i="4"/>
  <c r="J84" i="4"/>
  <c r="I85" i="4" s="1"/>
  <c r="K84" i="4"/>
  <c r="J85" i="4" s="1"/>
  <c r="L84" i="4"/>
  <c r="M84" i="4"/>
  <c r="M85" i="4" s="1"/>
  <c r="N84" i="4"/>
  <c r="N85" i="4"/>
  <c r="O84" i="4"/>
  <c r="P84" i="4"/>
  <c r="P85" i="4" s="1"/>
  <c r="Q84" i="4"/>
  <c r="R84" i="4"/>
  <c r="S84" i="4"/>
  <c r="T84" i="4"/>
  <c r="S85" i="4" s="1"/>
  <c r="U84" i="4"/>
  <c r="V84" i="4"/>
  <c r="U85" i="4" s="1"/>
  <c r="W84" i="4"/>
  <c r="X84" i="4"/>
  <c r="W85" i="4" s="1"/>
  <c r="H82" i="4"/>
  <c r="J82" i="4"/>
  <c r="L82" i="4"/>
  <c r="C89" i="4"/>
  <c r="B89" i="4"/>
  <c r="B90" i="4" s="1"/>
  <c r="D89" i="4"/>
  <c r="E89" i="4"/>
  <c r="F89" i="4"/>
  <c r="E90" i="4" s="1"/>
  <c r="G89" i="4"/>
  <c r="H89" i="4"/>
  <c r="I89" i="4"/>
  <c r="J89" i="4"/>
  <c r="K89" i="4"/>
  <c r="L89" i="4"/>
  <c r="L90" i="4" s="1"/>
  <c r="M89" i="4"/>
  <c r="N89" i="4"/>
  <c r="M90" i="4" s="1"/>
  <c r="O89" i="4"/>
  <c r="O90" i="4" s="1"/>
  <c r="P89" i="4"/>
  <c r="Q89" i="4"/>
  <c r="R89" i="4"/>
  <c r="S89" i="4"/>
  <c r="T89" i="4"/>
  <c r="U89" i="4"/>
  <c r="T90" i="4" s="1"/>
  <c r="U90" i="4"/>
  <c r="V89" i="4"/>
  <c r="V90" i="4" s="1"/>
  <c r="W89" i="4"/>
  <c r="X89" i="4"/>
  <c r="W90" i="4" s="1"/>
  <c r="H87" i="4"/>
  <c r="J87" i="4" s="1"/>
  <c r="L87" i="4"/>
  <c r="B111" i="4"/>
  <c r="C111" i="4"/>
  <c r="D111" i="4"/>
  <c r="E111" i="4"/>
  <c r="F111" i="4"/>
  <c r="G111" i="4"/>
  <c r="H111" i="4"/>
  <c r="I111" i="4"/>
  <c r="J111" i="4"/>
  <c r="K111" i="4"/>
  <c r="L111" i="4"/>
  <c r="M111" i="4"/>
  <c r="N111" i="4"/>
  <c r="O111" i="4"/>
  <c r="P111" i="4"/>
  <c r="Q111" i="4"/>
  <c r="R111" i="4"/>
  <c r="T110" i="4"/>
  <c r="J108" i="4"/>
  <c r="B121" i="4"/>
  <c r="C121" i="4"/>
  <c r="D121" i="4"/>
  <c r="E121" i="4"/>
  <c r="F121" i="4"/>
  <c r="G121" i="4"/>
  <c r="H121" i="4"/>
  <c r="I121" i="4"/>
  <c r="J121" i="4"/>
  <c r="K121" i="4"/>
  <c r="L121" i="4"/>
  <c r="M121" i="4"/>
  <c r="N121" i="4"/>
  <c r="O121" i="4"/>
  <c r="P121" i="4"/>
  <c r="Q121" i="4"/>
  <c r="R121" i="4"/>
  <c r="T120" i="4"/>
  <c r="J118" i="4"/>
  <c r="B141" i="4"/>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1" i="4"/>
  <c r="C151" i="4"/>
  <c r="D151" i="4"/>
  <c r="E151" i="4"/>
  <c r="F151" i="4"/>
  <c r="G151" i="4"/>
  <c r="H151" i="4"/>
  <c r="I151" i="4"/>
  <c r="J151" i="4"/>
  <c r="K151" i="4"/>
  <c r="L151" i="4"/>
  <c r="M151" i="4"/>
  <c r="N151" i="4"/>
  <c r="O151" i="4"/>
  <c r="P151" i="4"/>
  <c r="Q151" i="4"/>
  <c r="R151" i="4"/>
  <c r="S151" i="4"/>
  <c r="T151" i="4"/>
  <c r="U151" i="4"/>
  <c r="V151" i="4"/>
  <c r="W151" i="4"/>
  <c r="X151" i="4"/>
  <c r="J148" i="4"/>
  <c r="B156" i="4"/>
  <c r="C156" i="4"/>
  <c r="D156" i="4"/>
  <c r="E156" i="4"/>
  <c r="F156" i="4"/>
  <c r="G156" i="4"/>
  <c r="H156" i="4"/>
  <c r="I156" i="4"/>
  <c r="J156" i="4"/>
  <c r="K156" i="4"/>
  <c r="L156" i="4"/>
  <c r="M156" i="4"/>
  <c r="N156" i="4"/>
  <c r="O156" i="4"/>
  <c r="P156" i="4"/>
  <c r="Q156" i="4"/>
  <c r="R156" i="4"/>
  <c r="S156" i="4"/>
  <c r="T156" i="4"/>
  <c r="U156" i="4"/>
  <c r="V156" i="4"/>
  <c r="W156" i="4"/>
  <c r="X156" i="4"/>
  <c r="J153" i="4"/>
  <c r="B166" i="4"/>
  <c r="C166" i="4"/>
  <c r="D166" i="4"/>
  <c r="E166" i="4"/>
  <c r="F166" i="4"/>
  <c r="G166" i="4"/>
  <c r="H166" i="4"/>
  <c r="I166" i="4"/>
  <c r="J166" i="4"/>
  <c r="K166" i="4"/>
  <c r="L166" i="4"/>
  <c r="M166" i="4"/>
  <c r="N166" i="4"/>
  <c r="O166" i="4"/>
  <c r="P166" i="4"/>
  <c r="Q166" i="4"/>
  <c r="R166" i="4"/>
  <c r="S166" i="4"/>
  <c r="T166" i="4"/>
  <c r="U166" i="4"/>
  <c r="V166" i="4"/>
  <c r="W166" i="4"/>
  <c r="X166" i="4"/>
  <c r="J163"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I186" i="4"/>
  <c r="J186" i="4"/>
  <c r="K186" i="4"/>
  <c r="L186" i="4"/>
  <c r="M186" i="4"/>
  <c r="N186" i="4"/>
  <c r="O186" i="4"/>
  <c r="P186" i="4"/>
  <c r="Q186" i="4"/>
  <c r="R186" i="4"/>
  <c r="T185" i="4"/>
  <c r="X184" i="4"/>
  <c r="L183" i="4"/>
  <c r="J183" i="4"/>
  <c r="B216" i="4"/>
  <c r="C216" i="4"/>
  <c r="D216" i="4"/>
  <c r="E216" i="4"/>
  <c r="F216" i="4"/>
  <c r="G216" i="4"/>
  <c r="H216" i="4"/>
  <c r="I216" i="4"/>
  <c r="J216" i="4"/>
  <c r="K216" i="4"/>
  <c r="L216" i="4"/>
  <c r="M216" i="4"/>
  <c r="N216" i="4"/>
  <c r="O216" i="4"/>
  <c r="P216" i="4"/>
  <c r="Q216" i="4"/>
  <c r="R216" i="4"/>
  <c r="S216" i="4"/>
  <c r="T216" i="4"/>
  <c r="U216" i="4"/>
  <c r="V216" i="4"/>
  <c r="W216" i="4"/>
  <c r="X216" i="4"/>
  <c r="J213" i="4"/>
  <c r="B256" i="4"/>
  <c r="C256" i="4"/>
  <c r="D256" i="4"/>
  <c r="E256" i="4"/>
  <c r="F256" i="4"/>
  <c r="G256" i="4"/>
  <c r="H256" i="4"/>
  <c r="I256" i="4"/>
  <c r="J256" i="4"/>
  <c r="K256" i="4"/>
  <c r="L256" i="4"/>
  <c r="M256" i="4"/>
  <c r="N256" i="4"/>
  <c r="O256" i="4"/>
  <c r="P256" i="4"/>
  <c r="Q256" i="4"/>
  <c r="R256" i="4"/>
  <c r="S256" i="4"/>
  <c r="T256" i="4"/>
  <c r="U256" i="4"/>
  <c r="V256" i="4"/>
  <c r="W256" i="4"/>
  <c r="X256" i="4"/>
  <c r="J253" i="4"/>
  <c r="B261" i="4"/>
  <c r="C261" i="4"/>
  <c r="D261" i="4"/>
  <c r="E261" i="4"/>
  <c r="F261" i="4"/>
  <c r="G261" i="4"/>
  <c r="H261" i="4"/>
  <c r="I261" i="4"/>
  <c r="J261" i="4"/>
  <c r="K261" i="4"/>
  <c r="L261" i="4"/>
  <c r="M261" i="4"/>
  <c r="N261" i="4"/>
  <c r="O261" i="4"/>
  <c r="P261" i="4"/>
  <c r="Q261" i="4"/>
  <c r="R261" i="4"/>
  <c r="S261" i="4"/>
  <c r="T261" i="4"/>
  <c r="U261" i="4"/>
  <c r="V261" i="4"/>
  <c r="W261" i="4"/>
  <c r="X261" i="4"/>
  <c r="J258" i="4"/>
  <c r="B267" i="4"/>
  <c r="C267" i="4"/>
  <c r="D267" i="4"/>
  <c r="E267" i="4"/>
  <c r="F267" i="4"/>
  <c r="G267" i="4"/>
  <c r="H267" i="4"/>
  <c r="I267" i="4"/>
  <c r="J267" i="4"/>
  <c r="K267" i="4"/>
  <c r="L267" i="4"/>
  <c r="M267" i="4"/>
  <c r="N267" i="4"/>
  <c r="O267" i="4"/>
  <c r="P267" i="4"/>
  <c r="Q267" i="4"/>
  <c r="R267" i="4"/>
  <c r="S267" i="4"/>
  <c r="T267" i="4"/>
  <c r="U267" i="4"/>
  <c r="V267" i="4"/>
  <c r="W267" i="4"/>
  <c r="X267" i="4"/>
  <c r="J264"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D299" i="4" s="1"/>
  <c r="F299" i="4" s="1"/>
  <c r="C302" i="4"/>
  <c r="D302" i="4"/>
  <c r="E302" i="4"/>
  <c r="F302" i="4"/>
  <c r="G302" i="4"/>
  <c r="H302" i="4"/>
  <c r="I302" i="4"/>
  <c r="J302" i="4"/>
  <c r="K302" i="4"/>
  <c r="L302" i="4"/>
  <c r="M302" i="4"/>
  <c r="N302" i="4"/>
  <c r="O302" i="4"/>
  <c r="P302" i="4"/>
  <c r="Q302" i="4"/>
  <c r="R302" i="4"/>
  <c r="S302" i="4"/>
  <c r="T302" i="4"/>
  <c r="U302" i="4"/>
  <c r="V302" i="4"/>
  <c r="W302" i="4"/>
  <c r="X302" i="4"/>
  <c r="J299" i="4"/>
  <c r="A306" i="4"/>
  <c r="B26" i="4"/>
  <c r="N26" i="4"/>
  <c r="B31" i="4"/>
  <c r="N31" i="4"/>
  <c r="B36" i="4"/>
  <c r="N36" i="4"/>
  <c r="B41" i="4"/>
  <c r="N41" i="4"/>
  <c r="B46" i="4"/>
  <c r="N46" i="4"/>
  <c r="B51" i="4"/>
  <c r="N51" i="4"/>
  <c r="B56" i="4"/>
  <c r="N56" i="4"/>
  <c r="B61" i="4"/>
  <c r="N61" i="4"/>
  <c r="B67" i="4"/>
  <c r="B72" i="4"/>
  <c r="B77" i="4"/>
  <c r="B82" i="4"/>
  <c r="B87" i="4"/>
  <c r="B108" i="4"/>
  <c r="B118" i="4"/>
  <c r="B138" i="4"/>
  <c r="B143" i="4"/>
  <c r="B148" i="4"/>
  <c r="B153" i="4"/>
  <c r="B158" i="4"/>
  <c r="B163" i="4"/>
  <c r="B168" i="4"/>
  <c r="B173" i="4"/>
  <c r="B178" i="4"/>
  <c r="B183" i="4"/>
  <c r="B213" i="4"/>
  <c r="B253" i="4"/>
  <c r="B258" i="4"/>
  <c r="B264" i="4"/>
  <c r="B269" i="4"/>
  <c r="B274" i="4"/>
  <c r="B279" i="4"/>
  <c r="B284" i="4"/>
  <c r="B289" i="4"/>
  <c r="B294" i="4"/>
  <c r="B299" i="4"/>
  <c r="E116" i="7"/>
  <c r="F94" i="7"/>
  <c r="F85" i="7"/>
  <c r="H118" i="7"/>
  <c r="H111" i="7"/>
  <c r="E102" i="7"/>
  <c r="E103" i="7"/>
  <c r="E104" i="7"/>
  <c r="E100" i="7"/>
  <c r="H105" i="7"/>
  <c r="J105" i="7"/>
  <c r="J101" i="7"/>
  <c r="J97" i="7"/>
  <c r="F97" i="7"/>
  <c r="J92" i="7"/>
  <c r="J88" i="7"/>
  <c r="J86" i="7"/>
  <c r="J84" i="7"/>
  <c r="F90" i="7"/>
  <c r="F82" i="7"/>
  <c r="D85" i="7"/>
  <c r="D83" i="7"/>
  <c r="D81" i="7"/>
  <c r="D80" i="7"/>
  <c r="B19" i="6"/>
  <c r="F311" i="4"/>
  <c r="F310" i="4"/>
  <c r="C21" i="5"/>
  <c r="C20" i="5"/>
  <c r="C26" i="5"/>
  <c r="C22" i="5"/>
  <c r="C17" i="5"/>
  <c r="C19" i="5"/>
  <c r="C16" i="5"/>
  <c r="C15" i="5"/>
  <c r="L2" i="6"/>
  <c r="C307" i="4"/>
  <c r="F307" i="4"/>
  <c r="R307" i="4"/>
  <c r="C308" i="4"/>
  <c r="F308" i="4"/>
  <c r="R308" i="4"/>
  <c r="C309" i="4"/>
  <c r="F309" i="4"/>
  <c r="C310" i="4"/>
  <c r="C311" i="4"/>
  <c r="C312" i="4"/>
  <c r="C313" i="4"/>
  <c r="C314" i="4"/>
  <c r="B146" i="2"/>
  <c r="B35" i="1"/>
  <c r="B36" i="6"/>
  <c r="B15" i="8"/>
  <c r="B76" i="2"/>
  <c r="B11" i="8"/>
  <c r="B107" i="1"/>
  <c r="F42" i="5"/>
  <c r="B71" i="8"/>
  <c r="B78" i="8"/>
  <c r="C5" i="8"/>
  <c r="B76" i="8"/>
  <c r="B77" i="8"/>
  <c r="B74" i="8"/>
  <c r="B73" i="8"/>
  <c r="B75" i="8" s="1"/>
  <c r="B10" i="8"/>
  <c r="C4" i="8"/>
  <c r="C16" i="8"/>
  <c r="C14" i="8"/>
  <c r="C12" i="8"/>
  <c r="B12" i="8"/>
  <c r="C9" i="8"/>
  <c r="C8" i="8"/>
  <c r="B8" i="8"/>
  <c r="C7" i="8"/>
  <c r="N36" i="6"/>
  <c r="C50" i="5"/>
  <c r="C52" i="5"/>
  <c r="T18" i="6"/>
  <c r="S17" i="6"/>
  <c r="S19" i="6"/>
  <c r="S18" i="6"/>
  <c r="S13" i="6"/>
  <c r="S14" i="6"/>
  <c r="S12" i="6"/>
  <c r="T16" i="6"/>
  <c r="T11" i="6"/>
  <c r="L38" i="6"/>
  <c r="B93" i="1"/>
  <c r="B79" i="2"/>
  <c r="I69" i="7"/>
  <c r="H64" i="7"/>
  <c r="H63" i="7" s="1"/>
  <c r="E59" i="7"/>
  <c r="H52" i="7"/>
  <c r="E45" i="7"/>
  <c r="D45" i="7"/>
  <c r="E44" i="7"/>
  <c r="D44" i="7"/>
  <c r="E46" i="7"/>
  <c r="D46" i="7"/>
  <c r="E43" i="7"/>
  <c r="D43" i="7"/>
  <c r="E41" i="7"/>
  <c r="E50" i="7"/>
  <c r="E48" i="7"/>
  <c r="E47" i="7"/>
  <c r="H50" i="7"/>
  <c r="C31" i="7"/>
  <c r="C5" i="5"/>
  <c r="C6" i="5"/>
  <c r="C7" i="5"/>
  <c r="C8" i="5"/>
  <c r="C10" i="5"/>
  <c r="C11" i="5"/>
  <c r="C12" i="5"/>
  <c r="C13" i="5"/>
  <c r="C23" i="5"/>
  <c r="C25" i="5"/>
  <c r="C28" i="5"/>
  <c r="C33" i="5"/>
  <c r="F34" i="5"/>
  <c r="F35" i="5"/>
  <c r="F36" i="5"/>
  <c r="F37" i="5"/>
  <c r="F38" i="5"/>
  <c r="F39" i="5"/>
  <c r="F40" i="5"/>
  <c r="C51"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O21" i="6"/>
  <c r="B91" i="6"/>
  <c r="B96" i="6"/>
  <c r="B103" i="6"/>
  <c r="B104" i="6"/>
  <c r="B105" i="6"/>
  <c r="B107" i="6"/>
  <c r="B108" i="6"/>
  <c r="B109" i="6"/>
  <c r="B114" i="6"/>
  <c r="B115" i="6"/>
  <c r="B117" i="6"/>
  <c r="B118" i="6"/>
  <c r="B119" i="6"/>
  <c r="B121" i="6"/>
  <c r="C124" i="6"/>
  <c r="E124" i="6"/>
  <c r="C125" i="6"/>
  <c r="C126" i="6" s="1"/>
  <c r="C127" i="6" s="1"/>
  <c r="C128" i="6" s="1"/>
  <c r="C129" i="6"/>
  <c r="D125" i="6"/>
  <c r="E131" i="6"/>
  <c r="B137" i="6"/>
  <c r="B140" i="6"/>
  <c r="B143" i="6"/>
  <c r="B146" i="6"/>
  <c r="B155" i="6"/>
  <c r="E175" i="6"/>
  <c r="C176" i="6"/>
  <c r="F176" i="6"/>
  <c r="G176" i="6"/>
  <c r="H176" i="6"/>
  <c r="C177" i="6"/>
  <c r="F177" i="6"/>
  <c r="G177" i="6"/>
  <c r="H177" i="6"/>
  <c r="D177" i="6"/>
  <c r="E177" i="6"/>
  <c r="C178" i="6"/>
  <c r="F178" i="6"/>
  <c r="G178" i="6"/>
  <c r="H178" i="6"/>
  <c r="D178" i="6" s="1"/>
  <c r="E178" i="6" s="1"/>
  <c r="C179" i="6"/>
  <c r="F179" i="6"/>
  <c r="G179" i="6"/>
  <c r="H179" i="6"/>
  <c r="C180" i="6"/>
  <c r="D180" i="6"/>
  <c r="E180" i="6"/>
  <c r="F180" i="6"/>
  <c r="G180" i="6"/>
  <c r="H180" i="6"/>
  <c r="E187" i="6"/>
  <c r="G85" i="4"/>
  <c r="I90" i="4"/>
  <c r="X85" i="4"/>
  <c r="H85" i="4"/>
  <c r="X90" i="4"/>
  <c r="P90" i="4"/>
  <c r="H90" i="4"/>
  <c r="R196" i="4"/>
  <c r="T206" i="4"/>
  <c r="S246" i="4"/>
  <c r="L241" i="4"/>
  <c r="K241" i="4"/>
  <c r="R246" i="4"/>
  <c r="U206" i="4"/>
  <c r="M241" i="4"/>
  <c r="V245" i="4"/>
  <c r="U246" i="4"/>
  <c r="T246" i="4"/>
  <c r="V206" i="4"/>
  <c r="W245" i="4"/>
  <c r="N241" i="4"/>
  <c r="X240" i="4"/>
  <c r="W206" i="4"/>
  <c r="X206" i="4"/>
  <c r="O241" i="4"/>
  <c r="P241" i="4"/>
  <c r="Q241" i="4"/>
  <c r="R241" i="4"/>
  <c r="S241" i="4"/>
  <c r="T241" i="4"/>
  <c r="U241" i="4"/>
  <c r="E183" i="6"/>
  <c r="E185" i="6"/>
  <c r="E186" i="6"/>
  <c r="C173" i="6"/>
  <c r="B65" i="8"/>
  <c r="C65" i="8" s="1"/>
  <c r="O18" i="6"/>
  <c r="B64" i="8"/>
  <c r="C64" i="8"/>
  <c r="B59" i="8"/>
  <c r="C59" i="8" s="1"/>
  <c r="B67" i="8"/>
  <c r="C67" i="8"/>
  <c r="B60" i="8"/>
  <c r="C60" i="8" s="1"/>
  <c r="P15" i="6"/>
  <c r="D23" i="7" s="1"/>
  <c r="E29" i="1"/>
  <c r="I71" i="7"/>
  <c r="C163" i="6"/>
  <c r="D179" i="6"/>
  <c r="E179" i="6" s="1"/>
  <c r="D176" i="6"/>
  <c r="E176" i="6" s="1"/>
  <c r="B57" i="8"/>
  <c r="C57" i="8" s="1"/>
  <c r="B63" i="8"/>
  <c r="C63" i="8" s="1"/>
  <c r="C34" i="6"/>
  <c r="D145" i="6"/>
  <c r="D137" i="6"/>
  <c r="B53" i="8"/>
  <c r="C53" i="8"/>
  <c r="B54" i="8"/>
  <c r="C54" i="8" s="1"/>
  <c r="B61" i="8"/>
  <c r="C61" i="8"/>
  <c r="O24" i="6"/>
  <c r="B66" i="8"/>
  <c r="C66" i="8" s="1"/>
  <c r="B51" i="8"/>
  <c r="C51" i="8"/>
  <c r="E40" i="7"/>
  <c r="O23" i="6"/>
  <c r="C15" i="8"/>
  <c r="C167" i="6"/>
  <c r="C166" i="6"/>
  <c r="D26" i="7"/>
  <c r="C14" i="1"/>
  <c r="H51" i="7"/>
  <c r="V195" i="4"/>
  <c r="D161" i="6"/>
  <c r="E161" i="6"/>
  <c r="D158" i="6"/>
  <c r="E158" i="6" s="1"/>
  <c r="D162" i="6"/>
  <c r="E162" i="6" s="1"/>
  <c r="D160" i="6"/>
  <c r="E160" i="6"/>
  <c r="C164" i="6"/>
  <c r="D159" i="6"/>
  <c r="E159" i="6" s="1"/>
  <c r="D166" i="6"/>
  <c r="E166" i="6"/>
  <c r="D167" i="6"/>
  <c r="E167" i="6" s="1"/>
  <c r="D163" i="6"/>
  <c r="E163" i="6"/>
  <c r="S201" i="4"/>
  <c r="R201" i="4"/>
  <c r="T201" i="4"/>
  <c r="U201" i="4"/>
  <c r="D198" i="4"/>
  <c r="F198" i="4" s="1"/>
  <c r="X200" i="4"/>
  <c r="V201" i="4"/>
  <c r="X201" i="4"/>
  <c r="W201" i="4"/>
  <c r="D25" i="7"/>
  <c r="M22" i="6"/>
  <c r="D164" i="6"/>
  <c r="E164" i="6"/>
  <c r="D165" i="6"/>
  <c r="E165" i="6" s="1"/>
  <c r="C165" i="6"/>
  <c r="O22" i="6"/>
  <c r="R27" i="1"/>
  <c r="H67" i="7"/>
  <c r="E52" i="7"/>
  <c r="B58" i="8"/>
  <c r="C58" i="8" s="1"/>
  <c r="B62" i="8"/>
  <c r="C62" i="8" s="1"/>
  <c r="B52" i="8"/>
  <c r="C52" i="8" s="1"/>
  <c r="B56" i="8"/>
  <c r="C56" i="8"/>
  <c r="B50" i="8"/>
  <c r="C50" i="8"/>
  <c r="L191" i="4"/>
  <c r="X245" i="4"/>
  <c r="W246" i="4" s="1"/>
  <c r="O85" i="4"/>
  <c r="D203" i="4"/>
  <c r="F203" i="4" s="1"/>
  <c r="T234" i="4"/>
  <c r="U234" i="4"/>
  <c r="V234" i="4" s="1"/>
  <c r="E100" i="4"/>
  <c r="B79" i="8"/>
  <c r="T85" i="4"/>
  <c r="L85" i="4"/>
  <c r="D155" i="6"/>
  <c r="D132" i="6"/>
  <c r="E132" i="6" s="1"/>
  <c r="D141" i="6"/>
  <c r="E34" i="6"/>
  <c r="D139" i="6"/>
  <c r="E56" i="7"/>
  <c r="D140" i="6"/>
  <c r="D144" i="6"/>
  <c r="D135" i="6"/>
  <c r="E135" i="6" s="1"/>
  <c r="T210" i="4"/>
  <c r="B131" i="1"/>
  <c r="H46" i="1"/>
  <c r="H27" i="1"/>
  <c r="D178" i="4"/>
  <c r="F178" i="4" s="1"/>
  <c r="R231" i="4"/>
  <c r="D284" i="4"/>
  <c r="F284" i="4" s="1"/>
  <c r="H8" i="7"/>
  <c r="E14" i="7"/>
  <c r="C100" i="4"/>
  <c r="A319" i="4"/>
  <c r="B201" i="6"/>
  <c r="X246" i="4"/>
  <c r="W190" i="4"/>
  <c r="O189" i="4"/>
  <c r="N191" i="4" s="1"/>
  <c r="P189" i="4"/>
  <c r="Q189" i="4" s="1"/>
  <c r="R189" i="4" s="1"/>
  <c r="S189" i="4" s="1"/>
  <c r="C141" i="1"/>
  <c r="C143" i="1"/>
  <c r="C146" i="1"/>
  <c r="C147" i="1"/>
  <c r="C138" i="1"/>
  <c r="C139" i="1"/>
  <c r="B145" i="1"/>
  <c r="B140" i="1"/>
  <c r="B142" i="1"/>
  <c r="B143" i="1"/>
  <c r="B141" i="1"/>
  <c r="B146" i="1"/>
  <c r="B144" i="1"/>
  <c r="B150" i="1"/>
  <c r="B149" i="1"/>
  <c r="B152" i="1"/>
  <c r="B154" i="1"/>
  <c r="B153" i="1"/>
  <c r="B151" i="1"/>
  <c r="C149" i="1"/>
  <c r="C151" i="1"/>
  <c r="P14" i="6"/>
  <c r="E11" i="7" s="1"/>
  <c r="U194" i="4"/>
  <c r="V194" i="4" s="1"/>
  <c r="S196" i="4"/>
  <c r="P105" i="4"/>
  <c r="H105" i="4"/>
  <c r="W234" i="4"/>
  <c r="X234" i="4" s="1"/>
  <c r="X190" i="4"/>
  <c r="K90" i="4"/>
  <c r="G90" i="4"/>
  <c r="F90" i="4"/>
  <c r="V4" i="3"/>
  <c r="W4" i="3" s="1"/>
  <c r="L4" i="3"/>
  <c r="S126" i="4"/>
  <c r="U125" i="4"/>
  <c r="T126" i="4" s="1"/>
  <c r="C184" i="6"/>
  <c r="C185" i="6"/>
  <c r="C198" i="6"/>
  <c r="C197" i="6"/>
  <c r="C196" i="6"/>
  <c r="D294" i="4"/>
  <c r="F294" i="4" s="1"/>
  <c r="Q90" i="4"/>
  <c r="N90" i="4"/>
  <c r="D61" i="4"/>
  <c r="F61" i="4" s="1"/>
  <c r="T116" i="4"/>
  <c r="V115" i="4"/>
  <c r="U116" i="4" s="1"/>
  <c r="W250" i="4"/>
  <c r="A326" i="4"/>
  <c r="A333" i="4"/>
  <c r="V85" i="4"/>
  <c r="F85" i="4"/>
  <c r="E85" i="4"/>
  <c r="F77" i="4"/>
  <c r="S161" i="4"/>
  <c r="U160" i="4"/>
  <c r="T161" i="4" s="1"/>
  <c r="B189" i="6"/>
  <c r="K105" i="4"/>
  <c r="D289" i="4"/>
  <c r="F289" i="4"/>
  <c r="D41" i="4"/>
  <c r="F41" i="4" s="1"/>
  <c r="V241" i="4"/>
  <c r="X239" i="4"/>
  <c r="X241" i="4" s="1"/>
  <c r="B106" i="1"/>
  <c r="B157" i="1"/>
  <c r="B108" i="1"/>
  <c r="E24" i="1"/>
  <c r="I100" i="4"/>
  <c r="D138" i="6"/>
  <c r="D134" i="6"/>
  <c r="E134" i="6"/>
  <c r="X191" i="4"/>
  <c r="W115" i="4"/>
  <c r="X115" i="4" s="1"/>
  <c r="W116" i="4" s="1"/>
  <c r="V125" i="4"/>
  <c r="W125" i="4"/>
  <c r="X125" i="4" s="1"/>
  <c r="U126" i="4"/>
  <c r="W219" i="4"/>
  <c r="W194" i="4"/>
  <c r="X194" i="4" s="1"/>
  <c r="V126" i="4"/>
  <c r="D156" i="6"/>
  <c r="D34" i="6"/>
  <c r="E30" i="6"/>
  <c r="T14" i="6"/>
  <c r="E8" i="7"/>
  <c r="H69" i="7"/>
  <c r="E127" i="7"/>
  <c r="K4" i="4"/>
  <c r="E4" i="4"/>
  <c r="I4" i="4"/>
  <c r="U4" i="4"/>
  <c r="M3" i="4"/>
  <c r="U3" i="4"/>
  <c r="N4" i="4"/>
  <c r="V3" i="4"/>
  <c r="H2" i="4"/>
  <c r="L4" i="4"/>
  <c r="O3" i="4"/>
  <c r="H3" i="4"/>
  <c r="V2" i="4"/>
  <c r="S4" i="4"/>
  <c r="I3" i="4"/>
  <c r="H41" i="7" l="1"/>
  <c r="C10" i="8"/>
  <c r="F26" i="4"/>
  <c r="T189" i="4"/>
  <c r="R191" i="4"/>
  <c r="V230" i="4"/>
  <c r="T231" i="4"/>
  <c r="E28" i="6"/>
  <c r="E29" i="6"/>
  <c r="W126" i="4"/>
  <c r="X126" i="4"/>
  <c r="U110" i="4"/>
  <c r="S111" i="4"/>
  <c r="T235" i="4"/>
  <c r="R236" i="4"/>
  <c r="A321" i="4"/>
  <c r="A308" i="4"/>
  <c r="A314" i="4"/>
  <c r="A309" i="4"/>
  <c r="A334" i="4"/>
  <c r="A327" i="4"/>
  <c r="A316" i="4"/>
  <c r="A322" i="4"/>
  <c r="A312" i="4"/>
  <c r="A307" i="4"/>
  <c r="A336" i="4"/>
  <c r="A318" i="4"/>
  <c r="A313" i="4"/>
  <c r="A328" i="4"/>
  <c r="A329" i="4"/>
  <c r="A311" i="4"/>
  <c r="A325" i="4"/>
  <c r="A315" i="4"/>
  <c r="A332" i="4"/>
  <c r="A335" i="4"/>
  <c r="B202" i="6"/>
  <c r="B200" i="6"/>
  <c r="C200" i="6" s="1"/>
  <c r="B199" i="6"/>
  <c r="B186" i="6"/>
  <c r="E190" i="6"/>
  <c r="E193" i="6"/>
  <c r="E192" i="6"/>
  <c r="C201" i="6"/>
  <c r="E188" i="6"/>
  <c r="T100" i="4"/>
  <c r="U100" i="4"/>
  <c r="V116" i="4"/>
  <c r="D113" i="4" s="1"/>
  <c r="F113" i="4" s="1"/>
  <c r="A331" i="4"/>
  <c r="A330" i="4"/>
  <c r="B197" i="6"/>
  <c r="P191" i="4"/>
  <c r="E189" i="6"/>
  <c r="U196" i="4"/>
  <c r="W195" i="4"/>
  <c r="U120" i="4"/>
  <c r="S121" i="4"/>
  <c r="C90" i="4"/>
  <c r="D90" i="4"/>
  <c r="D87" i="4" s="1"/>
  <c r="F87" i="4" s="1"/>
  <c r="Q85" i="4"/>
  <c r="R85" i="4"/>
  <c r="D31" i="4"/>
  <c r="F31" i="4" s="1"/>
  <c r="AC4" i="3"/>
  <c r="AD4" i="3"/>
  <c r="H100" i="4"/>
  <c r="G100" i="4"/>
  <c r="D97" i="4" s="1"/>
  <c r="F97" i="4" s="1"/>
  <c r="K100" i="4"/>
  <c r="N100" i="4"/>
  <c r="R100" i="4"/>
  <c r="Q100" i="4"/>
  <c r="X116" i="4"/>
  <c r="W241" i="4"/>
  <c r="D238" i="4" s="1"/>
  <c r="F238" i="4" s="1"/>
  <c r="A320" i="4"/>
  <c r="A317" i="4"/>
  <c r="Q191" i="4"/>
  <c r="O191" i="4"/>
  <c r="S231" i="4"/>
  <c r="B187" i="6"/>
  <c r="AE4" i="3"/>
  <c r="U210" i="4"/>
  <c r="S211" i="4"/>
  <c r="E191" i="6"/>
  <c r="S186" i="4"/>
  <c r="U185" i="4"/>
  <c r="D163" i="4"/>
  <c r="F163" i="4" s="1"/>
  <c r="D138" i="4"/>
  <c r="F138" i="4" s="1"/>
  <c r="V160" i="4"/>
  <c r="A324" i="4"/>
  <c r="X250" i="4"/>
  <c r="V251" i="4"/>
  <c r="A323" i="4"/>
  <c r="A310" i="4"/>
  <c r="K85" i="4"/>
  <c r="D279" i="4"/>
  <c r="F279" i="4" s="1"/>
  <c r="D274" i="4"/>
  <c r="F274" i="4" s="1"/>
  <c r="D82" i="4"/>
  <c r="F82" i="4" s="1"/>
  <c r="D243" i="4"/>
  <c r="F243" i="4" s="1"/>
  <c r="W105" i="4"/>
  <c r="I105" i="4"/>
  <c r="L105" i="4"/>
  <c r="Q105" i="4"/>
  <c r="D102" i="4" s="1"/>
  <c r="F102" i="4" s="1"/>
  <c r="T105" i="4"/>
  <c r="U105" i="4"/>
  <c r="B196" i="6"/>
  <c r="D269" i="4"/>
  <c r="F269" i="4" s="1"/>
  <c r="D264" i="4"/>
  <c r="F264" i="4" s="1"/>
  <c r="D258" i="4"/>
  <c r="F258" i="4" s="1"/>
  <c r="D253" i="4"/>
  <c r="F253" i="4" s="1"/>
  <c r="D213" i="4"/>
  <c r="F213" i="4" s="1"/>
  <c r="R90" i="4"/>
  <c r="J90" i="4"/>
  <c r="D67" i="4"/>
  <c r="F67" i="4" s="1"/>
  <c r="U220" i="4"/>
  <c r="S221" i="4"/>
  <c r="V100" i="4"/>
  <c r="W100" i="4"/>
  <c r="E55" i="7"/>
  <c r="C130" i="6"/>
  <c r="D24" i="7"/>
  <c r="E51" i="7"/>
  <c r="C131" i="6"/>
  <c r="H27" i="6"/>
  <c r="D168" i="6"/>
  <c r="D169" i="6" s="1"/>
  <c r="C33" i="6"/>
  <c r="E125" i="6"/>
  <c r="D126" i="6"/>
  <c r="D173" i="4"/>
  <c r="F173" i="4" s="1"/>
  <c r="D148" i="4"/>
  <c r="F148" i="4" s="1"/>
  <c r="D51" i="4"/>
  <c r="F51" i="4" s="1"/>
  <c r="D46" i="4"/>
  <c r="F46" i="4" s="1"/>
  <c r="G4" i="3"/>
  <c r="H4" i="3"/>
  <c r="D133" i="4"/>
  <c r="F133" i="4" s="1"/>
  <c r="F92" i="4"/>
  <c r="S100" i="4"/>
  <c r="C105" i="4"/>
  <c r="M105" i="4"/>
  <c r="N105" i="4"/>
  <c r="D157" i="6"/>
  <c r="E53" i="7"/>
  <c r="D148" i="6"/>
  <c r="D168" i="4"/>
  <c r="F168" i="4" s="1"/>
  <c r="D153" i="4"/>
  <c r="F153" i="4" s="1"/>
  <c r="D143" i="4"/>
  <c r="F143" i="4" s="1"/>
  <c r="F105" i="4"/>
  <c r="O20" i="6"/>
  <c r="D142" i="6"/>
  <c r="C195" i="6"/>
  <c r="G105" i="4"/>
  <c r="E57" i="7"/>
  <c r="D136" i="6"/>
  <c r="E136" i="6" s="1"/>
  <c r="D143" i="6"/>
  <c r="D147" i="6"/>
  <c r="I16" i="7"/>
  <c r="D146" i="6"/>
  <c r="D133" i="6"/>
  <c r="E133" i="6" s="1"/>
  <c r="C182" i="6"/>
  <c r="S90" i="4"/>
  <c r="U131" i="4"/>
  <c r="W130" i="4"/>
  <c r="O100" i="4"/>
  <c r="D105" i="4"/>
  <c r="E108" i="7"/>
  <c r="H42" i="7"/>
  <c r="H5" i="7"/>
  <c r="E107" i="7"/>
  <c r="C207" i="6"/>
  <c r="C206" i="6"/>
  <c r="C208" i="6"/>
  <c r="C209" i="6"/>
  <c r="C210" i="6"/>
  <c r="C205" i="6"/>
  <c r="D63" i="8"/>
  <c r="D67" i="8"/>
  <c r="D64" i="8"/>
  <c r="D43" i="8"/>
  <c r="M14" i="6"/>
  <c r="D42" i="8"/>
  <c r="D45" i="8"/>
  <c r="D49" i="8"/>
  <c r="D53" i="8"/>
  <c r="D58" i="8"/>
  <c r="D41" i="8"/>
  <c r="D51" i="8"/>
  <c r="D50" i="8"/>
  <c r="D59" i="8"/>
  <c r="D52" i="8"/>
  <c r="D44" i="8"/>
  <c r="D47" i="8"/>
  <c r="M12" i="6"/>
  <c r="D66" i="8"/>
  <c r="D60" i="8"/>
  <c r="D65" i="8"/>
  <c r="D61" i="8"/>
  <c r="D54" i="8"/>
  <c r="D48" i="8"/>
  <c r="D55" i="8"/>
  <c r="D46" i="8"/>
  <c r="D62" i="8"/>
  <c r="D56" i="8"/>
  <c r="D57" i="8"/>
  <c r="B3" i="4"/>
  <c r="P2" i="4"/>
  <c r="N2" i="4"/>
  <c r="D3" i="4"/>
  <c r="K3" i="4"/>
  <c r="L2" i="4"/>
  <c r="M4" i="4"/>
  <c r="C3" i="4"/>
  <c r="T2" i="4"/>
  <c r="Z2" i="4"/>
  <c r="V4" i="4"/>
  <c r="B4" i="4"/>
  <c r="X2" i="4"/>
  <c r="R3" i="4"/>
  <c r="G4" i="4"/>
  <c r="J2" i="4"/>
  <c r="Y3" i="4"/>
  <c r="L3" i="4"/>
  <c r="W4" i="4"/>
  <c r="T4" i="4"/>
  <c r="F4" i="4"/>
  <c r="R2" i="4"/>
  <c r="Y4" i="4"/>
  <c r="P3" i="4"/>
  <c r="O4" i="4"/>
  <c r="D4" i="4"/>
  <c r="R4" i="4"/>
  <c r="S3" i="4"/>
  <c r="J4" i="4"/>
  <c r="W3" i="4"/>
  <c r="Q3" i="4"/>
  <c r="T3" i="4"/>
  <c r="P4" i="4"/>
  <c r="C4" i="4"/>
  <c r="Q4" i="4"/>
  <c r="N3" i="4"/>
  <c r="J3" i="4"/>
  <c r="F3" i="4"/>
  <c r="X3" i="4"/>
  <c r="G3" i="4"/>
  <c r="E3" i="4"/>
  <c r="H4" i="4"/>
  <c r="E35" i="6" l="1"/>
  <c r="M13" i="6"/>
  <c r="A5" i="3"/>
  <c r="B5" i="3" s="1"/>
  <c r="A6" i="3" s="1"/>
  <c r="B6" i="3" s="1"/>
  <c r="D173" i="6"/>
  <c r="D171" i="6"/>
  <c r="B44" i="8"/>
  <c r="C44" i="8" s="1"/>
  <c r="D170" i="6"/>
  <c r="B49" i="8"/>
  <c r="C49" i="8" s="1"/>
  <c r="B46" i="8"/>
  <c r="C46" i="8" s="1"/>
  <c r="B42" i="8"/>
  <c r="C42" i="8" s="1"/>
  <c r="B41" i="8"/>
  <c r="C41" i="8" s="1"/>
  <c r="B47" i="8"/>
  <c r="C47" i="8" s="1"/>
  <c r="D174" i="6"/>
  <c r="B48" i="8"/>
  <c r="C48" i="8" s="1"/>
  <c r="B43" i="8"/>
  <c r="C43" i="8" s="1"/>
  <c r="D172" i="6"/>
  <c r="B45" i="8"/>
  <c r="C45" i="8" s="1"/>
  <c r="N12" i="6"/>
  <c r="N14" i="6"/>
  <c r="N15" i="6" s="1"/>
  <c r="I42" i="7" s="1"/>
  <c r="E18" i="7"/>
  <c r="C171" i="6"/>
  <c r="E49" i="7"/>
  <c r="C174" i="6"/>
  <c r="C170" i="6"/>
  <c r="T12" i="6"/>
  <c r="E101" i="7"/>
  <c r="T13" i="6"/>
  <c r="N13" i="6"/>
  <c r="F104" i="1"/>
  <c r="H18" i="7"/>
  <c r="F103" i="1"/>
  <c r="F106" i="1"/>
  <c r="F105" i="1"/>
  <c r="F107" i="1"/>
  <c r="E56" i="8"/>
  <c r="H56" i="8" s="1"/>
  <c r="F48" i="8"/>
  <c r="E60" i="8"/>
  <c r="H60" i="8" s="1"/>
  <c r="E44" i="8"/>
  <c r="F51" i="8"/>
  <c r="I51" i="8" s="1"/>
  <c r="F49" i="8"/>
  <c r="I49" i="8" s="1"/>
  <c r="F43" i="8"/>
  <c r="S27" i="6"/>
  <c r="H12" i="7"/>
  <c r="H45" i="7"/>
  <c r="V185" i="4"/>
  <c r="T186" i="4"/>
  <c r="V210" i="4"/>
  <c r="T211" i="4"/>
  <c r="V120" i="4"/>
  <c r="T121" i="4"/>
  <c r="E62" i="8"/>
  <c r="H62" i="8" s="1"/>
  <c r="F54" i="8"/>
  <c r="I54" i="8" s="1"/>
  <c r="F66" i="8"/>
  <c r="I66" i="8" s="1"/>
  <c r="F52" i="8"/>
  <c r="I52" i="8" s="1"/>
  <c r="E41" i="8"/>
  <c r="F45" i="8"/>
  <c r="E64" i="8"/>
  <c r="H64" i="8" s="1"/>
  <c r="I28" i="6"/>
  <c r="O19" i="6"/>
  <c r="U161" i="4"/>
  <c r="W160" i="4"/>
  <c r="X195" i="4"/>
  <c r="V196" i="4"/>
  <c r="U235" i="4"/>
  <c r="S236" i="4"/>
  <c r="D123" i="4"/>
  <c r="U231" i="4"/>
  <c r="W230" i="4"/>
  <c r="E46" i="8"/>
  <c r="F61" i="8"/>
  <c r="I61" i="8" s="1"/>
  <c r="F59" i="8"/>
  <c r="I59" i="8" s="1"/>
  <c r="F58" i="8"/>
  <c r="I58" i="8" s="1"/>
  <c r="E42" i="8"/>
  <c r="F67" i="8"/>
  <c r="I67" i="8" s="1"/>
  <c r="F27" i="7"/>
  <c r="C139" i="6"/>
  <c r="C142" i="6"/>
  <c r="C132" i="6"/>
  <c r="E33" i="6"/>
  <c r="C145" i="6"/>
  <c r="C141" i="6"/>
  <c r="C144" i="6"/>
  <c r="C133" i="6"/>
  <c r="C138" i="6"/>
  <c r="T19" i="6"/>
  <c r="C134" i="6"/>
  <c r="T17" i="6"/>
  <c r="J90" i="7"/>
  <c r="F118" i="7" s="1"/>
  <c r="C137" i="6"/>
  <c r="C148" i="6"/>
  <c r="C140" i="6"/>
  <c r="C135" i="6"/>
  <c r="C146" i="6"/>
  <c r="M20" i="6"/>
  <c r="C136" i="6"/>
  <c r="C168" i="6"/>
  <c r="C169" i="6" s="1"/>
  <c r="C147" i="6"/>
  <c r="C143" i="6"/>
  <c r="E42" i="7"/>
  <c r="T221" i="4"/>
  <c r="V220" i="4"/>
  <c r="U189" i="4"/>
  <c r="S191" i="4"/>
  <c r="F57" i="8"/>
  <c r="I57" i="8" s="1"/>
  <c r="F55" i="8"/>
  <c r="I55" i="8" s="1"/>
  <c r="E65" i="8"/>
  <c r="H65" i="8" s="1"/>
  <c r="F47" i="8"/>
  <c r="F50" i="8"/>
  <c r="I50" i="8" s="1"/>
  <c r="E53" i="8"/>
  <c r="H53" i="8" s="1"/>
  <c r="M15" i="6"/>
  <c r="J42" i="7" s="1"/>
  <c r="E63" i="8"/>
  <c r="H63" i="8" s="1"/>
  <c r="X130" i="4"/>
  <c r="V131" i="4"/>
  <c r="D127" i="6"/>
  <c r="E126" i="6"/>
  <c r="W251" i="4"/>
  <c r="X251" i="4"/>
  <c r="T111" i="4"/>
  <c r="V110" i="4"/>
  <c r="C204" i="6"/>
  <c r="E58" i="7"/>
  <c r="H65" i="7" s="1"/>
  <c r="C10" i="1"/>
  <c r="S4" i="3" s="1"/>
  <c r="F107" i="7"/>
  <c r="J41" i="7"/>
  <c r="C11" i="8"/>
  <c r="E48" i="8"/>
  <c r="E58" i="8"/>
  <c r="F62" i="8"/>
  <c r="I62" i="8" s="1"/>
  <c r="E49" i="8"/>
  <c r="E67" i="8"/>
  <c r="E59" i="8"/>
  <c r="E47" i="8"/>
  <c r="H47" i="8" s="1"/>
  <c r="E45" i="8"/>
  <c r="F63" i="8"/>
  <c r="I63" i="8" s="1"/>
  <c r="F64" i="8"/>
  <c r="I64" i="8" s="1"/>
  <c r="E55" i="8"/>
  <c r="F60" i="8"/>
  <c r="I60" i="8" s="1"/>
  <c r="F65" i="8"/>
  <c r="I65" i="8" s="1"/>
  <c r="E54" i="8"/>
  <c r="E51" i="8"/>
  <c r="E50" i="8"/>
  <c r="E43" i="8"/>
  <c r="F42" i="8"/>
  <c r="F53" i="8"/>
  <c r="I53" i="8" s="1"/>
  <c r="E57" i="8"/>
  <c r="E61" i="8"/>
  <c r="E52" i="8"/>
  <c r="E66" i="8"/>
  <c r="F56" i="8"/>
  <c r="I56" i="8" s="1"/>
  <c r="F44" i="8"/>
  <c r="F46" i="8"/>
  <c r="F41" i="8"/>
  <c r="X4" i="4"/>
  <c r="H44" i="8" l="1"/>
  <c r="H42" i="8"/>
  <c r="E110" i="7"/>
  <c r="C150" i="6"/>
  <c r="M19" i="6"/>
  <c r="H31" i="6" s="1"/>
  <c r="I41" i="8"/>
  <c r="I47" i="8"/>
  <c r="Z5" i="3"/>
  <c r="I45" i="8"/>
  <c r="H46" i="8"/>
  <c r="I31" i="6"/>
  <c r="I29" i="6" s="1"/>
  <c r="I47" i="7" s="1"/>
  <c r="C149" i="6"/>
  <c r="I48" i="8"/>
  <c r="I46" i="8"/>
  <c r="I43" i="8"/>
  <c r="H41" i="8"/>
  <c r="I44" i="8"/>
  <c r="D193" i="4"/>
  <c r="C24" i="1"/>
  <c r="C30" i="1" s="1"/>
  <c r="C155" i="6"/>
  <c r="H43" i="8"/>
  <c r="P5" i="3"/>
  <c r="Q5" i="3" s="1"/>
  <c r="AC5" i="3"/>
  <c r="F108" i="7"/>
  <c r="W196" i="4"/>
  <c r="X196" i="4"/>
  <c r="H28" i="6"/>
  <c r="U121" i="4"/>
  <c r="W120" i="4"/>
  <c r="I41" i="7"/>
  <c r="H49" i="8"/>
  <c r="AA5" i="3"/>
  <c r="AD5" i="3"/>
  <c r="I42" i="8"/>
  <c r="D248" i="4"/>
  <c r="X131" i="4"/>
  <c r="D128" i="4" s="1"/>
  <c r="W131" i="4"/>
  <c r="U221" i="4"/>
  <c r="W220" i="4"/>
  <c r="C191" i="6"/>
  <c r="D153" i="6"/>
  <c r="C192" i="6"/>
  <c r="W185" i="4"/>
  <c r="U186" i="4"/>
  <c r="W110" i="4"/>
  <c r="U111" i="4"/>
  <c r="X230" i="4"/>
  <c r="V231" i="4"/>
  <c r="V235" i="4"/>
  <c r="T236" i="4"/>
  <c r="X160" i="4"/>
  <c r="V161" i="4"/>
  <c r="D128" i="6"/>
  <c r="E127" i="6"/>
  <c r="V189" i="4"/>
  <c r="T191" i="4"/>
  <c r="U211" i="4"/>
  <c r="W210" i="4"/>
  <c r="H45" i="8"/>
  <c r="H48" i="8"/>
  <c r="H66" i="8"/>
  <c r="H55" i="8"/>
  <c r="H52" i="8"/>
  <c r="H57" i="8"/>
  <c r="H50" i="8"/>
  <c r="H59" i="8"/>
  <c r="H58" i="8"/>
  <c r="H61" i="8"/>
  <c r="H51" i="8"/>
  <c r="H67" i="8"/>
  <c r="T4" i="3"/>
  <c r="U4" i="3" s="1"/>
  <c r="AA6" i="3"/>
  <c r="AC6" i="3"/>
  <c r="P6" i="3"/>
  <c r="Q6" i="3" s="1"/>
  <c r="AD6" i="3"/>
  <c r="Z6" i="3"/>
  <c r="A7" i="3"/>
  <c r="B7" i="3" s="1"/>
  <c r="H54" i="8"/>
  <c r="D2" i="4"/>
  <c r="I30" i="6" l="1"/>
  <c r="C153" i="6"/>
  <c r="I14" i="7"/>
  <c r="C154" i="6"/>
  <c r="B192" i="6"/>
  <c r="B191" i="6"/>
  <c r="H71" i="7"/>
  <c r="G62" i="8"/>
  <c r="G65" i="8"/>
  <c r="G63" i="8"/>
  <c r="G60" i="8"/>
  <c r="G64" i="8"/>
  <c r="G53" i="8"/>
  <c r="G56" i="8"/>
  <c r="G55" i="8"/>
  <c r="J55" i="8" s="1"/>
  <c r="G44" i="8"/>
  <c r="G42" i="8"/>
  <c r="G45" i="8"/>
  <c r="K45" i="8" s="1"/>
  <c r="M45" i="8" s="1"/>
  <c r="G46" i="8"/>
  <c r="G41" i="8"/>
  <c r="G43" i="8"/>
  <c r="K43" i="8" s="1"/>
  <c r="M43" i="8" s="1"/>
  <c r="G52" i="8"/>
  <c r="K52" i="8" s="1"/>
  <c r="M52" i="8" s="1"/>
  <c r="G50" i="8"/>
  <c r="K50" i="8" s="1"/>
  <c r="M50" i="8" s="1"/>
  <c r="G58" i="8"/>
  <c r="J58" i="8" s="1"/>
  <c r="G49" i="8"/>
  <c r="K49" i="8" s="1"/>
  <c r="M49" i="8" s="1"/>
  <c r="G48" i="8"/>
  <c r="K48" i="8" s="1"/>
  <c r="M48" i="8" s="1"/>
  <c r="G66" i="8"/>
  <c r="K66" i="8" s="1"/>
  <c r="M66" i="8" s="1"/>
  <c r="G51" i="8"/>
  <c r="K51" i="8" s="1"/>
  <c r="M51" i="8" s="1"/>
  <c r="G57" i="8"/>
  <c r="K57" i="8" s="1"/>
  <c r="M57" i="8" s="1"/>
  <c r="G59" i="8"/>
  <c r="J59" i="8" s="1"/>
  <c r="G47" i="8"/>
  <c r="G61" i="8"/>
  <c r="K61" i="8" s="1"/>
  <c r="M61" i="8" s="1"/>
  <c r="G67" i="8"/>
  <c r="J67" i="8" s="1"/>
  <c r="G54" i="8"/>
  <c r="J54" i="8" s="1"/>
  <c r="W189" i="4"/>
  <c r="U191" i="4"/>
  <c r="X220" i="4"/>
  <c r="V221" i="4"/>
  <c r="V121" i="4"/>
  <c r="X120" i="4"/>
  <c r="V211" i="4"/>
  <c r="X210" i="4"/>
  <c r="D129" i="6"/>
  <c r="E128" i="6"/>
  <c r="V111" i="4"/>
  <c r="X110" i="4"/>
  <c r="V186" i="4"/>
  <c r="X185" i="4"/>
  <c r="W161" i="4"/>
  <c r="D158" i="4" s="1"/>
  <c r="F158" i="4" s="1"/>
  <c r="X161" i="4"/>
  <c r="X231" i="4"/>
  <c r="W231" i="4"/>
  <c r="C157" i="6"/>
  <c r="C156" i="6" s="1"/>
  <c r="C152" i="6"/>
  <c r="C151" i="6"/>
  <c r="B193" i="6"/>
  <c r="H32" i="6"/>
  <c r="I32" i="6"/>
  <c r="H29" i="6"/>
  <c r="H46" i="7"/>
  <c r="C194" i="6"/>
  <c r="S28" i="6"/>
  <c r="C190" i="6"/>
  <c r="D152" i="6"/>
  <c r="C193" i="6"/>
  <c r="H13" i="7"/>
  <c r="F193" i="4"/>
  <c r="U236" i="4"/>
  <c r="W235" i="4"/>
  <c r="AC7" i="3"/>
  <c r="AA7" i="3"/>
  <c r="Z7" i="3"/>
  <c r="AD7" i="3"/>
  <c r="P7" i="3"/>
  <c r="Q7" i="3" s="1"/>
  <c r="A8" i="3"/>
  <c r="B8" i="3" s="1"/>
  <c r="H16" i="7"/>
  <c r="K47" i="1"/>
  <c r="P27" i="1"/>
  <c r="H68" i="7"/>
  <c r="P28" i="1"/>
  <c r="I48" i="7"/>
  <c r="I15" i="7"/>
  <c r="F2" i="4"/>
  <c r="K67" i="8" l="1"/>
  <c r="M67" i="8" s="1"/>
  <c r="J52" i="8"/>
  <c r="L52" i="8" s="1"/>
  <c r="J61" i="8"/>
  <c r="L61" i="8" s="1"/>
  <c r="K54" i="8"/>
  <c r="M54" i="8" s="1"/>
  <c r="J51" i="8"/>
  <c r="L51" i="8" s="1"/>
  <c r="K58" i="8"/>
  <c r="M58" i="8" s="1"/>
  <c r="K59" i="8"/>
  <c r="M59" i="8" s="1"/>
  <c r="J45" i="8"/>
  <c r="L45" i="8" s="1"/>
  <c r="J48" i="8"/>
  <c r="L48" i="8" s="1"/>
  <c r="K55" i="8"/>
  <c r="M55" i="8" s="1"/>
  <c r="J66" i="8"/>
  <c r="L66" i="8" s="1"/>
  <c r="R5" i="3"/>
  <c r="S5" i="3" s="1"/>
  <c r="R6" i="3"/>
  <c r="R7" i="3"/>
  <c r="V236" i="4"/>
  <c r="X235" i="4"/>
  <c r="W111" i="4"/>
  <c r="X111" i="4"/>
  <c r="W211" i="4"/>
  <c r="X211" i="4"/>
  <c r="W191" i="4"/>
  <c r="V191" i="4"/>
  <c r="D188" i="4" s="1"/>
  <c r="F188" i="4" s="1"/>
  <c r="J47" i="8"/>
  <c r="K47" i="8"/>
  <c r="K46" i="8"/>
  <c r="J46" i="8"/>
  <c r="J60" i="8"/>
  <c r="K60" i="8"/>
  <c r="M60" i="8" s="1"/>
  <c r="J43" i="8"/>
  <c r="L43" i="8" s="1"/>
  <c r="D228" i="4"/>
  <c r="F228" i="4" s="1"/>
  <c r="J49" i="8"/>
  <c r="L49" i="8" s="1"/>
  <c r="W221" i="4"/>
  <c r="X221" i="4"/>
  <c r="D218" i="4" s="1"/>
  <c r="F218" i="4" s="1"/>
  <c r="K56" i="8"/>
  <c r="M56" i="8" s="1"/>
  <c r="J56" i="8"/>
  <c r="K63" i="8"/>
  <c r="M63" i="8" s="1"/>
  <c r="J63" i="8"/>
  <c r="B194" i="6"/>
  <c r="H47" i="7"/>
  <c r="B190" i="6"/>
  <c r="H30" i="6"/>
  <c r="H33" i="6" s="1"/>
  <c r="H14" i="7"/>
  <c r="S29" i="6"/>
  <c r="X186" i="4"/>
  <c r="W186" i="4"/>
  <c r="X121" i="4"/>
  <c r="D118" i="4" s="1"/>
  <c r="F118" i="4" s="1"/>
  <c r="W121" i="4"/>
  <c r="K42" i="8"/>
  <c r="J42" i="8"/>
  <c r="J53" i="8"/>
  <c r="K53" i="8"/>
  <c r="M53" i="8" s="1"/>
  <c r="K65" i="8"/>
  <c r="M65" i="8" s="1"/>
  <c r="J65" i="8"/>
  <c r="J50" i="8"/>
  <c r="L50" i="8" s="1"/>
  <c r="J57" i="8"/>
  <c r="L57" i="8" s="1"/>
  <c r="D183" i="4"/>
  <c r="F183" i="4" s="1"/>
  <c r="D130" i="6"/>
  <c r="E130" i="6" s="1"/>
  <c r="E129" i="6"/>
  <c r="J41" i="8"/>
  <c r="K41" i="8"/>
  <c r="M41" i="8" s="1"/>
  <c r="K44" i="8"/>
  <c r="M44" i="8" s="1"/>
  <c r="J44" i="8"/>
  <c r="K64" i="8"/>
  <c r="M64" i="8" s="1"/>
  <c r="J64" i="8"/>
  <c r="K62" i="8"/>
  <c r="M62" i="8" s="1"/>
  <c r="J62" i="8"/>
  <c r="AC8" i="3"/>
  <c r="A9" i="3"/>
  <c r="B9" i="3" s="1"/>
  <c r="AA8" i="3"/>
  <c r="Z8" i="3"/>
  <c r="AD8" i="3"/>
  <c r="P8" i="3"/>
  <c r="Q8" i="3" s="1"/>
  <c r="R8" i="3" s="1"/>
  <c r="L67" i="8"/>
  <c r="L58" i="8" l="1"/>
  <c r="L54" i="8"/>
  <c r="L59" i="8"/>
  <c r="L62" i="8"/>
  <c r="L44" i="8"/>
  <c r="L55" i="8"/>
  <c r="L64" i="8"/>
  <c r="L65" i="8"/>
  <c r="L63" i="8"/>
  <c r="L42" i="8"/>
  <c r="M42" i="8"/>
  <c r="S30" i="6"/>
  <c r="H48" i="7"/>
  <c r="H15" i="7"/>
  <c r="L46" i="8"/>
  <c r="M46" i="8"/>
  <c r="D108" i="4"/>
  <c r="L47" i="8"/>
  <c r="M47" i="8"/>
  <c r="L41" i="8"/>
  <c r="L53" i="8"/>
  <c r="L56" i="8"/>
  <c r="L60" i="8"/>
  <c r="D208" i="4"/>
  <c r="F208" i="4" s="1"/>
  <c r="W236" i="4"/>
  <c r="X236" i="4"/>
  <c r="D233" i="4" s="1"/>
  <c r="T5" i="3"/>
  <c r="S6" i="3"/>
  <c r="AC9" i="3"/>
  <c r="A10" i="3"/>
  <c r="B10" i="3" s="1"/>
  <c r="Z9" i="3"/>
  <c r="P9" i="3"/>
  <c r="Q9" i="3" s="1"/>
  <c r="R9" i="3" s="1"/>
  <c r="AA9" i="3"/>
  <c r="AD9" i="3"/>
  <c r="AH5" i="3" l="1"/>
  <c r="AG5" i="3"/>
  <c r="D5" i="3"/>
  <c r="E5" i="3"/>
  <c r="H5" i="3" s="1"/>
  <c r="K5" i="3" s="1"/>
  <c r="V5" i="3" s="1"/>
  <c r="F108" i="4"/>
  <c r="M36" i="6" s="1"/>
  <c r="N34" i="1"/>
  <c r="T6" i="3"/>
  <c r="S7" i="3"/>
  <c r="P10" i="3"/>
  <c r="Q10" i="3" s="1"/>
  <c r="R10" i="3" s="1"/>
  <c r="Z10" i="3"/>
  <c r="A11" i="3"/>
  <c r="B11" i="3" s="1"/>
  <c r="AD10" i="3"/>
  <c r="AA10" i="3"/>
  <c r="AC10" i="3"/>
  <c r="AE5" i="3" l="1"/>
  <c r="S8" i="3"/>
  <c r="T7" i="3"/>
  <c r="G5" i="3"/>
  <c r="F5" i="3"/>
  <c r="AD11" i="3"/>
  <c r="AA11" i="3"/>
  <c r="Z11" i="3"/>
  <c r="P11" i="3"/>
  <c r="Q11" i="3" s="1"/>
  <c r="R11" i="3" s="1"/>
  <c r="AC11" i="3"/>
  <c r="A12" i="3"/>
  <c r="B12" i="3" s="1"/>
  <c r="S9" i="3" l="1"/>
  <c r="T8" i="3"/>
  <c r="I5" i="3"/>
  <c r="W5" i="3" s="1"/>
  <c r="J5" i="3"/>
  <c r="L5" i="3" s="1"/>
  <c r="M5" i="3"/>
  <c r="N5" i="3" s="1"/>
  <c r="Z12" i="3"/>
  <c r="AC12" i="3"/>
  <c r="AD12" i="3"/>
  <c r="P12" i="3"/>
  <c r="Q12" i="3" s="1"/>
  <c r="R12" i="3" s="1"/>
  <c r="AA12" i="3"/>
  <c r="A13" i="3"/>
  <c r="B13" i="3" s="1"/>
  <c r="AH6" i="3" l="1"/>
  <c r="AG6" i="3"/>
  <c r="T9" i="3"/>
  <c r="S10" i="3"/>
  <c r="U5" i="3"/>
  <c r="D6" i="3" s="1"/>
  <c r="G6" i="3" s="1"/>
  <c r="Z13" i="3"/>
  <c r="AC13" i="3"/>
  <c r="AA13" i="3"/>
  <c r="P13" i="3"/>
  <c r="Q13" i="3" s="1"/>
  <c r="R13" i="3" s="1"/>
  <c r="A14" i="3"/>
  <c r="B14" i="3" s="1"/>
  <c r="AD13" i="3"/>
  <c r="E6" i="3" l="1"/>
  <c r="H6" i="3" s="1"/>
  <c r="I6" i="3" s="1"/>
  <c r="S11" i="3"/>
  <c r="T10" i="3"/>
  <c r="A15" i="3"/>
  <c r="B15" i="3" s="1"/>
  <c r="AD14" i="3"/>
  <c r="Z14" i="3"/>
  <c r="AA14" i="3"/>
  <c r="P14" i="3"/>
  <c r="Q14" i="3" s="1"/>
  <c r="R14" i="3" s="1"/>
  <c r="AC14" i="3"/>
  <c r="J6" i="3"/>
  <c r="M6" i="3"/>
  <c r="N6" i="3" s="1"/>
  <c r="K6" i="3" l="1"/>
  <c r="V6" i="3" s="1"/>
  <c r="W6" i="3" s="1"/>
  <c r="F6" i="3"/>
  <c r="S12" i="3"/>
  <c r="T11" i="3"/>
  <c r="A16" i="3"/>
  <c r="B16" i="3" s="1"/>
  <c r="AC15" i="3"/>
  <c r="AD15" i="3"/>
  <c r="Z15" i="3"/>
  <c r="AA15" i="3"/>
  <c r="P15" i="3"/>
  <c r="Q15" i="3" s="1"/>
  <c r="R15" i="3" s="1"/>
  <c r="L6" i="3" l="1"/>
  <c r="U6" i="3" s="1"/>
  <c r="E7" i="3" s="1"/>
  <c r="H7" i="3" s="1"/>
  <c r="AE6" i="3"/>
  <c r="S13" i="3"/>
  <c r="T12" i="3"/>
  <c r="A17" i="3"/>
  <c r="B17" i="3" s="1"/>
  <c r="AD16" i="3"/>
  <c r="P16" i="3"/>
  <c r="Q16" i="3" s="1"/>
  <c r="R16" i="3" s="1"/>
  <c r="AA16" i="3"/>
  <c r="AC16" i="3"/>
  <c r="Z16" i="3"/>
  <c r="Y5" i="3" l="1"/>
  <c r="AH7" i="3"/>
  <c r="AG7" i="3"/>
  <c r="S14" i="3"/>
  <c r="T13" i="3"/>
  <c r="K7" i="3"/>
  <c r="D7" i="3"/>
  <c r="A18" i="3"/>
  <c r="B18" i="3" s="1"/>
  <c r="AD17" i="3"/>
  <c r="Z17" i="3"/>
  <c r="AC17" i="3"/>
  <c r="AA17" i="3"/>
  <c r="P17" i="3"/>
  <c r="Q17" i="3" s="1"/>
  <c r="R17" i="3" s="1"/>
  <c r="T14" i="3" l="1"/>
  <c r="S15" i="3"/>
  <c r="V7" i="3"/>
  <c r="AE7" i="3"/>
  <c r="AC18" i="3"/>
  <c r="P18" i="3"/>
  <c r="Q18" i="3" s="1"/>
  <c r="R18" i="3" s="1"/>
  <c r="Z18" i="3"/>
  <c r="A19" i="3"/>
  <c r="B19" i="3" s="1"/>
  <c r="AD18" i="3"/>
  <c r="AA18" i="3"/>
  <c r="F7" i="3"/>
  <c r="G7" i="3"/>
  <c r="T15" i="3" l="1"/>
  <c r="S16" i="3"/>
  <c r="I7" i="3"/>
  <c r="W7" i="3" s="1"/>
  <c r="J7" i="3"/>
  <c r="M7" i="3"/>
  <c r="N7" i="3" s="1"/>
  <c r="A20" i="3"/>
  <c r="B20" i="3" s="1"/>
  <c r="Z19" i="3"/>
  <c r="AD19" i="3"/>
  <c r="AA19" i="3"/>
  <c r="P19" i="3"/>
  <c r="Q19" i="3" s="1"/>
  <c r="R19" i="3" s="1"/>
  <c r="AC19" i="3"/>
  <c r="T16" i="3" l="1"/>
  <c r="S17" i="3"/>
  <c r="AC20" i="3"/>
  <c r="A21" i="3"/>
  <c r="B21" i="3" s="1"/>
  <c r="Z20" i="3"/>
  <c r="P20" i="3"/>
  <c r="Q20" i="3" s="1"/>
  <c r="R20" i="3" s="1"/>
  <c r="AD20" i="3"/>
  <c r="AA20" i="3"/>
  <c r="L7" i="3"/>
  <c r="T17" i="3" l="1"/>
  <c r="S18" i="3"/>
  <c r="AC21" i="3"/>
  <c r="AD21" i="3"/>
  <c r="AA21" i="3"/>
  <c r="P21" i="3"/>
  <c r="Q21" i="3" s="1"/>
  <c r="R21" i="3" s="1"/>
  <c r="Z21" i="3"/>
  <c r="A22" i="3"/>
  <c r="B22" i="3" s="1"/>
  <c r="U7" i="3"/>
  <c r="E8" i="3" s="1"/>
  <c r="H8" i="3" s="1"/>
  <c r="AH8" i="3"/>
  <c r="AG8" i="3"/>
  <c r="Y6" i="3"/>
  <c r="T18" i="3" l="1"/>
  <c r="S19" i="3"/>
  <c r="D8" i="3"/>
  <c r="F8" i="3" s="1"/>
  <c r="Z22" i="3"/>
  <c r="AC22" i="3"/>
  <c r="P22" i="3"/>
  <c r="Q22" i="3" s="1"/>
  <c r="R22" i="3" s="1"/>
  <c r="AA22" i="3"/>
  <c r="A23" i="3"/>
  <c r="B23" i="3" s="1"/>
  <c r="AD22" i="3"/>
  <c r="K8" i="3"/>
  <c r="T19" i="3" l="1"/>
  <c r="S20" i="3"/>
  <c r="G8" i="3"/>
  <c r="J8" i="3" s="1"/>
  <c r="V8" i="3"/>
  <c r="AE8" i="3"/>
  <c r="AD23" i="3"/>
  <c r="A24" i="3"/>
  <c r="B24" i="3" s="1"/>
  <c r="AC23" i="3"/>
  <c r="Z23" i="3"/>
  <c r="P23" i="3"/>
  <c r="Q23" i="3" s="1"/>
  <c r="R23" i="3" s="1"/>
  <c r="AA23" i="3"/>
  <c r="I8" i="3" l="1"/>
  <c r="W8" i="3" s="1"/>
  <c r="S21" i="3"/>
  <c r="T20" i="3"/>
  <c r="M8" i="3"/>
  <c r="N8" i="3" s="1"/>
  <c r="A25" i="3"/>
  <c r="B25" i="3" s="1"/>
  <c r="AA24" i="3"/>
  <c r="P24" i="3"/>
  <c r="Q24" i="3" s="1"/>
  <c r="R24" i="3" s="1"/>
  <c r="AC24" i="3"/>
  <c r="Z24" i="3"/>
  <c r="AD24" i="3"/>
  <c r="L8" i="3"/>
  <c r="T21" i="3" l="1"/>
  <c r="S22" i="3"/>
  <c r="A26" i="3"/>
  <c r="B26" i="3" s="1"/>
  <c r="AA25" i="3"/>
  <c r="AD25" i="3"/>
  <c r="AC25" i="3"/>
  <c r="Z25" i="3"/>
  <c r="P25" i="3"/>
  <c r="Q25" i="3" s="1"/>
  <c r="R25" i="3" s="1"/>
  <c r="AH9" i="3"/>
  <c r="AG9" i="3"/>
  <c r="U8" i="3"/>
  <c r="E9" i="3" s="1"/>
  <c r="H9" i="3" s="1"/>
  <c r="Y7" i="3"/>
  <c r="T22" i="3" l="1"/>
  <c r="S23" i="3"/>
  <c r="D9" i="3"/>
  <c r="F9" i="3" s="1"/>
  <c r="K9" i="3"/>
  <c r="A27" i="3"/>
  <c r="B27" i="3" s="1"/>
  <c r="Z26" i="3"/>
  <c r="AD26" i="3"/>
  <c r="AA26" i="3"/>
  <c r="P26" i="3"/>
  <c r="Q26" i="3" s="1"/>
  <c r="R26" i="3" s="1"/>
  <c r="AC26" i="3"/>
  <c r="T23" i="3" l="1"/>
  <c r="S24" i="3"/>
  <c r="G9" i="3"/>
  <c r="J9" i="3" s="1"/>
  <c r="Z27" i="3"/>
  <c r="P27" i="3"/>
  <c r="Q27" i="3" s="1"/>
  <c r="R27" i="3" s="1"/>
  <c r="AD27" i="3"/>
  <c r="AA27" i="3"/>
  <c r="A28" i="3"/>
  <c r="B28" i="3" s="1"/>
  <c r="AC27" i="3"/>
  <c r="V9" i="3"/>
  <c r="AE9" i="3"/>
  <c r="I9" i="3" l="1"/>
  <c r="W9" i="3" s="1"/>
  <c r="T24" i="3"/>
  <c r="S25" i="3"/>
  <c r="M9" i="3"/>
  <c r="N9" i="3" s="1"/>
  <c r="L9" i="3"/>
  <c r="Z28" i="3"/>
  <c r="AD28" i="3"/>
  <c r="AC28" i="3"/>
  <c r="A29" i="3"/>
  <c r="B29" i="3" s="1"/>
  <c r="P28" i="3"/>
  <c r="Q28" i="3" s="1"/>
  <c r="R28" i="3" s="1"/>
  <c r="AA28" i="3"/>
  <c r="S26" i="3" l="1"/>
  <c r="T25" i="3"/>
  <c r="AD29" i="3"/>
  <c r="P29" i="3"/>
  <c r="Q29" i="3" s="1"/>
  <c r="R29" i="3" s="1"/>
  <c r="AC29" i="3"/>
  <c r="AA29" i="3"/>
  <c r="Z29" i="3"/>
  <c r="A30" i="3"/>
  <c r="B30" i="3" s="1"/>
  <c r="AG10" i="3"/>
  <c r="U9" i="3"/>
  <c r="D10" i="3" s="1"/>
  <c r="AH10" i="3"/>
  <c r="Y8" i="3"/>
  <c r="T26" i="3" l="1"/>
  <c r="S27" i="3"/>
  <c r="E10" i="3"/>
  <c r="H10" i="3" s="1"/>
  <c r="K10" i="3" s="1"/>
  <c r="P30" i="3"/>
  <c r="Q30" i="3" s="1"/>
  <c r="R30" i="3" s="1"/>
  <c r="A31" i="3"/>
  <c r="B31" i="3" s="1"/>
  <c r="AD30" i="3"/>
  <c r="AC30" i="3"/>
  <c r="AA30" i="3"/>
  <c r="Z30" i="3"/>
  <c r="G10" i="3"/>
  <c r="F10" i="3" l="1"/>
  <c r="S28" i="3"/>
  <c r="T27" i="3"/>
  <c r="AD31" i="3"/>
  <c r="AA31" i="3"/>
  <c r="AC31" i="3"/>
  <c r="Z31" i="3"/>
  <c r="A32" i="3"/>
  <c r="B32" i="3" s="1"/>
  <c r="P31" i="3"/>
  <c r="Q31" i="3" s="1"/>
  <c r="R31" i="3" s="1"/>
  <c r="V10" i="3"/>
  <c r="AE10" i="3"/>
  <c r="I10" i="3"/>
  <c r="J10" i="3"/>
  <c r="M10" i="3"/>
  <c r="N10" i="3" s="1"/>
  <c r="T28" i="3" l="1"/>
  <c r="S29" i="3"/>
  <c r="Z32" i="3"/>
  <c r="AC32" i="3"/>
  <c r="AD32" i="3"/>
  <c r="AA32" i="3"/>
  <c r="A33" i="3"/>
  <c r="B33" i="3" s="1"/>
  <c r="P32" i="3"/>
  <c r="Q32" i="3" s="1"/>
  <c r="R32" i="3" s="1"/>
  <c r="L10" i="3"/>
  <c r="W10" i="3"/>
  <c r="T29" i="3" l="1"/>
  <c r="S30" i="3"/>
  <c r="AA33" i="3"/>
  <c r="AC33" i="3"/>
  <c r="Z33" i="3"/>
  <c r="AD33" i="3"/>
  <c r="A34" i="3"/>
  <c r="B34" i="3" s="1"/>
  <c r="P33" i="3"/>
  <c r="Q33" i="3" s="1"/>
  <c r="R33" i="3" s="1"/>
  <c r="AH11" i="3"/>
  <c r="AG11" i="3"/>
  <c r="U10" i="3"/>
  <c r="D11" i="3" s="1"/>
  <c r="Y9" i="3"/>
  <c r="E11" i="3" l="1"/>
  <c r="H11" i="3" s="1"/>
  <c r="K11" i="3" s="1"/>
  <c r="S31" i="3"/>
  <c r="T30" i="3"/>
  <c r="G11" i="3"/>
  <c r="AA34" i="3"/>
  <c r="AC34" i="3"/>
  <c r="P34" i="3"/>
  <c r="Q34" i="3" s="1"/>
  <c r="R34" i="3" s="1"/>
  <c r="AD34" i="3"/>
  <c r="A35" i="3"/>
  <c r="B35" i="3" s="1"/>
  <c r="Z34" i="3"/>
  <c r="F11" i="3" l="1"/>
  <c r="T31" i="3"/>
  <c r="S32" i="3"/>
  <c r="P35" i="3"/>
  <c r="Q35" i="3" s="1"/>
  <c r="R35" i="3" s="1"/>
  <c r="Z35" i="3"/>
  <c r="AA35" i="3"/>
  <c r="AC35" i="3"/>
  <c r="A36" i="3"/>
  <c r="B36" i="3" s="1"/>
  <c r="AD35" i="3"/>
  <c r="I11" i="3"/>
  <c r="J11" i="3"/>
  <c r="M11" i="3"/>
  <c r="N11" i="3" s="1"/>
  <c r="V11" i="3"/>
  <c r="AE11" i="3"/>
  <c r="T32" i="3" l="1"/>
  <c r="S33" i="3"/>
  <c r="W11" i="3"/>
  <c r="Z36" i="3"/>
  <c r="AD36" i="3"/>
  <c r="AC36" i="3"/>
  <c r="A37" i="3"/>
  <c r="B37" i="3" s="1"/>
  <c r="P36" i="3"/>
  <c r="Q36" i="3" s="1"/>
  <c r="R36" i="3" s="1"/>
  <c r="AA36" i="3"/>
  <c r="L11" i="3"/>
  <c r="S34" i="3" l="1"/>
  <c r="T33" i="3"/>
  <c r="A38" i="3"/>
  <c r="B38" i="3" s="1"/>
  <c r="Z37" i="3"/>
  <c r="P37" i="3"/>
  <c r="Q37" i="3" s="1"/>
  <c r="R37" i="3" s="1"/>
  <c r="AA37" i="3"/>
  <c r="AC37" i="3"/>
  <c r="AD37" i="3"/>
  <c r="AH12" i="3"/>
  <c r="AG12" i="3"/>
  <c r="U11" i="3"/>
  <c r="E12" i="3" s="1"/>
  <c r="H12" i="3" s="1"/>
  <c r="Y10" i="3"/>
  <c r="S35" i="3" l="1"/>
  <c r="T34" i="3"/>
  <c r="D12" i="3"/>
  <c r="G12" i="3" s="1"/>
  <c r="K12" i="3"/>
  <c r="A39" i="3"/>
  <c r="B39" i="3" s="1"/>
  <c r="AC38" i="3"/>
  <c r="P38" i="3"/>
  <c r="Q38" i="3" s="1"/>
  <c r="R38" i="3" s="1"/>
  <c r="AA38" i="3"/>
  <c r="Z38" i="3"/>
  <c r="AD38" i="3"/>
  <c r="F12" i="3" l="1"/>
  <c r="S36" i="3"/>
  <c r="T35" i="3"/>
  <c r="P39" i="3"/>
  <c r="Q39" i="3" s="1"/>
  <c r="R39" i="3" s="1"/>
  <c r="AC39" i="3"/>
  <c r="AA39" i="3"/>
  <c r="A40" i="3"/>
  <c r="B40" i="3" s="1"/>
  <c r="AD39" i="3"/>
  <c r="Z39" i="3"/>
  <c r="V12" i="3"/>
  <c r="AE12" i="3"/>
  <c r="I12" i="3"/>
  <c r="J12" i="3"/>
  <c r="M12" i="3"/>
  <c r="N12" i="3" s="1"/>
  <c r="T36" i="3" l="1"/>
  <c r="S37" i="3"/>
  <c r="AA40" i="3"/>
  <c r="Z40" i="3"/>
  <c r="P40" i="3"/>
  <c r="Q40" i="3" s="1"/>
  <c r="R40" i="3" s="1"/>
  <c r="AD40" i="3"/>
  <c r="AC40" i="3"/>
  <c r="A41" i="3"/>
  <c r="B41" i="3" s="1"/>
  <c r="W12" i="3"/>
  <c r="L12" i="3"/>
  <c r="S38" i="3" l="1"/>
  <c r="T37" i="3"/>
  <c r="P41" i="3"/>
  <c r="Q41" i="3" s="1"/>
  <c r="R41" i="3" s="1"/>
  <c r="A42" i="3"/>
  <c r="B42" i="3" s="1"/>
  <c r="Z41" i="3"/>
  <c r="AD41" i="3"/>
  <c r="AC41" i="3"/>
  <c r="AA41" i="3"/>
  <c r="AG13" i="3"/>
  <c r="AH13" i="3"/>
  <c r="U12" i="3"/>
  <c r="E13" i="3" s="1"/>
  <c r="H13" i="3" s="1"/>
  <c r="Y11" i="3"/>
  <c r="T38" i="3" l="1"/>
  <c r="S39" i="3"/>
  <c r="K13" i="3"/>
  <c r="D13" i="3"/>
  <c r="Z42" i="3"/>
  <c r="AD42" i="3"/>
  <c r="AA42" i="3"/>
  <c r="AC42" i="3"/>
  <c r="A43" i="3"/>
  <c r="B43" i="3" s="1"/>
  <c r="P42" i="3"/>
  <c r="Q42" i="3" s="1"/>
  <c r="R42" i="3" s="1"/>
  <c r="T39" i="3" l="1"/>
  <c r="S40" i="3"/>
  <c r="F13" i="3"/>
  <c r="G13" i="3"/>
  <c r="AD43" i="3"/>
  <c r="AC43" i="3"/>
  <c r="Z43" i="3"/>
  <c r="P43" i="3"/>
  <c r="Q43" i="3" s="1"/>
  <c r="R43" i="3" s="1"/>
  <c r="A44" i="3"/>
  <c r="B44" i="3" s="1"/>
  <c r="AA43" i="3"/>
  <c r="V13" i="3"/>
  <c r="AE13" i="3"/>
  <c r="S41" i="3" l="1"/>
  <c r="T40" i="3"/>
  <c r="AC44" i="3"/>
  <c r="AD44" i="3"/>
  <c r="Z44" i="3"/>
  <c r="P44" i="3"/>
  <c r="Q44" i="3" s="1"/>
  <c r="R44" i="3" s="1"/>
  <c r="A45" i="3"/>
  <c r="B45" i="3" s="1"/>
  <c r="AA44" i="3"/>
  <c r="I13" i="3"/>
  <c r="W13" i="3" s="1"/>
  <c r="J13" i="3"/>
  <c r="M13" i="3"/>
  <c r="N13" i="3" s="1"/>
  <c r="T41" i="3" l="1"/>
  <c r="S42" i="3"/>
  <c r="L13" i="3"/>
  <c r="AD45" i="3"/>
  <c r="P45" i="3"/>
  <c r="Q45" i="3" s="1"/>
  <c r="R45" i="3" s="1"/>
  <c r="AC45" i="3"/>
  <c r="Z45" i="3"/>
  <c r="AA45" i="3"/>
  <c r="A46" i="3"/>
  <c r="B46" i="3" s="1"/>
  <c r="T42" i="3" l="1"/>
  <c r="S43" i="3"/>
  <c r="AC46" i="3"/>
  <c r="AA46" i="3"/>
  <c r="AD46" i="3"/>
  <c r="Z46" i="3"/>
  <c r="A47" i="3"/>
  <c r="B47" i="3" s="1"/>
  <c r="P46" i="3"/>
  <c r="Q46" i="3" s="1"/>
  <c r="R46" i="3" s="1"/>
  <c r="AH14" i="3"/>
  <c r="AG14" i="3"/>
  <c r="U13" i="3"/>
  <c r="E14" i="3" s="1"/>
  <c r="H14" i="3" s="1"/>
  <c r="Y12" i="3"/>
  <c r="S44" i="3" l="1"/>
  <c r="T43" i="3"/>
  <c r="D14" i="3"/>
  <c r="F14" i="3" s="1"/>
  <c r="K14" i="3"/>
  <c r="AA47" i="3"/>
  <c r="Z47" i="3"/>
  <c r="AC47" i="3"/>
  <c r="P47" i="3"/>
  <c r="Q47" i="3" s="1"/>
  <c r="R47" i="3" s="1"/>
  <c r="AD47" i="3"/>
  <c r="A48" i="3"/>
  <c r="B48" i="3" s="1"/>
  <c r="G14" i="3" l="1"/>
  <c r="M14" i="3" s="1"/>
  <c r="N14" i="3" s="1"/>
  <c r="T44" i="3"/>
  <c r="S45" i="3"/>
  <c r="V14" i="3"/>
  <c r="AE14" i="3"/>
  <c r="AD48" i="3"/>
  <c r="AA48" i="3"/>
  <c r="AC48" i="3"/>
  <c r="P48" i="3"/>
  <c r="Q48" i="3" s="1"/>
  <c r="R48" i="3" s="1"/>
  <c r="Z48" i="3"/>
  <c r="A49" i="3"/>
  <c r="B49" i="3" s="1"/>
  <c r="J14" i="3" l="1"/>
  <c r="L14" i="3" s="1"/>
  <c r="I14" i="3"/>
  <c r="W14" i="3" s="1"/>
  <c r="T45" i="3"/>
  <c r="S46" i="3"/>
  <c r="P49" i="3"/>
  <c r="Q49" i="3" s="1"/>
  <c r="R49" i="3" s="1"/>
  <c r="AC49" i="3"/>
  <c r="A50" i="3"/>
  <c r="B50" i="3" s="1"/>
  <c r="AD49" i="3"/>
  <c r="AA49" i="3"/>
  <c r="Z49" i="3"/>
  <c r="S47" i="3" l="1"/>
  <c r="T46" i="3"/>
  <c r="AG15" i="3"/>
  <c r="U14" i="3"/>
  <c r="D15" i="3" s="1"/>
  <c r="AH15" i="3"/>
  <c r="Y13" i="3"/>
  <c r="AA50" i="3"/>
  <c r="AC50" i="3"/>
  <c r="AD50" i="3"/>
  <c r="P50" i="3"/>
  <c r="Q50" i="3" s="1"/>
  <c r="R50" i="3" s="1"/>
  <c r="Z50" i="3"/>
  <c r="A51" i="3"/>
  <c r="B51" i="3" s="1"/>
  <c r="S48" i="3" l="1"/>
  <c r="T47" i="3"/>
  <c r="AA51" i="3"/>
  <c r="P51" i="3"/>
  <c r="Q51" i="3" s="1"/>
  <c r="R51" i="3" s="1"/>
  <c r="AD51" i="3"/>
  <c r="A52" i="3"/>
  <c r="B52" i="3" s="1"/>
  <c r="Z51" i="3"/>
  <c r="AC51" i="3"/>
  <c r="G15" i="3"/>
  <c r="E15" i="3"/>
  <c r="H15" i="3" s="1"/>
  <c r="T48" i="3" l="1"/>
  <c r="S49" i="3"/>
  <c r="K15" i="3"/>
  <c r="I15" i="3"/>
  <c r="J15" i="3"/>
  <c r="M15" i="3"/>
  <c r="N15" i="3" s="1"/>
  <c r="AC52" i="3"/>
  <c r="AD52" i="3"/>
  <c r="P52" i="3"/>
  <c r="Q52" i="3" s="1"/>
  <c r="R52" i="3" s="1"/>
  <c r="Z52" i="3"/>
  <c r="AA52" i="3"/>
  <c r="A53" i="3"/>
  <c r="B53" i="3" s="1"/>
  <c r="F15" i="3"/>
  <c r="T49" i="3" l="1"/>
  <c r="S50" i="3"/>
  <c r="V15" i="3"/>
  <c r="W15" i="3" s="1"/>
  <c r="AE15" i="3"/>
  <c r="L15" i="3"/>
  <c r="AD53" i="3"/>
  <c r="P53" i="3"/>
  <c r="Q53" i="3" s="1"/>
  <c r="R53" i="3" s="1"/>
  <c r="AA53" i="3"/>
  <c r="AC53" i="3"/>
  <c r="A54" i="3"/>
  <c r="B54" i="3" s="1"/>
  <c r="Z53" i="3"/>
  <c r="S51" i="3" l="1"/>
  <c r="T50" i="3"/>
  <c r="AD54" i="3"/>
  <c r="AC54" i="3"/>
  <c r="A55" i="3"/>
  <c r="B55" i="3" s="1"/>
  <c r="AA54" i="3"/>
  <c r="P54" i="3"/>
  <c r="Q54" i="3" s="1"/>
  <c r="R54" i="3" s="1"/>
  <c r="Z54" i="3"/>
  <c r="AH16" i="3"/>
  <c r="U15" i="3"/>
  <c r="E16" i="3" s="1"/>
  <c r="H16" i="3" s="1"/>
  <c r="AG16" i="3"/>
  <c r="Y14" i="3"/>
  <c r="D16" i="3" l="1"/>
  <c r="G16" i="3" s="1"/>
  <c r="S52" i="3"/>
  <c r="T51" i="3"/>
  <c r="AD55" i="3"/>
  <c r="Z55" i="3"/>
  <c r="AA55" i="3"/>
  <c r="AC55" i="3"/>
  <c r="P55" i="3"/>
  <c r="Q55" i="3" s="1"/>
  <c r="R55" i="3" s="1"/>
  <c r="A56" i="3"/>
  <c r="B56" i="3" s="1"/>
  <c r="K16" i="3"/>
  <c r="F16" i="3" l="1"/>
  <c r="S53" i="3"/>
  <c r="T52" i="3"/>
  <c r="A57" i="3"/>
  <c r="B57" i="3" s="1"/>
  <c r="AD56" i="3"/>
  <c r="Z56" i="3"/>
  <c r="AA56" i="3"/>
  <c r="P56" i="3"/>
  <c r="Q56" i="3" s="1"/>
  <c r="R56" i="3" s="1"/>
  <c r="AC56" i="3"/>
  <c r="I16" i="3"/>
  <c r="J16" i="3"/>
  <c r="M16" i="3"/>
  <c r="N16" i="3" s="1"/>
  <c r="V16" i="3"/>
  <c r="AE16" i="3"/>
  <c r="W16" i="3" l="1"/>
  <c r="T53" i="3"/>
  <c r="S54" i="3"/>
  <c r="AA57" i="3"/>
  <c r="Z57" i="3"/>
  <c r="AC57" i="3"/>
  <c r="A58" i="3"/>
  <c r="B58" i="3" s="1"/>
  <c r="P57" i="3"/>
  <c r="Q57" i="3" s="1"/>
  <c r="R57" i="3" s="1"/>
  <c r="AD57" i="3"/>
  <c r="L16" i="3"/>
  <c r="T54" i="3" l="1"/>
  <c r="S55" i="3"/>
  <c r="AD58" i="3"/>
  <c r="AA58" i="3"/>
  <c r="A59" i="3"/>
  <c r="B59" i="3" s="1"/>
  <c r="Z58" i="3"/>
  <c r="P58" i="3"/>
  <c r="Q58" i="3" s="1"/>
  <c r="R58" i="3" s="1"/>
  <c r="AC58" i="3"/>
  <c r="AH17" i="3"/>
  <c r="AG17" i="3"/>
  <c r="U16" i="3"/>
  <c r="D17" i="3" s="1"/>
  <c r="Y15" i="3"/>
  <c r="S56" i="3" l="1"/>
  <c r="T55" i="3"/>
  <c r="E17" i="3"/>
  <c r="H17" i="3" s="1"/>
  <c r="K17" i="3" s="1"/>
  <c r="AC59" i="3"/>
  <c r="P59" i="3"/>
  <c r="Q59" i="3" s="1"/>
  <c r="R59" i="3" s="1"/>
  <c r="AA59" i="3"/>
  <c r="A60" i="3"/>
  <c r="B60" i="3" s="1"/>
  <c r="Z59" i="3"/>
  <c r="AD59" i="3"/>
  <c r="G17" i="3"/>
  <c r="F17" i="3" l="1"/>
  <c r="T56" i="3"/>
  <c r="S57" i="3"/>
  <c r="V17" i="3"/>
  <c r="AE17" i="3"/>
  <c r="I17" i="3"/>
  <c r="J17" i="3"/>
  <c r="M17" i="3"/>
  <c r="N17" i="3" s="1"/>
  <c r="Z60" i="3"/>
  <c r="P60" i="3"/>
  <c r="Q60" i="3" s="1"/>
  <c r="R60" i="3" s="1"/>
  <c r="AA60" i="3"/>
  <c r="AC60" i="3"/>
  <c r="AD60" i="3"/>
  <c r="A61" i="3"/>
  <c r="B61" i="3" s="1"/>
  <c r="T57" i="3" l="1"/>
  <c r="S58" i="3"/>
  <c r="AA61" i="3"/>
  <c r="P61" i="3"/>
  <c r="Q61" i="3" s="1"/>
  <c r="R61" i="3" s="1"/>
  <c r="Z61" i="3"/>
  <c r="AC61" i="3"/>
  <c r="AD61" i="3"/>
  <c r="A62" i="3"/>
  <c r="B62" i="3" s="1"/>
  <c r="W17" i="3"/>
  <c r="L17" i="3"/>
  <c r="T58" i="3" l="1"/>
  <c r="S59" i="3"/>
  <c r="P62" i="3"/>
  <c r="Q62" i="3" s="1"/>
  <c r="R62" i="3" s="1"/>
  <c r="Z62" i="3"/>
  <c r="AA62" i="3"/>
  <c r="AC62" i="3"/>
  <c r="A63" i="3"/>
  <c r="B63" i="3" s="1"/>
  <c r="AD62" i="3"/>
  <c r="AG18" i="3"/>
  <c r="U17" i="3"/>
  <c r="E18" i="3" s="1"/>
  <c r="H18" i="3" s="1"/>
  <c r="AH18" i="3"/>
  <c r="Y16" i="3"/>
  <c r="S60" i="3" l="1"/>
  <c r="T59" i="3"/>
  <c r="K18" i="3"/>
  <c r="Z63" i="3"/>
  <c r="AA63" i="3"/>
  <c r="AC63" i="3"/>
  <c r="P63" i="3"/>
  <c r="Q63" i="3" s="1"/>
  <c r="R63" i="3" s="1"/>
  <c r="AD63" i="3"/>
  <c r="A64" i="3"/>
  <c r="B64" i="3" s="1"/>
  <c r="D18" i="3"/>
  <c r="T60" i="3" l="1"/>
  <c r="S61" i="3"/>
  <c r="AD64" i="3"/>
  <c r="AC64" i="3"/>
  <c r="AA64" i="3"/>
  <c r="P64" i="3"/>
  <c r="Q64" i="3" s="1"/>
  <c r="R64" i="3" s="1"/>
  <c r="A65" i="3"/>
  <c r="B65" i="3" s="1"/>
  <c r="Z64" i="3"/>
  <c r="F18" i="3"/>
  <c r="G18" i="3"/>
  <c r="V18" i="3"/>
  <c r="AE18" i="3"/>
  <c r="T61" i="3" l="1"/>
  <c r="S62" i="3"/>
  <c r="A66" i="3"/>
  <c r="B66" i="3" s="1"/>
  <c r="AA65" i="3"/>
  <c r="AD65" i="3"/>
  <c r="Z65" i="3"/>
  <c r="P65" i="3"/>
  <c r="Q65" i="3" s="1"/>
  <c r="R65" i="3" s="1"/>
  <c r="AC65" i="3"/>
  <c r="I18" i="3"/>
  <c r="W18" i="3" s="1"/>
  <c r="J18" i="3"/>
  <c r="M18" i="3"/>
  <c r="N18" i="3" s="1"/>
  <c r="S63" i="3" l="1"/>
  <c r="T62" i="3"/>
  <c r="Z66" i="3"/>
  <c r="AC66" i="3"/>
  <c r="AA66" i="3"/>
  <c r="AD66" i="3"/>
  <c r="P66" i="3"/>
  <c r="Q66" i="3" s="1"/>
  <c r="R66" i="3" s="1"/>
  <c r="A67" i="3"/>
  <c r="B67" i="3" s="1"/>
  <c r="L18" i="3"/>
  <c r="S64" i="3" l="1"/>
  <c r="T63" i="3"/>
  <c r="AA67" i="3"/>
  <c r="A68" i="3"/>
  <c r="B68" i="3" s="1"/>
  <c r="AC67" i="3"/>
  <c r="P67" i="3"/>
  <c r="Q67" i="3" s="1"/>
  <c r="R67" i="3" s="1"/>
  <c r="Z67" i="3"/>
  <c r="AD67" i="3"/>
  <c r="AH19" i="3"/>
  <c r="AG19" i="3"/>
  <c r="U18" i="3"/>
  <c r="E19" i="3" s="1"/>
  <c r="H19" i="3" s="1"/>
  <c r="Y17" i="3"/>
  <c r="D19" i="3" l="1"/>
  <c r="F19" i="3" s="1"/>
  <c r="S65" i="3"/>
  <c r="T64" i="3"/>
  <c r="K19" i="3"/>
  <c r="AC68" i="3"/>
  <c r="A69" i="3"/>
  <c r="B69" i="3" s="1"/>
  <c r="AA68" i="3"/>
  <c r="P68" i="3"/>
  <c r="Q68" i="3" s="1"/>
  <c r="R68" i="3" s="1"/>
  <c r="Z68" i="3"/>
  <c r="AD68" i="3"/>
  <c r="G19" i="3" l="1"/>
  <c r="M19" i="3" s="1"/>
  <c r="N19" i="3" s="1"/>
  <c r="S66" i="3"/>
  <c r="T65" i="3"/>
  <c r="P69" i="3"/>
  <c r="Q69" i="3" s="1"/>
  <c r="R69" i="3" s="1"/>
  <c r="A70" i="3"/>
  <c r="B70" i="3" s="1"/>
  <c r="Z69" i="3"/>
  <c r="AA69" i="3"/>
  <c r="AD69" i="3"/>
  <c r="AC69" i="3"/>
  <c r="V19" i="3"/>
  <c r="AE19" i="3"/>
  <c r="J19" i="3" l="1"/>
  <c r="I19" i="3"/>
  <c r="W19" i="3" s="1"/>
  <c r="T66" i="3"/>
  <c r="S67" i="3"/>
  <c r="AA70" i="3"/>
  <c r="A71" i="3"/>
  <c r="B71" i="3" s="1"/>
  <c r="AC70" i="3"/>
  <c r="P70" i="3"/>
  <c r="Q70" i="3" s="1"/>
  <c r="R70" i="3" s="1"/>
  <c r="Z70" i="3"/>
  <c r="AD70" i="3"/>
  <c r="L19" i="3"/>
  <c r="T67" i="3" l="1"/>
  <c r="S68" i="3"/>
  <c r="AG20" i="3"/>
  <c r="U19" i="3"/>
  <c r="E20" i="3" s="1"/>
  <c r="H20" i="3" s="1"/>
  <c r="AH20" i="3"/>
  <c r="Y18" i="3"/>
  <c r="AC71" i="3"/>
  <c r="AD71" i="3"/>
  <c r="P71" i="3"/>
  <c r="Q71" i="3" s="1"/>
  <c r="R71" i="3" s="1"/>
  <c r="AA71" i="3"/>
  <c r="A72" i="3"/>
  <c r="B72" i="3" s="1"/>
  <c r="Z71" i="3"/>
  <c r="D20" i="3" l="1"/>
  <c r="F20" i="3" s="1"/>
  <c r="T68" i="3"/>
  <c r="S69" i="3"/>
  <c r="Z72" i="3"/>
  <c r="P72" i="3"/>
  <c r="Q72" i="3" s="1"/>
  <c r="R72" i="3" s="1"/>
  <c r="AD72" i="3"/>
  <c r="AC72" i="3"/>
  <c r="A73" i="3"/>
  <c r="B73" i="3" s="1"/>
  <c r="AA72" i="3"/>
  <c r="K20" i="3"/>
  <c r="G20" i="3" l="1"/>
  <c r="M20" i="3" s="1"/>
  <c r="N20" i="3" s="1"/>
  <c r="S70" i="3"/>
  <c r="T69" i="3"/>
  <c r="AC73" i="3"/>
  <c r="P73" i="3"/>
  <c r="Q73" i="3" s="1"/>
  <c r="R73" i="3" s="1"/>
  <c r="AA73" i="3"/>
  <c r="AD73" i="3"/>
  <c r="A74" i="3"/>
  <c r="B74" i="3" s="1"/>
  <c r="Z73" i="3"/>
  <c r="V20" i="3"/>
  <c r="AE20" i="3"/>
  <c r="J20" i="3" l="1"/>
  <c r="L20" i="3" s="1"/>
  <c r="I20" i="3"/>
  <c r="W20" i="3" s="1"/>
  <c r="T70" i="3"/>
  <c r="S71" i="3"/>
  <c r="A75" i="3"/>
  <c r="B75" i="3" s="1"/>
  <c r="Z74" i="3"/>
  <c r="P74" i="3"/>
  <c r="Q74" i="3" s="1"/>
  <c r="R74" i="3" s="1"/>
  <c r="AC74" i="3"/>
  <c r="AD74" i="3"/>
  <c r="AA74" i="3"/>
  <c r="S72" i="3" l="1"/>
  <c r="T71" i="3"/>
  <c r="AA75" i="3"/>
  <c r="P75" i="3"/>
  <c r="Q75" i="3" s="1"/>
  <c r="R75" i="3" s="1"/>
  <c r="AC75" i="3"/>
  <c r="A76" i="3"/>
  <c r="B76" i="3" s="1"/>
  <c r="AD75" i="3"/>
  <c r="Z75" i="3"/>
  <c r="AG21" i="3"/>
  <c r="U20" i="3"/>
  <c r="E21" i="3" s="1"/>
  <c r="H21" i="3" s="1"/>
  <c r="AH21" i="3"/>
  <c r="Y19" i="3"/>
  <c r="S73" i="3" l="1"/>
  <c r="T72" i="3"/>
  <c r="D21" i="3"/>
  <c r="G21" i="3" s="1"/>
  <c r="A77" i="3"/>
  <c r="B77" i="3" s="1"/>
  <c r="Z76" i="3"/>
  <c r="AA76" i="3"/>
  <c r="P76" i="3"/>
  <c r="Q76" i="3" s="1"/>
  <c r="R76" i="3" s="1"/>
  <c r="AC76" i="3"/>
  <c r="AD76" i="3"/>
  <c r="K21" i="3"/>
  <c r="F21" i="3" l="1"/>
  <c r="T73" i="3"/>
  <c r="S74" i="3"/>
  <c r="AC77" i="3"/>
  <c r="Z77" i="3"/>
  <c r="AD77" i="3"/>
  <c r="AA77" i="3"/>
  <c r="P77" i="3"/>
  <c r="Q77" i="3" s="1"/>
  <c r="R77" i="3" s="1"/>
  <c r="A78" i="3"/>
  <c r="B78" i="3" s="1"/>
  <c r="V21" i="3"/>
  <c r="AE21" i="3"/>
  <c r="I21" i="3"/>
  <c r="J21" i="3"/>
  <c r="M21" i="3"/>
  <c r="N21" i="3" s="1"/>
  <c r="T74" i="3" l="1"/>
  <c r="S75" i="3"/>
  <c r="W21" i="3"/>
  <c r="A79" i="3"/>
  <c r="B79" i="3" s="1"/>
  <c r="Z78" i="3"/>
  <c r="AA78" i="3"/>
  <c r="AC78" i="3"/>
  <c r="P78" i="3"/>
  <c r="Q78" i="3" s="1"/>
  <c r="R78" i="3" s="1"/>
  <c r="AD78" i="3"/>
  <c r="L21" i="3"/>
  <c r="T75" i="3" l="1"/>
  <c r="S76" i="3"/>
  <c r="Z79" i="3"/>
  <c r="AD79" i="3"/>
  <c r="AA79" i="3"/>
  <c r="A80" i="3"/>
  <c r="B80" i="3" s="1"/>
  <c r="AC79" i="3"/>
  <c r="P79" i="3"/>
  <c r="Q79" i="3" s="1"/>
  <c r="R79" i="3" s="1"/>
  <c r="U21" i="3"/>
  <c r="E22" i="3" s="1"/>
  <c r="H22" i="3" s="1"/>
  <c r="AH22" i="3"/>
  <c r="AG22" i="3"/>
  <c r="Y20" i="3"/>
  <c r="T76" i="3" l="1"/>
  <c r="S77" i="3"/>
  <c r="D22" i="3"/>
  <c r="F22" i="3" s="1"/>
  <c r="K22" i="3"/>
  <c r="AD80" i="3"/>
  <c r="AA80" i="3"/>
  <c r="AC80" i="3"/>
  <c r="P80" i="3"/>
  <c r="Q80" i="3" s="1"/>
  <c r="R80" i="3" s="1"/>
  <c r="A81" i="3"/>
  <c r="B81" i="3" s="1"/>
  <c r="Z80" i="3"/>
  <c r="G22" i="3" l="1"/>
  <c r="M22" i="3" s="1"/>
  <c r="N22" i="3" s="1"/>
  <c r="S78" i="3"/>
  <c r="T77" i="3"/>
  <c r="P81" i="3"/>
  <c r="Q81" i="3" s="1"/>
  <c r="R81" i="3" s="1"/>
  <c r="A82" i="3"/>
  <c r="B82" i="3" s="1"/>
  <c r="AD81" i="3"/>
  <c r="AC81" i="3"/>
  <c r="AA81" i="3"/>
  <c r="Z81" i="3"/>
  <c r="V22" i="3"/>
  <c r="AE22" i="3"/>
  <c r="J22" i="3" l="1"/>
  <c r="L22" i="3" s="1"/>
  <c r="I22" i="3"/>
  <c r="W22" i="3" s="1"/>
  <c r="T78" i="3"/>
  <c r="S79" i="3"/>
  <c r="AA82" i="3"/>
  <c r="A83" i="3"/>
  <c r="B83" i="3" s="1"/>
  <c r="Z82" i="3"/>
  <c r="AD82" i="3"/>
  <c r="P82" i="3"/>
  <c r="Q82" i="3" s="1"/>
  <c r="R82" i="3" s="1"/>
  <c r="AC82" i="3"/>
  <c r="S80" i="3" l="1"/>
  <c r="T79" i="3"/>
  <c r="U22" i="3"/>
  <c r="D23" i="3" s="1"/>
  <c r="AG23" i="3"/>
  <c r="AH23" i="3"/>
  <c r="Y21" i="3"/>
  <c r="AC83" i="3"/>
  <c r="Z83" i="3"/>
  <c r="AA83" i="3"/>
  <c r="AD83" i="3"/>
  <c r="A84" i="3"/>
  <c r="B84" i="3" s="1"/>
  <c r="P83" i="3"/>
  <c r="Q83" i="3" s="1"/>
  <c r="R83" i="3" s="1"/>
  <c r="E23" i="3" l="1"/>
  <c r="H23" i="3" s="1"/>
  <c r="K23" i="3" s="1"/>
  <c r="T80" i="3"/>
  <c r="S81" i="3"/>
  <c r="P84" i="3"/>
  <c r="Q84" i="3" s="1"/>
  <c r="R84" i="3" s="1"/>
  <c r="AC84" i="3"/>
  <c r="A85" i="3"/>
  <c r="B85" i="3" s="1"/>
  <c r="AA84" i="3"/>
  <c r="Z84" i="3"/>
  <c r="AD84" i="3"/>
  <c r="G23" i="3"/>
  <c r="F23" i="3" l="1"/>
  <c r="S82" i="3"/>
  <c r="T81" i="3"/>
  <c r="I23" i="3"/>
  <c r="J23" i="3"/>
  <c r="M23" i="3"/>
  <c r="N23" i="3" s="1"/>
  <c r="V23" i="3"/>
  <c r="AE23" i="3"/>
  <c r="AD85" i="3"/>
  <c r="P85" i="3"/>
  <c r="Q85" i="3" s="1"/>
  <c r="R85" i="3" s="1"/>
  <c r="Z85" i="3"/>
  <c r="AA85" i="3"/>
  <c r="A86" i="3"/>
  <c r="B86" i="3" s="1"/>
  <c r="AC85" i="3"/>
  <c r="T82" i="3" l="1"/>
  <c r="S83" i="3"/>
  <c r="W23" i="3"/>
  <c r="AA86" i="3"/>
  <c r="Z86" i="3"/>
  <c r="AC86" i="3"/>
  <c r="A87" i="3"/>
  <c r="B87" i="3" s="1"/>
  <c r="AD86" i="3"/>
  <c r="P86" i="3"/>
  <c r="Q86" i="3" s="1"/>
  <c r="R86" i="3" s="1"/>
  <c r="L23" i="3"/>
  <c r="S84" i="3" l="1"/>
  <c r="T83" i="3"/>
  <c r="AA87" i="3"/>
  <c r="AC87" i="3"/>
  <c r="Z87" i="3"/>
  <c r="AD87" i="3"/>
  <c r="P87" i="3"/>
  <c r="Q87" i="3" s="1"/>
  <c r="R87" i="3" s="1"/>
  <c r="A88" i="3"/>
  <c r="B88" i="3" s="1"/>
  <c r="AG24" i="3"/>
  <c r="AH24" i="3"/>
  <c r="U23" i="3"/>
  <c r="D24" i="3" s="1"/>
  <c r="Y22" i="3"/>
  <c r="T84" i="3" l="1"/>
  <c r="S85" i="3"/>
  <c r="E24" i="3"/>
  <c r="H24" i="3" s="1"/>
  <c r="K24" i="3" s="1"/>
  <c r="A89" i="3"/>
  <c r="B89" i="3" s="1"/>
  <c r="P88" i="3"/>
  <c r="Q88" i="3" s="1"/>
  <c r="R88" i="3" s="1"/>
  <c r="AD88" i="3"/>
  <c r="AA88" i="3"/>
  <c r="Z88" i="3"/>
  <c r="AC88" i="3"/>
  <c r="G24" i="3"/>
  <c r="S86" i="3" l="1"/>
  <c r="T85" i="3"/>
  <c r="F24" i="3"/>
  <c r="AA89" i="3"/>
  <c r="A90" i="3"/>
  <c r="B90" i="3" s="1"/>
  <c r="Z89" i="3"/>
  <c r="P89" i="3"/>
  <c r="Q89" i="3" s="1"/>
  <c r="R89" i="3" s="1"/>
  <c r="AC89" i="3"/>
  <c r="AD89" i="3"/>
  <c r="I24" i="3"/>
  <c r="J24" i="3"/>
  <c r="M24" i="3"/>
  <c r="N24" i="3" s="1"/>
  <c r="V24" i="3"/>
  <c r="AE24" i="3"/>
  <c r="S87" i="3" l="1"/>
  <c r="T86" i="3"/>
  <c r="W24" i="3"/>
  <c r="AA90" i="3"/>
  <c r="Z90" i="3"/>
  <c r="AC90" i="3"/>
  <c r="A91" i="3"/>
  <c r="B91" i="3" s="1"/>
  <c r="P90" i="3"/>
  <c r="Q90" i="3" s="1"/>
  <c r="R90" i="3" s="1"/>
  <c r="AD90" i="3"/>
  <c r="L24" i="3"/>
  <c r="S88" i="3" l="1"/>
  <c r="T87" i="3"/>
  <c r="AA91" i="3"/>
  <c r="AC91" i="3"/>
  <c r="P91" i="3"/>
  <c r="Q91" i="3" s="1"/>
  <c r="R91" i="3" s="1"/>
  <c r="A92" i="3"/>
  <c r="B92" i="3" s="1"/>
  <c r="AD91" i="3"/>
  <c r="Z91" i="3"/>
  <c r="U24" i="3"/>
  <c r="D25" i="3" s="1"/>
  <c r="AG25" i="3"/>
  <c r="AH25" i="3"/>
  <c r="Y23" i="3"/>
  <c r="S89" i="3" l="1"/>
  <c r="T88" i="3"/>
  <c r="AA92" i="3"/>
  <c r="P92" i="3"/>
  <c r="Q92" i="3" s="1"/>
  <c r="R92" i="3" s="1"/>
  <c r="A93" i="3"/>
  <c r="B93" i="3" s="1"/>
  <c r="Z92" i="3"/>
  <c r="AC92" i="3"/>
  <c r="AD92" i="3"/>
  <c r="G25" i="3"/>
  <c r="E25" i="3"/>
  <c r="H25" i="3" s="1"/>
  <c r="T89" i="3" l="1"/>
  <c r="S90" i="3"/>
  <c r="AD93" i="3"/>
  <c r="Z93" i="3"/>
  <c r="AC93" i="3"/>
  <c r="P93" i="3"/>
  <c r="Q93" i="3" s="1"/>
  <c r="R93" i="3" s="1"/>
  <c r="AA93" i="3"/>
  <c r="A94" i="3"/>
  <c r="B94" i="3" s="1"/>
  <c r="K25" i="3"/>
  <c r="I25" i="3"/>
  <c r="J25" i="3"/>
  <c r="M25" i="3"/>
  <c r="N25" i="3" s="1"/>
  <c r="F25" i="3"/>
  <c r="T90" i="3" l="1"/>
  <c r="S91" i="3"/>
  <c r="AD94" i="3"/>
  <c r="Z94" i="3"/>
  <c r="P94" i="3"/>
  <c r="Q94" i="3" s="1"/>
  <c r="R94" i="3" s="1"/>
  <c r="AA94" i="3"/>
  <c r="A95" i="3"/>
  <c r="B95" i="3" s="1"/>
  <c r="AC94" i="3"/>
  <c r="V25" i="3"/>
  <c r="W25" i="3" s="1"/>
  <c r="AE25" i="3"/>
  <c r="L25" i="3"/>
  <c r="T91" i="3" l="1"/>
  <c r="S92" i="3"/>
  <c r="Z95" i="3"/>
  <c r="P95" i="3"/>
  <c r="Q95" i="3" s="1"/>
  <c r="R95" i="3" s="1"/>
  <c r="AA95" i="3"/>
  <c r="AD95" i="3"/>
  <c r="AC95" i="3"/>
  <c r="A96" i="3"/>
  <c r="B96" i="3" s="1"/>
  <c r="AG26" i="3"/>
  <c r="AH26" i="3"/>
  <c r="U25" i="3"/>
  <c r="D26" i="3" s="1"/>
  <c r="Y24" i="3"/>
  <c r="S93" i="3" l="1"/>
  <c r="T92" i="3"/>
  <c r="E26" i="3"/>
  <c r="H26" i="3" s="1"/>
  <c r="K26" i="3" s="1"/>
  <c r="G26" i="3"/>
  <c r="P96" i="3"/>
  <c r="Q96" i="3" s="1"/>
  <c r="R96" i="3" s="1"/>
  <c r="AA96" i="3"/>
  <c r="Z96" i="3"/>
  <c r="A97" i="3"/>
  <c r="B97" i="3" s="1"/>
  <c r="AD96" i="3"/>
  <c r="AC96" i="3"/>
  <c r="T93" i="3" l="1"/>
  <c r="S94" i="3"/>
  <c r="F26" i="3"/>
  <c r="AD97" i="3"/>
  <c r="A98" i="3"/>
  <c r="B98" i="3" s="1"/>
  <c r="Z97" i="3"/>
  <c r="AC97" i="3"/>
  <c r="P97" i="3"/>
  <c r="Q97" i="3" s="1"/>
  <c r="R97" i="3" s="1"/>
  <c r="AA97" i="3"/>
  <c r="I26" i="3"/>
  <c r="J26" i="3"/>
  <c r="M26" i="3"/>
  <c r="N26" i="3" s="1"/>
  <c r="V26" i="3"/>
  <c r="AE26" i="3"/>
  <c r="S95" i="3" l="1"/>
  <c r="T94" i="3"/>
  <c r="W26" i="3"/>
  <c r="AA98" i="3"/>
  <c r="AC98" i="3"/>
  <c r="Z98" i="3"/>
  <c r="AD98" i="3"/>
  <c r="A99" i="3"/>
  <c r="B99" i="3" s="1"/>
  <c r="P98" i="3"/>
  <c r="Q98" i="3" s="1"/>
  <c r="R98" i="3" s="1"/>
  <c r="L26" i="3"/>
  <c r="S96" i="3" l="1"/>
  <c r="T95" i="3"/>
  <c r="Z99" i="3"/>
  <c r="P99" i="3"/>
  <c r="Q99" i="3" s="1"/>
  <c r="R99" i="3" s="1"/>
  <c r="AA99" i="3"/>
  <c r="AD99" i="3"/>
  <c r="AC99" i="3"/>
  <c r="A100" i="3"/>
  <c r="B100" i="3" s="1"/>
  <c r="AH27" i="3"/>
  <c r="AG27" i="3"/>
  <c r="U26" i="3"/>
  <c r="E27" i="3" s="1"/>
  <c r="H27" i="3" s="1"/>
  <c r="Y25" i="3"/>
  <c r="S97" i="3" l="1"/>
  <c r="T96" i="3"/>
  <c r="AC100" i="3"/>
  <c r="AA100" i="3"/>
  <c r="AD100" i="3"/>
  <c r="Z100" i="3"/>
  <c r="P100" i="3"/>
  <c r="Q100" i="3" s="1"/>
  <c r="R100" i="3" s="1"/>
  <c r="A101" i="3"/>
  <c r="B101" i="3" s="1"/>
  <c r="K27" i="3"/>
  <c r="D27" i="3"/>
  <c r="S98" i="3" l="1"/>
  <c r="T97" i="3"/>
  <c r="P101" i="3"/>
  <c r="Q101" i="3" s="1"/>
  <c r="R101" i="3" s="1"/>
  <c r="Z101" i="3"/>
  <c r="A102" i="3"/>
  <c r="B102" i="3" s="1"/>
  <c r="AA101" i="3"/>
  <c r="AC101" i="3"/>
  <c r="AD101" i="3"/>
  <c r="V27" i="3"/>
  <c r="AE27" i="3"/>
  <c r="F27" i="3"/>
  <c r="G27" i="3"/>
  <c r="T98" i="3" l="1"/>
  <c r="S99" i="3"/>
  <c r="I27" i="3"/>
  <c r="W27" i="3" s="1"/>
  <c r="J27" i="3"/>
  <c r="M27" i="3"/>
  <c r="N27" i="3" s="1"/>
  <c r="AD102" i="3"/>
  <c r="AA102" i="3"/>
  <c r="Z102" i="3"/>
  <c r="P102" i="3"/>
  <c r="Q102" i="3" s="1"/>
  <c r="R102" i="3" s="1"/>
  <c r="AC102" i="3"/>
  <c r="A103" i="3"/>
  <c r="B103" i="3" s="1"/>
  <c r="T99" i="3" l="1"/>
  <c r="S100" i="3"/>
  <c r="AC103" i="3"/>
  <c r="Z103" i="3"/>
  <c r="AA103" i="3"/>
  <c r="AD103" i="3"/>
  <c r="P103" i="3"/>
  <c r="Q103" i="3" s="1"/>
  <c r="R103" i="3" s="1"/>
  <c r="A104" i="3"/>
  <c r="B104" i="3" s="1"/>
  <c r="L27" i="3"/>
  <c r="S101" i="3" l="1"/>
  <c r="T100" i="3"/>
  <c r="Z104" i="3"/>
  <c r="P104" i="3"/>
  <c r="Q104" i="3" s="1"/>
  <c r="R104" i="3" s="1"/>
  <c r="AC104" i="3"/>
  <c r="A105" i="3"/>
  <c r="B105" i="3" s="1"/>
  <c r="AA104" i="3"/>
  <c r="AG28" i="3"/>
  <c r="AH28" i="3"/>
  <c r="U27" i="3"/>
  <c r="E28" i="3" s="1"/>
  <c r="H28" i="3" s="1"/>
  <c r="Y26" i="3"/>
  <c r="D28" i="3" l="1"/>
  <c r="F28" i="3" s="1"/>
  <c r="S102" i="3"/>
  <c r="T101" i="3"/>
  <c r="K28" i="3"/>
  <c r="AC105" i="3"/>
  <c r="P105" i="3"/>
  <c r="Q105" i="3" s="1"/>
  <c r="R105" i="3" s="1"/>
  <c r="Z105" i="3"/>
  <c r="AA105" i="3"/>
  <c r="AD105" i="3"/>
  <c r="A106" i="3"/>
  <c r="B106" i="3" s="1"/>
  <c r="G28" i="3" l="1"/>
  <c r="J28" i="3" s="1"/>
  <c r="T102" i="3"/>
  <c r="S103" i="3"/>
  <c r="A107" i="3"/>
  <c r="B107" i="3" s="1"/>
  <c r="AA106" i="3"/>
  <c r="P106" i="3"/>
  <c r="Q106" i="3" s="1"/>
  <c r="R106" i="3" s="1"/>
  <c r="AD106" i="3"/>
  <c r="Z106" i="3"/>
  <c r="AC106" i="3"/>
  <c r="I28" i="3"/>
  <c r="V28" i="3"/>
  <c r="AE28" i="3"/>
  <c r="M28" i="3" l="1"/>
  <c r="N28" i="3" s="1"/>
  <c r="T103" i="3"/>
  <c r="S104" i="3"/>
  <c r="W28" i="3"/>
  <c r="AD107" i="3"/>
  <c r="AA107" i="3"/>
  <c r="A108" i="3"/>
  <c r="B108" i="3" s="1"/>
  <c r="Z107" i="3"/>
  <c r="AC107" i="3"/>
  <c r="P107" i="3"/>
  <c r="Q107" i="3" s="1"/>
  <c r="R107" i="3" s="1"/>
  <c r="L28" i="3"/>
  <c r="T104" i="3" l="1"/>
  <c r="S105" i="3"/>
  <c r="AH29" i="3"/>
  <c r="AG29" i="3"/>
  <c r="U28" i="3"/>
  <c r="D29" i="3" s="1"/>
  <c r="Y27" i="3"/>
  <c r="A109" i="3"/>
  <c r="B109" i="3" s="1"/>
  <c r="AA108" i="3"/>
  <c r="Z108" i="3"/>
  <c r="P108" i="3"/>
  <c r="Q108" i="3" s="1"/>
  <c r="R108" i="3" s="1"/>
  <c r="AD108" i="3"/>
  <c r="AC108" i="3"/>
  <c r="S106" i="3" l="1"/>
  <c r="T105" i="3"/>
  <c r="G29" i="3"/>
  <c r="P109" i="3"/>
  <c r="Q109" i="3" s="1"/>
  <c r="R109" i="3" s="1"/>
  <c r="A110" i="3"/>
  <c r="B110" i="3" s="1"/>
  <c r="AC109" i="3"/>
  <c r="Z109" i="3"/>
  <c r="AD109" i="3"/>
  <c r="AA109" i="3"/>
  <c r="E29" i="3"/>
  <c r="H29" i="3" s="1"/>
  <c r="T106" i="3" l="1"/>
  <c r="S107" i="3"/>
  <c r="AD110" i="3"/>
  <c r="P110" i="3"/>
  <c r="Q110" i="3" s="1"/>
  <c r="R110" i="3" s="1"/>
  <c r="AA110" i="3"/>
  <c r="AC110" i="3"/>
  <c r="A111" i="3"/>
  <c r="B111" i="3" s="1"/>
  <c r="Z110" i="3"/>
  <c r="I29" i="3"/>
  <c r="J29" i="3"/>
  <c r="M29" i="3"/>
  <c r="N29" i="3" s="1"/>
  <c r="K29" i="3"/>
  <c r="F29" i="3"/>
  <c r="S108" i="3" l="1"/>
  <c r="T107" i="3"/>
  <c r="V29" i="3"/>
  <c r="W29" i="3" s="1"/>
  <c r="AE29" i="3"/>
  <c r="L29" i="3"/>
  <c r="Z111" i="3"/>
  <c r="AA111" i="3"/>
  <c r="P111" i="3"/>
  <c r="Q111" i="3" s="1"/>
  <c r="R111" i="3" s="1"/>
  <c r="AC111" i="3"/>
  <c r="AD111" i="3"/>
  <c r="A112" i="3"/>
  <c r="B112" i="3" s="1"/>
  <c r="S109" i="3" l="1"/>
  <c r="T108" i="3"/>
  <c r="AC112" i="3"/>
  <c r="AD112" i="3"/>
  <c r="A113" i="3"/>
  <c r="B113" i="3" s="1"/>
  <c r="Z112" i="3"/>
  <c r="P112" i="3"/>
  <c r="Q112" i="3" s="1"/>
  <c r="R112" i="3" s="1"/>
  <c r="AA112" i="3"/>
  <c r="AG30" i="3"/>
  <c r="AH30" i="3"/>
  <c r="U29" i="3"/>
  <c r="D30" i="3" s="1"/>
  <c r="Y28" i="3"/>
  <c r="S110" i="3" l="1"/>
  <c r="T109" i="3"/>
  <c r="E30" i="3"/>
  <c r="H30" i="3" s="1"/>
  <c r="K30" i="3" s="1"/>
  <c r="AA113" i="3"/>
  <c r="Z113" i="3"/>
  <c r="AD113" i="3"/>
  <c r="P113" i="3"/>
  <c r="Q113" i="3" s="1"/>
  <c r="R113" i="3" s="1"/>
  <c r="AC113" i="3"/>
  <c r="A114" i="3"/>
  <c r="B114" i="3" s="1"/>
  <c r="G30" i="3"/>
  <c r="T110" i="3" l="1"/>
  <c r="S111" i="3"/>
  <c r="F30" i="3"/>
  <c r="P114" i="3"/>
  <c r="Q114" i="3" s="1"/>
  <c r="R114" i="3" s="1"/>
  <c r="AA114" i="3"/>
  <c r="A115" i="3"/>
  <c r="B115" i="3" s="1"/>
  <c r="Z114" i="3"/>
  <c r="AD114" i="3"/>
  <c r="AC114" i="3"/>
  <c r="I30" i="3"/>
  <c r="J30" i="3"/>
  <c r="M30" i="3"/>
  <c r="N30" i="3" s="1"/>
  <c r="V30" i="3"/>
  <c r="AE30" i="3"/>
  <c r="S112" i="3" l="1"/>
  <c r="T111" i="3"/>
  <c r="W30" i="3"/>
  <c r="L30" i="3"/>
  <c r="A116" i="3"/>
  <c r="B116" i="3" s="1"/>
  <c r="AD115" i="3"/>
  <c r="Z115" i="3"/>
  <c r="AA115" i="3"/>
  <c r="AC115" i="3"/>
  <c r="P115" i="3"/>
  <c r="Q115" i="3" s="1"/>
  <c r="R115" i="3" s="1"/>
  <c r="S113" i="3" l="1"/>
  <c r="T112" i="3"/>
  <c r="A117" i="3"/>
  <c r="B117" i="3" s="1"/>
  <c r="AA116" i="3"/>
  <c r="AC116" i="3"/>
  <c r="Z116" i="3"/>
  <c r="P116" i="3"/>
  <c r="Q116" i="3" s="1"/>
  <c r="R116" i="3" s="1"/>
  <c r="AD116" i="3"/>
  <c r="AH31" i="3"/>
  <c r="AG31" i="3"/>
  <c r="U30" i="3"/>
  <c r="D31" i="3" s="1"/>
  <c r="Y29" i="3"/>
  <c r="S114" i="3" l="1"/>
  <c r="T113" i="3"/>
  <c r="G31" i="3"/>
  <c r="E31" i="3"/>
  <c r="H31" i="3" s="1"/>
  <c r="Z117" i="3"/>
  <c r="AA117" i="3"/>
  <c r="P117" i="3"/>
  <c r="Q117" i="3" s="1"/>
  <c r="R117" i="3" s="1"/>
  <c r="AC117" i="3"/>
  <c r="AD117" i="3"/>
  <c r="A118" i="3"/>
  <c r="B118" i="3" s="1"/>
  <c r="S115" i="3" l="1"/>
  <c r="T114" i="3"/>
  <c r="A119" i="3"/>
  <c r="B119" i="3" s="1"/>
  <c r="Z118" i="3"/>
  <c r="AC118" i="3"/>
  <c r="P118" i="3"/>
  <c r="Q118" i="3" s="1"/>
  <c r="R118" i="3" s="1"/>
  <c r="AA118" i="3"/>
  <c r="AD118" i="3"/>
  <c r="K31" i="3"/>
  <c r="I31" i="3"/>
  <c r="J31" i="3"/>
  <c r="M31" i="3"/>
  <c r="N31" i="3" s="1"/>
  <c r="F31" i="3"/>
  <c r="S116" i="3" l="1"/>
  <c r="T115" i="3"/>
  <c r="L31" i="3"/>
  <c r="Z119" i="3"/>
  <c r="AA119" i="3"/>
  <c r="AC119" i="3"/>
  <c r="P119" i="3"/>
  <c r="Q119" i="3" s="1"/>
  <c r="R119" i="3" s="1"/>
  <c r="AD119" i="3"/>
  <c r="A120" i="3"/>
  <c r="B120" i="3" s="1"/>
  <c r="V31" i="3"/>
  <c r="W31" i="3" s="1"/>
  <c r="AE31" i="3"/>
  <c r="T116" i="3" l="1"/>
  <c r="S117" i="3"/>
  <c r="Z120" i="3"/>
  <c r="A121" i="3"/>
  <c r="B121" i="3" s="1"/>
  <c r="AA120" i="3"/>
  <c r="P120" i="3"/>
  <c r="Q120" i="3" s="1"/>
  <c r="R120" i="3" s="1"/>
  <c r="AD120" i="3"/>
  <c r="AC120" i="3"/>
  <c r="AG32" i="3"/>
  <c r="AH32" i="3"/>
  <c r="U31" i="3"/>
  <c r="D32" i="3" s="1"/>
  <c r="Y30" i="3"/>
  <c r="S118" i="3" l="1"/>
  <c r="T117" i="3"/>
  <c r="G32" i="3"/>
  <c r="E32" i="3"/>
  <c r="H32" i="3" s="1"/>
  <c r="AD121" i="3"/>
  <c r="AA121" i="3"/>
  <c r="AC121" i="3"/>
  <c r="P121" i="3"/>
  <c r="Q121" i="3" s="1"/>
  <c r="R121" i="3" s="1"/>
  <c r="Z121" i="3"/>
  <c r="A122" i="3"/>
  <c r="B122" i="3" s="1"/>
  <c r="S119" i="3" l="1"/>
  <c r="T118" i="3"/>
  <c r="K32" i="3"/>
  <c r="I32" i="3"/>
  <c r="J32" i="3"/>
  <c r="M32" i="3"/>
  <c r="N32" i="3" s="1"/>
  <c r="Z122" i="3"/>
  <c r="AA122" i="3"/>
  <c r="P122" i="3"/>
  <c r="Q122" i="3" s="1"/>
  <c r="R122" i="3" s="1"/>
  <c r="AD122" i="3"/>
  <c r="AC122" i="3"/>
  <c r="A123" i="3"/>
  <c r="B123" i="3" s="1"/>
  <c r="F32" i="3"/>
  <c r="S120" i="3" l="1"/>
  <c r="T119" i="3"/>
  <c r="AA123" i="3"/>
  <c r="P123" i="3"/>
  <c r="Q123" i="3" s="1"/>
  <c r="R123" i="3" s="1"/>
  <c r="AD123" i="3"/>
  <c r="AC123" i="3"/>
  <c r="A124" i="3"/>
  <c r="B124" i="3" s="1"/>
  <c r="Z123" i="3"/>
  <c r="L32" i="3"/>
  <c r="V32" i="3"/>
  <c r="W32" i="3" s="1"/>
  <c r="AE32" i="3"/>
  <c r="S121" i="3" l="1"/>
  <c r="T120" i="3"/>
  <c r="Z124" i="3"/>
  <c r="AD124" i="3"/>
  <c r="AC124" i="3"/>
  <c r="AA124" i="3"/>
  <c r="A125" i="3"/>
  <c r="B125" i="3" s="1"/>
  <c r="P124" i="3"/>
  <c r="Q124" i="3" s="1"/>
  <c r="R124" i="3" s="1"/>
  <c r="AH33" i="3"/>
  <c r="AG33" i="3"/>
  <c r="U32" i="3"/>
  <c r="D33" i="3" s="1"/>
  <c r="Y31" i="3"/>
  <c r="T121" i="3" l="1"/>
  <c r="S122" i="3"/>
  <c r="E33" i="3"/>
  <c r="H33" i="3" s="1"/>
  <c r="K33" i="3" s="1"/>
  <c r="G33" i="3"/>
  <c r="A126" i="3"/>
  <c r="B126" i="3" s="1"/>
  <c r="P125" i="3"/>
  <c r="Q125" i="3" s="1"/>
  <c r="R125" i="3" s="1"/>
  <c r="Z125" i="3"/>
  <c r="AD125" i="3"/>
  <c r="AA125" i="3"/>
  <c r="AC125" i="3"/>
  <c r="S123" i="3" l="1"/>
  <c r="T122" i="3"/>
  <c r="F33" i="3"/>
  <c r="AA126" i="3"/>
  <c r="P126" i="3"/>
  <c r="Q126" i="3" s="1"/>
  <c r="R126" i="3" s="1"/>
  <c r="AC126" i="3"/>
  <c r="Z126" i="3"/>
  <c r="AD126" i="3"/>
  <c r="A127" i="3"/>
  <c r="B127" i="3" s="1"/>
  <c r="I33" i="3"/>
  <c r="J33" i="3"/>
  <c r="M33" i="3"/>
  <c r="N33" i="3" s="1"/>
  <c r="V33" i="3"/>
  <c r="AE33" i="3"/>
  <c r="T123" i="3" l="1"/>
  <c r="S124" i="3"/>
  <c r="W33" i="3"/>
  <c r="P127" i="3"/>
  <c r="Q127" i="3" s="1"/>
  <c r="R127" i="3" s="1"/>
  <c r="AD127" i="3"/>
  <c r="AA127" i="3"/>
  <c r="A128" i="3"/>
  <c r="B128" i="3" s="1"/>
  <c r="Z127" i="3"/>
  <c r="AC127" i="3"/>
  <c r="L33" i="3"/>
  <c r="S125" i="3" l="1"/>
  <c r="T124" i="3"/>
  <c r="P128" i="3"/>
  <c r="Q128" i="3" s="1"/>
  <c r="R128" i="3" s="1"/>
  <c r="Z128" i="3"/>
  <c r="AC128" i="3"/>
  <c r="A129" i="3"/>
  <c r="B129" i="3" s="1"/>
  <c r="AA128" i="3"/>
  <c r="AD128" i="3"/>
  <c r="AH34" i="3"/>
  <c r="AG34" i="3"/>
  <c r="U33" i="3"/>
  <c r="E34" i="3" s="1"/>
  <c r="H34" i="3" s="1"/>
  <c r="Y32" i="3"/>
  <c r="T125" i="3" l="1"/>
  <c r="S126" i="3"/>
  <c r="Z129" i="3"/>
  <c r="A130" i="3"/>
  <c r="B130" i="3" s="1"/>
  <c r="P129" i="3"/>
  <c r="Q129" i="3" s="1"/>
  <c r="R129" i="3" s="1"/>
  <c r="AD129" i="3"/>
  <c r="AC129" i="3"/>
  <c r="AA129" i="3"/>
  <c r="K34" i="3"/>
  <c r="D34" i="3"/>
  <c r="T126" i="3" l="1"/>
  <c r="S127" i="3"/>
  <c r="AC130" i="3"/>
  <c r="P130" i="3"/>
  <c r="Q130" i="3" s="1"/>
  <c r="R130" i="3" s="1"/>
  <c r="AA130" i="3"/>
  <c r="AD130" i="3"/>
  <c r="Z130" i="3"/>
  <c r="A131" i="3"/>
  <c r="B131" i="3" s="1"/>
  <c r="V34" i="3"/>
  <c r="AE34" i="3"/>
  <c r="F34" i="3"/>
  <c r="G34" i="3"/>
  <c r="T127" i="3" l="1"/>
  <c r="S128" i="3"/>
  <c r="I34" i="3"/>
  <c r="W34" i="3" s="1"/>
  <c r="J34" i="3"/>
  <c r="M34" i="3"/>
  <c r="N34" i="3" s="1"/>
  <c r="AC131" i="3"/>
  <c r="A132" i="3"/>
  <c r="B132" i="3" s="1"/>
  <c r="Z131" i="3"/>
  <c r="AA131" i="3"/>
  <c r="P131" i="3"/>
  <c r="Q131" i="3" s="1"/>
  <c r="R131" i="3" s="1"/>
  <c r="AD131" i="3"/>
  <c r="S129" i="3" l="1"/>
  <c r="T128" i="3"/>
  <c r="L34" i="3"/>
  <c r="AC132" i="3"/>
  <c r="Z132" i="3"/>
  <c r="A133" i="3"/>
  <c r="B133" i="3" s="1"/>
  <c r="P132" i="3"/>
  <c r="Q132" i="3" s="1"/>
  <c r="R132" i="3" s="1"/>
  <c r="AA132" i="3"/>
  <c r="AD132" i="3"/>
  <c r="S130" i="3" l="1"/>
  <c r="T129" i="3"/>
  <c r="AC133" i="3"/>
  <c r="P133" i="3"/>
  <c r="Q133" i="3" s="1"/>
  <c r="R133" i="3" s="1"/>
  <c r="Z133" i="3"/>
  <c r="AD133" i="3"/>
  <c r="AA133" i="3"/>
  <c r="A134" i="3"/>
  <c r="B134" i="3" s="1"/>
  <c r="AG35" i="3"/>
  <c r="AH35" i="3"/>
  <c r="U34" i="3"/>
  <c r="E35" i="3" s="1"/>
  <c r="H35" i="3" s="1"/>
  <c r="D35" i="3"/>
  <c r="Y33" i="3"/>
  <c r="T130" i="3" l="1"/>
  <c r="S131" i="3"/>
  <c r="AA134" i="3"/>
  <c r="P134" i="3"/>
  <c r="Q134" i="3" s="1"/>
  <c r="R134" i="3" s="1"/>
  <c r="AC134" i="3"/>
  <c r="A135" i="3"/>
  <c r="B135" i="3" s="1"/>
  <c r="AD134" i="3"/>
  <c r="Z134" i="3"/>
  <c r="K35" i="3"/>
  <c r="F35" i="3"/>
  <c r="G35" i="3"/>
  <c r="T131" i="3" l="1"/>
  <c r="S132" i="3"/>
  <c r="A136" i="3"/>
  <c r="B136" i="3" s="1"/>
  <c r="P135" i="3"/>
  <c r="Q135" i="3" s="1"/>
  <c r="R135" i="3" s="1"/>
  <c r="Z135" i="3"/>
  <c r="AD135" i="3"/>
  <c r="AA135" i="3"/>
  <c r="AC135" i="3"/>
  <c r="I35" i="3"/>
  <c r="J35" i="3"/>
  <c r="M35" i="3"/>
  <c r="N35" i="3" s="1"/>
  <c r="V35" i="3"/>
  <c r="AE35" i="3"/>
  <c r="T132" i="3" l="1"/>
  <c r="S133" i="3"/>
  <c r="W35" i="3"/>
  <c r="L35" i="3"/>
  <c r="P136" i="3"/>
  <c r="Q136" i="3" s="1"/>
  <c r="R136" i="3" s="1"/>
  <c r="AD136" i="3"/>
  <c r="AC136" i="3"/>
  <c r="Z136" i="3"/>
  <c r="A137" i="3"/>
  <c r="B137" i="3" s="1"/>
  <c r="AA136" i="3"/>
  <c r="S134" i="3" l="1"/>
  <c r="T133" i="3"/>
  <c r="A138" i="3"/>
  <c r="B138" i="3" s="1"/>
  <c r="AC137" i="3"/>
  <c r="P137" i="3"/>
  <c r="Q137" i="3" s="1"/>
  <c r="R137" i="3" s="1"/>
  <c r="AD137" i="3"/>
  <c r="AA137" i="3"/>
  <c r="Z137" i="3"/>
  <c r="U35" i="3"/>
  <c r="E36" i="3" s="1"/>
  <c r="H36" i="3" s="1"/>
  <c r="AH36" i="3"/>
  <c r="AG36" i="3"/>
  <c r="Y34" i="3"/>
  <c r="S135" i="3" l="1"/>
  <c r="T134" i="3"/>
  <c r="D36" i="3"/>
  <c r="F36" i="3" s="1"/>
  <c r="K36" i="3"/>
  <c r="A139" i="3"/>
  <c r="B139" i="3" s="1"/>
  <c r="Z138" i="3"/>
  <c r="AA138" i="3"/>
  <c r="AD138" i="3"/>
  <c r="P138" i="3"/>
  <c r="Q138" i="3" s="1"/>
  <c r="R138" i="3" s="1"/>
  <c r="AC138" i="3"/>
  <c r="G36" i="3" l="1"/>
  <c r="I36" i="3" s="1"/>
  <c r="S136" i="3"/>
  <c r="T135" i="3"/>
  <c r="AA139" i="3"/>
  <c r="Z139" i="3"/>
  <c r="A140" i="3"/>
  <c r="B140" i="3" s="1"/>
  <c r="AD139" i="3"/>
  <c r="P139" i="3"/>
  <c r="Q139" i="3" s="1"/>
  <c r="R139" i="3" s="1"/>
  <c r="AC139" i="3"/>
  <c r="V36" i="3"/>
  <c r="AE36" i="3"/>
  <c r="M36" i="3" l="1"/>
  <c r="N36" i="3" s="1"/>
  <c r="J36" i="3"/>
  <c r="L36" i="3" s="1"/>
  <c r="T136" i="3"/>
  <c r="S137" i="3"/>
  <c r="W36" i="3"/>
  <c r="P140" i="3"/>
  <c r="Q140" i="3" s="1"/>
  <c r="R140" i="3" s="1"/>
  <c r="Z140" i="3"/>
  <c r="AC140" i="3"/>
  <c r="AA140" i="3"/>
  <c r="AD140" i="3"/>
  <c r="A141" i="3"/>
  <c r="B141" i="3" s="1"/>
  <c r="T137" i="3" l="1"/>
  <c r="S138" i="3"/>
  <c r="AD141" i="3"/>
  <c r="Z141" i="3"/>
  <c r="A142" i="3"/>
  <c r="B142" i="3" s="1"/>
  <c r="P141" i="3"/>
  <c r="Q141" i="3" s="1"/>
  <c r="R141" i="3" s="1"/>
  <c r="AA141" i="3"/>
  <c r="AC141" i="3"/>
  <c r="U36" i="3"/>
  <c r="E37" i="3" s="1"/>
  <c r="H37" i="3" s="1"/>
  <c r="AH37" i="3"/>
  <c r="AG37" i="3"/>
  <c r="Y35" i="3"/>
  <c r="S139" i="3" l="1"/>
  <c r="T138" i="3"/>
  <c r="D37" i="3"/>
  <c r="F37" i="3" s="1"/>
  <c r="AC142" i="3"/>
  <c r="P142" i="3"/>
  <c r="Q142" i="3" s="1"/>
  <c r="R142" i="3" s="1"/>
  <c r="A143" i="3"/>
  <c r="B143" i="3" s="1"/>
  <c r="Z142" i="3"/>
  <c r="AA142" i="3"/>
  <c r="AD142" i="3"/>
  <c r="K37" i="3"/>
  <c r="T139" i="3" l="1"/>
  <c r="S140" i="3"/>
  <c r="G37" i="3"/>
  <c r="M37" i="3" s="1"/>
  <c r="N37" i="3" s="1"/>
  <c r="Z143" i="3"/>
  <c r="AA143" i="3"/>
  <c r="AC143" i="3"/>
  <c r="P143" i="3"/>
  <c r="Q143" i="3" s="1"/>
  <c r="R143" i="3" s="1"/>
  <c r="A144" i="3"/>
  <c r="B144" i="3" s="1"/>
  <c r="AD143" i="3"/>
  <c r="V37" i="3"/>
  <c r="AE37" i="3"/>
  <c r="J37" i="3"/>
  <c r="I37" i="3" l="1"/>
  <c r="W37" i="3" s="1"/>
  <c r="T140" i="3"/>
  <c r="S141" i="3"/>
  <c r="AC144" i="3"/>
  <c r="P144" i="3"/>
  <c r="Q144" i="3" s="1"/>
  <c r="R144" i="3" s="1"/>
  <c r="Z144" i="3"/>
  <c r="AD144" i="3"/>
  <c r="A145" i="3"/>
  <c r="B145" i="3" s="1"/>
  <c r="AA144" i="3"/>
  <c r="L37" i="3"/>
  <c r="S142" i="3" l="1"/>
  <c r="T141" i="3"/>
  <c r="P145" i="3"/>
  <c r="Q145" i="3" s="1"/>
  <c r="R145" i="3" s="1"/>
  <c r="AC145" i="3"/>
  <c r="AD145" i="3"/>
  <c r="A146" i="3"/>
  <c r="B146" i="3" s="1"/>
  <c r="Z145" i="3"/>
  <c r="AA145" i="3"/>
  <c r="AH38" i="3"/>
  <c r="AG38" i="3"/>
  <c r="U37" i="3"/>
  <c r="D38" i="3" s="1"/>
  <c r="Y36" i="3"/>
  <c r="E38" i="3" l="1"/>
  <c r="H38" i="3" s="1"/>
  <c r="K38" i="3" s="1"/>
  <c r="T142" i="3"/>
  <c r="S143" i="3"/>
  <c r="P146" i="3"/>
  <c r="Q146" i="3" s="1"/>
  <c r="R146" i="3" s="1"/>
  <c r="Z146" i="3"/>
  <c r="AD146" i="3"/>
  <c r="A147" i="3"/>
  <c r="B147" i="3" s="1"/>
  <c r="AA146" i="3"/>
  <c r="AC146" i="3"/>
  <c r="G38" i="3"/>
  <c r="S144" i="3" l="1"/>
  <c r="T143" i="3"/>
  <c r="F38" i="3"/>
  <c r="AD147" i="3"/>
  <c r="A148" i="3"/>
  <c r="B148" i="3" s="1"/>
  <c r="P147" i="3"/>
  <c r="Q147" i="3" s="1"/>
  <c r="R147" i="3" s="1"/>
  <c r="AA147" i="3"/>
  <c r="Z147" i="3"/>
  <c r="AC147" i="3"/>
  <c r="I38" i="3"/>
  <c r="J38" i="3"/>
  <c r="M38" i="3"/>
  <c r="N38" i="3" s="1"/>
  <c r="V38" i="3"/>
  <c r="AE38" i="3"/>
  <c r="T144" i="3" l="1"/>
  <c r="S145" i="3"/>
  <c r="W38" i="3"/>
  <c r="L38" i="3"/>
  <c r="AD148" i="3"/>
  <c r="A149" i="3"/>
  <c r="B149" i="3" s="1"/>
  <c r="AA148" i="3"/>
  <c r="AC148" i="3"/>
  <c r="Z148" i="3"/>
  <c r="P148" i="3"/>
  <c r="Q148" i="3" s="1"/>
  <c r="R148" i="3" s="1"/>
  <c r="T145" i="3" l="1"/>
  <c r="S146" i="3"/>
  <c r="AD149" i="3"/>
  <c r="AA149" i="3"/>
  <c r="Z149" i="3"/>
  <c r="P149" i="3"/>
  <c r="Q149" i="3" s="1"/>
  <c r="R149" i="3" s="1"/>
  <c r="AC149" i="3"/>
  <c r="A150" i="3"/>
  <c r="B150" i="3" s="1"/>
  <c r="AG39" i="3"/>
  <c r="U38" i="3"/>
  <c r="E39" i="3" s="1"/>
  <c r="H39" i="3" s="1"/>
  <c r="AH39" i="3"/>
  <c r="Y37" i="3"/>
  <c r="S147" i="3" l="1"/>
  <c r="T146" i="3"/>
  <c r="D39" i="3"/>
  <c r="G39" i="3" s="1"/>
  <c r="P150" i="3"/>
  <c r="Q150" i="3" s="1"/>
  <c r="R150" i="3" s="1"/>
  <c r="AC150" i="3"/>
  <c r="A151" i="3"/>
  <c r="B151" i="3" s="1"/>
  <c r="AD150" i="3"/>
  <c r="Z150" i="3"/>
  <c r="AA150" i="3"/>
  <c r="K39" i="3"/>
  <c r="F39" i="3" l="1"/>
  <c r="S148" i="3"/>
  <c r="T147" i="3"/>
  <c r="AC151" i="3"/>
  <c r="AA151" i="3"/>
  <c r="P151" i="3"/>
  <c r="Q151" i="3" s="1"/>
  <c r="R151" i="3" s="1"/>
  <c r="A152" i="3"/>
  <c r="B152" i="3" s="1"/>
  <c r="AD151" i="3"/>
  <c r="Z151" i="3"/>
  <c r="V39" i="3"/>
  <c r="AE39" i="3"/>
  <c r="I39" i="3"/>
  <c r="J39" i="3"/>
  <c r="M39" i="3"/>
  <c r="N39" i="3" s="1"/>
  <c r="S149" i="3" l="1"/>
  <c r="T148" i="3"/>
  <c r="AA152" i="3"/>
  <c r="Z152" i="3"/>
  <c r="P152" i="3"/>
  <c r="Q152" i="3" s="1"/>
  <c r="R152" i="3" s="1"/>
  <c r="AD152" i="3"/>
  <c r="AC152" i="3"/>
  <c r="A153" i="3"/>
  <c r="B153" i="3" s="1"/>
  <c r="W39" i="3"/>
  <c r="L39" i="3"/>
  <c r="T149" i="3" l="1"/>
  <c r="S150" i="3"/>
  <c r="AC153" i="3"/>
  <c r="Z153" i="3"/>
  <c r="P153" i="3"/>
  <c r="Q153" i="3" s="1"/>
  <c r="R153" i="3" s="1"/>
  <c r="A154" i="3"/>
  <c r="B154" i="3" s="1"/>
  <c r="AD153" i="3"/>
  <c r="AA153" i="3"/>
  <c r="AH40" i="3"/>
  <c r="U39" i="3"/>
  <c r="E40" i="3" s="1"/>
  <c r="H40" i="3" s="1"/>
  <c r="AG40" i="3"/>
  <c r="Y38" i="3"/>
  <c r="D40" i="3" l="1"/>
  <c r="F40" i="3" s="1"/>
  <c r="S151" i="3"/>
  <c r="T150" i="3"/>
  <c r="Z154" i="3"/>
  <c r="AC154" i="3"/>
  <c r="A155" i="3"/>
  <c r="B155" i="3" s="1"/>
  <c r="AA154" i="3"/>
  <c r="P154" i="3"/>
  <c r="Q154" i="3" s="1"/>
  <c r="R154" i="3" s="1"/>
  <c r="AD154" i="3"/>
  <c r="K40" i="3"/>
  <c r="G40" i="3" l="1"/>
  <c r="M40" i="3" s="1"/>
  <c r="N40" i="3" s="1"/>
  <c r="S152" i="3"/>
  <c r="T151" i="3"/>
  <c r="Z155" i="3"/>
  <c r="AD155" i="3"/>
  <c r="P155" i="3"/>
  <c r="Q155" i="3" s="1"/>
  <c r="R155" i="3" s="1"/>
  <c r="AC155" i="3"/>
  <c r="A156" i="3"/>
  <c r="B156" i="3" s="1"/>
  <c r="AA155" i="3"/>
  <c r="V40" i="3"/>
  <c r="AE40" i="3"/>
  <c r="J40" i="3"/>
  <c r="I40" i="3" l="1"/>
  <c r="W40" i="3" s="1"/>
  <c r="S153" i="3"/>
  <c r="T152" i="3"/>
  <c r="AA156" i="3"/>
  <c r="AC156" i="3"/>
  <c r="P156" i="3"/>
  <c r="Q156" i="3" s="1"/>
  <c r="R156" i="3" s="1"/>
  <c r="A157" i="3"/>
  <c r="B157" i="3" s="1"/>
  <c r="Z156" i="3"/>
  <c r="AD156" i="3"/>
  <c r="L40" i="3"/>
  <c r="T153" i="3" l="1"/>
  <c r="S154" i="3"/>
  <c r="A158" i="3"/>
  <c r="B158" i="3" s="1"/>
  <c r="P157" i="3"/>
  <c r="Q157" i="3" s="1"/>
  <c r="R157" i="3" s="1"/>
  <c r="Z157" i="3"/>
  <c r="AD157" i="3"/>
  <c r="AA157" i="3"/>
  <c r="AC157" i="3"/>
  <c r="AH41" i="3"/>
  <c r="U40" i="3"/>
  <c r="E41" i="3" s="1"/>
  <c r="H41" i="3" s="1"/>
  <c r="AG41" i="3"/>
  <c r="Y39" i="3"/>
  <c r="T154" i="3" l="1"/>
  <c r="S155" i="3"/>
  <c r="D41" i="3"/>
  <c r="F41" i="3" s="1"/>
  <c r="K41" i="3"/>
  <c r="AC158" i="3"/>
  <c r="Z158" i="3"/>
  <c r="A159" i="3"/>
  <c r="B159" i="3" s="1"/>
  <c r="AD158" i="3"/>
  <c r="AA158" i="3"/>
  <c r="P158" i="3"/>
  <c r="Q158" i="3" s="1"/>
  <c r="R158" i="3" s="1"/>
  <c r="S156" i="3" l="1"/>
  <c r="T155" i="3"/>
  <c r="G41" i="3"/>
  <c r="J41" i="3" s="1"/>
  <c r="V41" i="3"/>
  <c r="AE41" i="3"/>
  <c r="Z159" i="3"/>
  <c r="AC159" i="3"/>
  <c r="P159" i="3"/>
  <c r="Q159" i="3" s="1"/>
  <c r="R159" i="3" s="1"/>
  <c r="AA159" i="3"/>
  <c r="A160" i="3"/>
  <c r="B160" i="3" s="1"/>
  <c r="AD159" i="3"/>
  <c r="I41" i="3"/>
  <c r="T156" i="3" l="1"/>
  <c r="S157" i="3"/>
  <c r="M41" i="3"/>
  <c r="N41" i="3" s="1"/>
  <c r="W41" i="3"/>
  <c r="L41" i="3"/>
  <c r="AA160" i="3"/>
  <c r="AD160" i="3"/>
  <c r="AC160" i="3"/>
  <c r="P160" i="3"/>
  <c r="Q160" i="3" s="1"/>
  <c r="R160" i="3" s="1"/>
  <c r="A161" i="3"/>
  <c r="B161" i="3" s="1"/>
  <c r="Z160" i="3"/>
  <c r="T157" i="3" l="1"/>
  <c r="S158" i="3"/>
  <c r="AD161" i="3"/>
  <c r="Z161" i="3"/>
  <c r="AA161" i="3"/>
  <c r="A162" i="3"/>
  <c r="B162" i="3" s="1"/>
  <c r="AC161" i="3"/>
  <c r="P161" i="3"/>
  <c r="Q161" i="3" s="1"/>
  <c r="R161" i="3" s="1"/>
  <c r="U41" i="3"/>
  <c r="E42" i="3" s="1"/>
  <c r="H42" i="3" s="1"/>
  <c r="AH42" i="3"/>
  <c r="AG42" i="3"/>
  <c r="Y40" i="3"/>
  <c r="D42" i="3" l="1"/>
  <c r="F42" i="3" s="1"/>
  <c r="S159" i="3"/>
  <c r="T158" i="3"/>
  <c r="AD162" i="3"/>
  <c r="AC162" i="3"/>
  <c r="P162" i="3"/>
  <c r="Q162" i="3" s="1"/>
  <c r="R162" i="3" s="1"/>
  <c r="AA162" i="3"/>
  <c r="A163" i="3"/>
  <c r="B163" i="3" s="1"/>
  <c r="Z162" i="3"/>
  <c r="K42" i="3"/>
  <c r="G42" i="3" l="1"/>
  <c r="S160" i="3"/>
  <c r="T159" i="3"/>
  <c r="V42" i="3"/>
  <c r="AE42" i="3"/>
  <c r="AD163" i="3"/>
  <c r="AC163" i="3"/>
  <c r="AA163" i="3"/>
  <c r="Z163" i="3"/>
  <c r="P163" i="3"/>
  <c r="Q163" i="3" s="1"/>
  <c r="R163" i="3" s="1"/>
  <c r="A164" i="3"/>
  <c r="B164" i="3" s="1"/>
  <c r="I42" i="3"/>
  <c r="J42" i="3"/>
  <c r="M42" i="3"/>
  <c r="N42" i="3" s="1"/>
  <c r="S161" i="3" l="1"/>
  <c r="T160" i="3"/>
  <c r="AD164" i="3"/>
  <c r="A165" i="3"/>
  <c r="B165" i="3" s="1"/>
  <c r="AC164" i="3"/>
  <c r="AA164" i="3"/>
  <c r="P164" i="3"/>
  <c r="Q164" i="3" s="1"/>
  <c r="R164" i="3" s="1"/>
  <c r="Z164" i="3"/>
  <c r="W42" i="3"/>
  <c r="L42" i="3"/>
  <c r="T161" i="3" l="1"/>
  <c r="S162" i="3"/>
  <c r="AA165" i="3"/>
  <c r="AD165" i="3"/>
  <c r="P165" i="3"/>
  <c r="Q165" i="3" s="1"/>
  <c r="R165" i="3" s="1"/>
  <c r="A166" i="3"/>
  <c r="B166" i="3" s="1"/>
  <c r="Z165" i="3"/>
  <c r="AC165" i="3"/>
  <c r="AH43" i="3"/>
  <c r="AG43" i="3"/>
  <c r="U42" i="3"/>
  <c r="E43" i="3" s="1"/>
  <c r="H43" i="3" s="1"/>
  <c r="Y41" i="3"/>
  <c r="T162" i="3" l="1"/>
  <c r="S163" i="3"/>
  <c r="D43" i="3"/>
  <c r="F43" i="3" s="1"/>
  <c r="Z166" i="3"/>
  <c r="AA166" i="3"/>
  <c r="A167" i="3"/>
  <c r="B167" i="3" s="1"/>
  <c r="AC166" i="3"/>
  <c r="AD166" i="3"/>
  <c r="P166" i="3"/>
  <c r="Q166" i="3" s="1"/>
  <c r="R166" i="3" s="1"/>
  <c r="K43" i="3"/>
  <c r="G43" i="3" l="1"/>
  <c r="I43" i="3" s="1"/>
  <c r="T163" i="3"/>
  <c r="S164" i="3"/>
  <c r="AD167" i="3"/>
  <c r="Z167" i="3"/>
  <c r="A168" i="3"/>
  <c r="B168" i="3" s="1"/>
  <c r="AC167" i="3"/>
  <c r="P167" i="3"/>
  <c r="Q167" i="3" s="1"/>
  <c r="R167" i="3" s="1"/>
  <c r="AA167" i="3"/>
  <c r="V43" i="3"/>
  <c r="AE43" i="3"/>
  <c r="M43" i="3" l="1"/>
  <c r="N43" i="3" s="1"/>
  <c r="J43" i="3"/>
  <c r="L43" i="3" s="1"/>
  <c r="S165" i="3"/>
  <c r="T164" i="3"/>
  <c r="W43" i="3"/>
  <c r="Z168" i="3"/>
  <c r="AA168" i="3"/>
  <c r="P168" i="3"/>
  <c r="Q168" i="3" s="1"/>
  <c r="R168" i="3" s="1"/>
  <c r="AD168" i="3"/>
  <c r="AC168" i="3"/>
  <c r="A169" i="3"/>
  <c r="B169" i="3" s="1"/>
  <c r="S166" i="3" l="1"/>
  <c r="T165" i="3"/>
  <c r="A170" i="3"/>
  <c r="B170" i="3" s="1"/>
  <c r="P169" i="3"/>
  <c r="Q169" i="3" s="1"/>
  <c r="R169" i="3" s="1"/>
  <c r="Z169" i="3"/>
  <c r="AD169" i="3"/>
  <c r="AA169" i="3"/>
  <c r="AC169" i="3"/>
  <c r="AH44" i="3"/>
  <c r="U43" i="3"/>
  <c r="D44" i="3" s="1"/>
  <c r="AG44" i="3"/>
  <c r="Y42" i="3"/>
  <c r="S167" i="3" l="1"/>
  <c r="T166" i="3"/>
  <c r="E44" i="3"/>
  <c r="H44" i="3" s="1"/>
  <c r="K44" i="3" s="1"/>
  <c r="G44" i="3"/>
  <c r="AA170" i="3"/>
  <c r="AD170" i="3"/>
  <c r="AC170" i="3"/>
  <c r="Z170" i="3"/>
  <c r="P170" i="3"/>
  <c r="Q170" i="3" s="1"/>
  <c r="R170" i="3" s="1"/>
  <c r="A171" i="3"/>
  <c r="B171" i="3" s="1"/>
  <c r="S168" i="3" l="1"/>
  <c r="T167" i="3"/>
  <c r="F44" i="3"/>
  <c r="P171" i="3"/>
  <c r="Q171" i="3" s="1"/>
  <c r="R171" i="3" s="1"/>
  <c r="AC171" i="3"/>
  <c r="AA171" i="3"/>
  <c r="AD171" i="3"/>
  <c r="Z171" i="3"/>
  <c r="A172" i="3"/>
  <c r="B172" i="3" s="1"/>
  <c r="I44" i="3"/>
  <c r="J44" i="3"/>
  <c r="M44" i="3"/>
  <c r="N44" i="3" s="1"/>
  <c r="V44" i="3"/>
  <c r="AE44" i="3"/>
  <c r="T168" i="3" l="1"/>
  <c r="S169" i="3"/>
  <c r="AA172" i="3"/>
  <c r="P172" i="3"/>
  <c r="Q172" i="3" s="1"/>
  <c r="R172" i="3" s="1"/>
  <c r="AC172" i="3"/>
  <c r="AD172" i="3"/>
  <c r="Z172" i="3"/>
  <c r="A173" i="3"/>
  <c r="B173" i="3" s="1"/>
  <c r="W44" i="3"/>
  <c r="L44" i="3"/>
  <c r="T169" i="3" l="1"/>
  <c r="S170" i="3"/>
  <c r="AD173" i="3"/>
  <c r="P173" i="3"/>
  <c r="Q173" i="3" s="1"/>
  <c r="R173" i="3" s="1"/>
  <c r="AA173" i="3"/>
  <c r="AC173" i="3"/>
  <c r="Z173" i="3"/>
  <c r="A174" i="3"/>
  <c r="B174" i="3" s="1"/>
  <c r="AH45" i="3"/>
  <c r="U44" i="3"/>
  <c r="E45" i="3" s="1"/>
  <c r="H45" i="3" s="1"/>
  <c r="AG45" i="3"/>
  <c r="Y43" i="3"/>
  <c r="S171" i="3" l="1"/>
  <c r="T170" i="3"/>
  <c r="D45" i="3"/>
  <c r="G45" i="3" s="1"/>
  <c r="K45" i="3"/>
  <c r="AD174" i="3"/>
  <c r="P174" i="3"/>
  <c r="Q174" i="3" s="1"/>
  <c r="R174" i="3" s="1"/>
  <c r="AA174" i="3"/>
  <c r="AC174" i="3"/>
  <c r="Z174" i="3"/>
  <c r="A175" i="3"/>
  <c r="B175" i="3" s="1"/>
  <c r="T171" i="3" l="1"/>
  <c r="S172" i="3"/>
  <c r="F45" i="3"/>
  <c r="AA175" i="3"/>
  <c r="A176" i="3"/>
  <c r="B176" i="3" s="1"/>
  <c r="AC175" i="3"/>
  <c r="AD175" i="3"/>
  <c r="P175" i="3"/>
  <c r="Q175" i="3" s="1"/>
  <c r="R175" i="3" s="1"/>
  <c r="Z175" i="3"/>
  <c r="V45" i="3"/>
  <c r="AE45" i="3"/>
  <c r="I45" i="3"/>
  <c r="J45" i="3"/>
  <c r="M45" i="3"/>
  <c r="N45" i="3" s="1"/>
  <c r="T172" i="3" l="1"/>
  <c r="S173" i="3"/>
  <c r="W45" i="3"/>
  <c r="L45" i="3"/>
  <c r="A177" i="3"/>
  <c r="B177" i="3" s="1"/>
  <c r="AC176" i="3"/>
  <c r="AA176" i="3"/>
  <c r="P176" i="3"/>
  <c r="Q176" i="3" s="1"/>
  <c r="R176" i="3" s="1"/>
  <c r="AD176" i="3"/>
  <c r="Z176" i="3"/>
  <c r="T173" i="3" l="1"/>
  <c r="S174" i="3"/>
  <c r="AD177" i="3"/>
  <c r="Z177" i="3"/>
  <c r="AA177" i="3"/>
  <c r="A178" i="3"/>
  <c r="B178" i="3" s="1"/>
  <c r="AC177" i="3"/>
  <c r="P177" i="3"/>
  <c r="Q177" i="3" s="1"/>
  <c r="R177" i="3" s="1"/>
  <c r="U45" i="3"/>
  <c r="D46" i="3" s="1"/>
  <c r="AG46" i="3"/>
  <c r="AH46" i="3"/>
  <c r="Y44" i="3"/>
  <c r="E46" i="3" l="1"/>
  <c r="H46" i="3" s="1"/>
  <c r="K46" i="3" s="1"/>
  <c r="S175" i="3"/>
  <c r="T174" i="3"/>
  <c r="A179" i="3"/>
  <c r="B179" i="3" s="1"/>
  <c r="P178" i="3"/>
  <c r="Q178" i="3" s="1"/>
  <c r="R178" i="3" s="1"/>
  <c r="Z178" i="3"/>
  <c r="AC178" i="3"/>
  <c r="AA178" i="3"/>
  <c r="AD178" i="3"/>
  <c r="G46" i="3"/>
  <c r="F46" i="3" l="1"/>
  <c r="T175" i="3"/>
  <c r="S176" i="3"/>
  <c r="A180" i="3"/>
  <c r="B180" i="3" s="1"/>
  <c r="AD179" i="3"/>
  <c r="AC179" i="3"/>
  <c r="P179" i="3"/>
  <c r="Q179" i="3" s="1"/>
  <c r="R179" i="3" s="1"/>
  <c r="AA179" i="3"/>
  <c r="Z179" i="3"/>
  <c r="I46" i="3"/>
  <c r="J46" i="3"/>
  <c r="M46" i="3"/>
  <c r="N46" i="3" s="1"/>
  <c r="V46" i="3"/>
  <c r="AE46" i="3"/>
  <c r="T176" i="3" l="1"/>
  <c r="S177" i="3"/>
  <c r="AD180" i="3"/>
  <c r="A181" i="3"/>
  <c r="B181" i="3" s="1"/>
  <c r="AC180" i="3"/>
  <c r="AA180" i="3"/>
  <c r="P180" i="3"/>
  <c r="Q180" i="3" s="1"/>
  <c r="R180" i="3" s="1"/>
  <c r="Z180" i="3"/>
  <c r="W46" i="3"/>
  <c r="L46" i="3"/>
  <c r="S178" i="3" l="1"/>
  <c r="T177" i="3"/>
  <c r="AG47" i="3"/>
  <c r="U46" i="3"/>
  <c r="D47" i="3" s="1"/>
  <c r="AH47" i="3"/>
  <c r="Y45" i="3"/>
  <c r="AA181" i="3"/>
  <c r="Z181" i="3"/>
  <c r="P181" i="3"/>
  <c r="Q181" i="3" s="1"/>
  <c r="R181" i="3" s="1"/>
  <c r="A182" i="3"/>
  <c r="B182" i="3" s="1"/>
  <c r="AD181" i="3"/>
  <c r="AC181" i="3"/>
  <c r="T178" i="3" l="1"/>
  <c r="S179" i="3"/>
  <c r="G47" i="3"/>
  <c r="E47" i="3"/>
  <c r="H47" i="3" s="1"/>
  <c r="AA182" i="3"/>
  <c r="AC182" i="3"/>
  <c r="Z182" i="3"/>
  <c r="AD182" i="3"/>
  <c r="A183" i="3"/>
  <c r="B183" i="3" s="1"/>
  <c r="P182" i="3"/>
  <c r="Q182" i="3" s="1"/>
  <c r="R182" i="3" s="1"/>
  <c r="T179" i="3" l="1"/>
  <c r="S180" i="3"/>
  <c r="A184" i="3"/>
  <c r="B184" i="3" s="1"/>
  <c r="Z183" i="3"/>
  <c r="AA183" i="3"/>
  <c r="P183" i="3"/>
  <c r="Q183" i="3" s="1"/>
  <c r="R183" i="3" s="1"/>
  <c r="AC183" i="3"/>
  <c r="AD183" i="3"/>
  <c r="K47" i="3"/>
  <c r="I47" i="3"/>
  <c r="J47" i="3"/>
  <c r="M47" i="3"/>
  <c r="N47" i="3" s="1"/>
  <c r="F47" i="3"/>
  <c r="T180" i="3" l="1"/>
  <c r="S181" i="3"/>
  <c r="L47" i="3"/>
  <c r="V47" i="3"/>
  <c r="W47" i="3" s="1"/>
  <c r="AE47" i="3"/>
  <c r="AD184" i="3"/>
  <c r="Z184" i="3"/>
  <c r="AA184" i="3"/>
  <c r="AC184" i="3"/>
  <c r="A185" i="3"/>
  <c r="B185" i="3" s="1"/>
  <c r="P184" i="3"/>
  <c r="Q184" i="3" s="1"/>
  <c r="R184" i="3" s="1"/>
  <c r="S182" i="3" l="1"/>
  <c r="T181" i="3"/>
  <c r="A186" i="3"/>
  <c r="B186" i="3" s="1"/>
  <c r="Z185" i="3"/>
  <c r="AC185" i="3"/>
  <c r="P185" i="3"/>
  <c r="Q185" i="3" s="1"/>
  <c r="R185" i="3" s="1"/>
  <c r="AA185" i="3"/>
  <c r="AD185" i="3"/>
  <c r="AH48" i="3"/>
  <c r="U47" i="3"/>
  <c r="D48" i="3" s="1"/>
  <c r="AG48" i="3"/>
  <c r="Y46" i="3"/>
  <c r="S183" i="3" l="1"/>
  <c r="T182" i="3"/>
  <c r="E48" i="3"/>
  <c r="H48" i="3" s="1"/>
  <c r="K48" i="3" s="1"/>
  <c r="AD186" i="3"/>
  <c r="P186" i="3"/>
  <c r="Q186" i="3" s="1"/>
  <c r="R186" i="3" s="1"/>
  <c r="AC186" i="3"/>
  <c r="Z186" i="3"/>
  <c r="AA186" i="3"/>
  <c r="A187" i="3"/>
  <c r="B187" i="3" s="1"/>
  <c r="G48" i="3"/>
  <c r="F48" i="3" l="1"/>
  <c r="S184" i="3"/>
  <c r="T183" i="3"/>
  <c r="P187" i="3"/>
  <c r="Q187" i="3" s="1"/>
  <c r="R187" i="3" s="1"/>
  <c r="AD187" i="3"/>
  <c r="A188" i="3"/>
  <c r="B188" i="3" s="1"/>
  <c r="AC187" i="3"/>
  <c r="AA187" i="3"/>
  <c r="Z187" i="3"/>
  <c r="I48" i="3"/>
  <c r="J48" i="3"/>
  <c r="M48" i="3"/>
  <c r="N48" i="3" s="1"/>
  <c r="V48" i="3"/>
  <c r="AE48" i="3"/>
  <c r="S185" i="3" l="1"/>
  <c r="T184" i="3"/>
  <c r="W48" i="3"/>
  <c r="P188" i="3"/>
  <c r="Q188" i="3" s="1"/>
  <c r="R188" i="3" s="1"/>
  <c r="Z188" i="3"/>
  <c r="AA188" i="3"/>
  <c r="AC188" i="3"/>
  <c r="AD188" i="3"/>
  <c r="A189" i="3"/>
  <c r="B189" i="3" s="1"/>
  <c r="L48" i="3"/>
  <c r="S186" i="3" l="1"/>
  <c r="T185" i="3"/>
  <c r="AC189" i="3"/>
  <c r="AD189" i="3"/>
  <c r="P189" i="3"/>
  <c r="Q189" i="3" s="1"/>
  <c r="R189" i="3" s="1"/>
  <c r="Z189" i="3"/>
  <c r="A190" i="3"/>
  <c r="B190" i="3" s="1"/>
  <c r="AA189" i="3"/>
  <c r="AG49" i="3"/>
  <c r="U48" i="3"/>
  <c r="D49" i="3" s="1"/>
  <c r="AH49" i="3"/>
  <c r="Y47" i="3"/>
  <c r="S187" i="3" l="1"/>
  <c r="T186" i="3"/>
  <c r="E49" i="3"/>
  <c r="H49" i="3" s="1"/>
  <c r="K49" i="3" s="1"/>
  <c r="P190" i="3"/>
  <c r="Q190" i="3" s="1"/>
  <c r="R190" i="3" s="1"/>
  <c r="Z190" i="3"/>
  <c r="AC190" i="3"/>
  <c r="AD190" i="3"/>
  <c r="A191" i="3"/>
  <c r="B191" i="3" s="1"/>
  <c r="AA190" i="3"/>
  <c r="G49" i="3"/>
  <c r="F49" i="3" l="1"/>
  <c r="S188" i="3"/>
  <c r="T187" i="3"/>
  <c r="AC191" i="3"/>
  <c r="AD191" i="3"/>
  <c r="A192" i="3"/>
  <c r="B192" i="3" s="1"/>
  <c r="Z191" i="3"/>
  <c r="AA191" i="3"/>
  <c r="P191" i="3"/>
  <c r="Q191" i="3" s="1"/>
  <c r="R191" i="3" s="1"/>
  <c r="I49" i="3"/>
  <c r="J49" i="3"/>
  <c r="M49" i="3"/>
  <c r="N49" i="3" s="1"/>
  <c r="V49" i="3"/>
  <c r="AE49" i="3"/>
  <c r="T188" i="3" l="1"/>
  <c r="S189" i="3"/>
  <c r="AC192" i="3"/>
  <c r="A193" i="3"/>
  <c r="B193" i="3" s="1"/>
  <c r="P192" i="3"/>
  <c r="Q192" i="3" s="1"/>
  <c r="R192" i="3" s="1"/>
  <c r="Z192" i="3"/>
  <c r="AA192" i="3"/>
  <c r="AD192" i="3"/>
  <c r="W49" i="3"/>
  <c r="L49" i="3"/>
  <c r="S190" i="3" l="1"/>
  <c r="T189" i="3"/>
  <c r="AD193" i="3"/>
  <c r="P193" i="3"/>
  <c r="Q193" i="3" s="1"/>
  <c r="R193" i="3" s="1"/>
  <c r="AC193" i="3"/>
  <c r="A194" i="3"/>
  <c r="B194" i="3" s="1"/>
  <c r="AA193" i="3"/>
  <c r="Z193" i="3"/>
  <c r="U49" i="3"/>
  <c r="E50" i="3" s="1"/>
  <c r="H50" i="3" s="1"/>
  <c r="AG50" i="3"/>
  <c r="AH50" i="3"/>
  <c r="Y48" i="3"/>
  <c r="D50" i="3" l="1"/>
  <c r="F50" i="3" s="1"/>
  <c r="T190" i="3"/>
  <c r="S191" i="3"/>
  <c r="AD194" i="3"/>
  <c r="AC194" i="3"/>
  <c r="Z194" i="3"/>
  <c r="A195" i="3"/>
  <c r="B195" i="3" s="1"/>
  <c r="P194" i="3"/>
  <c r="Q194" i="3" s="1"/>
  <c r="R194" i="3" s="1"/>
  <c r="AA194" i="3"/>
  <c r="K50" i="3"/>
  <c r="G50" i="3" l="1"/>
  <c r="M50" i="3" s="1"/>
  <c r="N50" i="3" s="1"/>
  <c r="S192" i="3"/>
  <c r="T191" i="3"/>
  <c r="AA195" i="3"/>
  <c r="AC195" i="3"/>
  <c r="A196" i="3"/>
  <c r="B196" i="3" s="1"/>
  <c r="AD195" i="3"/>
  <c r="Z195" i="3"/>
  <c r="P195" i="3"/>
  <c r="Q195" i="3" s="1"/>
  <c r="R195" i="3" s="1"/>
  <c r="V50" i="3"/>
  <c r="AE50" i="3"/>
  <c r="J50" i="3" l="1"/>
  <c r="I50" i="3"/>
  <c r="S193" i="3"/>
  <c r="T192" i="3"/>
  <c r="A197" i="3"/>
  <c r="B197" i="3" s="1"/>
  <c r="AD196" i="3"/>
  <c r="Z196" i="3"/>
  <c r="AC196" i="3"/>
  <c r="P196" i="3"/>
  <c r="Q196" i="3" s="1"/>
  <c r="R196" i="3" s="1"/>
  <c r="AA196" i="3"/>
  <c r="W50" i="3"/>
  <c r="L50" i="3"/>
  <c r="S194" i="3" l="1"/>
  <c r="T193" i="3"/>
  <c r="AA197" i="3"/>
  <c r="AC197" i="3"/>
  <c r="Z197" i="3"/>
  <c r="AD197" i="3"/>
  <c r="A198" i="3"/>
  <c r="B198" i="3" s="1"/>
  <c r="P197" i="3"/>
  <c r="Q197" i="3" s="1"/>
  <c r="R197" i="3" s="1"/>
  <c r="AG51" i="3"/>
  <c r="U50" i="3"/>
  <c r="D51" i="3" s="1"/>
  <c r="AH51" i="3"/>
  <c r="Y49" i="3"/>
  <c r="S195" i="3" l="1"/>
  <c r="T194" i="3"/>
  <c r="G51" i="3"/>
  <c r="AC198" i="3"/>
  <c r="P198" i="3"/>
  <c r="Q198" i="3" s="1"/>
  <c r="R198" i="3" s="1"/>
  <c r="AA198" i="3"/>
  <c r="Z198" i="3"/>
  <c r="A199" i="3"/>
  <c r="B199" i="3" s="1"/>
  <c r="AD198" i="3"/>
  <c r="E51" i="3"/>
  <c r="H51" i="3" s="1"/>
  <c r="T195" i="3" l="1"/>
  <c r="S196" i="3"/>
  <c r="AD199" i="3"/>
  <c r="A200" i="3"/>
  <c r="B200" i="3" s="1"/>
  <c r="AA199" i="3"/>
  <c r="P199" i="3"/>
  <c r="Q199" i="3" s="1"/>
  <c r="R199" i="3" s="1"/>
  <c r="Z199" i="3"/>
  <c r="AC199" i="3"/>
  <c r="K51" i="3"/>
  <c r="I51" i="3"/>
  <c r="J51" i="3"/>
  <c r="M51" i="3"/>
  <c r="N51" i="3" s="1"/>
  <c r="F51" i="3"/>
  <c r="S197" i="3" l="1"/>
  <c r="T196" i="3"/>
  <c r="V51" i="3"/>
  <c r="W51" i="3" s="1"/>
  <c r="AE51" i="3"/>
  <c r="L51" i="3"/>
  <c r="Z200" i="3"/>
  <c r="AD200" i="3"/>
  <c r="A201" i="3"/>
  <c r="B201" i="3" s="1"/>
  <c r="AA200" i="3"/>
  <c r="P200" i="3"/>
  <c r="Q200" i="3" s="1"/>
  <c r="R200" i="3" s="1"/>
  <c r="AC200" i="3"/>
  <c r="S198" i="3" l="1"/>
  <c r="T197" i="3"/>
  <c r="AC201" i="3"/>
  <c r="AA201" i="3"/>
  <c r="Z201" i="3"/>
  <c r="AD201" i="3"/>
  <c r="P201" i="3"/>
  <c r="Q201" i="3" s="1"/>
  <c r="R201" i="3" s="1"/>
  <c r="A202" i="3"/>
  <c r="B202" i="3" s="1"/>
  <c r="AH52" i="3"/>
  <c r="U51" i="3"/>
  <c r="E52" i="3" s="1"/>
  <c r="H52" i="3" s="1"/>
  <c r="AG52" i="3"/>
  <c r="Y50" i="3"/>
  <c r="T198" i="3" l="1"/>
  <c r="S199" i="3"/>
  <c r="D52" i="3"/>
  <c r="G52" i="3" s="1"/>
  <c r="K52" i="3"/>
  <c r="AC202" i="3"/>
  <c r="A203" i="3"/>
  <c r="B203" i="3" s="1"/>
  <c r="P202" i="3"/>
  <c r="Q202" i="3" s="1"/>
  <c r="R202" i="3" s="1"/>
  <c r="Z202" i="3"/>
  <c r="AA202" i="3"/>
  <c r="AD202" i="3"/>
  <c r="F52" i="3" l="1"/>
  <c r="T199" i="3"/>
  <c r="S200" i="3"/>
  <c r="P203" i="3"/>
  <c r="Q203" i="3" s="1"/>
  <c r="R203" i="3" s="1"/>
  <c r="AD203" i="3"/>
  <c r="AA203" i="3"/>
  <c r="AC203" i="3"/>
  <c r="A204" i="3"/>
  <c r="B204" i="3" s="1"/>
  <c r="Z203" i="3"/>
  <c r="V52" i="3"/>
  <c r="AE52" i="3"/>
  <c r="I52" i="3"/>
  <c r="J52" i="3"/>
  <c r="M52" i="3"/>
  <c r="N52" i="3" s="1"/>
  <c r="T200" i="3" l="1"/>
  <c r="S201" i="3"/>
  <c r="W52" i="3"/>
  <c r="AA204" i="3"/>
  <c r="AC204" i="3"/>
  <c r="Z204" i="3"/>
  <c r="P204" i="3"/>
  <c r="Q204" i="3" s="1"/>
  <c r="R204" i="3" s="1"/>
  <c r="L52" i="3"/>
  <c r="T201" i="3" l="1"/>
  <c r="S202" i="3"/>
  <c r="U52" i="3"/>
  <c r="D53" i="3" s="1"/>
  <c r="AG53" i="3"/>
  <c r="AH53" i="3"/>
  <c r="Y51" i="3"/>
  <c r="T202" i="3" l="1"/>
  <c r="S203" i="3"/>
  <c r="E53" i="3"/>
  <c r="H53" i="3" s="1"/>
  <c r="K53" i="3" s="1"/>
  <c r="G53" i="3"/>
  <c r="S204" i="3" l="1"/>
  <c r="T204" i="3" s="1"/>
  <c r="T203" i="3"/>
  <c r="F53" i="3"/>
  <c r="V53" i="3"/>
  <c r="AE53" i="3"/>
  <c r="I53" i="3"/>
  <c r="J53" i="3"/>
  <c r="M53" i="3"/>
  <c r="N53" i="3" s="1"/>
  <c r="L53" i="3" l="1"/>
  <c r="W53" i="3"/>
  <c r="AG54" i="3" l="1"/>
  <c r="AH54" i="3"/>
  <c r="U53" i="3"/>
  <c r="E54" i="3" s="1"/>
  <c r="H54" i="3" s="1"/>
  <c r="Y52" i="3"/>
  <c r="D54" i="3" l="1"/>
  <c r="F54" i="3" s="1"/>
  <c r="K54" i="3"/>
  <c r="G54" i="3" l="1"/>
  <c r="I54" i="3" s="1"/>
  <c r="V54" i="3"/>
  <c r="AE54" i="3"/>
  <c r="M54" i="3" l="1"/>
  <c r="N54" i="3" s="1"/>
  <c r="J54" i="3"/>
  <c r="L54" i="3" s="1"/>
  <c r="W54" i="3"/>
  <c r="AH55" i="3" l="1"/>
  <c r="AG55" i="3"/>
  <c r="U54" i="3"/>
  <c r="D55" i="3" s="1"/>
  <c r="Y53" i="3"/>
  <c r="G55" i="3" l="1"/>
  <c r="E55" i="3"/>
  <c r="H55" i="3" s="1"/>
  <c r="K55" i="3" l="1"/>
  <c r="I55" i="3"/>
  <c r="J55" i="3"/>
  <c r="M55" i="3"/>
  <c r="N55" i="3" s="1"/>
  <c r="F55" i="3"/>
  <c r="V55" i="3" l="1"/>
  <c r="W55" i="3" s="1"/>
  <c r="AE55" i="3"/>
  <c r="L55" i="3"/>
  <c r="AH56" i="3" l="1"/>
  <c r="U55" i="3"/>
  <c r="D56" i="3" s="1"/>
  <c r="AG56" i="3"/>
  <c r="Y54" i="3"/>
  <c r="E56" i="3" l="1"/>
  <c r="H56" i="3" s="1"/>
  <c r="K56" i="3" s="1"/>
  <c r="G56" i="3"/>
  <c r="F56" i="3" l="1"/>
  <c r="I56" i="3"/>
  <c r="J56" i="3"/>
  <c r="M56" i="3"/>
  <c r="N56" i="3" s="1"/>
  <c r="V56" i="3"/>
  <c r="AE56" i="3"/>
  <c r="W56" i="3" l="1"/>
  <c r="L56" i="3"/>
  <c r="AG57" i="3" l="1"/>
  <c r="AH57" i="3"/>
  <c r="U56" i="3"/>
  <c r="D57" i="3" s="1"/>
  <c r="Y55" i="3"/>
  <c r="E57" i="3" l="1"/>
  <c r="H57" i="3" s="1"/>
  <c r="K57" i="3" s="1"/>
  <c r="G57" i="3"/>
  <c r="F57" i="3" l="1"/>
  <c r="I57" i="3"/>
  <c r="J57" i="3"/>
  <c r="M57" i="3"/>
  <c r="N57" i="3" s="1"/>
  <c r="V57" i="3"/>
  <c r="AE57" i="3"/>
  <c r="W57" i="3" l="1"/>
  <c r="L57" i="3"/>
  <c r="U57" i="3" l="1"/>
  <c r="E58" i="3" s="1"/>
  <c r="H58" i="3" s="1"/>
  <c r="AG58" i="3"/>
  <c r="AH58" i="3"/>
  <c r="Y56" i="3"/>
  <c r="D58" i="3" l="1"/>
  <c r="F58" i="3" s="1"/>
  <c r="K58" i="3"/>
  <c r="G58" i="3" l="1"/>
  <c r="J58" i="3" s="1"/>
  <c r="V58" i="3"/>
  <c r="AE58" i="3"/>
  <c r="I58" i="3" l="1"/>
  <c r="W58" i="3" s="1"/>
  <c r="M58" i="3"/>
  <c r="N58" i="3" s="1"/>
  <c r="L58" i="3"/>
  <c r="AG59" i="3" l="1"/>
  <c r="U58" i="3"/>
  <c r="D59" i="3" s="1"/>
  <c r="AH59" i="3"/>
  <c r="Y57" i="3"/>
  <c r="E59" i="3" l="1"/>
  <c r="H59" i="3" s="1"/>
  <c r="K59" i="3" s="1"/>
  <c r="G59" i="3"/>
  <c r="F59" i="3" l="1"/>
  <c r="V59" i="3"/>
  <c r="AE59" i="3"/>
  <c r="I59" i="3"/>
  <c r="J59" i="3"/>
  <c r="M59" i="3"/>
  <c r="N59" i="3" s="1"/>
  <c r="W59" i="3" l="1"/>
  <c r="L59" i="3"/>
  <c r="AH60" i="3" l="1"/>
  <c r="AG60" i="3"/>
  <c r="U59" i="3"/>
  <c r="D60" i="3" s="1"/>
  <c r="Y58" i="3"/>
  <c r="G60" i="3" l="1"/>
  <c r="E60" i="3"/>
  <c r="H60" i="3" s="1"/>
  <c r="K60" i="3" l="1"/>
  <c r="I60" i="3"/>
  <c r="J60" i="3"/>
  <c r="M60" i="3"/>
  <c r="N60" i="3" s="1"/>
  <c r="F60" i="3"/>
  <c r="V60" i="3" l="1"/>
  <c r="W60" i="3" s="1"/>
  <c r="AE60" i="3"/>
  <c r="L60" i="3"/>
  <c r="U60" i="3" l="1"/>
  <c r="E61" i="3" s="1"/>
  <c r="H61" i="3" s="1"/>
  <c r="AG61" i="3"/>
  <c r="AH61" i="3"/>
  <c r="Y59" i="3"/>
  <c r="D61" i="3" l="1"/>
  <c r="F61" i="3" s="1"/>
  <c r="K61" i="3"/>
  <c r="G61" i="3" l="1"/>
  <c r="V61" i="3"/>
  <c r="AE61" i="3"/>
  <c r="I61" i="3"/>
  <c r="J61" i="3"/>
  <c r="M61" i="3"/>
  <c r="N61" i="3" s="1"/>
  <c r="W61" i="3" l="1"/>
  <c r="L61" i="3"/>
  <c r="AH62" i="3" l="1"/>
  <c r="AG62" i="3"/>
  <c r="U61" i="3"/>
  <c r="D62" i="3" s="1"/>
  <c r="Y60" i="3"/>
  <c r="G62" i="3" l="1"/>
  <c r="E62" i="3"/>
  <c r="H62" i="3" s="1"/>
  <c r="I62" i="3" l="1"/>
  <c r="J62" i="3"/>
  <c r="M62" i="3"/>
  <c r="N62" i="3" s="1"/>
  <c r="K62" i="3"/>
  <c r="F62" i="3"/>
  <c r="V62" i="3" l="1"/>
  <c r="W62" i="3" s="1"/>
  <c r="AE62" i="3"/>
  <c r="L62" i="3"/>
  <c r="AH63" i="3" l="1"/>
  <c r="AG63" i="3"/>
  <c r="U62" i="3"/>
  <c r="E63" i="3" s="1"/>
  <c r="H63" i="3" s="1"/>
  <c r="Y61" i="3"/>
  <c r="D63" i="3" l="1"/>
  <c r="G63" i="3" s="1"/>
  <c r="K63" i="3"/>
  <c r="F63" i="3" l="1"/>
  <c r="V63" i="3"/>
  <c r="AE63" i="3"/>
  <c r="I63" i="3"/>
  <c r="J63" i="3"/>
  <c r="M63" i="3"/>
  <c r="N63" i="3" s="1"/>
  <c r="W63" i="3" l="1"/>
  <c r="L63" i="3"/>
  <c r="AH64" i="3" l="1"/>
  <c r="AG64" i="3"/>
  <c r="U63" i="3"/>
  <c r="D64" i="3" s="1"/>
  <c r="Y62" i="3"/>
  <c r="E64" i="3" l="1"/>
  <c r="H64" i="3" s="1"/>
  <c r="K64" i="3" s="1"/>
  <c r="G64" i="3"/>
  <c r="F64" i="3" l="1"/>
  <c r="I64" i="3"/>
  <c r="J64" i="3"/>
  <c r="M64" i="3"/>
  <c r="N64" i="3" s="1"/>
  <c r="V64" i="3"/>
  <c r="AE64" i="3"/>
  <c r="W64" i="3" l="1"/>
  <c r="L64" i="3"/>
  <c r="AG65" i="3" l="1"/>
  <c r="AH65" i="3"/>
  <c r="U64" i="3"/>
  <c r="D65" i="3" s="1"/>
  <c r="Y63" i="3"/>
  <c r="G65" i="3" l="1"/>
  <c r="E65" i="3"/>
  <c r="H65" i="3" s="1"/>
  <c r="K65" i="3" l="1"/>
  <c r="I65" i="3"/>
  <c r="J65" i="3"/>
  <c r="M65" i="3"/>
  <c r="N65" i="3" s="1"/>
  <c r="F65" i="3"/>
  <c r="V65" i="3" l="1"/>
  <c r="W65" i="3" s="1"/>
  <c r="AE65" i="3"/>
  <c r="L65" i="3"/>
  <c r="U65" i="3" l="1"/>
  <c r="D66" i="3" s="1"/>
  <c r="AG66" i="3"/>
  <c r="AH66" i="3"/>
  <c r="Y64" i="3"/>
  <c r="E66" i="3" l="1"/>
  <c r="H66" i="3" s="1"/>
  <c r="K66" i="3" s="1"/>
  <c r="G66" i="3"/>
  <c r="F66" i="3" l="1"/>
  <c r="V66" i="3"/>
  <c r="AE66" i="3"/>
  <c r="I66" i="3"/>
  <c r="J66" i="3"/>
  <c r="M66" i="3"/>
  <c r="N66" i="3" s="1"/>
  <c r="W66" i="3" l="1"/>
  <c r="L66" i="3"/>
  <c r="U66" i="3" l="1"/>
  <c r="D67" i="3" s="1"/>
  <c r="AH67" i="3"/>
  <c r="AG67" i="3"/>
  <c r="Y65" i="3"/>
  <c r="E67" i="3" l="1"/>
  <c r="H67" i="3" s="1"/>
  <c r="K67" i="3" s="1"/>
  <c r="G67" i="3"/>
  <c r="F67" i="3" l="1"/>
  <c r="V67" i="3"/>
  <c r="AE67" i="3"/>
  <c r="I67" i="3"/>
  <c r="J67" i="3"/>
  <c r="M67" i="3"/>
  <c r="N67" i="3" s="1"/>
  <c r="W67" i="3" l="1"/>
  <c r="L67" i="3"/>
  <c r="AH68" i="3" l="1"/>
  <c r="AG68" i="3"/>
  <c r="U67" i="3"/>
  <c r="D68" i="3" s="1"/>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V69" i="3"/>
  <c r="AE69" i="3"/>
  <c r="I69" i="3"/>
  <c r="J69" i="3"/>
  <c r="M69" i="3"/>
  <c r="N69" i="3" s="1"/>
  <c r="W69" i="3" l="1"/>
  <c r="L69" i="3"/>
  <c r="AG70" i="3" l="1"/>
  <c r="AH70" i="3"/>
  <c r="U69" i="3"/>
  <c r="D70" i="3" s="1"/>
  <c r="Y68" i="3"/>
  <c r="E70" i="3" l="1"/>
  <c r="H70" i="3" s="1"/>
  <c r="K70" i="3" s="1"/>
  <c r="G70" i="3"/>
  <c r="F70" i="3" l="1"/>
  <c r="I70" i="3"/>
  <c r="J70" i="3"/>
  <c r="M70" i="3"/>
  <c r="N70" i="3" s="1"/>
  <c r="V70" i="3"/>
  <c r="AE70" i="3"/>
  <c r="W70" i="3" l="1"/>
  <c r="L70" i="3"/>
  <c r="AG71" i="3" l="1"/>
  <c r="AH71" i="3"/>
  <c r="U70" i="3"/>
  <c r="E71" i="3" s="1"/>
  <c r="H71" i="3" s="1"/>
  <c r="Y69" i="3"/>
  <c r="D71" i="3" l="1"/>
  <c r="F71" i="3" s="1"/>
  <c r="K71" i="3"/>
  <c r="G71" i="3" l="1"/>
  <c r="M71" i="3" s="1"/>
  <c r="N71" i="3" s="1"/>
  <c r="V71" i="3"/>
  <c r="AE71" i="3"/>
  <c r="J71" i="3" l="1"/>
  <c r="L71" i="3" s="1"/>
  <c r="I71" i="3"/>
  <c r="W71" i="3" s="1"/>
  <c r="AG72" i="3" l="1"/>
  <c r="AH72" i="3"/>
  <c r="U71" i="3"/>
  <c r="E72" i="3" s="1"/>
  <c r="H72" i="3" s="1"/>
  <c r="Y70" i="3"/>
  <c r="D72" i="3" l="1"/>
  <c r="G72" i="3" s="1"/>
  <c r="K72" i="3"/>
  <c r="F72" i="3" l="1"/>
  <c r="V72" i="3"/>
  <c r="AE72" i="3"/>
  <c r="I72" i="3"/>
  <c r="J72" i="3"/>
  <c r="M72" i="3"/>
  <c r="N72" i="3" s="1"/>
  <c r="L72" i="3" l="1"/>
  <c r="W72" i="3"/>
  <c r="AH73" i="3" l="1"/>
  <c r="AG73" i="3"/>
  <c r="U72" i="3"/>
  <c r="D73" i="3" s="1"/>
  <c r="Y71" i="3"/>
  <c r="E73" i="3" l="1"/>
  <c r="H73" i="3" s="1"/>
  <c r="K73" i="3" s="1"/>
  <c r="G73" i="3"/>
  <c r="F73" i="3" l="1"/>
  <c r="I73" i="3"/>
  <c r="J73" i="3"/>
  <c r="M73" i="3"/>
  <c r="N73" i="3" s="1"/>
  <c r="V73" i="3"/>
  <c r="AE73" i="3"/>
  <c r="W73" i="3" l="1"/>
  <c r="L73" i="3"/>
  <c r="AH74" i="3" l="1"/>
  <c r="AG74" i="3"/>
  <c r="U73" i="3"/>
  <c r="E74" i="3" s="1"/>
  <c r="H74" i="3" s="1"/>
  <c r="Y72" i="3"/>
  <c r="D74" i="3" l="1"/>
  <c r="F74" i="3" s="1"/>
  <c r="K74" i="3"/>
  <c r="G74" i="3" l="1"/>
  <c r="I74" i="3" s="1"/>
  <c r="V74" i="3"/>
  <c r="AE74" i="3"/>
  <c r="M74" i="3" l="1"/>
  <c r="N74" i="3" s="1"/>
  <c r="J74" i="3"/>
  <c r="L74" i="3" s="1"/>
  <c r="W74" i="3"/>
  <c r="AG75" i="3" l="1"/>
  <c r="AH75" i="3"/>
  <c r="U74" i="3"/>
  <c r="D75" i="3" s="1"/>
  <c r="Y73" i="3"/>
  <c r="E75" i="3" l="1"/>
  <c r="H75" i="3" s="1"/>
  <c r="K75" i="3" s="1"/>
  <c r="G75" i="3"/>
  <c r="F75" i="3" l="1"/>
  <c r="V75" i="3"/>
  <c r="AE75" i="3"/>
  <c r="I75" i="3"/>
  <c r="J75" i="3"/>
  <c r="M75" i="3"/>
  <c r="N75" i="3" s="1"/>
  <c r="W75" i="3" l="1"/>
  <c r="L75" i="3"/>
  <c r="U75" i="3" l="1"/>
  <c r="D76" i="3" s="1"/>
  <c r="AH76" i="3"/>
  <c r="AG76" i="3"/>
  <c r="Y74" i="3"/>
  <c r="E76" i="3" l="1"/>
  <c r="H76" i="3" s="1"/>
  <c r="K76" i="3" s="1"/>
  <c r="G76" i="3"/>
  <c r="F76" i="3" l="1"/>
  <c r="I76" i="3"/>
  <c r="J76" i="3"/>
  <c r="M76" i="3"/>
  <c r="N76" i="3" s="1"/>
  <c r="V76" i="3"/>
  <c r="AE76" i="3"/>
  <c r="W76" i="3" l="1"/>
  <c r="L76" i="3"/>
  <c r="U76" i="3" l="1"/>
  <c r="D77" i="3" s="1"/>
  <c r="AG77" i="3"/>
  <c r="AH77" i="3"/>
  <c r="Y75" i="3"/>
  <c r="E77" i="3" l="1"/>
  <c r="H77" i="3" s="1"/>
  <c r="K77" i="3" s="1"/>
  <c r="G77" i="3"/>
  <c r="F77" i="3" l="1"/>
  <c r="I77" i="3"/>
  <c r="J77" i="3"/>
  <c r="M77" i="3"/>
  <c r="N77" i="3" s="1"/>
  <c r="V77" i="3"/>
  <c r="AE77" i="3"/>
  <c r="W77" i="3" l="1"/>
  <c r="L77" i="3"/>
  <c r="AH78" i="3" l="1"/>
  <c r="AG78" i="3"/>
  <c r="U77" i="3"/>
  <c r="D78" i="3" s="1"/>
  <c r="Y76" i="3"/>
  <c r="E78" i="3" l="1"/>
  <c r="H78" i="3" s="1"/>
  <c r="K78" i="3" s="1"/>
  <c r="G78" i="3"/>
  <c r="F78" i="3" l="1"/>
  <c r="V78" i="3"/>
  <c r="AE78" i="3"/>
  <c r="I78" i="3"/>
  <c r="J78" i="3"/>
  <c r="M78" i="3"/>
  <c r="N78" i="3" s="1"/>
  <c r="L78" i="3" l="1"/>
  <c r="W78" i="3"/>
  <c r="AG79" i="3" l="1"/>
  <c r="AH79" i="3"/>
  <c r="U78" i="3"/>
  <c r="E79" i="3" s="1"/>
  <c r="H79" i="3" s="1"/>
  <c r="Y77" i="3"/>
  <c r="D79" i="3" l="1"/>
  <c r="F79" i="3" s="1"/>
  <c r="K79" i="3"/>
  <c r="G79" i="3" l="1"/>
  <c r="M79" i="3" s="1"/>
  <c r="N79" i="3" s="1"/>
  <c r="V79" i="3"/>
  <c r="AE79" i="3"/>
  <c r="J79" i="3" l="1"/>
  <c r="L79" i="3" s="1"/>
  <c r="I79" i="3"/>
  <c r="W79" i="3" s="1"/>
  <c r="U79" i="3" l="1"/>
  <c r="D80" i="3" s="1"/>
  <c r="AG80" i="3"/>
  <c r="AH80" i="3"/>
  <c r="Y78" i="3"/>
  <c r="E80" i="3" l="1"/>
  <c r="H80" i="3" s="1"/>
  <c r="K80" i="3" s="1"/>
  <c r="G80" i="3"/>
  <c r="F80" i="3" l="1"/>
  <c r="V80" i="3"/>
  <c r="AE80" i="3"/>
  <c r="I80" i="3"/>
  <c r="J80" i="3"/>
  <c r="M80" i="3"/>
  <c r="N80" i="3" s="1"/>
  <c r="L80" i="3" l="1"/>
  <c r="W80" i="3"/>
  <c r="AG81" i="3" l="1"/>
  <c r="AH81" i="3"/>
  <c r="U80" i="3"/>
  <c r="D81" i="3" s="1"/>
  <c r="Y79" i="3"/>
  <c r="E81" i="3" l="1"/>
  <c r="H81" i="3" s="1"/>
  <c r="K81" i="3" s="1"/>
  <c r="G81" i="3"/>
  <c r="F81" i="3" l="1"/>
  <c r="I81" i="3"/>
  <c r="J81" i="3"/>
  <c r="M81" i="3"/>
  <c r="N81" i="3" s="1"/>
  <c r="V81" i="3"/>
  <c r="AE81" i="3"/>
  <c r="W81" i="3" l="1"/>
  <c r="L81" i="3"/>
  <c r="AG82" i="3" l="1"/>
  <c r="AH82" i="3"/>
  <c r="U81" i="3"/>
  <c r="D82" i="3" s="1"/>
  <c r="Y80" i="3"/>
  <c r="E82" i="3" l="1"/>
  <c r="H82" i="3" s="1"/>
  <c r="K82" i="3" s="1"/>
  <c r="G82" i="3"/>
  <c r="F82" i="3" l="1"/>
  <c r="V82" i="3"/>
  <c r="AE82" i="3"/>
  <c r="I82" i="3"/>
  <c r="J82" i="3"/>
  <c r="M82" i="3"/>
  <c r="N82" i="3" s="1"/>
  <c r="W82" i="3" l="1"/>
  <c r="L82" i="3"/>
  <c r="AG83" i="3" l="1"/>
  <c r="AH83" i="3"/>
  <c r="U82" i="3"/>
  <c r="D83" i="3" s="1"/>
  <c r="Y81" i="3"/>
  <c r="E83" i="3" l="1"/>
  <c r="H83" i="3" s="1"/>
  <c r="K83" i="3" s="1"/>
  <c r="G83" i="3"/>
  <c r="F83" i="3" l="1"/>
  <c r="V83" i="3"/>
  <c r="AE83" i="3"/>
  <c r="I83" i="3"/>
  <c r="J83" i="3"/>
  <c r="M83" i="3"/>
  <c r="N83" i="3" s="1"/>
  <c r="W83" i="3" l="1"/>
  <c r="L83" i="3"/>
  <c r="AH84" i="3" l="1"/>
  <c r="AG84" i="3"/>
  <c r="U83" i="3"/>
  <c r="D84" i="3" s="1"/>
  <c r="Y82" i="3"/>
  <c r="E84" i="3" l="1"/>
  <c r="H84" i="3" s="1"/>
  <c r="K84" i="3" s="1"/>
  <c r="G84" i="3"/>
  <c r="F84" i="3" l="1"/>
  <c r="I84" i="3"/>
  <c r="J84" i="3"/>
  <c r="M84" i="3"/>
  <c r="N84" i="3" s="1"/>
  <c r="V84" i="3"/>
  <c r="AE84" i="3"/>
  <c r="W84" i="3" l="1"/>
  <c r="L84" i="3"/>
  <c r="U84" i="3" l="1"/>
  <c r="D85" i="3" s="1"/>
  <c r="AH85" i="3"/>
  <c r="AG85" i="3"/>
  <c r="Y83" i="3"/>
  <c r="E85" i="3" l="1"/>
  <c r="H85" i="3" s="1"/>
  <c r="K85" i="3" s="1"/>
  <c r="G85" i="3"/>
  <c r="F85" i="3" l="1"/>
  <c r="I85" i="3"/>
  <c r="J85" i="3"/>
  <c r="M85" i="3"/>
  <c r="N85" i="3" s="1"/>
  <c r="V85" i="3"/>
  <c r="AE85" i="3"/>
  <c r="W85" i="3" l="1"/>
  <c r="L85" i="3"/>
  <c r="U85" i="3" l="1"/>
  <c r="D86" i="3" s="1"/>
  <c r="AG86" i="3"/>
  <c r="AH86" i="3"/>
  <c r="Y84" i="3"/>
  <c r="E86" i="3" l="1"/>
  <c r="H86" i="3" s="1"/>
  <c r="K86" i="3" s="1"/>
  <c r="G86" i="3"/>
  <c r="F86" i="3" l="1"/>
  <c r="I86" i="3"/>
  <c r="J86" i="3"/>
  <c r="M86" i="3"/>
  <c r="N86" i="3" s="1"/>
  <c r="V86" i="3"/>
  <c r="AE86" i="3"/>
  <c r="W86" i="3" l="1"/>
  <c r="L86" i="3"/>
  <c r="AG87" i="3" l="1"/>
  <c r="AH87" i="3"/>
  <c r="U86" i="3"/>
  <c r="E87" i="3" s="1"/>
  <c r="H87" i="3" s="1"/>
  <c r="Y85" i="3"/>
  <c r="D87" i="3" l="1"/>
  <c r="F87" i="3" s="1"/>
  <c r="K87" i="3"/>
  <c r="G87" i="3" l="1"/>
  <c r="I87" i="3" s="1"/>
  <c r="V87" i="3"/>
  <c r="AE87" i="3"/>
  <c r="M87" i="3" l="1"/>
  <c r="N87" i="3" s="1"/>
  <c r="J87" i="3"/>
  <c r="L87" i="3" s="1"/>
  <c r="W87" i="3"/>
  <c r="AH88" i="3" l="1"/>
  <c r="AG88" i="3"/>
  <c r="U87" i="3"/>
  <c r="E88" i="3" s="1"/>
  <c r="H88" i="3" s="1"/>
  <c r="Y86" i="3"/>
  <c r="D88" i="3" l="1"/>
  <c r="F88" i="3" s="1"/>
  <c r="K88" i="3"/>
  <c r="G88" i="3" l="1"/>
  <c r="I88" i="3" s="1"/>
  <c r="V88" i="3"/>
  <c r="AE88" i="3"/>
  <c r="M88" i="3" l="1"/>
  <c r="N88" i="3" s="1"/>
  <c r="J88" i="3"/>
  <c r="L88" i="3" s="1"/>
  <c r="W88" i="3"/>
  <c r="AH89" i="3" l="1"/>
  <c r="U88" i="3"/>
  <c r="E89" i="3" s="1"/>
  <c r="H89" i="3" s="1"/>
  <c r="AG89" i="3"/>
  <c r="Y87" i="3"/>
  <c r="D89" i="3" l="1"/>
  <c r="F89" i="3" s="1"/>
  <c r="K89" i="3"/>
  <c r="G89" i="3" l="1"/>
  <c r="I89" i="3" s="1"/>
  <c r="V89" i="3"/>
  <c r="AE89" i="3"/>
  <c r="M89" i="3" l="1"/>
  <c r="N89" i="3" s="1"/>
  <c r="J89" i="3"/>
  <c r="L89" i="3" s="1"/>
  <c r="W89" i="3"/>
  <c r="AG90" i="3" l="1"/>
  <c r="AH90" i="3"/>
  <c r="U89" i="3"/>
  <c r="E90" i="3" s="1"/>
  <c r="H90" i="3" s="1"/>
  <c r="Y88" i="3"/>
  <c r="D90" i="3" l="1"/>
  <c r="F90" i="3" s="1"/>
  <c r="K90" i="3"/>
  <c r="G90" i="3" l="1"/>
  <c r="M90" i="3" s="1"/>
  <c r="N90" i="3" s="1"/>
  <c r="V90" i="3"/>
  <c r="AE90" i="3"/>
  <c r="J90" i="3" l="1"/>
  <c r="L90" i="3" s="1"/>
  <c r="I90" i="3"/>
  <c r="W90" i="3" s="1"/>
  <c r="AH91" i="3" l="1"/>
  <c r="AG91" i="3"/>
  <c r="U90" i="3"/>
  <c r="E91" i="3" s="1"/>
  <c r="H91" i="3" s="1"/>
  <c r="Y89" i="3"/>
  <c r="D91" i="3" l="1"/>
  <c r="F91" i="3" s="1"/>
  <c r="K91" i="3"/>
  <c r="G91" i="3" l="1"/>
  <c r="M91" i="3" s="1"/>
  <c r="N91" i="3" s="1"/>
  <c r="V91" i="3"/>
  <c r="AE91" i="3"/>
  <c r="J91" i="3" l="1"/>
  <c r="L91" i="3" s="1"/>
  <c r="I91" i="3"/>
  <c r="W91" i="3" s="1"/>
  <c r="U91" i="3" l="1"/>
  <c r="D92" i="3" s="1"/>
  <c r="AH92" i="3"/>
  <c r="AG92" i="3"/>
  <c r="Y90" i="3"/>
  <c r="E92" i="3" l="1"/>
  <c r="H92" i="3" s="1"/>
  <c r="K92" i="3" s="1"/>
  <c r="G92" i="3"/>
  <c r="F92" i="3" l="1"/>
  <c r="V92" i="3"/>
  <c r="AE92" i="3"/>
  <c r="I92" i="3"/>
  <c r="J92" i="3"/>
  <c r="M92" i="3"/>
  <c r="N92" i="3" s="1"/>
  <c r="L92" i="3" l="1"/>
  <c r="W92" i="3"/>
  <c r="AG93" i="3" l="1"/>
  <c r="AH93" i="3"/>
  <c r="U92" i="3"/>
  <c r="D93" i="3" s="1"/>
  <c r="Y91" i="3"/>
  <c r="E93" i="3" l="1"/>
  <c r="H93" i="3" s="1"/>
  <c r="K93" i="3" s="1"/>
  <c r="G93" i="3"/>
  <c r="F93" i="3" l="1"/>
  <c r="I93" i="3"/>
  <c r="J93" i="3"/>
  <c r="M93" i="3"/>
  <c r="N93" i="3" s="1"/>
  <c r="V93" i="3"/>
  <c r="AE93" i="3"/>
  <c r="W93" i="3" l="1"/>
  <c r="L93" i="3"/>
  <c r="AH94" i="3" l="1"/>
  <c r="AG94" i="3"/>
  <c r="U93" i="3"/>
  <c r="E94" i="3" s="1"/>
  <c r="H94" i="3" s="1"/>
  <c r="Y92" i="3"/>
  <c r="D94" i="3" l="1"/>
  <c r="F94" i="3" s="1"/>
  <c r="K94" i="3"/>
  <c r="G94" i="3" l="1"/>
  <c r="I94" i="3" s="1"/>
  <c r="V94" i="3"/>
  <c r="AE94" i="3"/>
  <c r="M94" i="3" l="1"/>
  <c r="N94" i="3" s="1"/>
  <c r="J94" i="3"/>
  <c r="L94" i="3" s="1"/>
  <c r="W94" i="3"/>
  <c r="AH95" i="3" l="1"/>
  <c r="AG95" i="3"/>
  <c r="U94" i="3"/>
  <c r="E95" i="3" s="1"/>
  <c r="H95" i="3" s="1"/>
  <c r="Y93" i="3"/>
  <c r="D95" i="3" l="1"/>
  <c r="F95" i="3" s="1"/>
  <c r="K95" i="3"/>
  <c r="G95" i="3" l="1"/>
  <c r="I95" i="3" s="1"/>
  <c r="V95" i="3"/>
  <c r="AE95" i="3"/>
  <c r="M95" i="3" l="1"/>
  <c r="N95" i="3" s="1"/>
  <c r="J95" i="3"/>
  <c r="L95" i="3" s="1"/>
  <c r="W95" i="3"/>
  <c r="AG96" i="3" l="1"/>
  <c r="AH96" i="3"/>
  <c r="U95" i="3"/>
  <c r="D96" i="3" s="1"/>
  <c r="Y94" i="3"/>
  <c r="E96" i="3" l="1"/>
  <c r="H96" i="3" s="1"/>
  <c r="K96" i="3" s="1"/>
  <c r="G96" i="3"/>
  <c r="F96" i="3" l="1"/>
  <c r="V96" i="3"/>
  <c r="AE96" i="3"/>
  <c r="I96" i="3"/>
  <c r="J96" i="3"/>
  <c r="M96" i="3"/>
  <c r="N96" i="3" s="1"/>
  <c r="W96" i="3" l="1"/>
  <c r="L96" i="3"/>
  <c r="AH97" i="3" l="1"/>
  <c r="U96" i="3"/>
  <c r="D97" i="3" s="1"/>
  <c r="AG97" i="3"/>
  <c r="Y95" i="3"/>
  <c r="E97" i="3" l="1"/>
  <c r="H97" i="3" s="1"/>
  <c r="K97" i="3" s="1"/>
  <c r="G97" i="3"/>
  <c r="F97" i="3" l="1"/>
  <c r="V97" i="3"/>
  <c r="AE97" i="3"/>
  <c r="I97" i="3"/>
  <c r="J97" i="3"/>
  <c r="M97" i="3"/>
  <c r="N97" i="3" s="1"/>
  <c r="L97" i="3" l="1"/>
  <c r="W97" i="3"/>
  <c r="AH98" i="3" l="1"/>
  <c r="AG98" i="3"/>
  <c r="U97" i="3"/>
  <c r="E98" i="3" s="1"/>
  <c r="H98" i="3" s="1"/>
  <c r="Y96" i="3"/>
  <c r="D98" i="3" l="1"/>
  <c r="F98" i="3" s="1"/>
  <c r="K98" i="3"/>
  <c r="G98" i="3" l="1"/>
  <c r="I98" i="3" s="1"/>
  <c r="V98" i="3"/>
  <c r="AE98" i="3"/>
  <c r="M98" i="3" l="1"/>
  <c r="N98" i="3" s="1"/>
  <c r="J98" i="3"/>
  <c r="L98" i="3" s="1"/>
  <c r="W98" i="3"/>
  <c r="AH99" i="3" l="1"/>
  <c r="AG99" i="3"/>
  <c r="U98" i="3"/>
  <c r="E99" i="3" s="1"/>
  <c r="H99" i="3" s="1"/>
  <c r="Y97" i="3"/>
  <c r="D99" i="3" l="1"/>
  <c r="F99" i="3" s="1"/>
  <c r="K99" i="3"/>
  <c r="G99" i="3" l="1"/>
  <c r="M99" i="3" s="1"/>
  <c r="N99" i="3" s="1"/>
  <c r="V99" i="3"/>
  <c r="AE99" i="3"/>
  <c r="J99" i="3" l="1"/>
  <c r="L99" i="3" s="1"/>
  <c r="I99" i="3"/>
  <c r="W99" i="3" s="1"/>
  <c r="AG100" i="3" l="1"/>
  <c r="U99" i="3"/>
  <c r="D100" i="3" s="1"/>
  <c r="AH100" i="3"/>
  <c r="Y98" i="3"/>
  <c r="E100" i="3" l="1"/>
  <c r="H100" i="3" s="1"/>
  <c r="K100" i="3" s="1"/>
  <c r="G100" i="3"/>
  <c r="F100" i="3" l="1"/>
  <c r="I100" i="3"/>
  <c r="J100" i="3"/>
  <c r="M100" i="3"/>
  <c r="N100" i="3" s="1"/>
  <c r="V100" i="3"/>
  <c r="AE100" i="3"/>
  <c r="W100" i="3" l="1"/>
  <c r="L100" i="3"/>
  <c r="U100" i="3" l="1"/>
  <c r="D101" i="3" s="1"/>
  <c r="AG101" i="3"/>
  <c r="AH101" i="3"/>
  <c r="Y99" i="3"/>
  <c r="G101" i="3" l="1"/>
  <c r="E101" i="3"/>
  <c r="H101" i="3" s="1"/>
  <c r="K101" i="3" l="1"/>
  <c r="I101" i="3"/>
  <c r="J101" i="3"/>
  <c r="M101" i="3"/>
  <c r="N101" i="3" s="1"/>
  <c r="F101" i="3"/>
  <c r="V101" i="3" l="1"/>
  <c r="W101" i="3" s="1"/>
  <c r="AE101" i="3"/>
  <c r="L101" i="3"/>
  <c r="AH102" i="3" l="1"/>
  <c r="U101" i="3"/>
  <c r="E102" i="3" s="1"/>
  <c r="H102" i="3" s="1"/>
  <c r="AG102" i="3"/>
  <c r="Y100" i="3"/>
  <c r="D102" i="3" l="1"/>
  <c r="F102" i="3" s="1"/>
  <c r="K102" i="3"/>
  <c r="G102" i="3" l="1"/>
  <c r="I102" i="3" s="1"/>
  <c r="V102" i="3"/>
  <c r="AE102" i="3"/>
  <c r="M102" i="3" l="1"/>
  <c r="N102" i="3" s="1"/>
  <c r="J102" i="3"/>
  <c r="L102" i="3" s="1"/>
  <c r="W102" i="3"/>
  <c r="U102" i="3" l="1"/>
  <c r="E103" i="3" s="1"/>
  <c r="H103" i="3" s="1"/>
  <c r="AG103" i="3"/>
  <c r="AH103" i="3"/>
  <c r="Y101" i="3"/>
  <c r="D103" i="3" l="1"/>
  <c r="G103" i="3" s="1"/>
  <c r="K103" i="3"/>
  <c r="F103" i="3" l="1"/>
  <c r="V103" i="3"/>
  <c r="AE103" i="3"/>
  <c r="I103" i="3"/>
  <c r="J103" i="3"/>
  <c r="M103" i="3"/>
  <c r="N103" i="3" s="1"/>
  <c r="W103" i="3" l="1"/>
  <c r="L103" i="3"/>
  <c r="AH104" i="3" l="1"/>
  <c r="U103" i="3"/>
  <c r="D104" i="3" s="1"/>
  <c r="AG104" i="3"/>
  <c r="Y102" i="3"/>
  <c r="E104" i="3" l="1"/>
  <c r="H104" i="3" s="1"/>
  <c r="K104" i="3" s="1"/>
  <c r="G104" i="3"/>
  <c r="F104" i="3" l="1"/>
  <c r="I104" i="3"/>
  <c r="J104" i="3"/>
  <c r="M104" i="3"/>
  <c r="N104" i="3" s="1"/>
  <c r="V104" i="3"/>
  <c r="AE104" i="3"/>
  <c r="W104" i="3" l="1"/>
  <c r="L104" i="3"/>
  <c r="AD104" i="3"/>
  <c r="AG105" i="3" l="1"/>
  <c r="AH105" i="3"/>
  <c r="U104" i="3"/>
  <c r="E105" i="3" s="1"/>
  <c r="H105" i="3" s="1"/>
  <c r="Y103" i="3"/>
  <c r="D105" i="3" l="1"/>
  <c r="F105" i="3" s="1"/>
  <c r="K105" i="3"/>
  <c r="G105" i="3" l="1"/>
  <c r="I105" i="3" s="1"/>
  <c r="V105" i="3"/>
  <c r="AE105" i="3"/>
  <c r="M105" i="3" l="1"/>
  <c r="N105" i="3" s="1"/>
  <c r="J105" i="3"/>
  <c r="W105" i="3"/>
  <c r="L105" i="3"/>
  <c r="AH106" i="3" l="1"/>
  <c r="U105" i="3"/>
  <c r="E106" i="3" s="1"/>
  <c r="H106" i="3" s="1"/>
  <c r="D106" i="3"/>
  <c r="AG106" i="3"/>
  <c r="Y104" i="3"/>
  <c r="F106" i="3" l="1"/>
  <c r="G106" i="3"/>
  <c r="K106" i="3"/>
  <c r="I106" i="3" l="1"/>
  <c r="J106" i="3"/>
  <c r="M106" i="3"/>
  <c r="N106" i="3" s="1"/>
  <c r="V106" i="3"/>
  <c r="AE106" i="3"/>
  <c r="W106" i="3" l="1"/>
  <c r="L106" i="3"/>
  <c r="AH107" i="3" l="1"/>
  <c r="AG107" i="3"/>
  <c r="U106" i="3"/>
  <c r="E107" i="3" s="1"/>
  <c r="H107" i="3" s="1"/>
  <c r="Y105" i="3"/>
  <c r="D107" i="3" l="1"/>
  <c r="F107" i="3" s="1"/>
  <c r="K107" i="3"/>
  <c r="G107" i="3" l="1"/>
  <c r="M107" i="3" s="1"/>
  <c r="N107" i="3" s="1"/>
  <c r="V107" i="3"/>
  <c r="AE107" i="3"/>
  <c r="J107" i="3" l="1"/>
  <c r="L107" i="3" s="1"/>
  <c r="I107" i="3"/>
  <c r="W107" i="3" s="1"/>
  <c r="U107" i="3" l="1"/>
  <c r="D108" i="3" s="1"/>
  <c r="AH108" i="3"/>
  <c r="AG108" i="3"/>
  <c r="Y106" i="3"/>
  <c r="E108" i="3" l="1"/>
  <c r="H108" i="3" s="1"/>
  <c r="K108" i="3" s="1"/>
  <c r="G108" i="3"/>
  <c r="F108" i="3" l="1"/>
  <c r="I108" i="3"/>
  <c r="J108" i="3"/>
  <c r="M108" i="3"/>
  <c r="N108" i="3" s="1"/>
  <c r="V108" i="3"/>
  <c r="AE108" i="3"/>
  <c r="W108" i="3" l="1"/>
  <c r="L108" i="3"/>
  <c r="AH109" i="3" l="1"/>
  <c r="AG109" i="3"/>
  <c r="U108" i="3"/>
  <c r="D109" i="3" s="1"/>
  <c r="Y107" i="3"/>
  <c r="E109" i="3" l="1"/>
  <c r="H109" i="3" s="1"/>
  <c r="K109" i="3" s="1"/>
  <c r="G109" i="3"/>
  <c r="F109" i="3" l="1"/>
  <c r="V109" i="3"/>
  <c r="AE109" i="3"/>
  <c r="I109" i="3"/>
  <c r="J109" i="3"/>
  <c r="M109" i="3"/>
  <c r="N109" i="3" s="1"/>
  <c r="L109" i="3" l="1"/>
  <c r="W109" i="3"/>
  <c r="U109" i="3" l="1"/>
  <c r="E110" i="3" s="1"/>
  <c r="H110" i="3" s="1"/>
  <c r="AH110" i="3"/>
  <c r="AG110" i="3"/>
  <c r="Y108" i="3"/>
  <c r="K110" i="3" l="1"/>
  <c r="D110" i="3"/>
  <c r="F110" i="3" l="1"/>
  <c r="G110" i="3"/>
  <c r="V110" i="3"/>
  <c r="AE110" i="3"/>
  <c r="I110" i="3" l="1"/>
  <c r="W110" i="3" s="1"/>
  <c r="J110" i="3"/>
  <c r="M110" i="3"/>
  <c r="N110" i="3" s="1"/>
  <c r="L110" i="3" l="1"/>
  <c r="AH111" i="3" l="1"/>
  <c r="U110" i="3"/>
  <c r="D111" i="3" s="1"/>
  <c r="AG111" i="3"/>
  <c r="Y109" i="3"/>
  <c r="E111" i="3" l="1"/>
  <c r="H111" i="3" s="1"/>
  <c r="K111" i="3" s="1"/>
  <c r="G111" i="3"/>
  <c r="F111" i="3" l="1"/>
  <c r="I111" i="3"/>
  <c r="J111" i="3"/>
  <c r="M111" i="3"/>
  <c r="N111" i="3" s="1"/>
  <c r="V111" i="3"/>
  <c r="AE111" i="3"/>
  <c r="W111" i="3" l="1"/>
  <c r="L111" i="3"/>
  <c r="AH112" i="3" l="1"/>
  <c r="AG112" i="3"/>
  <c r="U111" i="3"/>
  <c r="D112" i="3" s="1"/>
  <c r="Y110" i="3"/>
  <c r="E112" i="3" l="1"/>
  <c r="H112" i="3" s="1"/>
  <c r="K112" i="3" s="1"/>
  <c r="G112" i="3"/>
  <c r="F112" i="3" l="1"/>
  <c r="V112" i="3"/>
  <c r="AE112" i="3"/>
  <c r="I112" i="3"/>
  <c r="J112" i="3"/>
  <c r="M112" i="3"/>
  <c r="N112" i="3" s="1"/>
  <c r="L112" i="3" l="1"/>
  <c r="W112" i="3"/>
  <c r="AG113" i="3" l="1"/>
  <c r="AH113" i="3"/>
  <c r="U112" i="3"/>
  <c r="D113" i="3" s="1"/>
  <c r="Y111" i="3"/>
  <c r="E113" i="3" l="1"/>
  <c r="H113" i="3" s="1"/>
  <c r="K113" i="3" s="1"/>
  <c r="G113" i="3"/>
  <c r="F113" i="3" l="1"/>
  <c r="V113" i="3"/>
  <c r="AE113" i="3"/>
  <c r="I113" i="3"/>
  <c r="J113" i="3"/>
  <c r="M113" i="3"/>
  <c r="N113" i="3" s="1"/>
  <c r="W113" i="3" l="1"/>
  <c r="L113" i="3"/>
  <c r="AG114" i="3" l="1"/>
  <c r="AH114" i="3"/>
  <c r="U113" i="3"/>
  <c r="E114" i="3" s="1"/>
  <c r="H114" i="3" s="1"/>
  <c r="Y112" i="3"/>
  <c r="D114" i="3" l="1"/>
  <c r="F114" i="3" s="1"/>
  <c r="K114" i="3"/>
  <c r="G114" i="3" l="1"/>
  <c r="M114" i="3" s="1"/>
  <c r="N114" i="3" s="1"/>
  <c r="V114" i="3"/>
  <c r="AE114" i="3"/>
  <c r="J114" i="3"/>
  <c r="I114" i="3" l="1"/>
  <c r="W114" i="3" s="1"/>
  <c r="L114" i="3"/>
  <c r="AG115" i="3" l="1"/>
  <c r="U114" i="3"/>
  <c r="E115" i="3" s="1"/>
  <c r="H115" i="3" s="1"/>
  <c r="AH115" i="3"/>
  <c r="Y113" i="3"/>
  <c r="D115" i="3" l="1"/>
  <c r="F115" i="3" s="1"/>
  <c r="K115" i="3"/>
  <c r="G115" i="3" l="1"/>
  <c r="I115" i="3" s="1"/>
  <c r="V115" i="3"/>
  <c r="AE115" i="3"/>
  <c r="M115" i="3" l="1"/>
  <c r="N115" i="3" s="1"/>
  <c r="J115" i="3"/>
  <c r="L115" i="3" s="1"/>
  <c r="W115" i="3"/>
  <c r="U115" i="3" l="1"/>
  <c r="D116" i="3" s="1"/>
  <c r="AG116" i="3"/>
  <c r="AH116" i="3"/>
  <c r="Y114" i="3"/>
  <c r="E116" i="3" l="1"/>
  <c r="H116" i="3" s="1"/>
  <c r="K116" i="3" s="1"/>
  <c r="G116" i="3"/>
  <c r="F116" i="3" l="1"/>
  <c r="V116" i="3"/>
  <c r="AE116" i="3"/>
  <c r="I116" i="3"/>
  <c r="J116" i="3"/>
  <c r="M116" i="3"/>
  <c r="N116" i="3" s="1"/>
  <c r="L116" i="3" l="1"/>
  <c r="W116" i="3"/>
  <c r="AG117" i="3" l="1"/>
  <c r="AH117" i="3"/>
  <c r="U116" i="3"/>
  <c r="E117" i="3" s="1"/>
  <c r="H117" i="3" s="1"/>
  <c r="Y115" i="3"/>
  <c r="D117" i="3" l="1"/>
  <c r="F117" i="3" s="1"/>
  <c r="K117" i="3"/>
  <c r="G117" i="3" l="1"/>
  <c r="M117" i="3" s="1"/>
  <c r="N117" i="3" s="1"/>
  <c r="V117" i="3"/>
  <c r="AE117" i="3"/>
  <c r="J117" i="3" l="1"/>
  <c r="L117" i="3" s="1"/>
  <c r="I117" i="3"/>
  <c r="W117" i="3"/>
  <c r="U117" i="3" l="1"/>
  <c r="D118" i="3" s="1"/>
  <c r="AH118" i="3"/>
  <c r="AG118" i="3"/>
  <c r="Y116" i="3"/>
  <c r="G118" i="3" l="1"/>
  <c r="E118" i="3"/>
  <c r="H118" i="3" s="1"/>
  <c r="K118" i="3" l="1"/>
  <c r="I118" i="3"/>
  <c r="J118" i="3"/>
  <c r="M118" i="3"/>
  <c r="N118" i="3" s="1"/>
  <c r="F118" i="3"/>
  <c r="V118" i="3" l="1"/>
  <c r="W118" i="3" s="1"/>
  <c r="AE118" i="3"/>
  <c r="L118" i="3"/>
  <c r="AG119" i="3" l="1"/>
  <c r="AH119" i="3"/>
  <c r="U118" i="3"/>
  <c r="E119" i="3" s="1"/>
  <c r="H119" i="3" s="1"/>
  <c r="Y117" i="3"/>
  <c r="D119" i="3" l="1"/>
  <c r="F119" i="3" s="1"/>
  <c r="K119" i="3"/>
  <c r="G119" i="3" l="1"/>
  <c r="I119" i="3" s="1"/>
  <c r="V119" i="3"/>
  <c r="AE119" i="3"/>
  <c r="M119" i="3" l="1"/>
  <c r="N119" i="3" s="1"/>
  <c r="J119" i="3"/>
  <c r="L119" i="3" s="1"/>
  <c r="W119" i="3"/>
  <c r="AH120" i="3" l="1"/>
  <c r="AG120" i="3"/>
  <c r="U119" i="3"/>
  <c r="E120" i="3" s="1"/>
  <c r="H120" i="3" s="1"/>
  <c r="Y118" i="3"/>
  <c r="K120" i="3" l="1"/>
  <c r="D120" i="3"/>
  <c r="V120" i="3" l="1"/>
  <c r="AE120" i="3"/>
  <c r="F120" i="3"/>
  <c r="G120" i="3"/>
  <c r="I120" i="3" l="1"/>
  <c r="W120" i="3" s="1"/>
  <c r="J120" i="3"/>
  <c r="M120" i="3"/>
  <c r="N120" i="3" s="1"/>
  <c r="L120" i="3" l="1"/>
  <c r="AG121" i="3" l="1"/>
  <c r="U120" i="3"/>
  <c r="D121" i="3" s="1"/>
  <c r="AH121" i="3"/>
  <c r="Y119" i="3"/>
  <c r="E121" i="3" l="1"/>
  <c r="H121" i="3" s="1"/>
  <c r="K121" i="3" s="1"/>
  <c r="G121" i="3"/>
  <c r="F121" i="3" l="1"/>
  <c r="I121" i="3"/>
  <c r="J121" i="3"/>
  <c r="M121" i="3"/>
  <c r="N121" i="3" s="1"/>
  <c r="V121" i="3"/>
  <c r="AE121" i="3"/>
  <c r="W121" i="3" l="1"/>
  <c r="L121" i="3"/>
  <c r="AG122" i="3" l="1"/>
  <c r="AH122" i="3"/>
  <c r="U121" i="3"/>
  <c r="E122" i="3" s="1"/>
  <c r="H122" i="3" s="1"/>
  <c r="Y120" i="3"/>
  <c r="D122" i="3" l="1"/>
  <c r="F122" i="3" s="1"/>
  <c r="K122" i="3"/>
  <c r="G122" i="3" l="1"/>
  <c r="I122" i="3" s="1"/>
  <c r="V122" i="3"/>
  <c r="AE122" i="3"/>
  <c r="M122" i="3" l="1"/>
  <c r="N122" i="3" s="1"/>
  <c r="J122" i="3"/>
  <c r="L122" i="3" s="1"/>
  <c r="W122" i="3"/>
  <c r="AH123" i="3" l="1"/>
  <c r="U122" i="3"/>
  <c r="E123" i="3" s="1"/>
  <c r="H123" i="3" s="1"/>
  <c r="AG123" i="3"/>
  <c r="Y121" i="3"/>
  <c r="D123" i="3" l="1"/>
  <c r="F123" i="3" s="1"/>
  <c r="K123" i="3"/>
  <c r="G123" i="3" l="1"/>
  <c r="I123" i="3" s="1"/>
  <c r="V123" i="3"/>
  <c r="AE123" i="3"/>
  <c r="M123" i="3" l="1"/>
  <c r="N123" i="3" s="1"/>
  <c r="J123" i="3"/>
  <c r="L123" i="3" s="1"/>
  <c r="W123" i="3"/>
  <c r="U123" i="3" l="1"/>
  <c r="D124" i="3" s="1"/>
  <c r="AG124" i="3"/>
  <c r="AH124" i="3"/>
  <c r="Y122" i="3"/>
  <c r="E124" i="3" l="1"/>
  <c r="H124" i="3" s="1"/>
  <c r="K124" i="3" s="1"/>
  <c r="G124" i="3"/>
  <c r="F124" i="3" l="1"/>
  <c r="V124" i="3"/>
  <c r="AE124" i="3"/>
  <c r="I124" i="3"/>
  <c r="J124" i="3"/>
  <c r="M124" i="3"/>
  <c r="N124" i="3" s="1"/>
  <c r="W124" i="3" l="1"/>
  <c r="L124" i="3"/>
  <c r="AH125" i="3" l="1"/>
  <c r="AG125" i="3"/>
  <c r="U124" i="3"/>
  <c r="E125" i="3" s="1"/>
  <c r="H125" i="3" s="1"/>
  <c r="Y123" i="3"/>
  <c r="D125" i="3" l="1"/>
  <c r="F125" i="3" s="1"/>
  <c r="K125" i="3"/>
  <c r="G125" i="3" l="1"/>
  <c r="I125" i="3" s="1"/>
  <c r="V125" i="3"/>
  <c r="AE125" i="3"/>
  <c r="M125" i="3" l="1"/>
  <c r="N125" i="3" s="1"/>
  <c r="J125" i="3"/>
  <c r="L125" i="3" s="1"/>
  <c r="W125" i="3"/>
  <c r="U125" i="3" l="1"/>
  <c r="E126" i="3" s="1"/>
  <c r="H126" i="3" s="1"/>
  <c r="AH126" i="3"/>
  <c r="AG126" i="3"/>
  <c r="Y124" i="3"/>
  <c r="K126" i="3" l="1"/>
  <c r="D126" i="3"/>
  <c r="F126" i="3" l="1"/>
  <c r="G126" i="3"/>
  <c r="V126" i="3"/>
  <c r="AE126" i="3"/>
  <c r="I126" i="3" l="1"/>
  <c r="W126" i="3" s="1"/>
  <c r="J126" i="3"/>
  <c r="M126" i="3"/>
  <c r="N126" i="3" s="1"/>
  <c r="L126" i="3" l="1"/>
  <c r="U126" i="3" l="1"/>
  <c r="D127" i="3" s="1"/>
  <c r="AH127" i="3"/>
  <c r="AG127" i="3"/>
  <c r="Y125" i="3"/>
  <c r="E127" i="3" l="1"/>
  <c r="H127" i="3" s="1"/>
  <c r="K127" i="3" s="1"/>
  <c r="G127" i="3"/>
  <c r="F127" i="3" l="1"/>
  <c r="I127" i="3"/>
  <c r="J127" i="3"/>
  <c r="M127" i="3"/>
  <c r="N127" i="3" s="1"/>
  <c r="V127" i="3"/>
  <c r="AE127" i="3"/>
  <c r="W127" i="3" l="1"/>
  <c r="L127" i="3"/>
  <c r="U127" i="3" l="1"/>
  <c r="E128" i="3" s="1"/>
  <c r="H128" i="3" s="1"/>
  <c r="AH128" i="3"/>
  <c r="AG128" i="3"/>
  <c r="Y126" i="3"/>
  <c r="D128" i="3" l="1"/>
  <c r="F128" i="3" s="1"/>
  <c r="K128" i="3"/>
  <c r="G128" i="3" l="1"/>
  <c r="M128" i="3" s="1"/>
  <c r="N128" i="3" s="1"/>
  <c r="V128" i="3"/>
  <c r="AE128" i="3"/>
  <c r="J128" i="3" l="1"/>
  <c r="L128" i="3" s="1"/>
  <c r="I128" i="3"/>
  <c r="W128" i="3" s="1"/>
  <c r="AG129" i="3" l="1"/>
  <c r="U128" i="3"/>
  <c r="E129" i="3" s="1"/>
  <c r="H129" i="3" s="1"/>
  <c r="AH129" i="3"/>
  <c r="Y127" i="3"/>
  <c r="D129" i="3" l="1"/>
  <c r="F129" i="3" s="1"/>
  <c r="K129" i="3"/>
  <c r="G129" i="3" l="1"/>
  <c r="M129" i="3" s="1"/>
  <c r="N129" i="3" s="1"/>
  <c r="V129" i="3"/>
  <c r="AE129" i="3"/>
  <c r="J129" i="3" l="1"/>
  <c r="L129" i="3" s="1"/>
  <c r="I129" i="3"/>
  <c r="W129" i="3" s="1"/>
  <c r="U129" i="3" l="1"/>
  <c r="D130" i="3" s="1"/>
  <c r="AH130" i="3"/>
  <c r="AG130" i="3"/>
  <c r="Y128" i="3"/>
  <c r="E130" i="3" l="1"/>
  <c r="H130" i="3" s="1"/>
  <c r="K130" i="3" s="1"/>
  <c r="G130" i="3"/>
  <c r="F130" i="3" l="1"/>
  <c r="I130" i="3"/>
  <c r="J130" i="3"/>
  <c r="M130" i="3"/>
  <c r="N130" i="3" s="1"/>
  <c r="V130" i="3"/>
  <c r="AE130" i="3"/>
  <c r="W130" i="3" l="1"/>
  <c r="L130" i="3"/>
  <c r="U130" i="3" l="1"/>
  <c r="D131" i="3" s="1"/>
  <c r="AG131" i="3"/>
  <c r="AH131" i="3"/>
  <c r="Y129" i="3"/>
  <c r="E131" i="3" l="1"/>
  <c r="H131" i="3" s="1"/>
  <c r="K131" i="3" s="1"/>
  <c r="G131" i="3"/>
  <c r="F131" i="3" l="1"/>
  <c r="I131" i="3"/>
  <c r="J131" i="3"/>
  <c r="M131" i="3"/>
  <c r="N131" i="3" s="1"/>
  <c r="V131" i="3"/>
  <c r="AE131" i="3"/>
  <c r="W131" i="3" l="1"/>
  <c r="L131" i="3"/>
  <c r="U131" i="3" l="1"/>
  <c r="E132" i="3" s="1"/>
  <c r="H132" i="3" s="1"/>
  <c r="AH132" i="3"/>
  <c r="AG132" i="3"/>
  <c r="D132" i="3"/>
  <c r="Y130" i="3"/>
  <c r="K132" i="3" l="1"/>
  <c r="F132" i="3"/>
  <c r="G132" i="3"/>
  <c r="V132" i="3" l="1"/>
  <c r="AE132" i="3"/>
  <c r="I132" i="3"/>
  <c r="J132" i="3"/>
  <c r="M132" i="3"/>
  <c r="N132" i="3" s="1"/>
  <c r="L132" i="3" l="1"/>
  <c r="W132" i="3"/>
  <c r="U132" i="3" l="1"/>
  <c r="D133" i="3" s="1"/>
  <c r="AG133" i="3"/>
  <c r="AH133" i="3"/>
  <c r="Y131" i="3"/>
  <c r="E133" i="3" l="1"/>
  <c r="H133" i="3" s="1"/>
  <c r="K133" i="3" s="1"/>
  <c r="G133" i="3"/>
  <c r="F133" i="3" l="1"/>
  <c r="V133" i="3"/>
  <c r="AE133" i="3"/>
  <c r="I133" i="3"/>
  <c r="J133" i="3"/>
  <c r="M133" i="3"/>
  <c r="N133" i="3" s="1"/>
  <c r="L133" i="3" l="1"/>
  <c r="W133" i="3"/>
  <c r="U133" i="3" l="1"/>
  <c r="D134" i="3" s="1"/>
  <c r="AG134" i="3"/>
  <c r="AH134" i="3"/>
  <c r="Y132" i="3"/>
  <c r="E134" i="3" l="1"/>
  <c r="H134" i="3" s="1"/>
  <c r="K134" i="3" s="1"/>
  <c r="G134" i="3"/>
  <c r="F134" i="3" l="1"/>
  <c r="V134" i="3"/>
  <c r="AE134" i="3"/>
  <c r="I134" i="3"/>
  <c r="J134" i="3"/>
  <c r="M134" i="3"/>
  <c r="N134" i="3" s="1"/>
  <c r="L134" i="3" l="1"/>
  <c r="W134" i="3"/>
  <c r="U134" i="3" l="1"/>
  <c r="D135" i="3" s="1"/>
  <c r="AG135" i="3"/>
  <c r="AH135" i="3"/>
  <c r="Y133" i="3"/>
  <c r="E135" i="3" l="1"/>
  <c r="H135" i="3" s="1"/>
  <c r="K135" i="3" s="1"/>
  <c r="G135" i="3"/>
  <c r="F135" i="3" l="1"/>
  <c r="V135" i="3"/>
  <c r="AE135" i="3"/>
  <c r="I135" i="3"/>
  <c r="J135" i="3"/>
  <c r="M135" i="3"/>
  <c r="N135" i="3" s="1"/>
  <c r="W135" i="3" l="1"/>
  <c r="L135" i="3"/>
  <c r="U135" i="3" l="1"/>
  <c r="E136" i="3" s="1"/>
  <c r="H136" i="3" s="1"/>
  <c r="AG136" i="3"/>
  <c r="AH136" i="3"/>
  <c r="Y134" i="3"/>
  <c r="D136" i="3" l="1"/>
  <c r="F136" i="3" s="1"/>
  <c r="K136" i="3"/>
  <c r="G136" i="3" l="1"/>
  <c r="I136" i="3" s="1"/>
  <c r="V136" i="3"/>
  <c r="AE136" i="3"/>
  <c r="M136" i="3" l="1"/>
  <c r="N136" i="3" s="1"/>
  <c r="J136" i="3"/>
  <c r="L136" i="3" s="1"/>
  <c r="W136" i="3"/>
  <c r="U136" i="3" l="1"/>
  <c r="D137" i="3" s="1"/>
  <c r="AG137" i="3"/>
  <c r="AH137" i="3"/>
  <c r="Y135" i="3"/>
  <c r="E137" i="3" l="1"/>
  <c r="H137" i="3" s="1"/>
  <c r="K137" i="3" s="1"/>
  <c r="G137" i="3"/>
  <c r="F137" i="3" l="1"/>
  <c r="I137" i="3"/>
  <c r="J137" i="3"/>
  <c r="M137" i="3"/>
  <c r="N137" i="3" s="1"/>
  <c r="V137" i="3"/>
  <c r="AE137" i="3"/>
  <c r="W137" i="3" l="1"/>
  <c r="L137" i="3"/>
  <c r="U137" i="3" l="1"/>
  <c r="D138" i="3" s="1"/>
  <c r="AH138" i="3"/>
  <c r="AG138" i="3"/>
  <c r="Y136" i="3"/>
  <c r="E138" i="3" l="1"/>
  <c r="H138" i="3" s="1"/>
  <c r="K138" i="3" s="1"/>
  <c r="G138" i="3"/>
  <c r="F138" i="3" l="1"/>
  <c r="V138" i="3"/>
  <c r="AE138" i="3"/>
  <c r="I138" i="3"/>
  <c r="J138" i="3"/>
  <c r="M138" i="3"/>
  <c r="N138" i="3" s="1"/>
  <c r="L138" i="3" l="1"/>
  <c r="W138" i="3"/>
  <c r="U138" i="3" l="1"/>
  <c r="E139" i="3" s="1"/>
  <c r="H139" i="3" s="1"/>
  <c r="AH139" i="3"/>
  <c r="AG139" i="3"/>
  <c r="Y137" i="3"/>
  <c r="D139" i="3" l="1"/>
  <c r="F139" i="3" s="1"/>
  <c r="K139" i="3"/>
  <c r="G139" i="3" l="1"/>
  <c r="V139" i="3"/>
  <c r="AE139" i="3"/>
  <c r="I139" i="3"/>
  <c r="J139" i="3"/>
  <c r="M139" i="3"/>
  <c r="N139" i="3" s="1"/>
  <c r="W139" i="3" l="1"/>
  <c r="L139" i="3"/>
  <c r="U139" i="3" l="1"/>
  <c r="E140" i="3" s="1"/>
  <c r="H140" i="3" s="1"/>
  <c r="AH140" i="3"/>
  <c r="AG140" i="3"/>
  <c r="Y138" i="3"/>
  <c r="D140" i="3" l="1"/>
  <c r="F140" i="3" s="1"/>
  <c r="K140" i="3"/>
  <c r="G140" i="3" l="1"/>
  <c r="M140" i="3" s="1"/>
  <c r="N140" i="3" s="1"/>
  <c r="V140" i="3"/>
  <c r="AE140" i="3"/>
  <c r="I140" i="3"/>
  <c r="J140" i="3"/>
  <c r="L140" i="3" l="1"/>
  <c r="W140" i="3"/>
  <c r="U140" i="3" l="1"/>
  <c r="D141" i="3" s="1"/>
  <c r="AG141" i="3"/>
  <c r="AH141" i="3"/>
  <c r="Y139" i="3"/>
  <c r="E141" i="3" l="1"/>
  <c r="H141" i="3" s="1"/>
  <c r="K141" i="3" s="1"/>
  <c r="G141" i="3"/>
  <c r="F141" i="3" l="1"/>
  <c r="I141" i="3"/>
  <c r="J141" i="3"/>
  <c r="M141" i="3"/>
  <c r="N141" i="3" s="1"/>
  <c r="V141" i="3"/>
  <c r="AE141" i="3"/>
  <c r="W141" i="3" l="1"/>
  <c r="L141" i="3"/>
  <c r="U141" i="3" l="1"/>
  <c r="D142" i="3" s="1"/>
  <c r="AH142" i="3"/>
  <c r="AG142" i="3"/>
  <c r="Y140" i="3"/>
  <c r="G142" i="3" l="1"/>
  <c r="E142" i="3"/>
  <c r="H142" i="3" s="1"/>
  <c r="K142" i="3" l="1"/>
  <c r="I142" i="3"/>
  <c r="J142" i="3"/>
  <c r="M142" i="3"/>
  <c r="N142" i="3" s="1"/>
  <c r="F142" i="3"/>
  <c r="V142" i="3" l="1"/>
  <c r="W142" i="3" s="1"/>
  <c r="AE142" i="3"/>
  <c r="L142" i="3"/>
  <c r="AG143" i="3" l="1"/>
  <c r="AH143" i="3"/>
  <c r="U142" i="3"/>
  <c r="E143" i="3" s="1"/>
  <c r="H143" i="3" s="1"/>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I144" i="3"/>
  <c r="J144" i="3"/>
  <c r="M144" i="3"/>
  <c r="N144" i="3" s="1"/>
  <c r="V144" i="3"/>
  <c r="AE144" i="3"/>
  <c r="W144" i="3" l="1"/>
  <c r="L144" i="3"/>
  <c r="U144" i="3" l="1"/>
  <c r="E145" i="3" s="1"/>
  <c r="H145" i="3" s="1"/>
  <c r="AH145" i="3"/>
  <c r="AG145" i="3"/>
  <c r="Y143" i="3"/>
  <c r="D145" i="3" l="1"/>
  <c r="F145" i="3" s="1"/>
  <c r="K145" i="3"/>
  <c r="G145" i="3" l="1"/>
  <c r="I145" i="3" s="1"/>
  <c r="V145" i="3"/>
  <c r="AE145" i="3"/>
  <c r="M145" i="3" l="1"/>
  <c r="N145" i="3" s="1"/>
  <c r="J145" i="3"/>
  <c r="L145" i="3" s="1"/>
  <c r="W145" i="3"/>
  <c r="U145" i="3" l="1"/>
  <c r="E146" i="3" s="1"/>
  <c r="H146" i="3" s="1"/>
  <c r="AG146" i="3"/>
  <c r="AH146" i="3"/>
  <c r="Y144" i="3"/>
  <c r="D146" i="3" l="1"/>
  <c r="F146" i="3" s="1"/>
  <c r="K146" i="3"/>
  <c r="G146" i="3" l="1"/>
  <c r="I146" i="3" s="1"/>
  <c r="V146" i="3"/>
  <c r="AE146" i="3"/>
  <c r="M146" i="3" l="1"/>
  <c r="N146" i="3" s="1"/>
  <c r="J146" i="3"/>
  <c r="L146" i="3" s="1"/>
  <c r="W146" i="3"/>
  <c r="U146" i="3" l="1"/>
  <c r="D147" i="3" s="1"/>
  <c r="AG147" i="3"/>
  <c r="AH147" i="3"/>
  <c r="Y145" i="3"/>
  <c r="E147" i="3" l="1"/>
  <c r="H147" i="3" s="1"/>
  <c r="K147" i="3" s="1"/>
  <c r="G147" i="3"/>
  <c r="F147" i="3" l="1"/>
  <c r="I147" i="3"/>
  <c r="J147" i="3"/>
  <c r="M147" i="3"/>
  <c r="N147" i="3" s="1"/>
  <c r="V147" i="3"/>
  <c r="AE147" i="3"/>
  <c r="W147" i="3" l="1"/>
  <c r="L147" i="3"/>
  <c r="U147" i="3" l="1"/>
  <c r="D148" i="3" s="1"/>
  <c r="AH148" i="3"/>
  <c r="AG148" i="3"/>
  <c r="Y146" i="3"/>
  <c r="E148" i="3" l="1"/>
  <c r="H148" i="3" s="1"/>
  <c r="K148" i="3" s="1"/>
  <c r="G148" i="3"/>
  <c r="F148" i="3" l="1"/>
  <c r="I148" i="3"/>
  <c r="J148" i="3"/>
  <c r="M148" i="3"/>
  <c r="N148" i="3" s="1"/>
  <c r="V148" i="3"/>
  <c r="AE148" i="3"/>
  <c r="W148" i="3" l="1"/>
  <c r="L148" i="3"/>
  <c r="U148" i="3" l="1"/>
  <c r="E149" i="3" s="1"/>
  <c r="H149" i="3" s="1"/>
  <c r="AH149" i="3"/>
  <c r="AG149" i="3"/>
  <c r="Y147" i="3"/>
  <c r="D149" i="3" l="1"/>
  <c r="F149" i="3" s="1"/>
  <c r="K149" i="3"/>
  <c r="G149" i="3" l="1"/>
  <c r="V149" i="3"/>
  <c r="AE149" i="3"/>
  <c r="I149" i="3"/>
  <c r="J149" i="3"/>
  <c r="M149" i="3"/>
  <c r="N149" i="3" s="1"/>
  <c r="W149" i="3" l="1"/>
  <c r="L149" i="3"/>
  <c r="U149" i="3" l="1"/>
  <c r="E150" i="3" s="1"/>
  <c r="H150" i="3" s="1"/>
  <c r="AG150" i="3"/>
  <c r="AH150" i="3"/>
  <c r="Y148" i="3"/>
  <c r="D150" i="3" l="1"/>
  <c r="F150" i="3" s="1"/>
  <c r="K150" i="3"/>
  <c r="G150" i="3" l="1"/>
  <c r="M150" i="3" s="1"/>
  <c r="N150" i="3" s="1"/>
  <c r="V150" i="3"/>
  <c r="AE150" i="3"/>
  <c r="J150" i="3" l="1"/>
  <c r="L150" i="3" s="1"/>
  <c r="I150" i="3"/>
  <c r="W150" i="3" s="1"/>
  <c r="U150" i="3" l="1"/>
  <c r="E151" i="3" s="1"/>
  <c r="H151" i="3" s="1"/>
  <c r="AG151" i="3"/>
  <c r="AH151" i="3"/>
  <c r="Y149" i="3"/>
  <c r="D151" i="3" l="1"/>
  <c r="F151" i="3" s="1"/>
  <c r="K151" i="3"/>
  <c r="G151" i="3" l="1"/>
  <c r="M151" i="3" s="1"/>
  <c r="N151" i="3" s="1"/>
  <c r="V151" i="3"/>
  <c r="AE151" i="3"/>
  <c r="J151" i="3" l="1"/>
  <c r="L151" i="3" s="1"/>
  <c r="I151" i="3"/>
  <c r="W151" i="3" s="1"/>
  <c r="U151" i="3" l="1"/>
  <c r="D152" i="3" s="1"/>
  <c r="AH152" i="3"/>
  <c r="AG152" i="3"/>
  <c r="Y150" i="3"/>
  <c r="E152" i="3" l="1"/>
  <c r="H152" i="3" s="1"/>
  <c r="K152" i="3" s="1"/>
  <c r="G152" i="3"/>
  <c r="F152" i="3" l="1"/>
  <c r="V152" i="3"/>
  <c r="AE152" i="3"/>
  <c r="I152" i="3"/>
  <c r="J152" i="3"/>
  <c r="M152" i="3"/>
  <c r="N152" i="3" s="1"/>
  <c r="L152" i="3" l="1"/>
  <c r="W152" i="3"/>
  <c r="U152" i="3" l="1"/>
  <c r="E153" i="3" s="1"/>
  <c r="H153" i="3" s="1"/>
  <c r="AH153" i="3"/>
  <c r="AG153" i="3"/>
  <c r="Y151" i="3"/>
  <c r="K153" i="3" l="1"/>
  <c r="D153" i="3"/>
  <c r="F153" i="3" l="1"/>
  <c r="G153" i="3"/>
  <c r="V153" i="3"/>
  <c r="AE153" i="3"/>
  <c r="I153" i="3" l="1"/>
  <c r="W153" i="3" s="1"/>
  <c r="J153" i="3"/>
  <c r="M153" i="3"/>
  <c r="N153" i="3" s="1"/>
  <c r="L153" i="3" l="1"/>
  <c r="U153" i="3" l="1"/>
  <c r="E154" i="3" s="1"/>
  <c r="H154" i="3" s="1"/>
  <c r="AH154" i="3"/>
  <c r="AG154" i="3"/>
  <c r="Y152" i="3"/>
  <c r="D154" i="3" l="1"/>
  <c r="F154" i="3" s="1"/>
  <c r="K154" i="3"/>
  <c r="G154" i="3" l="1"/>
  <c r="I154" i="3" s="1"/>
  <c r="V154" i="3"/>
  <c r="AE154" i="3"/>
  <c r="M154" i="3" l="1"/>
  <c r="N154" i="3" s="1"/>
  <c r="J154" i="3"/>
  <c r="L154" i="3" s="1"/>
  <c r="W154" i="3"/>
  <c r="U154" i="3" l="1"/>
  <c r="D155" i="3" s="1"/>
  <c r="AG155" i="3"/>
  <c r="AH155" i="3"/>
  <c r="Y153" i="3"/>
  <c r="E155" i="3" l="1"/>
  <c r="H155" i="3" s="1"/>
  <c r="K155" i="3" s="1"/>
  <c r="G155" i="3"/>
  <c r="F155" i="3" l="1"/>
  <c r="V155" i="3"/>
  <c r="AE155" i="3"/>
  <c r="I155" i="3"/>
  <c r="J155" i="3"/>
  <c r="M155" i="3"/>
  <c r="N155" i="3" s="1"/>
  <c r="L155" i="3" l="1"/>
  <c r="W155" i="3"/>
  <c r="U155" i="3" l="1"/>
  <c r="E156" i="3" s="1"/>
  <c r="H156" i="3" s="1"/>
  <c r="AH156" i="3"/>
  <c r="AG156" i="3"/>
  <c r="Y154" i="3"/>
  <c r="D156" i="3" l="1"/>
  <c r="F156" i="3" s="1"/>
  <c r="K156" i="3"/>
  <c r="G156" i="3" l="1"/>
  <c r="I156" i="3" s="1"/>
  <c r="V156" i="3"/>
  <c r="AE156" i="3"/>
  <c r="M156" i="3" l="1"/>
  <c r="N156" i="3" s="1"/>
  <c r="J156" i="3"/>
  <c r="L156" i="3" s="1"/>
  <c r="W156" i="3"/>
  <c r="U156" i="3" l="1"/>
  <c r="D157" i="3" s="1"/>
  <c r="AG157" i="3"/>
  <c r="AH157" i="3"/>
  <c r="Y155" i="3"/>
  <c r="E157" i="3" l="1"/>
  <c r="H157" i="3" s="1"/>
  <c r="K157" i="3" s="1"/>
  <c r="G157" i="3"/>
  <c r="F157" i="3" l="1"/>
  <c r="V157" i="3"/>
  <c r="AE157" i="3"/>
  <c r="I157" i="3"/>
  <c r="J157" i="3"/>
  <c r="M157" i="3"/>
  <c r="N157" i="3" s="1"/>
  <c r="L157" i="3" l="1"/>
  <c r="W157" i="3"/>
  <c r="U157" i="3" l="1"/>
  <c r="D158" i="3" s="1"/>
  <c r="AG158" i="3"/>
  <c r="AH158" i="3"/>
  <c r="Y156" i="3"/>
  <c r="E158" i="3" l="1"/>
  <c r="H158" i="3" s="1"/>
  <c r="K158" i="3" s="1"/>
  <c r="G158" i="3"/>
  <c r="F158" i="3" l="1"/>
  <c r="I158" i="3"/>
  <c r="J158" i="3"/>
  <c r="M158" i="3"/>
  <c r="N158" i="3" s="1"/>
  <c r="V158" i="3"/>
  <c r="AE158" i="3"/>
  <c r="W158" i="3" l="1"/>
  <c r="L158" i="3"/>
  <c r="AH159" i="3" l="1"/>
  <c r="AG159" i="3"/>
  <c r="U158" i="3"/>
  <c r="E159" i="3" s="1"/>
  <c r="H159" i="3" s="1"/>
  <c r="Y157" i="3"/>
  <c r="D159" i="3" l="1"/>
  <c r="F159" i="3" s="1"/>
  <c r="K159" i="3"/>
  <c r="G159" i="3" l="1"/>
  <c r="I159" i="3" s="1"/>
  <c r="V159" i="3"/>
  <c r="AE159" i="3"/>
  <c r="M159" i="3" l="1"/>
  <c r="N159" i="3" s="1"/>
  <c r="J159" i="3"/>
  <c r="L159" i="3" s="1"/>
  <c r="W159" i="3"/>
  <c r="AG160" i="3" l="1"/>
  <c r="AH160" i="3"/>
  <c r="U159" i="3"/>
  <c r="D160" i="3" s="1"/>
  <c r="Y158" i="3"/>
  <c r="E160" i="3" l="1"/>
  <c r="H160" i="3" s="1"/>
  <c r="K160" i="3" s="1"/>
  <c r="G160" i="3"/>
  <c r="F160" i="3" l="1"/>
  <c r="V160" i="3"/>
  <c r="AE160" i="3"/>
  <c r="I160" i="3"/>
  <c r="J160" i="3"/>
  <c r="M160" i="3"/>
  <c r="N160" i="3" s="1"/>
  <c r="L160" i="3" l="1"/>
  <c r="W160" i="3"/>
  <c r="U160" i="3" l="1"/>
  <c r="D161" i="3" s="1"/>
  <c r="AH161" i="3"/>
  <c r="AG161" i="3"/>
  <c r="Y159" i="3"/>
  <c r="E161" i="3" l="1"/>
  <c r="H161" i="3" s="1"/>
  <c r="K161" i="3" s="1"/>
  <c r="G161" i="3"/>
  <c r="F161" i="3" l="1"/>
  <c r="V161" i="3"/>
  <c r="AE161" i="3"/>
  <c r="I161" i="3"/>
  <c r="J161" i="3"/>
  <c r="M161" i="3"/>
  <c r="N161" i="3" s="1"/>
  <c r="L161" i="3" l="1"/>
  <c r="W161" i="3"/>
  <c r="U161" i="3" l="1"/>
  <c r="D162" i="3" s="1"/>
  <c r="AH162" i="3"/>
  <c r="AG162" i="3"/>
  <c r="E162" i="3"/>
  <c r="H162" i="3" s="1"/>
  <c r="Y160" i="3"/>
  <c r="K162" i="3" l="1"/>
  <c r="F162" i="3"/>
  <c r="G162" i="3"/>
  <c r="V162" i="3" l="1"/>
  <c r="AE162" i="3"/>
  <c r="I162" i="3"/>
  <c r="J162" i="3"/>
  <c r="M162" i="3"/>
  <c r="N162" i="3" s="1"/>
  <c r="L162" i="3" l="1"/>
  <c r="W162" i="3"/>
  <c r="U162" i="3" l="1"/>
  <c r="D163" i="3" s="1"/>
  <c r="AH163" i="3"/>
  <c r="AG163" i="3"/>
  <c r="E163" i="3"/>
  <c r="H163" i="3" s="1"/>
  <c r="Y161" i="3"/>
  <c r="F163" i="3" l="1"/>
  <c r="G163" i="3"/>
  <c r="K163" i="3"/>
  <c r="I163" i="3" l="1"/>
  <c r="J163" i="3"/>
  <c r="M163" i="3"/>
  <c r="N163" i="3" s="1"/>
  <c r="V163" i="3"/>
  <c r="AE163" i="3"/>
  <c r="W163" i="3" l="1"/>
  <c r="L163" i="3"/>
  <c r="U163" i="3" l="1"/>
  <c r="E164" i="3" s="1"/>
  <c r="H164" i="3" s="1"/>
  <c r="AH164" i="3"/>
  <c r="AG164" i="3"/>
  <c r="D164" i="3"/>
  <c r="Y162" i="3"/>
  <c r="K164" i="3" l="1"/>
  <c r="F164" i="3"/>
  <c r="G164" i="3"/>
  <c r="V164" i="3" l="1"/>
  <c r="AE164" i="3"/>
  <c r="I164" i="3"/>
  <c r="J164" i="3"/>
  <c r="M164" i="3"/>
  <c r="N164" i="3" s="1"/>
  <c r="L164" i="3" l="1"/>
  <c r="W164" i="3"/>
  <c r="U164" i="3" l="1"/>
  <c r="E165" i="3" s="1"/>
  <c r="H165" i="3" s="1"/>
  <c r="AH165" i="3"/>
  <c r="AG165" i="3"/>
  <c r="Y163" i="3"/>
  <c r="D165" i="3" l="1"/>
  <c r="G165" i="3" s="1"/>
  <c r="K165" i="3"/>
  <c r="F165" i="3" l="1"/>
  <c r="V165" i="3"/>
  <c r="AE165" i="3"/>
  <c r="I165" i="3"/>
  <c r="J165" i="3"/>
  <c r="M165" i="3"/>
  <c r="N165" i="3" s="1"/>
  <c r="L165" i="3" l="1"/>
  <c r="W165" i="3"/>
  <c r="U165" i="3" l="1"/>
  <c r="E166" i="3" s="1"/>
  <c r="H166" i="3" s="1"/>
  <c r="AG166" i="3"/>
  <c r="AH166" i="3"/>
  <c r="Y164" i="3"/>
  <c r="D166" i="3" l="1"/>
  <c r="F166" i="3" s="1"/>
  <c r="K166" i="3"/>
  <c r="G166" i="3" l="1"/>
  <c r="I166" i="3" s="1"/>
  <c r="V166" i="3"/>
  <c r="AE166" i="3"/>
  <c r="J166" i="3"/>
  <c r="M166" i="3"/>
  <c r="N166" i="3" s="1"/>
  <c r="W166" i="3" l="1"/>
  <c r="L166" i="3"/>
  <c r="AH167" i="3" l="1"/>
  <c r="AG167" i="3"/>
  <c r="U166" i="3"/>
  <c r="D167" i="3" s="1"/>
  <c r="Y165" i="3"/>
  <c r="G167" i="3" l="1"/>
  <c r="E167" i="3"/>
  <c r="H167" i="3" s="1"/>
  <c r="K167" i="3" l="1"/>
  <c r="I167" i="3"/>
  <c r="J167" i="3"/>
  <c r="M167" i="3"/>
  <c r="N167" i="3" s="1"/>
  <c r="F167" i="3"/>
  <c r="V167" i="3" l="1"/>
  <c r="W167" i="3" s="1"/>
  <c r="AE167" i="3"/>
  <c r="L167" i="3"/>
  <c r="AG168" i="3" l="1"/>
  <c r="U167" i="3"/>
  <c r="D168" i="3" s="1"/>
  <c r="AH168" i="3"/>
  <c r="Y166" i="3"/>
  <c r="E168" i="3" l="1"/>
  <c r="H168" i="3" s="1"/>
  <c r="K168" i="3" s="1"/>
  <c r="G168" i="3"/>
  <c r="F168" i="3" l="1"/>
  <c r="I168" i="3"/>
  <c r="J168" i="3"/>
  <c r="M168" i="3"/>
  <c r="N168" i="3" s="1"/>
  <c r="V168" i="3"/>
  <c r="AE168" i="3"/>
  <c r="W168" i="3" l="1"/>
  <c r="L168" i="3"/>
  <c r="AG169" i="3" l="1"/>
  <c r="AH169" i="3"/>
  <c r="U168" i="3"/>
  <c r="D169" i="3" s="1"/>
  <c r="Y167" i="3"/>
  <c r="E169" i="3" l="1"/>
  <c r="H169" i="3" s="1"/>
  <c r="K169" i="3" s="1"/>
  <c r="G169" i="3"/>
  <c r="F169" i="3" l="1"/>
  <c r="V169" i="3"/>
  <c r="AE169" i="3"/>
  <c r="I169" i="3"/>
  <c r="J169" i="3"/>
  <c r="M169" i="3"/>
  <c r="N169" i="3" s="1"/>
  <c r="L169" i="3" l="1"/>
  <c r="W169" i="3"/>
  <c r="AG170" i="3" l="1"/>
  <c r="AH170" i="3"/>
  <c r="U169" i="3"/>
  <c r="D170" i="3" s="1"/>
  <c r="Y168" i="3"/>
  <c r="E170" i="3" l="1"/>
  <c r="H170" i="3" s="1"/>
  <c r="K170" i="3" s="1"/>
  <c r="G170" i="3"/>
  <c r="F170" i="3" l="1"/>
  <c r="I170" i="3"/>
  <c r="J170" i="3"/>
  <c r="M170" i="3"/>
  <c r="N170" i="3" s="1"/>
  <c r="V170" i="3"/>
  <c r="AE170" i="3"/>
  <c r="W170" i="3" l="1"/>
  <c r="L170" i="3"/>
  <c r="AG171" i="3" l="1"/>
  <c r="AH171" i="3"/>
  <c r="U170" i="3"/>
  <c r="E171" i="3" s="1"/>
  <c r="H171" i="3" s="1"/>
  <c r="Y169" i="3"/>
  <c r="D171" i="3" l="1"/>
  <c r="F171" i="3" s="1"/>
  <c r="K171" i="3"/>
  <c r="G171" i="3" l="1"/>
  <c r="M171" i="3" s="1"/>
  <c r="N171" i="3" s="1"/>
  <c r="V171" i="3"/>
  <c r="AE171" i="3"/>
  <c r="J171" i="3" l="1"/>
  <c r="L171" i="3" s="1"/>
  <c r="I171" i="3"/>
  <c r="W171" i="3" s="1"/>
  <c r="U171" i="3" l="1"/>
  <c r="D172" i="3" s="1"/>
  <c r="AH172" i="3"/>
  <c r="AG172" i="3"/>
  <c r="Y170" i="3"/>
  <c r="E172" i="3" l="1"/>
  <c r="H172" i="3" s="1"/>
  <c r="K172" i="3" s="1"/>
  <c r="G172" i="3"/>
  <c r="F172" i="3" l="1"/>
  <c r="V172" i="3"/>
  <c r="AE172" i="3"/>
  <c r="I172" i="3"/>
  <c r="J172" i="3"/>
  <c r="M172" i="3"/>
  <c r="N172" i="3" s="1"/>
  <c r="L172" i="3" l="1"/>
  <c r="W172" i="3"/>
  <c r="AG173" i="3" l="1"/>
  <c r="AH173" i="3"/>
  <c r="U172" i="3"/>
  <c r="E173" i="3" s="1"/>
  <c r="H173" i="3" s="1"/>
  <c r="Y171" i="3"/>
  <c r="D173" i="3" l="1"/>
  <c r="F173" i="3" s="1"/>
  <c r="K173" i="3"/>
  <c r="G173" i="3" l="1"/>
  <c r="I173" i="3" s="1"/>
  <c r="V173" i="3"/>
  <c r="AE173" i="3"/>
  <c r="M173" i="3" l="1"/>
  <c r="N173" i="3" s="1"/>
  <c r="J173" i="3"/>
  <c r="L173" i="3" s="1"/>
  <c r="W173" i="3"/>
  <c r="AH174" i="3" l="1"/>
  <c r="AG174" i="3"/>
  <c r="U173" i="3"/>
  <c r="D174" i="3" s="1"/>
  <c r="Y172" i="3"/>
  <c r="E174" i="3" l="1"/>
  <c r="H174" i="3" s="1"/>
  <c r="K174" i="3" s="1"/>
  <c r="G174" i="3"/>
  <c r="F174" i="3" l="1"/>
  <c r="I174" i="3"/>
  <c r="J174" i="3"/>
  <c r="M174" i="3"/>
  <c r="N174" i="3" s="1"/>
  <c r="V174" i="3"/>
  <c r="AE174" i="3"/>
  <c r="W174" i="3" l="1"/>
  <c r="L174" i="3"/>
  <c r="U174" i="3" l="1"/>
  <c r="D175" i="3" s="1"/>
  <c r="AH175" i="3"/>
  <c r="AG175" i="3"/>
  <c r="Y173" i="3"/>
  <c r="E175" i="3" l="1"/>
  <c r="H175" i="3" s="1"/>
  <c r="K175" i="3" s="1"/>
  <c r="G175" i="3"/>
  <c r="F175" i="3" l="1"/>
  <c r="V175" i="3"/>
  <c r="AE175" i="3"/>
  <c r="I175" i="3"/>
  <c r="J175" i="3"/>
  <c r="M175" i="3"/>
  <c r="N175" i="3" s="1"/>
  <c r="W175" i="3" l="1"/>
  <c r="L175" i="3"/>
  <c r="U175" i="3" l="1"/>
  <c r="D176" i="3" s="1"/>
  <c r="AG176" i="3"/>
  <c r="AH176" i="3"/>
  <c r="Y174" i="3"/>
  <c r="E176" i="3" l="1"/>
  <c r="H176" i="3" s="1"/>
  <c r="K176" i="3" s="1"/>
  <c r="G176" i="3"/>
  <c r="F176" i="3" l="1"/>
  <c r="V176" i="3"/>
  <c r="AE176" i="3"/>
  <c r="I176" i="3"/>
  <c r="J176" i="3"/>
  <c r="M176" i="3"/>
  <c r="N176" i="3" s="1"/>
  <c r="L176" i="3" l="1"/>
  <c r="W176" i="3"/>
  <c r="AG177" i="3" l="1"/>
  <c r="AH177" i="3"/>
  <c r="U176" i="3"/>
  <c r="D177" i="3" s="1"/>
  <c r="Y175" i="3"/>
  <c r="E177" i="3" l="1"/>
  <c r="H177" i="3" s="1"/>
  <c r="K177" i="3" s="1"/>
  <c r="G177" i="3"/>
  <c r="F177" i="3" l="1"/>
  <c r="V177" i="3"/>
  <c r="AE177" i="3"/>
  <c r="I177" i="3"/>
  <c r="J177" i="3"/>
  <c r="M177" i="3"/>
  <c r="N177" i="3" s="1"/>
  <c r="W177" i="3" l="1"/>
  <c r="L177" i="3"/>
  <c r="AG178" i="3" l="1"/>
  <c r="AH178" i="3"/>
  <c r="U177" i="3"/>
  <c r="D178" i="3" s="1"/>
  <c r="Y176" i="3"/>
  <c r="E178" i="3" l="1"/>
  <c r="H178" i="3" s="1"/>
  <c r="K178" i="3" s="1"/>
  <c r="G178" i="3"/>
  <c r="F178" i="3" l="1"/>
  <c r="V178" i="3"/>
  <c r="AE178" i="3"/>
  <c r="I178" i="3"/>
  <c r="J178" i="3"/>
  <c r="M178" i="3"/>
  <c r="N178" i="3" s="1"/>
  <c r="L178" i="3" l="1"/>
  <c r="W178" i="3"/>
  <c r="AH179" i="3" l="1"/>
  <c r="AG179" i="3"/>
  <c r="U178" i="3"/>
  <c r="E179" i="3" s="1"/>
  <c r="H179" i="3" s="1"/>
  <c r="Y177" i="3"/>
  <c r="D179" i="3" l="1"/>
  <c r="F179" i="3" s="1"/>
  <c r="K179" i="3"/>
  <c r="G179" i="3" l="1"/>
  <c r="I179" i="3" s="1"/>
  <c r="V179" i="3"/>
  <c r="AE179" i="3"/>
  <c r="M179" i="3" l="1"/>
  <c r="N179" i="3" s="1"/>
  <c r="J179" i="3"/>
  <c r="L179" i="3" s="1"/>
  <c r="W179" i="3"/>
  <c r="AH180" i="3" l="1"/>
  <c r="AG180" i="3"/>
  <c r="U179" i="3"/>
  <c r="E180" i="3" s="1"/>
  <c r="H180" i="3" s="1"/>
  <c r="Y178" i="3"/>
  <c r="D180" i="3" l="1"/>
  <c r="F180" i="3" s="1"/>
  <c r="K180" i="3"/>
  <c r="G180" i="3" l="1"/>
  <c r="I180" i="3" s="1"/>
  <c r="V180" i="3"/>
  <c r="AE180" i="3"/>
  <c r="J180" i="3" l="1"/>
  <c r="L180" i="3" s="1"/>
  <c r="M180" i="3"/>
  <c r="N180" i="3" s="1"/>
  <c r="W180" i="3"/>
  <c r="AG181" i="3" l="1"/>
  <c r="AH181" i="3"/>
  <c r="U180" i="3"/>
  <c r="E181" i="3" s="1"/>
  <c r="H181" i="3" s="1"/>
  <c r="Y179" i="3"/>
  <c r="D181" i="3" l="1"/>
  <c r="F181" i="3" s="1"/>
  <c r="K181" i="3"/>
  <c r="G181" i="3" l="1"/>
  <c r="M181" i="3" s="1"/>
  <c r="N181" i="3" s="1"/>
  <c r="V181" i="3"/>
  <c r="AE181" i="3"/>
  <c r="J181" i="3" l="1"/>
  <c r="L181" i="3" s="1"/>
  <c r="I181" i="3"/>
  <c r="W181" i="3" s="1"/>
  <c r="AH182" i="3" l="1"/>
  <c r="AG182" i="3"/>
  <c r="U181" i="3"/>
  <c r="D182" i="3" s="1"/>
  <c r="Y180" i="3"/>
  <c r="E182" i="3" l="1"/>
  <c r="H182" i="3" s="1"/>
  <c r="K182" i="3" s="1"/>
  <c r="G182" i="3"/>
  <c r="F182" i="3" l="1"/>
  <c r="I182" i="3"/>
  <c r="J182" i="3"/>
  <c r="M182" i="3"/>
  <c r="N182" i="3" s="1"/>
  <c r="V182" i="3"/>
  <c r="AE182" i="3"/>
  <c r="W182" i="3" l="1"/>
  <c r="L182" i="3"/>
  <c r="AH183" i="3" l="1"/>
  <c r="AG183" i="3"/>
  <c r="U182" i="3"/>
  <c r="D183" i="3" s="1"/>
  <c r="Y181" i="3"/>
  <c r="G183" i="3" l="1"/>
  <c r="E183" i="3"/>
  <c r="H183" i="3" s="1"/>
  <c r="K183" i="3" l="1"/>
  <c r="I183" i="3"/>
  <c r="J183" i="3"/>
  <c r="M183" i="3"/>
  <c r="N183" i="3" s="1"/>
  <c r="F183" i="3"/>
  <c r="V183" i="3" l="1"/>
  <c r="W183" i="3" s="1"/>
  <c r="AE183" i="3"/>
  <c r="L183" i="3"/>
  <c r="AG184" i="3" l="1"/>
  <c r="AH184" i="3"/>
  <c r="U183" i="3"/>
  <c r="E184" i="3" s="1"/>
  <c r="H184" i="3" s="1"/>
  <c r="Y182" i="3"/>
  <c r="D184" i="3" l="1"/>
  <c r="F184" i="3" s="1"/>
  <c r="K184" i="3"/>
  <c r="G184" i="3" l="1"/>
  <c r="M184" i="3" s="1"/>
  <c r="N184" i="3" s="1"/>
  <c r="V184" i="3"/>
  <c r="AE184" i="3"/>
  <c r="J184" i="3" l="1"/>
  <c r="I184" i="3"/>
  <c r="W184" i="3" s="1"/>
  <c r="L184" i="3"/>
  <c r="AH185" i="3" l="1"/>
  <c r="AG185" i="3"/>
  <c r="U184" i="3"/>
  <c r="D185" i="3" s="1"/>
  <c r="Y183" i="3"/>
  <c r="E185" i="3" l="1"/>
  <c r="H185" i="3" s="1"/>
  <c r="K185" i="3" s="1"/>
  <c r="G185" i="3"/>
  <c r="F185" i="3" l="1"/>
  <c r="I185" i="3"/>
  <c r="J185" i="3"/>
  <c r="M185" i="3"/>
  <c r="N185" i="3" s="1"/>
  <c r="V185" i="3"/>
  <c r="AE185" i="3"/>
  <c r="W185" i="3" l="1"/>
  <c r="L185" i="3"/>
  <c r="AG186" i="3" l="1"/>
  <c r="AH186" i="3"/>
  <c r="U185" i="3"/>
  <c r="D186" i="3" s="1"/>
  <c r="Y184" i="3"/>
  <c r="E186" i="3" l="1"/>
  <c r="H186" i="3" s="1"/>
  <c r="K186" i="3" s="1"/>
  <c r="G186" i="3"/>
  <c r="F186" i="3" l="1"/>
  <c r="I186" i="3"/>
  <c r="J186" i="3"/>
  <c r="M186" i="3"/>
  <c r="N186" i="3" s="1"/>
  <c r="V186" i="3"/>
  <c r="AE186" i="3"/>
  <c r="W186" i="3" l="1"/>
  <c r="L186" i="3"/>
  <c r="AH187" i="3" l="1"/>
  <c r="U186" i="3"/>
  <c r="D187" i="3" s="1"/>
  <c r="AG187" i="3"/>
  <c r="Y185" i="3"/>
  <c r="G187" i="3" l="1"/>
  <c r="E187" i="3"/>
  <c r="H187" i="3" s="1"/>
  <c r="I187" i="3" l="1"/>
  <c r="J187" i="3"/>
  <c r="M187" i="3"/>
  <c r="N187" i="3" s="1"/>
  <c r="K187" i="3"/>
  <c r="F187" i="3"/>
  <c r="V187" i="3" l="1"/>
  <c r="W187" i="3" s="1"/>
  <c r="AE187" i="3"/>
  <c r="L187" i="3"/>
  <c r="AH188" i="3" l="1"/>
  <c r="AG188" i="3"/>
  <c r="U187" i="3"/>
  <c r="E188" i="3" s="1"/>
  <c r="H188" i="3" s="1"/>
  <c r="Y186" i="3"/>
  <c r="D188" i="3" l="1"/>
  <c r="G188" i="3" s="1"/>
  <c r="K188" i="3"/>
  <c r="F188" i="3" l="1"/>
  <c r="V188" i="3"/>
  <c r="AE188" i="3"/>
  <c r="I188" i="3"/>
  <c r="J188" i="3"/>
  <c r="M188" i="3"/>
  <c r="N188" i="3" s="1"/>
  <c r="L188" i="3" l="1"/>
  <c r="W188" i="3"/>
  <c r="AG189" i="3" l="1"/>
  <c r="U188" i="3"/>
  <c r="D189" i="3" s="1"/>
  <c r="AH189" i="3"/>
  <c r="Y187" i="3"/>
  <c r="E189" i="3" l="1"/>
  <c r="H189" i="3" s="1"/>
  <c r="K189" i="3" s="1"/>
  <c r="G189" i="3"/>
  <c r="F189" i="3" l="1"/>
  <c r="I189" i="3"/>
  <c r="J189" i="3"/>
  <c r="M189" i="3"/>
  <c r="N189" i="3" s="1"/>
  <c r="V189" i="3"/>
  <c r="AE189" i="3"/>
  <c r="W189" i="3" l="1"/>
  <c r="L189" i="3"/>
  <c r="U189" i="3" l="1"/>
  <c r="E190" i="3" s="1"/>
  <c r="H190" i="3" s="1"/>
  <c r="AG190" i="3"/>
  <c r="AH190" i="3"/>
  <c r="Y188" i="3"/>
  <c r="D190" i="3" l="1"/>
  <c r="F190" i="3" s="1"/>
  <c r="K190" i="3"/>
  <c r="G190" i="3" l="1"/>
  <c r="I190" i="3" s="1"/>
  <c r="V190" i="3"/>
  <c r="AE190" i="3"/>
  <c r="M190" i="3" l="1"/>
  <c r="N190" i="3" s="1"/>
  <c r="J190" i="3"/>
  <c r="L190" i="3" s="1"/>
  <c r="W190" i="3"/>
  <c r="U190" i="3" l="1"/>
  <c r="D191" i="3" s="1"/>
  <c r="AG191" i="3"/>
  <c r="AH191" i="3"/>
  <c r="Y189" i="3"/>
  <c r="E191" i="3" l="1"/>
  <c r="H191" i="3" s="1"/>
  <c r="K191" i="3" s="1"/>
  <c r="G191" i="3"/>
  <c r="F191" i="3" l="1"/>
  <c r="I191" i="3"/>
  <c r="J191" i="3"/>
  <c r="M191" i="3"/>
  <c r="N191" i="3" s="1"/>
  <c r="V191" i="3"/>
  <c r="AE191" i="3"/>
  <c r="W191" i="3" l="1"/>
  <c r="L191" i="3"/>
  <c r="U191" i="3" l="1"/>
  <c r="D192" i="3" s="1"/>
  <c r="AH192" i="3"/>
  <c r="AG192" i="3"/>
  <c r="Y190" i="3"/>
  <c r="E192" i="3" l="1"/>
  <c r="H192" i="3" s="1"/>
  <c r="K192" i="3" s="1"/>
  <c r="G192" i="3"/>
  <c r="F192" i="3" l="1"/>
  <c r="I192" i="3"/>
  <c r="J192" i="3"/>
  <c r="M192" i="3"/>
  <c r="N192" i="3" s="1"/>
  <c r="V192" i="3"/>
  <c r="AE192" i="3"/>
  <c r="W192" i="3" l="1"/>
  <c r="L192" i="3"/>
  <c r="AH193" i="3" l="1"/>
  <c r="AG193" i="3"/>
  <c r="U192" i="3"/>
  <c r="E193" i="3" s="1"/>
  <c r="H193" i="3" s="1"/>
  <c r="Y191" i="3"/>
  <c r="K193" i="3" l="1"/>
  <c r="D193" i="3"/>
  <c r="F193" i="3" l="1"/>
  <c r="G193" i="3"/>
  <c r="V193" i="3"/>
  <c r="AE193" i="3"/>
  <c r="I193" i="3" l="1"/>
  <c r="W193" i="3" s="1"/>
  <c r="J193" i="3"/>
  <c r="M193" i="3"/>
  <c r="N193" i="3" s="1"/>
  <c r="L193" i="3" l="1"/>
  <c r="U193" i="3" l="1"/>
  <c r="E194" i="3" s="1"/>
  <c r="H194" i="3" s="1"/>
  <c r="AH194" i="3"/>
  <c r="AG194" i="3"/>
  <c r="Y192" i="3"/>
  <c r="D194" i="3" l="1"/>
  <c r="F194" i="3" s="1"/>
  <c r="K194" i="3"/>
  <c r="G194" i="3" l="1"/>
  <c r="M194" i="3" s="1"/>
  <c r="N194" i="3" s="1"/>
  <c r="V194" i="3"/>
  <c r="AE194" i="3"/>
  <c r="J194" i="3" l="1"/>
  <c r="L194" i="3" s="1"/>
  <c r="I194" i="3"/>
  <c r="W194" i="3"/>
  <c r="AG195" i="3" l="1"/>
  <c r="AH195" i="3"/>
  <c r="U194" i="3"/>
  <c r="D195" i="3" s="1"/>
  <c r="Y193" i="3"/>
  <c r="E195" i="3" l="1"/>
  <c r="H195" i="3" s="1"/>
  <c r="K195" i="3" s="1"/>
  <c r="G195" i="3"/>
  <c r="F195" i="3" l="1"/>
  <c r="I195" i="3"/>
  <c r="J195" i="3"/>
  <c r="M195" i="3"/>
  <c r="N195" i="3" s="1"/>
  <c r="V195" i="3"/>
  <c r="AE195" i="3"/>
  <c r="W195" i="3" l="1"/>
  <c r="L195" i="3"/>
  <c r="AG196" i="3" l="1"/>
  <c r="U195" i="3"/>
  <c r="E196" i="3" s="1"/>
  <c r="H196" i="3" s="1"/>
  <c r="AH196" i="3"/>
  <c r="Y194" i="3"/>
  <c r="D196" i="3" l="1"/>
  <c r="F196" i="3" s="1"/>
  <c r="K196" i="3"/>
  <c r="G196" i="3" l="1"/>
  <c r="M196" i="3" s="1"/>
  <c r="N196" i="3" s="1"/>
  <c r="V196" i="3"/>
  <c r="AE196" i="3"/>
  <c r="I196" i="3"/>
  <c r="J196" i="3"/>
  <c r="W196" i="3" l="1"/>
  <c r="L196" i="3"/>
  <c r="AH197" i="3" l="1"/>
  <c r="U196" i="3"/>
  <c r="D197" i="3" s="1"/>
  <c r="E197" i="3"/>
  <c r="H197" i="3" s="1"/>
  <c r="AG197" i="3"/>
  <c r="Y195" i="3"/>
  <c r="F197" i="3" l="1"/>
  <c r="G197" i="3"/>
  <c r="K197" i="3"/>
  <c r="I197" i="3" l="1"/>
  <c r="J197" i="3"/>
  <c r="M197" i="3"/>
  <c r="N197" i="3" s="1"/>
  <c r="V197" i="3"/>
  <c r="AE197" i="3"/>
  <c r="W197" i="3" l="1"/>
  <c r="L197" i="3"/>
  <c r="AH198" i="3" l="1"/>
  <c r="U197" i="3"/>
  <c r="E198" i="3" s="1"/>
  <c r="H198" i="3" s="1"/>
  <c r="D198" i="3"/>
  <c r="AG198" i="3"/>
  <c r="Y196" i="3"/>
  <c r="F198" i="3" l="1"/>
  <c r="G198" i="3"/>
  <c r="K198" i="3"/>
  <c r="V198" i="3" l="1"/>
  <c r="AE198" i="3"/>
  <c r="I198" i="3"/>
  <c r="J198" i="3"/>
  <c r="M198" i="3"/>
  <c r="N198" i="3" s="1"/>
  <c r="L198" i="3" l="1"/>
  <c r="W198" i="3"/>
  <c r="AH199" i="3" l="1"/>
  <c r="AG199" i="3"/>
  <c r="U198" i="3"/>
  <c r="D199" i="3" s="1"/>
  <c r="Y197" i="3"/>
  <c r="E199" i="3" l="1"/>
  <c r="H199" i="3" s="1"/>
  <c r="K199" i="3" s="1"/>
  <c r="G199" i="3"/>
  <c r="F199" i="3" l="1"/>
  <c r="I199" i="3"/>
  <c r="J199" i="3"/>
  <c r="M199" i="3"/>
  <c r="N199" i="3" s="1"/>
  <c r="V199" i="3"/>
  <c r="AE199" i="3"/>
  <c r="W199" i="3" l="1"/>
  <c r="L199" i="3"/>
  <c r="U199" i="3" l="1"/>
  <c r="D200" i="3" s="1"/>
  <c r="AG200" i="3"/>
  <c r="AH200" i="3"/>
  <c r="Y198" i="3"/>
  <c r="E200" i="3" l="1"/>
  <c r="H200" i="3" s="1"/>
  <c r="K200" i="3" s="1"/>
  <c r="G200" i="3"/>
  <c r="F200" i="3" l="1"/>
  <c r="I200" i="3"/>
  <c r="J200" i="3"/>
  <c r="M200" i="3"/>
  <c r="N200" i="3" s="1"/>
  <c r="V200" i="3"/>
  <c r="AE200" i="3"/>
  <c r="W200" i="3" l="1"/>
  <c r="L200" i="3"/>
  <c r="AH201" i="3" l="1"/>
  <c r="AG201" i="3"/>
  <c r="U200" i="3"/>
  <c r="D201" i="3" s="1"/>
  <c r="Y199" i="3"/>
  <c r="E201" i="3" l="1"/>
  <c r="H201" i="3" s="1"/>
  <c r="K201" i="3" s="1"/>
  <c r="G201" i="3"/>
  <c r="F201" i="3" l="1"/>
  <c r="V201" i="3"/>
  <c r="AE201" i="3"/>
  <c r="I201" i="3"/>
  <c r="J201" i="3"/>
  <c r="M201" i="3"/>
  <c r="N201" i="3" s="1"/>
  <c r="W201" i="3" l="1"/>
  <c r="L201" i="3"/>
  <c r="AH202" i="3" l="1"/>
  <c r="AG202" i="3"/>
  <c r="U201" i="3"/>
  <c r="D202" i="3" s="1"/>
  <c r="Y200" i="3"/>
  <c r="G202" i="3" l="1"/>
  <c r="E202" i="3"/>
  <c r="H202" i="3" s="1"/>
  <c r="K202" i="3" l="1"/>
  <c r="I202" i="3"/>
  <c r="J202" i="3"/>
  <c r="M202" i="3"/>
  <c r="N202" i="3" s="1"/>
  <c r="F202" i="3"/>
  <c r="V202" i="3" l="1"/>
  <c r="W202" i="3" s="1"/>
  <c r="AE202" i="3"/>
  <c r="L202" i="3"/>
  <c r="AH203" i="3" l="1"/>
  <c r="AG203" i="3"/>
  <c r="U202" i="3"/>
  <c r="E203" i="3" s="1"/>
  <c r="H203" i="3" s="1"/>
  <c r="Y201" i="3"/>
  <c r="D203" i="3" l="1"/>
  <c r="G203" i="3" s="1"/>
  <c r="K203" i="3"/>
  <c r="F203" i="3" l="1"/>
  <c r="V203" i="3"/>
  <c r="AE203" i="3"/>
  <c r="I203" i="3"/>
  <c r="J203" i="3"/>
  <c r="M203" i="3"/>
  <c r="N203" i="3" s="1"/>
  <c r="W203" i="3" l="1"/>
  <c r="L203" i="3"/>
  <c r="AG204" i="3" l="1"/>
  <c r="U203" i="3"/>
  <c r="D204" i="3" s="1"/>
  <c r="AH204" i="3"/>
  <c r="Y202" i="3"/>
  <c r="E204" i="3" l="1"/>
  <c r="H204" i="3" s="1"/>
  <c r="K204" i="3" s="1"/>
  <c r="G204" i="3"/>
  <c r="F204" i="3" l="1"/>
  <c r="V204" i="3"/>
  <c r="A205" i="3"/>
  <c r="B205" i="3" s="1"/>
  <c r="AE204" i="3"/>
  <c r="I204" i="3"/>
  <c r="J204" i="3"/>
  <c r="M204" i="3"/>
  <c r="N204" i="3" s="1"/>
  <c r="W204" i="3" l="1"/>
  <c r="AD205" i="3"/>
  <c r="AA205" i="3"/>
  <c r="AC205" i="3"/>
  <c r="P205" i="3"/>
  <c r="Q205" i="3" s="1"/>
  <c r="R205" i="3" s="1"/>
  <c r="S205" i="3" s="1"/>
  <c r="Z205" i="3"/>
  <c r="L204" i="3"/>
  <c r="AD204" i="3"/>
  <c r="T205" i="3" l="1"/>
  <c r="AG205" i="3" s="1"/>
  <c r="U204" i="3"/>
  <c r="Y203" i="3"/>
  <c r="E205" i="3" l="1"/>
  <c r="H205" i="3" s="1"/>
  <c r="K205" i="3" s="1"/>
  <c r="AH205" i="3"/>
  <c r="D205" i="3"/>
  <c r="G205" i="3" s="1"/>
  <c r="F205" i="3" l="1"/>
  <c r="V205" i="3"/>
  <c r="A206" i="3"/>
  <c r="B206" i="3" s="1"/>
  <c r="AE205" i="3"/>
  <c r="I205" i="3"/>
  <c r="J205" i="3"/>
  <c r="M205" i="3"/>
  <c r="N205" i="3" s="1"/>
  <c r="AC206" i="3" l="1"/>
  <c r="P206" i="3"/>
  <c r="Q206" i="3" s="1"/>
  <c r="R206" i="3" s="1"/>
  <c r="S206" i="3" s="1"/>
  <c r="Z206" i="3"/>
  <c r="AD206" i="3"/>
  <c r="AA206" i="3"/>
  <c r="L205" i="3"/>
  <c r="W205" i="3"/>
  <c r="U205" i="3" l="1"/>
  <c r="Y204" i="3"/>
  <c r="T206" i="3"/>
  <c r="AG206" i="3" s="1"/>
  <c r="D206" i="3" l="1"/>
  <c r="G206" i="3" s="1"/>
  <c r="E206" i="3"/>
  <c r="H206" i="3" s="1"/>
  <c r="K206" i="3" s="1"/>
  <c r="AH206" i="3"/>
  <c r="F206" i="3" l="1"/>
  <c r="I206" i="3"/>
  <c r="J206" i="3"/>
  <c r="M206" i="3"/>
  <c r="N206" i="3" s="1"/>
  <c r="V206" i="3"/>
  <c r="A207" i="3"/>
  <c r="B207" i="3" s="1"/>
  <c r="AE206" i="3"/>
  <c r="W206" i="3" l="1"/>
  <c r="P207" i="3"/>
  <c r="Q207" i="3" s="1"/>
  <c r="R207" i="3" s="1"/>
  <c r="S207" i="3" s="1"/>
  <c r="Z207" i="3"/>
  <c r="AD207" i="3"/>
  <c r="AC207" i="3"/>
  <c r="AA207" i="3"/>
  <c r="L206" i="3"/>
  <c r="U206" i="3" l="1"/>
  <c r="Y205" i="3"/>
  <c r="T207" i="3"/>
  <c r="AG207" i="3" s="1"/>
  <c r="AH207" i="3" l="1"/>
  <c r="E207" i="3"/>
  <c r="H207" i="3" s="1"/>
  <c r="K207" i="3" s="1"/>
  <c r="D207" i="3"/>
  <c r="G207" i="3" s="1"/>
  <c r="F207" i="3" l="1"/>
  <c r="I207" i="3"/>
  <c r="J207" i="3"/>
  <c r="M207" i="3"/>
  <c r="N207" i="3" s="1"/>
  <c r="V207" i="3"/>
  <c r="AE207" i="3"/>
  <c r="A208" i="3"/>
  <c r="B208" i="3" s="1"/>
  <c r="W207" i="3" l="1"/>
  <c r="L207" i="3"/>
  <c r="AC208" i="3"/>
  <c r="Z208" i="3"/>
  <c r="P208" i="3"/>
  <c r="Q208" i="3" s="1"/>
  <c r="R208" i="3" s="1"/>
  <c r="S208" i="3" s="1"/>
  <c r="AD208" i="3"/>
  <c r="AA208" i="3"/>
  <c r="T208" i="3" l="1"/>
  <c r="AG208" i="3" s="1"/>
  <c r="U207" i="3"/>
  <c r="Y206" i="3"/>
  <c r="D208" i="3" l="1"/>
  <c r="G208" i="3" s="1"/>
  <c r="E208" i="3"/>
  <c r="H208" i="3" s="1"/>
  <c r="K208" i="3" s="1"/>
  <c r="AH208" i="3"/>
  <c r="F208" i="3" l="1"/>
  <c r="V208" i="3"/>
  <c r="AE208" i="3"/>
  <c r="A209" i="3"/>
  <c r="B209" i="3" s="1"/>
  <c r="I208" i="3"/>
  <c r="J208" i="3"/>
  <c r="M208" i="3"/>
  <c r="N208" i="3" s="1"/>
  <c r="L208" i="3" l="1"/>
  <c r="AC209" i="3"/>
  <c r="AA209" i="3"/>
  <c r="Z209" i="3"/>
  <c r="P209" i="3"/>
  <c r="Q209" i="3" s="1"/>
  <c r="R209" i="3" s="1"/>
  <c r="S209" i="3" s="1"/>
  <c r="AD209" i="3"/>
  <c r="W208" i="3"/>
  <c r="T209" i="3" l="1"/>
  <c r="AG209" i="3" s="1"/>
  <c r="U208" i="3"/>
  <c r="Y207" i="3"/>
  <c r="AH209" i="3" l="1"/>
  <c r="D209" i="3"/>
  <c r="G209" i="3" s="1"/>
  <c r="E209" i="3"/>
  <c r="H209" i="3" s="1"/>
  <c r="K209" i="3" s="1"/>
  <c r="F209" i="3" l="1"/>
  <c r="V209" i="3"/>
  <c r="AE209" i="3"/>
  <c r="A210" i="3"/>
  <c r="B210" i="3" s="1"/>
  <c r="I209" i="3"/>
  <c r="J209" i="3"/>
  <c r="M209" i="3"/>
  <c r="N209" i="3" s="1"/>
  <c r="W209" i="3" l="1"/>
  <c r="L209" i="3"/>
  <c r="AA210" i="3"/>
  <c r="P210" i="3"/>
  <c r="Q210" i="3" s="1"/>
  <c r="R210" i="3" s="1"/>
  <c r="S210" i="3" s="1"/>
  <c r="AD210" i="3"/>
  <c r="AC210" i="3"/>
  <c r="Z210" i="3"/>
  <c r="T210" i="3" l="1"/>
  <c r="AG210" i="3" s="1"/>
  <c r="U209" i="3"/>
  <c r="Y208" i="3"/>
  <c r="D210" i="3" l="1"/>
  <c r="G210" i="3" s="1"/>
  <c r="AH210" i="3"/>
  <c r="E210" i="3"/>
  <c r="H210" i="3" s="1"/>
  <c r="I210" i="3" l="1"/>
  <c r="J210" i="3"/>
  <c r="M210" i="3"/>
  <c r="N210" i="3" s="1"/>
  <c r="K210" i="3"/>
  <c r="F210" i="3"/>
  <c r="V210" i="3" l="1"/>
  <c r="W210" i="3" s="1"/>
  <c r="A211" i="3"/>
  <c r="B211" i="3" s="1"/>
  <c r="AE210" i="3"/>
  <c r="L210" i="3"/>
  <c r="AD211" i="3" l="1"/>
  <c r="AA211" i="3"/>
  <c r="P211" i="3"/>
  <c r="Q211" i="3" s="1"/>
  <c r="R211" i="3" s="1"/>
  <c r="S211" i="3" s="1"/>
  <c r="AC211" i="3"/>
  <c r="Z211" i="3"/>
  <c r="U210" i="3"/>
  <c r="Y209" i="3"/>
  <c r="T211" i="3" l="1"/>
  <c r="E211" i="3" s="1"/>
  <c r="H211" i="3" s="1"/>
  <c r="D211" i="3" l="1"/>
  <c r="G211" i="3" s="1"/>
  <c r="AH211" i="3"/>
  <c r="AG211" i="3"/>
  <c r="K211" i="3"/>
  <c r="F211" i="3" l="1"/>
  <c r="V211" i="3"/>
  <c r="AE211" i="3"/>
  <c r="A212" i="3"/>
  <c r="B212" i="3" s="1"/>
  <c r="I211" i="3"/>
  <c r="J211" i="3"/>
  <c r="M211" i="3"/>
  <c r="N211" i="3" s="1"/>
  <c r="L211" i="3" l="1"/>
  <c r="AA212" i="3"/>
  <c r="P212" i="3"/>
  <c r="Q212" i="3" s="1"/>
  <c r="R212" i="3" s="1"/>
  <c r="S212" i="3" s="1"/>
  <c r="AC212" i="3"/>
  <c r="Z212" i="3"/>
  <c r="AD212" i="3"/>
  <c r="W211" i="3"/>
  <c r="T212" i="3" l="1"/>
  <c r="AH212" i="3" s="1"/>
  <c r="U211" i="3"/>
  <c r="Y210" i="3"/>
  <c r="AG212" i="3" l="1"/>
  <c r="D212" i="3"/>
  <c r="G212" i="3" s="1"/>
  <c r="E212" i="3"/>
  <c r="H212" i="3" s="1"/>
  <c r="K212" i="3" s="1"/>
  <c r="F212" i="3" l="1"/>
  <c r="V212" i="3"/>
  <c r="A213" i="3"/>
  <c r="B213" i="3" s="1"/>
  <c r="AE212" i="3"/>
  <c r="I212" i="3"/>
  <c r="J212" i="3"/>
  <c r="M212" i="3"/>
  <c r="N212" i="3" s="1"/>
  <c r="L212" i="3" l="1"/>
  <c r="AA213" i="3"/>
  <c r="AD213" i="3"/>
  <c r="Z213" i="3"/>
  <c r="P213" i="3"/>
  <c r="Q213" i="3" s="1"/>
  <c r="R213" i="3" s="1"/>
  <c r="S213" i="3" s="1"/>
  <c r="AC213" i="3"/>
  <c r="W212" i="3"/>
  <c r="T213" i="3" l="1"/>
  <c r="AG213" i="3" s="1"/>
  <c r="U212" i="3"/>
  <c r="Y211" i="3"/>
  <c r="AH213" i="3" l="1"/>
  <c r="D213" i="3"/>
  <c r="G213" i="3" s="1"/>
  <c r="E213" i="3"/>
  <c r="H213" i="3" s="1"/>
  <c r="K213" i="3" l="1"/>
  <c r="I213" i="3"/>
  <c r="J213" i="3"/>
  <c r="M213" i="3"/>
  <c r="N213" i="3" s="1"/>
  <c r="F213" i="3"/>
  <c r="V213" i="3" l="1"/>
  <c r="W213" i="3" s="1"/>
  <c r="A214" i="3"/>
  <c r="B214" i="3" s="1"/>
  <c r="AE213" i="3"/>
  <c r="L213" i="3"/>
  <c r="Z214" i="3" l="1"/>
  <c r="AC214" i="3"/>
  <c r="P214" i="3"/>
  <c r="Q214" i="3" s="1"/>
  <c r="R214" i="3" s="1"/>
  <c r="S214" i="3" s="1"/>
  <c r="AA214" i="3"/>
  <c r="U213" i="3"/>
  <c r="Y212" i="3"/>
  <c r="T214" i="3" l="1"/>
  <c r="E214" i="3" s="1"/>
  <c r="H214" i="3" s="1"/>
  <c r="AH214" i="3" l="1"/>
  <c r="K214" i="3"/>
  <c r="D214" i="3"/>
  <c r="AG214" i="3"/>
  <c r="V214" i="3" l="1"/>
  <c r="A215" i="3"/>
  <c r="B215" i="3" s="1"/>
  <c r="AE214" i="3"/>
  <c r="F214" i="3"/>
  <c r="G214" i="3"/>
  <c r="I214" i="3" l="1"/>
  <c r="W214" i="3" s="1"/>
  <c r="J214" i="3"/>
  <c r="M214" i="3"/>
  <c r="N214" i="3" s="1"/>
  <c r="AA215" i="3"/>
  <c r="AD215" i="3"/>
  <c r="Z215" i="3"/>
  <c r="AC215" i="3"/>
  <c r="P215" i="3"/>
  <c r="Q215" i="3" s="1"/>
  <c r="R215" i="3" s="1"/>
  <c r="S215" i="3" s="1"/>
  <c r="L214" i="3" l="1"/>
  <c r="AD214" i="3"/>
  <c r="T215" i="3"/>
  <c r="AH215" i="3" l="1"/>
  <c r="U214" i="3"/>
  <c r="E215" i="3" s="1"/>
  <c r="H215" i="3" s="1"/>
  <c r="AG215" i="3"/>
  <c r="Y213" i="3"/>
  <c r="K215" i="3" l="1"/>
  <c r="D215" i="3"/>
  <c r="F215" i="3" l="1"/>
  <c r="G215" i="3"/>
  <c r="V215" i="3"/>
  <c r="A216" i="3"/>
  <c r="B216" i="3" s="1"/>
  <c r="AE215" i="3"/>
  <c r="P216" i="3" l="1"/>
  <c r="Q216" i="3" s="1"/>
  <c r="R216" i="3" s="1"/>
  <c r="S216" i="3" s="1"/>
  <c r="AA216" i="3"/>
  <c r="AD216" i="3"/>
  <c r="AC216" i="3"/>
  <c r="Z216" i="3"/>
  <c r="I215" i="3"/>
  <c r="W215" i="3" s="1"/>
  <c r="J215" i="3"/>
  <c r="M215" i="3"/>
  <c r="N215" i="3" s="1"/>
  <c r="T216" i="3" l="1"/>
  <c r="L215" i="3"/>
  <c r="AG216" i="3" l="1"/>
  <c r="AH216" i="3"/>
  <c r="U215" i="3"/>
  <c r="D216" i="3" s="1"/>
  <c r="Y214" i="3"/>
  <c r="E216" i="3" l="1"/>
  <c r="H216" i="3" s="1"/>
  <c r="K216" i="3" s="1"/>
  <c r="G216" i="3"/>
  <c r="F216" i="3" l="1"/>
  <c r="V216" i="3"/>
  <c r="A217" i="3"/>
  <c r="B217" i="3" s="1"/>
  <c r="AE216" i="3"/>
  <c r="I216" i="3"/>
  <c r="J216" i="3"/>
  <c r="M216" i="3"/>
  <c r="N216" i="3" s="1"/>
  <c r="AD217" i="3" l="1"/>
  <c r="AA217" i="3"/>
  <c r="Z217" i="3"/>
  <c r="P217" i="3"/>
  <c r="Q217" i="3" s="1"/>
  <c r="R217" i="3" s="1"/>
  <c r="S217" i="3" s="1"/>
  <c r="AC217" i="3"/>
  <c r="W216" i="3"/>
  <c r="L216" i="3"/>
  <c r="T217" i="3" l="1"/>
  <c r="AH217" i="3" s="1"/>
  <c r="U216" i="3"/>
  <c r="Y215" i="3"/>
  <c r="E217" i="3" l="1"/>
  <c r="H217" i="3" s="1"/>
  <c r="K217" i="3" s="1"/>
  <c r="AG217" i="3"/>
  <c r="D217" i="3"/>
  <c r="F217" i="3" l="1"/>
  <c r="G217" i="3"/>
  <c r="I217" i="3" s="1"/>
  <c r="V217" i="3"/>
  <c r="A218" i="3"/>
  <c r="B218" i="3" s="1"/>
  <c r="AE217" i="3"/>
  <c r="M217" i="3" l="1"/>
  <c r="N217" i="3" s="1"/>
  <c r="J217" i="3"/>
  <c r="L217" i="3" s="1"/>
  <c r="W217" i="3"/>
  <c r="Z218" i="3"/>
  <c r="AC218" i="3"/>
  <c r="AA218" i="3"/>
  <c r="AD218" i="3"/>
  <c r="P218" i="3"/>
  <c r="Q218" i="3" s="1"/>
  <c r="R218" i="3" s="1"/>
  <c r="S218" i="3" s="1"/>
  <c r="U217" i="3" l="1"/>
  <c r="Y216" i="3"/>
  <c r="T218" i="3"/>
  <c r="E218" i="3" s="1"/>
  <c r="H218" i="3" s="1"/>
  <c r="AH218" i="3" l="1"/>
  <c r="AG218" i="3"/>
  <c r="D218" i="3"/>
  <c r="F218" i="3" s="1"/>
  <c r="K218" i="3"/>
  <c r="G218" i="3" l="1"/>
  <c r="M218" i="3" s="1"/>
  <c r="N218" i="3" s="1"/>
  <c r="V218" i="3"/>
  <c r="AE218" i="3"/>
  <c r="A219" i="3"/>
  <c r="B219" i="3" s="1"/>
  <c r="I218" i="3"/>
  <c r="J218" i="3" l="1"/>
  <c r="L218" i="3" s="1"/>
  <c r="W218" i="3"/>
  <c r="P219" i="3"/>
  <c r="Q219" i="3" s="1"/>
  <c r="R219" i="3" s="1"/>
  <c r="S219" i="3" s="1"/>
  <c r="AA219" i="3"/>
  <c r="Z219" i="3"/>
  <c r="AD219" i="3"/>
  <c r="AC219" i="3"/>
  <c r="T219" i="3" l="1"/>
  <c r="AH219" i="3" s="1"/>
  <c r="U218" i="3"/>
  <c r="Y217" i="3"/>
  <c r="AG219" i="3" l="1"/>
  <c r="D219" i="3"/>
  <c r="G219" i="3" s="1"/>
  <c r="E219" i="3"/>
  <c r="H219" i="3" s="1"/>
  <c r="K219" i="3" s="1"/>
  <c r="F219" i="3" l="1"/>
  <c r="I219" i="3"/>
  <c r="J219" i="3"/>
  <c r="M219" i="3"/>
  <c r="N219" i="3" s="1"/>
  <c r="V219" i="3"/>
  <c r="A220" i="3"/>
  <c r="B220" i="3" s="1"/>
  <c r="AE219" i="3"/>
  <c r="W219" i="3" l="1"/>
  <c r="L219" i="3"/>
  <c r="P220" i="3"/>
  <c r="Q220" i="3" s="1"/>
  <c r="R220" i="3" s="1"/>
  <c r="S220" i="3" s="1"/>
  <c r="Z220" i="3"/>
  <c r="AA220" i="3"/>
  <c r="AD220" i="3"/>
  <c r="AC220" i="3"/>
  <c r="T220" i="3" l="1"/>
  <c r="AG220" i="3" s="1"/>
  <c r="U219" i="3"/>
  <c r="Y218" i="3"/>
  <c r="AH220" i="3" l="1"/>
  <c r="E220" i="3"/>
  <c r="H220" i="3" s="1"/>
  <c r="K220" i="3" s="1"/>
  <c r="D220" i="3"/>
  <c r="V220" i="3" l="1"/>
  <c r="A221" i="3"/>
  <c r="B221" i="3" s="1"/>
  <c r="AE220" i="3"/>
  <c r="F220" i="3"/>
  <c r="G220" i="3"/>
  <c r="AD221" i="3" l="1"/>
  <c r="Z221" i="3"/>
  <c r="AC221" i="3"/>
  <c r="P221" i="3"/>
  <c r="Q221" i="3" s="1"/>
  <c r="R221" i="3" s="1"/>
  <c r="S221" i="3" s="1"/>
  <c r="AA221" i="3"/>
  <c r="I220" i="3"/>
  <c r="W220" i="3" s="1"/>
  <c r="J220" i="3"/>
  <c r="M220" i="3"/>
  <c r="N220" i="3" s="1"/>
  <c r="L220" i="3" l="1"/>
  <c r="T221" i="3"/>
  <c r="AG221" i="3" l="1"/>
  <c r="AH221" i="3"/>
  <c r="U220" i="3"/>
  <c r="D221" i="3" s="1"/>
  <c r="Y219" i="3"/>
  <c r="G221" i="3" l="1"/>
  <c r="E221" i="3"/>
  <c r="H221" i="3" s="1"/>
  <c r="K221" i="3" l="1"/>
  <c r="I221" i="3"/>
  <c r="J221" i="3"/>
  <c r="M221" i="3"/>
  <c r="N221" i="3" s="1"/>
  <c r="F221" i="3"/>
  <c r="L221" i="3" l="1"/>
  <c r="V221" i="3"/>
  <c r="W221" i="3" s="1"/>
  <c r="A222" i="3"/>
  <c r="B222" i="3" s="1"/>
  <c r="AE221" i="3"/>
  <c r="AC222" i="3" l="1"/>
  <c r="P222" i="3"/>
  <c r="Q222" i="3" s="1"/>
  <c r="R222" i="3" s="1"/>
  <c r="S222" i="3" s="1"/>
  <c r="AA222" i="3"/>
  <c r="AD222" i="3"/>
  <c r="Z222" i="3"/>
  <c r="U221" i="3"/>
  <c r="Y220" i="3"/>
  <c r="T222" i="3" l="1"/>
  <c r="AH222" i="3" s="1"/>
  <c r="D222" i="3" l="1"/>
  <c r="AG222" i="3"/>
  <c r="E222" i="3"/>
  <c r="H222" i="3" s="1"/>
  <c r="K222" i="3" l="1"/>
  <c r="F222" i="3"/>
  <c r="G222" i="3"/>
  <c r="V222" i="3" l="1"/>
  <c r="A223" i="3"/>
  <c r="B223" i="3" s="1"/>
  <c r="AE222" i="3"/>
  <c r="I222" i="3"/>
  <c r="J222" i="3"/>
  <c r="M222" i="3"/>
  <c r="N222" i="3" s="1"/>
  <c r="W222" i="3" l="1"/>
  <c r="L222" i="3"/>
  <c r="P223" i="3"/>
  <c r="Q223" i="3" s="1"/>
  <c r="R223" i="3" s="1"/>
  <c r="S223" i="3" s="1"/>
  <c r="AA223" i="3"/>
  <c r="Z223" i="3"/>
  <c r="AD223" i="3"/>
  <c r="AC223" i="3"/>
  <c r="T223" i="3" l="1"/>
  <c r="AH223" i="3" s="1"/>
  <c r="U222" i="3"/>
  <c r="Y221" i="3"/>
  <c r="D223" i="3" l="1"/>
  <c r="G223" i="3" s="1"/>
  <c r="AG223" i="3"/>
  <c r="E223" i="3"/>
  <c r="H223" i="3" s="1"/>
  <c r="K223" i="3" l="1"/>
  <c r="I223" i="3"/>
  <c r="J223" i="3"/>
  <c r="M223" i="3"/>
  <c r="N223" i="3" s="1"/>
  <c r="F223" i="3"/>
  <c r="V223" i="3" l="1"/>
  <c r="W223" i="3" s="1"/>
  <c r="A224" i="3"/>
  <c r="B224" i="3" s="1"/>
  <c r="AE223" i="3"/>
  <c r="L223" i="3"/>
  <c r="AC224" i="3" l="1"/>
  <c r="P224" i="3"/>
  <c r="Q224" i="3" s="1"/>
  <c r="R224" i="3" s="1"/>
  <c r="S224" i="3" s="1"/>
  <c r="AA224" i="3"/>
  <c r="Z224" i="3"/>
  <c r="U223" i="3"/>
  <c r="Y222" i="3"/>
  <c r="T224" i="3" l="1"/>
  <c r="AH224" i="3" s="1"/>
  <c r="AG224" i="3" l="1"/>
  <c r="D224" i="3"/>
  <c r="E224" i="3"/>
  <c r="H224" i="3" s="1"/>
  <c r="K224" i="3" s="1"/>
  <c r="F224" i="3" l="1"/>
  <c r="G224" i="3"/>
  <c r="I224" i="3" s="1"/>
  <c r="V224" i="3"/>
  <c r="AE224" i="3"/>
  <c r="A225" i="3"/>
  <c r="B225" i="3" s="1"/>
  <c r="M224" i="3" l="1"/>
  <c r="N224" i="3" s="1"/>
  <c r="J224" i="3"/>
  <c r="AD224" i="3" s="1"/>
  <c r="W224" i="3"/>
  <c r="AC225" i="3"/>
  <c r="AA225" i="3"/>
  <c r="AD225" i="3"/>
  <c r="Z225" i="3"/>
  <c r="P225" i="3"/>
  <c r="Q225" i="3" s="1"/>
  <c r="R225" i="3" s="1"/>
  <c r="S225" i="3" s="1"/>
  <c r="L224" i="3" l="1"/>
  <c r="Y223" i="3" s="1"/>
  <c r="T225" i="3"/>
  <c r="AH225" i="3" l="1"/>
  <c r="U224" i="3"/>
  <c r="D225" i="3" s="1"/>
  <c r="G225" i="3" s="1"/>
  <c r="AG225" i="3"/>
  <c r="E225" i="3" l="1"/>
  <c r="H225" i="3" s="1"/>
  <c r="K225" i="3" s="1"/>
  <c r="J225" i="3"/>
  <c r="M225" i="3" l="1"/>
  <c r="N225" i="3" s="1"/>
  <c r="I225" i="3"/>
  <c r="F225" i="3"/>
  <c r="V225" i="3"/>
  <c r="W225" i="3" s="1"/>
  <c r="A226" i="3"/>
  <c r="B226" i="3" s="1"/>
  <c r="AE225" i="3"/>
  <c r="L225" i="3"/>
  <c r="U225" i="3" l="1"/>
  <c r="Y224" i="3"/>
  <c r="AA226" i="3"/>
  <c r="AC226" i="3"/>
  <c r="AD226" i="3"/>
  <c r="P226" i="3"/>
  <c r="Q226" i="3" s="1"/>
  <c r="R226" i="3" s="1"/>
  <c r="S226" i="3" s="1"/>
  <c r="Z226" i="3"/>
  <c r="T226" i="3" l="1"/>
  <c r="AG226" i="3" s="1"/>
  <c r="E226" i="3" l="1"/>
  <c r="H226" i="3" s="1"/>
  <c r="D226" i="3"/>
  <c r="AH226" i="3"/>
  <c r="F226" i="3" l="1"/>
  <c r="G226" i="3"/>
  <c r="K226" i="3"/>
  <c r="I226" i="3" l="1"/>
  <c r="J226" i="3"/>
  <c r="M226" i="3"/>
  <c r="N226" i="3" s="1"/>
  <c r="V226" i="3"/>
  <c r="AE226" i="3"/>
  <c r="A227" i="3"/>
  <c r="B227" i="3" s="1"/>
  <c r="W226" i="3" l="1"/>
  <c r="L226" i="3"/>
  <c r="P227" i="3"/>
  <c r="Q227" i="3" s="1"/>
  <c r="R227" i="3" s="1"/>
  <c r="S227" i="3" s="1"/>
  <c r="Z227" i="3"/>
  <c r="AD227" i="3"/>
  <c r="AC227" i="3"/>
  <c r="AA227" i="3"/>
  <c r="T227" i="3" l="1"/>
  <c r="AG227" i="3" s="1"/>
  <c r="U226" i="3"/>
  <c r="Y225" i="3"/>
  <c r="E227" i="3" l="1"/>
  <c r="H227" i="3" s="1"/>
  <c r="K227" i="3" s="1"/>
  <c r="AH227" i="3"/>
  <c r="D227" i="3"/>
  <c r="V227" i="3" l="1"/>
  <c r="AE227" i="3"/>
  <c r="A228" i="3"/>
  <c r="B228" i="3" s="1"/>
  <c r="F227" i="3"/>
  <c r="G227" i="3"/>
  <c r="I227" i="3" l="1"/>
  <c r="J227" i="3"/>
  <c r="M227" i="3"/>
  <c r="N227" i="3" s="1"/>
  <c r="Z228" i="3"/>
  <c r="AD228" i="3"/>
  <c r="P228" i="3"/>
  <c r="Q228" i="3" s="1"/>
  <c r="R228" i="3" s="1"/>
  <c r="S228" i="3" s="1"/>
  <c r="AC228" i="3"/>
  <c r="AA228" i="3"/>
  <c r="W227" i="3"/>
  <c r="T228" i="3" l="1"/>
  <c r="L227" i="3"/>
  <c r="U227" i="3" l="1"/>
  <c r="E228" i="3" s="1"/>
  <c r="H228" i="3" s="1"/>
  <c r="AH228" i="3"/>
  <c r="AG228" i="3"/>
  <c r="Y226" i="3"/>
  <c r="D228" i="3" l="1"/>
  <c r="F228" i="3" s="1"/>
  <c r="K228" i="3"/>
  <c r="G228" i="3" l="1"/>
  <c r="I228" i="3"/>
  <c r="J228" i="3"/>
  <c r="M228" i="3"/>
  <c r="N228" i="3" s="1"/>
  <c r="V228" i="3"/>
  <c r="A229" i="3"/>
  <c r="B229" i="3" s="1"/>
  <c r="AE228" i="3"/>
  <c r="W228" i="3" l="1"/>
  <c r="L228" i="3"/>
  <c r="Z229" i="3"/>
  <c r="AD229" i="3"/>
  <c r="P229" i="3"/>
  <c r="Q229" i="3" s="1"/>
  <c r="R229" i="3" s="1"/>
  <c r="S229" i="3" s="1"/>
  <c r="AA229" i="3"/>
  <c r="AC229" i="3"/>
  <c r="T229" i="3" l="1"/>
  <c r="AH229" i="3" s="1"/>
  <c r="U228" i="3"/>
  <c r="Y227" i="3"/>
  <c r="AG229" i="3" l="1"/>
  <c r="D229" i="3"/>
  <c r="G229" i="3" s="1"/>
  <c r="E229" i="3"/>
  <c r="H229" i="3" s="1"/>
  <c r="K229" i="3" s="1"/>
  <c r="F229" i="3" l="1"/>
  <c r="I229" i="3"/>
  <c r="J229" i="3"/>
  <c r="M229" i="3"/>
  <c r="N229" i="3" s="1"/>
  <c r="V229" i="3"/>
  <c r="AE229" i="3"/>
  <c r="A230" i="3"/>
  <c r="B230" i="3" s="1"/>
  <c r="W229" i="3" l="1"/>
  <c r="L229" i="3"/>
  <c r="Z230" i="3"/>
  <c r="P230" i="3"/>
  <c r="Q230" i="3" s="1"/>
  <c r="R230" i="3" s="1"/>
  <c r="S230" i="3" s="1"/>
  <c r="AD230" i="3"/>
  <c r="AC230" i="3"/>
  <c r="AA230" i="3"/>
  <c r="T230" i="3" l="1"/>
  <c r="AH230" i="3" s="1"/>
  <c r="U229" i="3"/>
  <c r="Y228" i="3"/>
  <c r="AG230" i="3" l="1"/>
  <c r="E230" i="3"/>
  <c r="H230" i="3" s="1"/>
  <c r="K230" i="3" s="1"/>
  <c r="D230" i="3"/>
  <c r="F230" i="3" l="1"/>
  <c r="G230" i="3"/>
  <c r="I230" i="3" s="1"/>
  <c r="V230" i="3"/>
  <c r="A231" i="3"/>
  <c r="B231" i="3" s="1"/>
  <c r="AE230" i="3"/>
  <c r="M230" i="3" l="1"/>
  <c r="N230" i="3" s="1"/>
  <c r="J230" i="3"/>
  <c r="L230" i="3" s="1"/>
  <c r="W230" i="3"/>
  <c r="P231" i="3"/>
  <c r="Q231" i="3" s="1"/>
  <c r="R231" i="3" s="1"/>
  <c r="S231" i="3" s="1"/>
  <c r="AA231" i="3"/>
  <c r="Z231" i="3"/>
  <c r="AC231" i="3"/>
  <c r="AD231" i="3"/>
  <c r="U230" i="3" l="1"/>
  <c r="Y229" i="3"/>
  <c r="T231" i="3"/>
  <c r="AH231" i="3" s="1"/>
  <c r="D231" i="3" l="1"/>
  <c r="G231" i="3" s="1"/>
  <c r="E231" i="3"/>
  <c r="H231" i="3" s="1"/>
  <c r="K231" i="3" s="1"/>
  <c r="AG231" i="3"/>
  <c r="F231" i="3" l="1"/>
  <c r="V231" i="3"/>
  <c r="A232" i="3"/>
  <c r="B232" i="3" s="1"/>
  <c r="AE231" i="3"/>
  <c r="I231" i="3"/>
  <c r="J231" i="3"/>
  <c r="M231" i="3"/>
  <c r="N231" i="3" s="1"/>
  <c r="W231" i="3" l="1"/>
  <c r="L231" i="3"/>
  <c r="P232" i="3"/>
  <c r="Q232" i="3" s="1"/>
  <c r="R232" i="3" s="1"/>
  <c r="S232" i="3" s="1"/>
  <c r="Z232" i="3"/>
  <c r="AC232" i="3"/>
  <c r="AD232" i="3"/>
  <c r="AA232" i="3"/>
  <c r="T232" i="3" l="1"/>
  <c r="AH232" i="3" s="1"/>
  <c r="U231" i="3"/>
  <c r="Y230" i="3"/>
  <c r="AG232" i="3" l="1"/>
  <c r="D232" i="3"/>
  <c r="G232" i="3" s="1"/>
  <c r="E232" i="3"/>
  <c r="H232" i="3" s="1"/>
  <c r="K232" i="3" s="1"/>
  <c r="F232" i="3" l="1"/>
  <c r="I232" i="3"/>
  <c r="J232" i="3"/>
  <c r="M232" i="3"/>
  <c r="N232" i="3" s="1"/>
  <c r="V232" i="3"/>
  <c r="A233" i="3"/>
  <c r="B233" i="3" s="1"/>
  <c r="AE232" i="3"/>
  <c r="W232" i="3" l="1"/>
  <c r="AA233" i="3"/>
  <c r="P233" i="3"/>
  <c r="Q233" i="3" s="1"/>
  <c r="R233" i="3" s="1"/>
  <c r="S233" i="3" s="1"/>
  <c r="AD233" i="3"/>
  <c r="AC233" i="3"/>
  <c r="Z233" i="3"/>
  <c r="L232" i="3"/>
  <c r="T233" i="3" l="1"/>
  <c r="AG233" i="3" s="1"/>
  <c r="U232" i="3"/>
  <c r="Y231" i="3"/>
  <c r="AH233" i="3" l="1"/>
  <c r="E233" i="3"/>
  <c r="H233" i="3" s="1"/>
  <c r="K233" i="3" s="1"/>
  <c r="D233" i="3"/>
  <c r="F233" i="3" l="1"/>
  <c r="G233" i="3"/>
  <c r="I233" i="3" s="1"/>
  <c r="V233" i="3"/>
  <c r="A234" i="3"/>
  <c r="B234" i="3" s="1"/>
  <c r="AE233" i="3"/>
  <c r="M233" i="3" l="1"/>
  <c r="N233" i="3" s="1"/>
  <c r="J233" i="3"/>
  <c r="L233" i="3" s="1"/>
  <c r="W233" i="3"/>
  <c r="AA234" i="3"/>
  <c r="AC234" i="3"/>
  <c r="P234" i="3"/>
  <c r="Q234" i="3" s="1"/>
  <c r="R234" i="3" s="1"/>
  <c r="S234" i="3" s="1"/>
  <c r="Z234" i="3"/>
  <c r="T234" i="3" l="1"/>
  <c r="AH234" i="3" s="1"/>
  <c r="U233" i="3"/>
  <c r="Y232" i="3"/>
  <c r="E234" i="3" l="1"/>
  <c r="H234" i="3" s="1"/>
  <c r="K234" i="3" s="1"/>
  <c r="AG234" i="3"/>
  <c r="D234" i="3"/>
  <c r="F234" i="3" s="1"/>
  <c r="G234" i="3" l="1"/>
  <c r="I234" i="3" s="1"/>
  <c r="V234" i="3"/>
  <c r="A235" i="3"/>
  <c r="B235" i="3" s="1"/>
  <c r="AE234" i="3"/>
  <c r="M234" i="3" l="1"/>
  <c r="N234" i="3" s="1"/>
  <c r="J234" i="3"/>
  <c r="L234" i="3" s="1"/>
  <c r="W234" i="3"/>
  <c r="AC235" i="3"/>
  <c r="AD235" i="3"/>
  <c r="AA235" i="3"/>
  <c r="Z235" i="3"/>
  <c r="P235" i="3"/>
  <c r="Q235" i="3" s="1"/>
  <c r="R235" i="3" s="1"/>
  <c r="S235" i="3" s="1"/>
  <c r="AD234" i="3" l="1"/>
  <c r="T235" i="3"/>
  <c r="AH235" i="3" s="1"/>
  <c r="U234" i="3"/>
  <c r="Y233" i="3"/>
  <c r="AG235" i="3" l="1"/>
  <c r="D235" i="3"/>
  <c r="G235" i="3" s="1"/>
  <c r="E235" i="3"/>
  <c r="H235" i="3" s="1"/>
  <c r="K235" i="3" s="1"/>
  <c r="F235" i="3" l="1"/>
  <c r="V235" i="3"/>
  <c r="A236" i="3"/>
  <c r="B236" i="3" s="1"/>
  <c r="AE235" i="3"/>
  <c r="I235" i="3"/>
  <c r="J235" i="3"/>
  <c r="M235" i="3"/>
  <c r="N235" i="3" s="1"/>
  <c r="W235" i="3" l="1"/>
  <c r="L235" i="3"/>
  <c r="AD236" i="3"/>
  <c r="P236" i="3"/>
  <c r="Q236" i="3" s="1"/>
  <c r="R236" i="3" s="1"/>
  <c r="S236" i="3" s="1"/>
  <c r="Z236" i="3"/>
  <c r="AC236" i="3"/>
  <c r="AA236" i="3"/>
  <c r="T236" i="3" l="1"/>
  <c r="AG236" i="3" s="1"/>
  <c r="U235" i="3"/>
  <c r="Y234" i="3"/>
  <c r="AH236" i="3" l="1"/>
  <c r="D236" i="3"/>
  <c r="G236" i="3" s="1"/>
  <c r="E236" i="3"/>
  <c r="H236" i="3" s="1"/>
  <c r="K236" i="3" s="1"/>
  <c r="F236" i="3" l="1"/>
  <c r="I236" i="3"/>
  <c r="J236" i="3"/>
  <c r="M236" i="3"/>
  <c r="N236" i="3" s="1"/>
  <c r="V236" i="3"/>
  <c r="A237" i="3"/>
  <c r="B237" i="3" s="1"/>
  <c r="AE236" i="3"/>
  <c r="W236" i="3" l="1"/>
  <c r="Z237" i="3"/>
  <c r="AC237" i="3"/>
  <c r="AD237" i="3"/>
  <c r="P237" i="3"/>
  <c r="Q237" i="3" s="1"/>
  <c r="R237" i="3" s="1"/>
  <c r="S237" i="3" s="1"/>
  <c r="AA237" i="3"/>
  <c r="L236" i="3"/>
  <c r="T237" i="3" l="1"/>
  <c r="U236" i="3"/>
  <c r="Y235" i="3"/>
  <c r="E237" i="3" l="1"/>
  <c r="H237" i="3" s="1"/>
  <c r="K237" i="3" s="1"/>
  <c r="D237" i="3"/>
  <c r="G237" i="3" s="1"/>
  <c r="AG237" i="3"/>
  <c r="AH237" i="3"/>
  <c r="F237" i="3" l="1"/>
  <c r="I237" i="3"/>
  <c r="J237" i="3"/>
  <c r="M237" i="3"/>
  <c r="N237" i="3" s="1"/>
  <c r="V237" i="3"/>
  <c r="A238" i="3"/>
  <c r="B238" i="3" s="1"/>
  <c r="AE237" i="3"/>
  <c r="W237" i="3" l="1"/>
  <c r="AD238" i="3"/>
  <c r="P238" i="3"/>
  <c r="Q238" i="3" s="1"/>
  <c r="R238" i="3" s="1"/>
  <c r="S238" i="3" s="1"/>
  <c r="AC238" i="3"/>
  <c r="Z238" i="3"/>
  <c r="AA238" i="3"/>
  <c r="L237" i="3"/>
  <c r="T238" i="3" l="1"/>
  <c r="AG238" i="3" s="1"/>
  <c r="U237" i="3"/>
  <c r="Y236" i="3"/>
  <c r="AH238" i="3" l="1"/>
  <c r="D238" i="3"/>
  <c r="G238" i="3" s="1"/>
  <c r="E238" i="3"/>
  <c r="H238" i="3" s="1"/>
  <c r="K238" i="3" s="1"/>
  <c r="F238" i="3" l="1"/>
  <c r="I238" i="3"/>
  <c r="J238" i="3"/>
  <c r="M238" i="3"/>
  <c r="N238" i="3" s="1"/>
  <c r="V238" i="3"/>
  <c r="AE238" i="3"/>
  <c r="A239" i="3"/>
  <c r="B239" i="3" s="1"/>
  <c r="W238" i="3" l="1"/>
  <c r="AA239" i="3"/>
  <c r="AC239" i="3"/>
  <c r="AD239" i="3"/>
  <c r="P239" i="3"/>
  <c r="Q239" i="3" s="1"/>
  <c r="R239" i="3" s="1"/>
  <c r="S239" i="3" s="1"/>
  <c r="Z239" i="3"/>
  <c r="L238" i="3"/>
  <c r="T239" i="3" l="1"/>
  <c r="AH239" i="3" s="1"/>
  <c r="U238" i="3"/>
  <c r="Y237" i="3"/>
  <c r="E239" i="3" l="1"/>
  <c r="H239" i="3" s="1"/>
  <c r="K239" i="3" s="1"/>
  <c r="AG239" i="3"/>
  <c r="D239" i="3"/>
  <c r="F239" i="3" l="1"/>
  <c r="G239" i="3"/>
  <c r="J239" i="3" s="1"/>
  <c r="V239" i="3"/>
  <c r="A240" i="3"/>
  <c r="B240" i="3" s="1"/>
  <c r="AE239" i="3"/>
  <c r="I239" i="3" l="1"/>
  <c r="W239" i="3" s="1"/>
  <c r="M239" i="3"/>
  <c r="N239" i="3" s="1"/>
  <c r="Z240" i="3"/>
  <c r="AD240" i="3"/>
  <c r="P240" i="3"/>
  <c r="Q240" i="3" s="1"/>
  <c r="R240" i="3" s="1"/>
  <c r="S240" i="3" s="1"/>
  <c r="AA240" i="3"/>
  <c r="AC240" i="3"/>
  <c r="L239" i="3"/>
  <c r="T240" i="3" l="1"/>
  <c r="U239" i="3"/>
  <c r="AH240" i="3"/>
  <c r="AG240" i="3"/>
  <c r="Y238" i="3"/>
  <c r="E240" i="3" l="1"/>
  <c r="H240" i="3" s="1"/>
  <c r="K240" i="3" s="1"/>
  <c r="D240" i="3"/>
  <c r="F240" i="3" l="1"/>
  <c r="G240" i="3"/>
  <c r="I240" i="3" s="1"/>
  <c r="V240" i="3"/>
  <c r="AE240" i="3"/>
  <c r="A241" i="3"/>
  <c r="B241" i="3" s="1"/>
  <c r="M240" i="3" l="1"/>
  <c r="N240" i="3" s="1"/>
  <c r="J240" i="3"/>
  <c r="L240" i="3" s="1"/>
  <c r="W240" i="3"/>
  <c r="P241" i="3"/>
  <c r="Q241" i="3" s="1"/>
  <c r="R241" i="3" s="1"/>
  <c r="S241" i="3" s="1"/>
  <c r="Z241" i="3"/>
  <c r="AD241" i="3"/>
  <c r="AA241" i="3"/>
  <c r="AC241" i="3"/>
  <c r="T241" i="3" l="1"/>
  <c r="AG241" i="3" s="1"/>
  <c r="U240" i="3"/>
  <c r="Y239" i="3"/>
  <c r="D241" i="3" l="1"/>
  <c r="G241" i="3" s="1"/>
  <c r="E241" i="3"/>
  <c r="H241" i="3" s="1"/>
  <c r="K241" i="3" s="1"/>
  <c r="AH241" i="3"/>
  <c r="F241" i="3" l="1"/>
  <c r="I241" i="3"/>
  <c r="J241" i="3"/>
  <c r="M241" i="3"/>
  <c r="N241" i="3" s="1"/>
  <c r="V241" i="3"/>
  <c r="AE241" i="3"/>
  <c r="A242" i="3"/>
  <c r="B242" i="3" s="1"/>
  <c r="W241" i="3" l="1"/>
  <c r="L241" i="3"/>
  <c r="P242" i="3"/>
  <c r="Q242" i="3" s="1"/>
  <c r="R242" i="3" s="1"/>
  <c r="S242" i="3" s="1"/>
  <c r="AA242" i="3"/>
  <c r="AD242" i="3"/>
  <c r="Z242" i="3"/>
  <c r="AC242" i="3"/>
  <c r="T242" i="3" l="1"/>
  <c r="AH242" i="3" s="1"/>
  <c r="U241" i="3"/>
  <c r="AG242" i="3"/>
  <c r="Y240" i="3"/>
  <c r="D242" i="3" l="1"/>
  <c r="G242" i="3" s="1"/>
  <c r="E242" i="3"/>
  <c r="H242" i="3" s="1"/>
  <c r="K242" i="3" s="1"/>
  <c r="F242" i="3" l="1"/>
  <c r="V242" i="3"/>
  <c r="AE242" i="3"/>
  <c r="A243" i="3"/>
  <c r="B243" i="3" s="1"/>
  <c r="I242" i="3"/>
  <c r="J242" i="3"/>
  <c r="M242" i="3"/>
  <c r="N242" i="3" s="1"/>
  <c r="W242" i="3" l="1"/>
  <c r="L242" i="3"/>
  <c r="AC243" i="3"/>
  <c r="Z243" i="3"/>
  <c r="P243" i="3"/>
  <c r="Q243" i="3" s="1"/>
  <c r="R243" i="3" s="1"/>
  <c r="S243" i="3" s="1"/>
  <c r="AA243" i="3"/>
  <c r="AD243" i="3"/>
  <c r="U242" i="3" l="1"/>
  <c r="Y241" i="3"/>
  <c r="T243" i="3"/>
  <c r="D243" i="3" l="1"/>
  <c r="G243" i="3" s="1"/>
  <c r="AH243" i="3"/>
  <c r="E243" i="3"/>
  <c r="H243" i="3" s="1"/>
  <c r="K243" i="3" s="1"/>
  <c r="AG243" i="3"/>
  <c r="F243" i="3" l="1"/>
  <c r="I243" i="3"/>
  <c r="J243" i="3"/>
  <c r="M243" i="3"/>
  <c r="N243" i="3" s="1"/>
  <c r="V243" i="3"/>
  <c r="AE243" i="3"/>
  <c r="A244" i="3"/>
  <c r="B244" i="3" s="1"/>
  <c r="W243" i="3" l="1"/>
  <c r="L243" i="3"/>
  <c r="P244" i="3"/>
  <c r="Q244" i="3" s="1"/>
  <c r="R244" i="3" s="1"/>
  <c r="S244" i="3" s="1"/>
  <c r="AA244" i="3"/>
  <c r="AC244" i="3"/>
  <c r="Z244" i="3"/>
  <c r="T244" i="3" l="1"/>
  <c r="AG244" i="3" s="1"/>
  <c r="U243" i="3"/>
  <c r="Y242" i="3"/>
  <c r="E244" i="3" l="1"/>
  <c r="H244" i="3" s="1"/>
  <c r="K244" i="3" s="1"/>
  <c r="AH244" i="3"/>
  <c r="D244" i="3"/>
  <c r="F244" i="3" l="1"/>
  <c r="G244" i="3"/>
  <c r="I244" i="3" s="1"/>
  <c r="V244" i="3"/>
  <c r="AE244" i="3"/>
  <c r="A245" i="3"/>
  <c r="B245" i="3" s="1"/>
  <c r="M244" i="3" l="1"/>
  <c r="N244" i="3" s="1"/>
  <c r="J244" i="3"/>
  <c r="AD244" i="3" s="1"/>
  <c r="W244" i="3"/>
  <c r="AA245" i="3"/>
  <c r="P245" i="3"/>
  <c r="Q245" i="3" s="1"/>
  <c r="R245" i="3" s="1"/>
  <c r="S245" i="3" s="1"/>
  <c r="Z245" i="3"/>
  <c r="AD245" i="3"/>
  <c r="AC245" i="3"/>
  <c r="L244" i="3" l="1"/>
  <c r="U244" i="3" s="1"/>
  <c r="T245" i="3"/>
  <c r="Y243" i="3" l="1"/>
  <c r="E245" i="3"/>
  <c r="H245" i="3" s="1"/>
  <c r="K245" i="3" s="1"/>
  <c r="AG245" i="3"/>
  <c r="AH245" i="3"/>
  <c r="D245" i="3"/>
  <c r="F245" i="3" l="1"/>
  <c r="G245" i="3"/>
  <c r="J245" i="3" s="1"/>
  <c r="V245" i="3"/>
  <c r="AE245" i="3"/>
  <c r="A246" i="3"/>
  <c r="B246" i="3" s="1"/>
  <c r="I245" i="3" l="1"/>
  <c r="W245" i="3" s="1"/>
  <c r="M245" i="3"/>
  <c r="N245" i="3" s="1"/>
  <c r="L245" i="3"/>
  <c r="AD246" i="3"/>
  <c r="Z246" i="3"/>
  <c r="P246" i="3"/>
  <c r="Q246" i="3" s="1"/>
  <c r="R246" i="3" s="1"/>
  <c r="S246" i="3" s="1"/>
  <c r="AA246" i="3"/>
  <c r="AC246" i="3"/>
  <c r="T246" i="3" l="1"/>
  <c r="AG246" i="3" s="1"/>
  <c r="U245" i="3"/>
  <c r="Y244" i="3"/>
  <c r="D246" i="3" l="1"/>
  <c r="G246" i="3" s="1"/>
  <c r="AH246" i="3"/>
  <c r="E246" i="3"/>
  <c r="H246" i="3" s="1"/>
  <c r="K246" i="3" s="1"/>
  <c r="F246" i="3" l="1"/>
  <c r="V246" i="3"/>
  <c r="A247" i="3"/>
  <c r="B247" i="3" s="1"/>
  <c r="AE246" i="3"/>
  <c r="I246" i="3"/>
  <c r="J246" i="3"/>
  <c r="M246" i="3"/>
  <c r="N246" i="3" s="1"/>
  <c r="W246" i="3" l="1"/>
  <c r="L246" i="3"/>
  <c r="AC247" i="3"/>
  <c r="Z247" i="3"/>
  <c r="P247" i="3"/>
  <c r="Q247" i="3" s="1"/>
  <c r="R247" i="3" s="1"/>
  <c r="S247" i="3" s="1"/>
  <c r="AD247" i="3"/>
  <c r="AA247" i="3"/>
  <c r="T247" i="3" l="1"/>
  <c r="AH247" i="3" s="1"/>
  <c r="U246" i="3"/>
  <c r="Y245" i="3"/>
  <c r="E247" i="3" l="1"/>
  <c r="H247" i="3" s="1"/>
  <c r="K247" i="3" s="1"/>
  <c r="AG247" i="3"/>
  <c r="D247" i="3"/>
  <c r="F247" i="3" l="1"/>
  <c r="G247" i="3"/>
  <c r="V247" i="3"/>
  <c r="A248" i="3"/>
  <c r="B248" i="3" s="1"/>
  <c r="AE247" i="3"/>
  <c r="Z248" i="3" l="1"/>
  <c r="AD248" i="3"/>
  <c r="AA248" i="3"/>
  <c r="AC248" i="3"/>
  <c r="P248" i="3"/>
  <c r="Q248" i="3" s="1"/>
  <c r="R248" i="3" s="1"/>
  <c r="S248" i="3" s="1"/>
  <c r="I247" i="3"/>
  <c r="W247" i="3" s="1"/>
  <c r="J247" i="3"/>
  <c r="M247" i="3"/>
  <c r="N247" i="3" s="1"/>
  <c r="L247" i="3" l="1"/>
  <c r="T248" i="3"/>
  <c r="AH248" i="3" l="1"/>
  <c r="AG248" i="3"/>
  <c r="U247" i="3"/>
  <c r="D248" i="3" s="1"/>
  <c r="Y246" i="3"/>
  <c r="G248" i="3" l="1"/>
  <c r="E248" i="3"/>
  <c r="H248" i="3" s="1"/>
  <c r="K248" i="3" l="1"/>
  <c r="I248" i="3"/>
  <c r="J248" i="3"/>
  <c r="M248" i="3"/>
  <c r="N248" i="3" s="1"/>
  <c r="F248" i="3"/>
  <c r="V248" i="3" l="1"/>
  <c r="W248" i="3" s="1"/>
  <c r="AE248" i="3"/>
  <c r="A249" i="3"/>
  <c r="B249" i="3" s="1"/>
  <c r="L248" i="3"/>
  <c r="U248" i="3" l="1"/>
  <c r="Y247" i="3"/>
  <c r="AD249" i="3"/>
  <c r="AA249" i="3"/>
  <c r="P249" i="3"/>
  <c r="Q249" i="3" s="1"/>
  <c r="R249" i="3" s="1"/>
  <c r="S249" i="3" s="1"/>
  <c r="Z249" i="3"/>
  <c r="AC249" i="3"/>
  <c r="T249" i="3" l="1"/>
  <c r="AG249" i="3" s="1"/>
  <c r="E249" i="3" l="1"/>
  <c r="H249" i="3" s="1"/>
  <c r="K249" i="3" s="1"/>
  <c r="D249" i="3"/>
  <c r="AH249" i="3"/>
  <c r="F249" i="3" l="1"/>
  <c r="G249" i="3"/>
  <c r="V249" i="3"/>
  <c r="A250" i="3"/>
  <c r="B250" i="3" s="1"/>
  <c r="AE249" i="3"/>
  <c r="AA250" i="3" l="1"/>
  <c r="P250" i="3"/>
  <c r="Q250" i="3" s="1"/>
  <c r="R250" i="3" s="1"/>
  <c r="S250" i="3" s="1"/>
  <c r="Z250" i="3"/>
  <c r="AC250" i="3"/>
  <c r="AD250" i="3"/>
  <c r="I249" i="3"/>
  <c r="W249" i="3" s="1"/>
  <c r="J249" i="3"/>
  <c r="M249" i="3"/>
  <c r="N249" i="3" s="1"/>
  <c r="L249" i="3" l="1"/>
  <c r="T250" i="3"/>
  <c r="AG250" i="3" l="1"/>
  <c r="U249" i="3"/>
  <c r="D250" i="3" s="1"/>
  <c r="AH250" i="3"/>
  <c r="Y248" i="3"/>
  <c r="E250" i="3" l="1"/>
  <c r="H250" i="3" s="1"/>
  <c r="K250" i="3" s="1"/>
  <c r="G250" i="3"/>
  <c r="F250" i="3" l="1"/>
  <c r="I250" i="3"/>
  <c r="J250" i="3"/>
  <c r="M250" i="3"/>
  <c r="N250" i="3" s="1"/>
  <c r="V250" i="3"/>
  <c r="AE250" i="3"/>
  <c r="A251" i="3"/>
  <c r="B251" i="3" s="1"/>
  <c r="W250" i="3" l="1"/>
  <c r="L250" i="3"/>
  <c r="AC251" i="3"/>
  <c r="P251" i="3"/>
  <c r="Q251" i="3" s="1"/>
  <c r="R251" i="3" s="1"/>
  <c r="S251" i="3" s="1"/>
  <c r="AD251" i="3"/>
  <c r="Z251" i="3"/>
  <c r="AA251" i="3"/>
  <c r="T251" i="3" l="1"/>
  <c r="AG251" i="3" s="1"/>
  <c r="U250" i="3"/>
  <c r="Y249" i="3"/>
  <c r="AH251" i="3" l="1"/>
  <c r="E251" i="3"/>
  <c r="H251" i="3" s="1"/>
  <c r="K251" i="3" s="1"/>
  <c r="D251" i="3"/>
  <c r="F251" i="3" l="1"/>
  <c r="G251" i="3"/>
  <c r="I251" i="3" s="1"/>
  <c r="V251" i="3"/>
  <c r="AE251" i="3"/>
  <c r="A252" i="3"/>
  <c r="B252" i="3" s="1"/>
  <c r="J251" i="3"/>
  <c r="M251" i="3" l="1"/>
  <c r="N251" i="3" s="1"/>
  <c r="W251" i="3"/>
  <c r="L251" i="3"/>
  <c r="AD252" i="3"/>
  <c r="P252" i="3"/>
  <c r="Q252" i="3" s="1"/>
  <c r="R252" i="3" s="1"/>
  <c r="S252" i="3" s="1"/>
  <c r="AC252" i="3"/>
  <c r="Z252" i="3"/>
  <c r="AA252" i="3"/>
  <c r="U251" i="3" l="1"/>
  <c r="Y250" i="3"/>
  <c r="T252" i="3"/>
  <c r="D252" i="3" l="1"/>
  <c r="G252" i="3" s="1"/>
  <c r="E252" i="3"/>
  <c r="H252" i="3" s="1"/>
  <c r="AH252" i="3"/>
  <c r="AG252" i="3"/>
  <c r="K252" i="3" l="1"/>
  <c r="I252" i="3"/>
  <c r="J252" i="3"/>
  <c r="M252" i="3"/>
  <c r="N252" i="3" s="1"/>
  <c r="F252" i="3"/>
  <c r="V252" i="3" l="1"/>
  <c r="W252" i="3" s="1"/>
  <c r="AE252" i="3"/>
  <c r="A253" i="3"/>
  <c r="B253" i="3" s="1"/>
  <c r="L252" i="3"/>
  <c r="U252" i="3" l="1"/>
  <c r="Y251" i="3"/>
  <c r="AA253" i="3"/>
  <c r="Z253" i="3"/>
  <c r="AC253" i="3"/>
  <c r="AD253" i="3"/>
  <c r="P253" i="3"/>
  <c r="Q253" i="3" s="1"/>
  <c r="R253" i="3" s="1"/>
  <c r="S253" i="3" s="1"/>
  <c r="T253" i="3" l="1"/>
  <c r="AG253" i="3" s="1"/>
  <c r="AH253" i="3" l="1"/>
  <c r="D253" i="3"/>
  <c r="G253" i="3" s="1"/>
  <c r="E253" i="3"/>
  <c r="H253" i="3" s="1"/>
  <c r="K253" i="3" s="1"/>
  <c r="F253" i="3" l="1"/>
  <c r="V253" i="3"/>
  <c r="A254" i="3"/>
  <c r="B254" i="3" s="1"/>
  <c r="AE253" i="3"/>
  <c r="I253" i="3"/>
  <c r="J253" i="3"/>
  <c r="M253" i="3"/>
  <c r="N253" i="3" s="1"/>
  <c r="W253" i="3" l="1"/>
  <c r="L253" i="3"/>
  <c r="AA254" i="3"/>
  <c r="AC254" i="3"/>
  <c r="Z254" i="3"/>
  <c r="P254" i="3"/>
  <c r="Q254" i="3" s="1"/>
  <c r="R254" i="3" s="1"/>
  <c r="S254" i="3" s="1"/>
  <c r="T254" i="3" l="1"/>
  <c r="AH254" i="3" s="1"/>
  <c r="U253" i="3"/>
  <c r="Y252" i="3"/>
  <c r="AG254" i="3" l="1"/>
  <c r="D254" i="3"/>
  <c r="G254" i="3" s="1"/>
  <c r="E254" i="3"/>
  <c r="H254" i="3" s="1"/>
  <c r="K254" i="3" s="1"/>
  <c r="F254" i="3" l="1"/>
  <c r="I254" i="3"/>
  <c r="J254" i="3"/>
  <c r="M254" i="3"/>
  <c r="N254" i="3" s="1"/>
  <c r="V254" i="3"/>
  <c r="AE254" i="3"/>
  <c r="A255" i="3"/>
  <c r="B255" i="3" s="1"/>
  <c r="W254" i="3" l="1"/>
  <c r="L254" i="3"/>
  <c r="AD254" i="3"/>
  <c r="AD255" i="3"/>
  <c r="P255" i="3"/>
  <c r="Q255" i="3" s="1"/>
  <c r="R255" i="3" s="1"/>
  <c r="S255" i="3" s="1"/>
  <c r="AC255" i="3"/>
  <c r="AA255" i="3"/>
  <c r="Z255" i="3"/>
  <c r="U254" i="3" l="1"/>
  <c r="Y253" i="3"/>
  <c r="T255" i="3"/>
  <c r="AH255" i="3" s="1"/>
  <c r="D255" i="3" l="1"/>
  <c r="E255" i="3"/>
  <c r="H255" i="3" s="1"/>
  <c r="AG255" i="3"/>
  <c r="K255" i="3" l="1"/>
  <c r="F255" i="3"/>
  <c r="G255" i="3"/>
  <c r="V255" i="3" l="1"/>
  <c r="AE255" i="3"/>
  <c r="A256" i="3"/>
  <c r="B256" i="3" s="1"/>
  <c r="I255" i="3"/>
  <c r="J255" i="3"/>
  <c r="M255" i="3"/>
  <c r="N255" i="3" s="1"/>
  <c r="L255" i="3" l="1"/>
  <c r="AD256" i="3"/>
  <c r="Z256" i="3"/>
  <c r="AC256" i="3"/>
  <c r="AA256" i="3"/>
  <c r="P256" i="3"/>
  <c r="Q256" i="3" s="1"/>
  <c r="R256" i="3" s="1"/>
  <c r="S256" i="3" s="1"/>
  <c r="W255" i="3"/>
  <c r="T256" i="3" l="1"/>
  <c r="AG256" i="3" s="1"/>
  <c r="U255" i="3"/>
  <c r="Y254" i="3"/>
  <c r="AH256" i="3" l="1"/>
  <c r="D256" i="3"/>
  <c r="G256" i="3" s="1"/>
  <c r="E256" i="3"/>
  <c r="H256" i="3" s="1"/>
  <c r="K256" i="3" l="1"/>
  <c r="I256" i="3"/>
  <c r="J256" i="3"/>
  <c r="M256" i="3"/>
  <c r="N256" i="3" s="1"/>
  <c r="F256" i="3"/>
  <c r="V256" i="3" l="1"/>
  <c r="W256" i="3" s="1"/>
  <c r="AE256" i="3"/>
  <c r="A257" i="3"/>
  <c r="B257" i="3" s="1"/>
  <c r="L256" i="3"/>
  <c r="U256" i="3" l="1"/>
  <c r="Y255" i="3"/>
  <c r="Z257" i="3"/>
  <c r="P257" i="3"/>
  <c r="Q257" i="3" s="1"/>
  <c r="R257" i="3" s="1"/>
  <c r="S257" i="3" s="1"/>
  <c r="AA257" i="3"/>
  <c r="AD257" i="3"/>
  <c r="AC257" i="3"/>
  <c r="T257" i="3" l="1"/>
  <c r="D257" i="3" s="1"/>
  <c r="AG257" i="3" l="1"/>
  <c r="AH257" i="3"/>
  <c r="E257" i="3"/>
  <c r="H257" i="3" s="1"/>
  <c r="K257" i="3" s="1"/>
  <c r="G257" i="3"/>
  <c r="F257" i="3" l="1"/>
  <c r="V257" i="3"/>
  <c r="AE257" i="3"/>
  <c r="A258" i="3"/>
  <c r="B258" i="3" s="1"/>
  <c r="I257" i="3"/>
  <c r="J257" i="3"/>
  <c r="M257" i="3"/>
  <c r="N257" i="3" s="1"/>
  <c r="W257" i="3" l="1"/>
  <c r="L257" i="3"/>
  <c r="P258" i="3"/>
  <c r="Q258" i="3" s="1"/>
  <c r="R258" i="3" s="1"/>
  <c r="S258" i="3" s="1"/>
  <c r="AA258" i="3"/>
  <c r="Z258" i="3"/>
  <c r="AC258" i="3"/>
  <c r="AD258" i="3"/>
  <c r="T258" i="3" l="1"/>
  <c r="AG258" i="3" s="1"/>
  <c r="U257" i="3"/>
  <c r="Y256" i="3"/>
  <c r="D258" i="3" l="1"/>
  <c r="G258" i="3" s="1"/>
  <c r="AH258" i="3"/>
  <c r="E258" i="3"/>
  <c r="H258" i="3" s="1"/>
  <c r="K258" i="3" l="1"/>
  <c r="I258" i="3"/>
  <c r="J258" i="3"/>
  <c r="M258" i="3"/>
  <c r="N258" i="3" s="1"/>
  <c r="F258" i="3"/>
  <c r="V258" i="3" l="1"/>
  <c r="W258" i="3" s="1"/>
  <c r="A259" i="3"/>
  <c r="B259" i="3" s="1"/>
  <c r="AE258" i="3"/>
  <c r="L258" i="3"/>
  <c r="AC259" i="3" l="1"/>
  <c r="Z259" i="3"/>
  <c r="AA259" i="3"/>
  <c r="AD259" i="3"/>
  <c r="P259" i="3"/>
  <c r="Q259" i="3" s="1"/>
  <c r="R259" i="3" s="1"/>
  <c r="S259" i="3" s="1"/>
  <c r="U258" i="3"/>
  <c r="Y257" i="3"/>
  <c r="T259" i="3" l="1"/>
  <c r="D259" i="3" s="1"/>
  <c r="AH259" i="3" l="1"/>
  <c r="AG259" i="3"/>
  <c r="E259" i="3"/>
  <c r="H259" i="3" s="1"/>
  <c r="K259" i="3" s="1"/>
  <c r="G259" i="3"/>
  <c r="F259" i="3" l="1"/>
  <c r="I259" i="3"/>
  <c r="J259" i="3"/>
  <c r="M259" i="3"/>
  <c r="N259" i="3" s="1"/>
  <c r="V259" i="3"/>
  <c r="AE259" i="3"/>
  <c r="A260" i="3"/>
  <c r="B260" i="3" s="1"/>
  <c r="W259" i="3" l="1"/>
  <c r="L259" i="3"/>
  <c r="P260" i="3"/>
  <c r="Q260" i="3" s="1"/>
  <c r="R260" i="3" s="1"/>
  <c r="S260" i="3" s="1"/>
  <c r="AD260" i="3"/>
  <c r="Z260" i="3"/>
  <c r="AC260" i="3"/>
  <c r="AA260" i="3"/>
  <c r="T260" i="3" l="1"/>
  <c r="AH260" i="3" s="1"/>
  <c r="U259" i="3"/>
  <c r="Y258" i="3"/>
  <c r="AG260" i="3" l="1"/>
  <c r="D260" i="3"/>
  <c r="E260" i="3"/>
  <c r="H260" i="3" s="1"/>
  <c r="K260" i="3" s="1"/>
  <c r="F260" i="3" l="1"/>
  <c r="G260" i="3"/>
  <c r="I260" i="3" s="1"/>
  <c r="V260" i="3"/>
  <c r="AE260" i="3"/>
  <c r="A261" i="3"/>
  <c r="B261" i="3" s="1"/>
  <c r="M260" i="3" l="1"/>
  <c r="N260" i="3" s="1"/>
  <c r="J260" i="3"/>
  <c r="L260" i="3" s="1"/>
  <c r="W260" i="3"/>
  <c r="Z261" i="3"/>
  <c r="AA261" i="3"/>
  <c r="AD261" i="3"/>
  <c r="AC261" i="3"/>
  <c r="P261" i="3"/>
  <c r="Q261" i="3" s="1"/>
  <c r="R261" i="3" s="1"/>
  <c r="S261" i="3" s="1"/>
  <c r="T261" i="3" l="1"/>
  <c r="AG261" i="3" s="1"/>
  <c r="U260" i="3"/>
  <c r="Y259" i="3"/>
  <c r="E261" i="3" l="1"/>
  <c r="H261" i="3" s="1"/>
  <c r="K261" i="3" s="1"/>
  <c r="AH261" i="3"/>
  <c r="D261" i="3"/>
  <c r="F261" i="3" l="1"/>
  <c r="G261" i="3"/>
  <c r="V261" i="3"/>
  <c r="A262" i="3"/>
  <c r="B262" i="3" s="1"/>
  <c r="AE261" i="3"/>
  <c r="AC262" i="3" l="1"/>
  <c r="AA262" i="3"/>
  <c r="Z262" i="3"/>
  <c r="AD262" i="3"/>
  <c r="P262" i="3"/>
  <c r="Q262" i="3" s="1"/>
  <c r="R262" i="3" s="1"/>
  <c r="S262" i="3" s="1"/>
  <c r="I261" i="3"/>
  <c r="W261" i="3" s="1"/>
  <c r="J261" i="3"/>
  <c r="M261" i="3"/>
  <c r="N261" i="3" s="1"/>
  <c r="T262" i="3" l="1"/>
  <c r="L261" i="3"/>
  <c r="U261" i="3" l="1"/>
  <c r="E262" i="3" s="1"/>
  <c r="H262" i="3" s="1"/>
  <c r="AG262" i="3"/>
  <c r="AH262" i="3"/>
  <c r="Y260" i="3"/>
  <c r="D262" i="3" l="1"/>
  <c r="F262" i="3" s="1"/>
  <c r="K262" i="3"/>
  <c r="G262" i="3" l="1"/>
  <c r="I262" i="3" s="1"/>
  <c r="V262" i="3"/>
  <c r="A263" i="3"/>
  <c r="B263" i="3" s="1"/>
  <c r="AE262" i="3"/>
  <c r="M262" i="3" l="1"/>
  <c r="N262" i="3" s="1"/>
  <c r="J262" i="3"/>
  <c r="L262" i="3" s="1"/>
  <c r="W262" i="3"/>
  <c r="P263" i="3"/>
  <c r="Q263" i="3" s="1"/>
  <c r="R263" i="3" s="1"/>
  <c r="S263" i="3" s="1"/>
  <c r="AA263" i="3"/>
  <c r="AC263" i="3"/>
  <c r="AD263" i="3"/>
  <c r="Z263" i="3"/>
  <c r="T263" i="3" l="1"/>
  <c r="AH263" i="3" s="1"/>
  <c r="U262" i="3"/>
  <c r="Y261" i="3"/>
  <c r="AG263" i="3" l="1"/>
  <c r="E263" i="3"/>
  <c r="H263" i="3" s="1"/>
  <c r="K263" i="3" s="1"/>
  <c r="D263" i="3"/>
  <c r="F263" i="3" l="1"/>
  <c r="G263" i="3"/>
  <c r="I263" i="3" s="1"/>
  <c r="V263" i="3"/>
  <c r="AE263" i="3"/>
  <c r="A264" i="3"/>
  <c r="B264" i="3" s="1"/>
  <c r="M263" i="3" l="1"/>
  <c r="N263" i="3" s="1"/>
  <c r="J263" i="3"/>
  <c r="W263" i="3"/>
  <c r="AA264" i="3"/>
  <c r="AC264" i="3"/>
  <c r="Z264" i="3"/>
  <c r="P264" i="3"/>
  <c r="Q264" i="3" s="1"/>
  <c r="R264" i="3" s="1"/>
  <c r="S264" i="3" s="1"/>
  <c r="L263" i="3"/>
  <c r="T264" i="3" l="1"/>
  <c r="AG264" i="3" s="1"/>
  <c r="U263" i="3"/>
  <c r="Y262" i="3"/>
  <c r="E264" i="3" l="1"/>
  <c r="H264" i="3" s="1"/>
  <c r="K264" i="3" s="1"/>
  <c r="AH264" i="3"/>
  <c r="D264" i="3"/>
  <c r="V264" i="3" l="1"/>
  <c r="AE264" i="3"/>
  <c r="A265" i="3"/>
  <c r="B265" i="3" s="1"/>
  <c r="F264" i="3"/>
  <c r="G264" i="3"/>
  <c r="I264" i="3" l="1"/>
  <c r="J264" i="3"/>
  <c r="M264" i="3"/>
  <c r="N264" i="3" s="1"/>
  <c r="Z265" i="3"/>
  <c r="P265" i="3"/>
  <c r="Q265" i="3" s="1"/>
  <c r="R265" i="3" s="1"/>
  <c r="S265" i="3" s="1"/>
  <c r="AA265" i="3"/>
  <c r="AD265" i="3"/>
  <c r="AC265" i="3"/>
  <c r="W264" i="3"/>
  <c r="L264" i="3" l="1"/>
  <c r="AD264" i="3"/>
  <c r="T265" i="3"/>
  <c r="AG265" i="3" l="1"/>
  <c r="AH265" i="3"/>
  <c r="U264" i="3"/>
  <c r="E265" i="3" s="1"/>
  <c r="H265" i="3" s="1"/>
  <c r="Y263" i="3"/>
  <c r="D265" i="3" l="1"/>
  <c r="F265" i="3" s="1"/>
  <c r="K265" i="3"/>
  <c r="G265" i="3" l="1"/>
  <c r="J265" i="3" s="1"/>
  <c r="V265" i="3"/>
  <c r="AE265" i="3"/>
  <c r="A266" i="3"/>
  <c r="B266" i="3" s="1"/>
  <c r="I265" i="3" l="1"/>
  <c r="W265" i="3" s="1"/>
  <c r="M265" i="3"/>
  <c r="N265" i="3" s="1"/>
  <c r="L265" i="3"/>
  <c r="Z266" i="3"/>
  <c r="P266" i="3"/>
  <c r="Q266" i="3" s="1"/>
  <c r="R266" i="3" s="1"/>
  <c r="S266" i="3" s="1"/>
  <c r="AA266" i="3"/>
  <c r="AC266" i="3"/>
  <c r="AD266" i="3"/>
  <c r="T266" i="3" l="1"/>
  <c r="AH266" i="3" s="1"/>
  <c r="U265" i="3"/>
  <c r="Y264" i="3"/>
  <c r="E266" i="3" l="1"/>
  <c r="H266" i="3" s="1"/>
  <c r="K266" i="3" s="1"/>
  <c r="AG266" i="3"/>
  <c r="D266" i="3"/>
  <c r="G266" i="3" s="1"/>
  <c r="F266" i="3" l="1"/>
  <c r="V266" i="3"/>
  <c r="A267" i="3"/>
  <c r="B267" i="3" s="1"/>
  <c r="AE266" i="3"/>
  <c r="I266" i="3"/>
  <c r="J266" i="3"/>
  <c r="M266" i="3"/>
  <c r="N266" i="3" s="1"/>
  <c r="P267" i="3" l="1"/>
  <c r="Q267" i="3" s="1"/>
  <c r="R267" i="3" s="1"/>
  <c r="S267" i="3" s="1"/>
  <c r="Z267" i="3"/>
  <c r="AD267" i="3"/>
  <c r="AA267" i="3"/>
  <c r="AC267" i="3"/>
  <c r="L266" i="3"/>
  <c r="W266" i="3"/>
  <c r="U266" i="3" l="1"/>
  <c r="Y265" i="3"/>
  <c r="T267" i="3"/>
  <c r="AH267" i="3" s="1"/>
  <c r="E267" i="3" l="1"/>
  <c r="H267" i="3" s="1"/>
  <c r="D267" i="3"/>
  <c r="AG267" i="3"/>
  <c r="F267" i="3" l="1"/>
  <c r="G267" i="3"/>
  <c r="K267" i="3"/>
  <c r="I267" i="3" l="1"/>
  <c r="J267" i="3"/>
  <c r="M267" i="3"/>
  <c r="N267" i="3" s="1"/>
  <c r="V267" i="3"/>
  <c r="W267" i="3" s="1"/>
  <c r="A268" i="3"/>
  <c r="B268" i="3" s="1"/>
  <c r="AE267" i="3"/>
  <c r="AC268" i="3" l="1"/>
  <c r="AD268" i="3"/>
  <c r="P268" i="3"/>
  <c r="Q268" i="3" s="1"/>
  <c r="R268" i="3" s="1"/>
  <c r="S268" i="3" s="1"/>
  <c r="AA268" i="3"/>
  <c r="Z268" i="3"/>
  <c r="L267" i="3"/>
  <c r="T268" i="3" l="1"/>
  <c r="AH268" i="3" s="1"/>
  <c r="U267" i="3"/>
  <c r="D268" i="3"/>
  <c r="Y266" i="3"/>
  <c r="E268" i="3" l="1"/>
  <c r="H268" i="3" s="1"/>
  <c r="AG268" i="3"/>
  <c r="K268" i="3"/>
  <c r="F268" i="3"/>
  <c r="G268" i="3"/>
  <c r="V268" i="3" l="1"/>
  <c r="A269" i="3"/>
  <c r="B269" i="3" s="1"/>
  <c r="AE268" i="3"/>
  <c r="I268" i="3"/>
  <c r="J268" i="3"/>
  <c r="M268" i="3"/>
  <c r="N268" i="3" s="1"/>
  <c r="L268" i="3" l="1"/>
  <c r="AD269" i="3"/>
  <c r="P269" i="3"/>
  <c r="Q269" i="3" s="1"/>
  <c r="R269" i="3" s="1"/>
  <c r="S269" i="3" s="1"/>
  <c r="AA269" i="3"/>
  <c r="AC269" i="3"/>
  <c r="Z269" i="3"/>
  <c r="W268" i="3"/>
  <c r="T269" i="3" l="1"/>
  <c r="AH269" i="3" s="1"/>
  <c r="U268" i="3"/>
  <c r="Y267" i="3"/>
  <c r="AG269" i="3" l="1"/>
  <c r="D269" i="3"/>
  <c r="G269" i="3" s="1"/>
  <c r="E269" i="3"/>
  <c r="H269" i="3" s="1"/>
  <c r="K269" i="3" s="1"/>
  <c r="F269" i="3" l="1"/>
  <c r="V269" i="3"/>
  <c r="AE269" i="3"/>
  <c r="A270" i="3"/>
  <c r="B270" i="3" s="1"/>
  <c r="I269" i="3"/>
  <c r="J269" i="3"/>
  <c r="M269" i="3"/>
  <c r="N269" i="3" s="1"/>
  <c r="W269" i="3" l="1"/>
  <c r="L269" i="3"/>
  <c r="Z270" i="3"/>
  <c r="P270" i="3"/>
  <c r="Q270" i="3" s="1"/>
  <c r="R270" i="3" s="1"/>
  <c r="S270" i="3" s="1"/>
  <c r="AC270" i="3"/>
  <c r="AA270" i="3"/>
  <c r="AD270" i="3"/>
  <c r="T270" i="3" l="1"/>
  <c r="AG270" i="3" s="1"/>
  <c r="U269" i="3"/>
  <c r="Y268" i="3"/>
  <c r="D270" i="3" l="1"/>
  <c r="G270" i="3" s="1"/>
  <c r="AH270" i="3"/>
  <c r="E270" i="3"/>
  <c r="H270" i="3" s="1"/>
  <c r="K270" i="3" l="1"/>
  <c r="I270" i="3"/>
  <c r="J270" i="3"/>
  <c r="M270" i="3"/>
  <c r="N270" i="3" s="1"/>
  <c r="F270" i="3"/>
  <c r="V270" i="3" l="1"/>
  <c r="W270" i="3" s="1"/>
  <c r="A271" i="3"/>
  <c r="B271" i="3" s="1"/>
  <c r="AE270" i="3"/>
  <c r="L270" i="3"/>
  <c r="AA271" i="3" l="1"/>
  <c r="AC271" i="3"/>
  <c r="Z271" i="3"/>
  <c r="AD271" i="3"/>
  <c r="P271" i="3"/>
  <c r="Q271" i="3" s="1"/>
  <c r="R271" i="3" s="1"/>
  <c r="S271" i="3" s="1"/>
  <c r="U270" i="3"/>
  <c r="Y269" i="3"/>
  <c r="T271" i="3" l="1"/>
  <c r="AH271" i="3" s="1"/>
  <c r="E271" i="3"/>
  <c r="H271" i="3" s="1"/>
  <c r="AG271" i="3"/>
  <c r="D271" i="3" l="1"/>
  <c r="F271" i="3" s="1"/>
  <c r="K271" i="3"/>
  <c r="G271" i="3" l="1"/>
  <c r="I271" i="3"/>
  <c r="J271" i="3"/>
  <c r="M271" i="3"/>
  <c r="N271" i="3" s="1"/>
  <c r="V271" i="3"/>
  <c r="AE271" i="3"/>
  <c r="A272" i="3"/>
  <c r="B272" i="3" s="1"/>
  <c r="W271" i="3" l="1"/>
  <c r="L271" i="3"/>
  <c r="AD272" i="3"/>
  <c r="AC272" i="3"/>
  <c r="Z272" i="3"/>
  <c r="P272" i="3"/>
  <c r="Q272" i="3" s="1"/>
  <c r="R272" i="3" s="1"/>
  <c r="S272" i="3" s="1"/>
  <c r="AA272" i="3"/>
  <c r="T272" i="3" l="1"/>
  <c r="AG272" i="3" s="1"/>
  <c r="U271" i="3"/>
  <c r="Y270" i="3"/>
  <c r="E272" i="3" l="1"/>
  <c r="H272" i="3" s="1"/>
  <c r="K272" i="3" s="1"/>
  <c r="D272" i="3"/>
  <c r="AH272" i="3"/>
  <c r="F272" i="3" l="1"/>
  <c r="G272" i="3"/>
  <c r="I272" i="3" s="1"/>
  <c r="V272" i="3"/>
  <c r="AE272" i="3"/>
  <c r="A273" i="3"/>
  <c r="B273" i="3" s="1"/>
  <c r="M272" i="3" l="1"/>
  <c r="N272" i="3" s="1"/>
  <c r="J272" i="3"/>
  <c r="L272" i="3" s="1"/>
  <c r="W272" i="3"/>
  <c r="Z273" i="3"/>
  <c r="P273" i="3"/>
  <c r="Q273" i="3" s="1"/>
  <c r="R273" i="3" s="1"/>
  <c r="S273" i="3" s="1"/>
  <c r="AD273" i="3"/>
  <c r="AA273" i="3"/>
  <c r="AC273" i="3"/>
  <c r="U272" i="3" l="1"/>
  <c r="Y271" i="3"/>
  <c r="T273" i="3"/>
  <c r="E273" i="3" s="1"/>
  <c r="H273" i="3" s="1"/>
  <c r="K273" i="3" l="1"/>
  <c r="AH273" i="3"/>
  <c r="AG273" i="3"/>
  <c r="D273" i="3"/>
  <c r="V273" i="3" l="1"/>
  <c r="AE273" i="3"/>
  <c r="A274" i="3"/>
  <c r="B274" i="3" s="1"/>
  <c r="F273" i="3"/>
  <c r="G273" i="3"/>
  <c r="I273" i="3" l="1"/>
  <c r="J273" i="3"/>
  <c r="M273" i="3"/>
  <c r="N273" i="3" s="1"/>
  <c r="W273" i="3"/>
  <c r="Z274" i="3"/>
  <c r="P274" i="3"/>
  <c r="Q274" i="3" s="1"/>
  <c r="R274" i="3" s="1"/>
  <c r="S274" i="3" s="1"/>
  <c r="AC274" i="3"/>
  <c r="AA274" i="3"/>
  <c r="L273" i="3" l="1"/>
  <c r="T274" i="3"/>
  <c r="U273" i="3" l="1"/>
  <c r="D274" i="3" s="1"/>
  <c r="AH274" i="3"/>
  <c r="AG274" i="3"/>
  <c r="E274" i="3"/>
  <c r="H274" i="3" s="1"/>
  <c r="Y272" i="3"/>
  <c r="K274" i="3" l="1"/>
  <c r="F274" i="3"/>
  <c r="G274" i="3"/>
  <c r="V274" i="3" l="1"/>
  <c r="AE274" i="3"/>
  <c r="A275" i="3"/>
  <c r="B275" i="3" s="1"/>
  <c r="I274" i="3"/>
  <c r="J274" i="3"/>
  <c r="M274" i="3"/>
  <c r="N274" i="3" s="1"/>
  <c r="L274" i="3" l="1"/>
  <c r="AD274" i="3"/>
  <c r="AA275" i="3"/>
  <c r="P275" i="3"/>
  <c r="Q275" i="3" s="1"/>
  <c r="R275" i="3" s="1"/>
  <c r="S275" i="3" s="1"/>
  <c r="AD275" i="3"/>
  <c r="Z275" i="3"/>
  <c r="AC275" i="3"/>
  <c r="AE275" i="3"/>
  <c r="W274" i="3"/>
  <c r="T275" i="3" l="1"/>
  <c r="AH275" i="3" s="1"/>
  <c r="U274" i="3"/>
  <c r="Y273" i="3"/>
  <c r="D275" i="3" l="1"/>
  <c r="E275" i="3"/>
  <c r="H275" i="3" s="1"/>
  <c r="K275" i="3" s="1"/>
  <c r="AG275" i="3"/>
  <c r="F275" i="3" l="1"/>
  <c r="G275" i="3"/>
  <c r="M275" i="3" s="1"/>
  <c r="N275" i="3" s="1"/>
  <c r="J275" i="3"/>
  <c r="V275" i="3"/>
  <c r="A276" i="3"/>
  <c r="B276" i="3" s="1"/>
  <c r="I275" i="3" l="1"/>
  <c r="W275" i="3"/>
  <c r="L275" i="3"/>
  <c r="P276" i="3"/>
  <c r="Q276" i="3" s="1"/>
  <c r="R276" i="3" s="1"/>
  <c r="S276" i="3" s="1"/>
  <c r="AC276" i="3"/>
  <c r="AE276" i="3"/>
  <c r="AD276" i="3"/>
  <c r="Z276" i="3"/>
  <c r="AA276" i="3"/>
  <c r="T276" i="3" l="1"/>
  <c r="AH276" i="3" s="1"/>
  <c r="U275" i="3"/>
  <c r="AG276" i="3"/>
  <c r="Y274" i="3"/>
  <c r="E276" i="3" l="1"/>
  <c r="H276" i="3" s="1"/>
  <c r="K276" i="3" s="1"/>
  <c r="D276" i="3"/>
  <c r="F276" i="3" l="1"/>
  <c r="G276" i="3"/>
  <c r="V276" i="3"/>
  <c r="A277" i="3"/>
  <c r="B277" i="3" s="1"/>
  <c r="AE277" i="3" l="1"/>
  <c r="AA277" i="3"/>
  <c r="AD277" i="3"/>
  <c r="Z277" i="3"/>
  <c r="AC277" i="3"/>
  <c r="P277" i="3"/>
  <c r="Q277" i="3" s="1"/>
  <c r="R277" i="3" s="1"/>
  <c r="S277" i="3" s="1"/>
  <c r="I276" i="3"/>
  <c r="W276" i="3" s="1"/>
  <c r="J276" i="3"/>
  <c r="M276" i="3"/>
  <c r="N276" i="3" s="1"/>
  <c r="L276" i="3" l="1"/>
  <c r="T277" i="3"/>
  <c r="AH277" i="3" l="1"/>
  <c r="AG277" i="3"/>
  <c r="U276" i="3"/>
  <c r="E277" i="3" s="1"/>
  <c r="H277" i="3" s="1"/>
  <c r="Y275" i="3"/>
  <c r="K277" i="3" l="1"/>
  <c r="D277" i="3"/>
  <c r="F277" i="3" l="1"/>
  <c r="G277" i="3"/>
  <c r="V277" i="3"/>
  <c r="A278" i="3"/>
  <c r="B278" i="3" s="1"/>
  <c r="Z278" i="3" l="1"/>
  <c r="P278" i="3"/>
  <c r="Q278" i="3" s="1"/>
  <c r="R278" i="3" s="1"/>
  <c r="S278" i="3" s="1"/>
  <c r="AD278" i="3"/>
  <c r="AC278" i="3"/>
  <c r="AE278" i="3"/>
  <c r="AA278" i="3"/>
  <c r="I277" i="3"/>
  <c r="W277" i="3" s="1"/>
  <c r="J277" i="3"/>
  <c r="M277" i="3"/>
  <c r="N277" i="3" s="1"/>
  <c r="L277" i="3" l="1"/>
  <c r="T278" i="3"/>
  <c r="U277" i="3" l="1"/>
  <c r="D278" i="3" s="1"/>
  <c r="AG278" i="3"/>
  <c r="AH278" i="3"/>
  <c r="Y276" i="3"/>
  <c r="E278" i="3" l="1"/>
  <c r="H278" i="3" s="1"/>
  <c r="K278" i="3" s="1"/>
  <c r="G278" i="3"/>
  <c r="F278" i="3" l="1"/>
  <c r="I278" i="3"/>
  <c r="J278" i="3"/>
  <c r="M278" i="3"/>
  <c r="N278" i="3" s="1"/>
  <c r="V278" i="3"/>
  <c r="W278" i="3" s="1"/>
  <c r="A279" i="3"/>
  <c r="B279" i="3" s="1"/>
  <c r="L278" i="3" l="1"/>
  <c r="AA279" i="3"/>
  <c r="P279" i="3"/>
  <c r="Q279" i="3" s="1"/>
  <c r="R279" i="3" s="1"/>
  <c r="S279" i="3" s="1"/>
  <c r="Z279" i="3"/>
  <c r="AC279" i="3"/>
  <c r="AD279" i="3"/>
  <c r="AE279" i="3"/>
  <c r="U278" i="3" l="1"/>
  <c r="Y277" i="3"/>
  <c r="T279" i="3"/>
  <c r="AG279" i="3" s="1"/>
  <c r="D279" i="3" l="1"/>
  <c r="G279" i="3" s="1"/>
  <c r="AH279" i="3"/>
  <c r="E279" i="3"/>
  <c r="H279" i="3" s="1"/>
  <c r="I279" i="3" l="1"/>
  <c r="J279" i="3"/>
  <c r="M279" i="3"/>
  <c r="N279" i="3" s="1"/>
  <c r="K279" i="3"/>
  <c r="F279" i="3"/>
  <c r="V279" i="3" l="1"/>
  <c r="W279" i="3" s="1"/>
  <c r="A280" i="3"/>
  <c r="B280" i="3" s="1"/>
  <c r="L279" i="3"/>
  <c r="AD280" i="3" l="1"/>
  <c r="P280" i="3"/>
  <c r="Q280" i="3" s="1"/>
  <c r="R280" i="3" s="1"/>
  <c r="S280" i="3" s="1"/>
  <c r="AC280" i="3"/>
  <c r="AA280" i="3"/>
  <c r="Z280" i="3"/>
  <c r="AE280" i="3"/>
  <c r="U279" i="3"/>
  <c r="Y278" i="3"/>
  <c r="T280" i="3" l="1"/>
  <c r="D280" i="3" s="1"/>
  <c r="AG280" i="3" l="1"/>
  <c r="G280" i="3"/>
  <c r="E280" i="3"/>
  <c r="H280" i="3" s="1"/>
  <c r="AH280" i="3"/>
  <c r="K280" i="3" l="1"/>
  <c r="I280" i="3"/>
  <c r="J280" i="3"/>
  <c r="M280" i="3"/>
  <c r="N280" i="3" s="1"/>
  <c r="F280" i="3"/>
  <c r="V280" i="3" l="1"/>
  <c r="W280" i="3" s="1"/>
  <c r="A281" i="3"/>
  <c r="B281" i="3" s="1"/>
  <c r="L280" i="3"/>
  <c r="AD281" i="3" l="1"/>
  <c r="AA281" i="3"/>
  <c r="Z281" i="3"/>
  <c r="AC281" i="3"/>
  <c r="P281" i="3"/>
  <c r="Q281" i="3" s="1"/>
  <c r="R281" i="3" s="1"/>
  <c r="S281" i="3" s="1"/>
  <c r="AE281" i="3"/>
  <c r="U280" i="3"/>
  <c r="Y279" i="3"/>
  <c r="T281" i="3" l="1"/>
  <c r="AG281" i="3" s="1"/>
  <c r="E281" i="3" l="1"/>
  <c r="H281" i="3" s="1"/>
  <c r="K281" i="3" s="1"/>
  <c r="AH281" i="3"/>
  <c r="D281" i="3"/>
  <c r="F281" i="3" l="1"/>
  <c r="G281" i="3"/>
  <c r="V281" i="3"/>
  <c r="A282" i="3"/>
  <c r="B282" i="3" s="1"/>
  <c r="P282" i="3" l="1"/>
  <c r="Q282" i="3" s="1"/>
  <c r="R282" i="3" s="1"/>
  <c r="S282" i="3" s="1"/>
  <c r="AD282" i="3"/>
  <c r="AA282" i="3"/>
  <c r="Z282" i="3"/>
  <c r="AE282" i="3"/>
  <c r="AC282" i="3"/>
  <c r="I281" i="3"/>
  <c r="W281" i="3" s="1"/>
  <c r="J281" i="3"/>
  <c r="M281" i="3"/>
  <c r="N281" i="3" s="1"/>
  <c r="L281" i="3" l="1"/>
  <c r="T282" i="3"/>
  <c r="AG282" i="3" l="1"/>
  <c r="U281" i="3"/>
  <c r="E282" i="3" s="1"/>
  <c r="H282" i="3" s="1"/>
  <c r="AH282" i="3"/>
  <c r="Y280" i="3"/>
  <c r="D282" i="3" l="1"/>
  <c r="F282" i="3" s="1"/>
  <c r="K282" i="3"/>
  <c r="G282" i="3" l="1"/>
  <c r="I282" i="3" s="1"/>
  <c r="V282" i="3"/>
  <c r="A283" i="3"/>
  <c r="B283" i="3" s="1"/>
  <c r="M282" i="3" l="1"/>
  <c r="N282" i="3" s="1"/>
  <c r="J282" i="3"/>
  <c r="W282" i="3"/>
  <c r="AC283" i="3"/>
  <c r="AD283" i="3"/>
  <c r="Z283" i="3"/>
  <c r="P283" i="3"/>
  <c r="Q283" i="3" s="1"/>
  <c r="R283" i="3" s="1"/>
  <c r="S283" i="3" s="1"/>
  <c r="AA283" i="3"/>
  <c r="AE283" i="3"/>
  <c r="L282" i="3"/>
  <c r="T283" i="3" l="1"/>
  <c r="AG283" i="3" s="1"/>
  <c r="U282" i="3"/>
  <c r="Y281" i="3"/>
  <c r="AH283" i="3" l="1"/>
  <c r="E283" i="3"/>
  <c r="H283" i="3" s="1"/>
  <c r="K283" i="3" s="1"/>
  <c r="D283" i="3"/>
  <c r="V283" i="3" l="1"/>
  <c r="A284" i="3"/>
  <c r="B284" i="3" s="1"/>
  <c r="F283" i="3"/>
  <c r="G283" i="3"/>
  <c r="AA284" i="3" l="1"/>
  <c r="P284" i="3"/>
  <c r="Q284" i="3" s="1"/>
  <c r="R284" i="3" s="1"/>
  <c r="S284" i="3" s="1"/>
  <c r="AC284" i="3"/>
  <c r="Z284" i="3"/>
  <c r="AE284" i="3"/>
  <c r="I283" i="3"/>
  <c r="W283" i="3" s="1"/>
  <c r="J283" i="3"/>
  <c r="M283" i="3"/>
  <c r="N283" i="3" s="1"/>
  <c r="L283" i="3" l="1"/>
  <c r="T284" i="3"/>
  <c r="AG284" i="3" l="1"/>
  <c r="U283" i="3"/>
  <c r="E284" i="3" s="1"/>
  <c r="H284" i="3" s="1"/>
  <c r="AH284" i="3"/>
  <c r="Y282" i="3"/>
  <c r="D284" i="3" l="1"/>
  <c r="F284" i="3" s="1"/>
  <c r="K284" i="3"/>
  <c r="G284" i="3" l="1"/>
  <c r="V284" i="3"/>
  <c r="A285" i="3"/>
  <c r="B285" i="3" s="1"/>
  <c r="I284" i="3"/>
  <c r="J284" i="3"/>
  <c r="M284" i="3"/>
  <c r="N284" i="3" s="1"/>
  <c r="AD285" i="3" l="1"/>
  <c r="AE285" i="3"/>
  <c r="P285" i="3"/>
  <c r="Q285" i="3" s="1"/>
  <c r="R285" i="3" s="1"/>
  <c r="S285" i="3" s="1"/>
  <c r="AA285" i="3"/>
  <c r="Z285" i="3"/>
  <c r="AC285" i="3"/>
  <c r="L284" i="3"/>
  <c r="AD284" i="3"/>
  <c r="W284" i="3"/>
  <c r="T285" i="3" l="1"/>
  <c r="AG285" i="3" s="1"/>
  <c r="AH285" i="3"/>
  <c r="U284" i="3"/>
  <c r="E285" i="3" s="1"/>
  <c r="H285" i="3" s="1"/>
  <c r="Y283" i="3"/>
  <c r="D285" i="3" l="1"/>
  <c r="G285" i="3" s="1"/>
  <c r="K285" i="3"/>
  <c r="F285" i="3" l="1"/>
  <c r="I285" i="3"/>
  <c r="J285" i="3"/>
  <c r="M285" i="3"/>
  <c r="N285" i="3" s="1"/>
  <c r="V285" i="3"/>
  <c r="A286" i="3"/>
  <c r="B286" i="3" s="1"/>
  <c r="W285" i="3" l="1"/>
  <c r="AE286" i="3"/>
  <c r="Z286" i="3"/>
  <c r="P286" i="3"/>
  <c r="Q286" i="3" s="1"/>
  <c r="R286" i="3" s="1"/>
  <c r="S286" i="3" s="1"/>
  <c r="AA286" i="3"/>
  <c r="AC286" i="3"/>
  <c r="AD286" i="3"/>
  <c r="L285" i="3"/>
  <c r="T286" i="3" l="1"/>
  <c r="AH286" i="3" s="1"/>
  <c r="U285" i="3"/>
  <c r="Y284" i="3"/>
  <c r="D286" i="3" l="1"/>
  <c r="G286" i="3" s="1"/>
  <c r="AG286" i="3"/>
  <c r="E286" i="3"/>
  <c r="H286" i="3" s="1"/>
  <c r="K286" i="3" s="1"/>
  <c r="F286" i="3" l="1"/>
  <c r="I286" i="3"/>
  <c r="J286" i="3"/>
  <c r="M286" i="3"/>
  <c r="N286" i="3" s="1"/>
  <c r="V286" i="3"/>
  <c r="A287" i="3"/>
  <c r="B287" i="3" s="1"/>
  <c r="W286" i="3" l="1"/>
  <c r="L286" i="3"/>
  <c r="P287" i="3"/>
  <c r="Q287" i="3" s="1"/>
  <c r="R287" i="3" s="1"/>
  <c r="S287" i="3" s="1"/>
  <c r="AA287" i="3"/>
  <c r="AC287" i="3"/>
  <c r="AD287" i="3"/>
  <c r="Z287" i="3"/>
  <c r="AE287" i="3"/>
  <c r="T287" i="3" l="1"/>
  <c r="AH287" i="3" s="1"/>
  <c r="U286" i="3"/>
  <c r="Y285" i="3"/>
  <c r="AG287" i="3" l="1"/>
  <c r="E287" i="3"/>
  <c r="H287" i="3" s="1"/>
  <c r="K287" i="3" s="1"/>
  <c r="D287" i="3"/>
  <c r="G287" i="3" s="1"/>
  <c r="F287" i="3" l="1"/>
  <c r="V287" i="3"/>
  <c r="A288" i="3"/>
  <c r="B288" i="3" s="1"/>
  <c r="I287" i="3"/>
  <c r="J287" i="3"/>
  <c r="M287" i="3"/>
  <c r="N287" i="3" s="1"/>
  <c r="W287" i="3" l="1"/>
  <c r="L287" i="3"/>
  <c r="Z288" i="3"/>
  <c r="AE288" i="3"/>
  <c r="AC288" i="3"/>
  <c r="AA288" i="3"/>
  <c r="P288" i="3"/>
  <c r="Q288" i="3" s="1"/>
  <c r="R288" i="3" s="1"/>
  <c r="S288" i="3" s="1"/>
  <c r="AD288" i="3"/>
  <c r="T288" i="3" l="1"/>
  <c r="AG288" i="3" s="1"/>
  <c r="U287" i="3"/>
  <c r="Y286" i="3"/>
  <c r="E288" i="3" l="1"/>
  <c r="H288" i="3" s="1"/>
  <c r="K288" i="3" s="1"/>
  <c r="AH288" i="3"/>
  <c r="D288" i="3"/>
  <c r="F288" i="3" s="1"/>
  <c r="G288" i="3" l="1"/>
  <c r="I288" i="3"/>
  <c r="J288" i="3"/>
  <c r="M288" i="3"/>
  <c r="N288" i="3" s="1"/>
  <c r="V288" i="3"/>
  <c r="A289" i="3"/>
  <c r="B289" i="3" s="1"/>
  <c r="W288" i="3" l="1"/>
  <c r="L288" i="3"/>
  <c r="AE289" i="3"/>
  <c r="AC289" i="3"/>
  <c r="P289" i="3"/>
  <c r="Q289" i="3" s="1"/>
  <c r="R289" i="3" s="1"/>
  <c r="S289" i="3" s="1"/>
  <c r="AA289" i="3"/>
  <c r="AD289" i="3"/>
  <c r="Z289" i="3"/>
  <c r="T289" i="3" l="1"/>
  <c r="AH289" i="3" s="1"/>
  <c r="U288" i="3"/>
  <c r="Y287" i="3"/>
  <c r="AG289" i="3" l="1"/>
  <c r="D289" i="3"/>
  <c r="G289" i="3" s="1"/>
  <c r="E289" i="3"/>
  <c r="H289" i="3" s="1"/>
  <c r="K289" i="3" s="1"/>
  <c r="F289" i="3" l="1"/>
  <c r="I289" i="3"/>
  <c r="J289" i="3"/>
  <c r="M289" i="3"/>
  <c r="N289" i="3" s="1"/>
  <c r="V289" i="3"/>
  <c r="A290" i="3"/>
  <c r="B290" i="3" s="1"/>
  <c r="W289" i="3" l="1"/>
  <c r="L289" i="3"/>
  <c r="AA290" i="3"/>
  <c r="Z290" i="3"/>
  <c r="AC290" i="3"/>
  <c r="P290" i="3"/>
  <c r="Q290" i="3" s="1"/>
  <c r="R290" i="3" s="1"/>
  <c r="S290" i="3" s="1"/>
  <c r="AD290" i="3"/>
  <c r="AE290" i="3"/>
  <c r="T290" i="3" l="1"/>
  <c r="AH290" i="3" s="1"/>
  <c r="U289" i="3"/>
  <c r="Y288" i="3"/>
  <c r="AG290" i="3" l="1"/>
  <c r="D290" i="3"/>
  <c r="G290" i="3" s="1"/>
  <c r="E290" i="3"/>
  <c r="H290" i="3" s="1"/>
  <c r="K290" i="3" s="1"/>
  <c r="F290" i="3" l="1"/>
  <c r="I290" i="3"/>
  <c r="J290" i="3"/>
  <c r="M290" i="3"/>
  <c r="N290" i="3" s="1"/>
  <c r="V290" i="3"/>
  <c r="A291" i="3"/>
  <c r="B291" i="3" s="1"/>
  <c r="W290" i="3" l="1"/>
  <c r="P291" i="3"/>
  <c r="Q291" i="3" s="1"/>
  <c r="R291" i="3" s="1"/>
  <c r="S291" i="3" s="1"/>
  <c r="AC291" i="3"/>
  <c r="AA291" i="3"/>
  <c r="AD291" i="3"/>
  <c r="AE291" i="3"/>
  <c r="Z291" i="3"/>
  <c r="L290" i="3"/>
  <c r="U290" i="3" l="1"/>
  <c r="Y289" i="3"/>
  <c r="T291" i="3"/>
  <c r="AG291" i="3" s="1"/>
  <c r="E291" i="3" l="1"/>
  <c r="H291" i="3" s="1"/>
  <c r="AH291" i="3"/>
  <c r="D291" i="3"/>
  <c r="F291" i="3" l="1"/>
  <c r="G291" i="3"/>
  <c r="K291" i="3"/>
  <c r="I291" i="3" l="1"/>
  <c r="J291" i="3"/>
  <c r="M291" i="3"/>
  <c r="N291" i="3" s="1"/>
  <c r="V291" i="3"/>
  <c r="A292" i="3"/>
  <c r="B292" i="3" s="1"/>
  <c r="W291" i="3" l="1"/>
  <c r="AD292" i="3"/>
  <c r="AC292" i="3"/>
  <c r="AA292" i="3"/>
  <c r="P292" i="3"/>
  <c r="Q292" i="3" s="1"/>
  <c r="R292" i="3" s="1"/>
  <c r="S292" i="3" s="1"/>
  <c r="Z292" i="3"/>
  <c r="AE292" i="3"/>
  <c r="L291" i="3"/>
  <c r="T292" i="3" l="1"/>
  <c r="AG292" i="3" s="1"/>
  <c r="U291" i="3"/>
  <c r="Y290" i="3"/>
  <c r="AH292" i="3" l="1"/>
  <c r="E292" i="3"/>
  <c r="H292" i="3" s="1"/>
  <c r="K292" i="3" s="1"/>
  <c r="D292" i="3"/>
  <c r="F292" i="3" l="1"/>
  <c r="G292" i="3"/>
  <c r="I292" i="3" s="1"/>
  <c r="V292" i="3"/>
  <c r="A293" i="3"/>
  <c r="B293" i="3" s="1"/>
  <c r="M292" i="3" l="1"/>
  <c r="N292" i="3" s="1"/>
  <c r="J292" i="3"/>
  <c r="L292" i="3" s="1"/>
  <c r="P293" i="3"/>
  <c r="Q293" i="3" s="1"/>
  <c r="R293" i="3" s="1"/>
  <c r="S293" i="3" s="1"/>
  <c r="AC293" i="3"/>
  <c r="AE293" i="3"/>
  <c r="AD293" i="3"/>
  <c r="Z293" i="3"/>
  <c r="AA293" i="3"/>
  <c r="W292" i="3"/>
  <c r="U292" i="3" l="1"/>
  <c r="Y291" i="3"/>
  <c r="T293" i="3"/>
  <c r="E293" i="3" l="1"/>
  <c r="H293" i="3" s="1"/>
  <c r="K293" i="3" s="1"/>
  <c r="AG293" i="3"/>
  <c r="D293" i="3"/>
  <c r="AH293" i="3"/>
  <c r="V293" i="3" l="1"/>
  <c r="A294" i="3"/>
  <c r="B294" i="3" s="1"/>
  <c r="F293" i="3"/>
  <c r="G293" i="3"/>
  <c r="I293" i="3" l="1"/>
  <c r="J293" i="3"/>
  <c r="M293" i="3"/>
  <c r="N293" i="3" s="1"/>
  <c r="Z294" i="3"/>
  <c r="AE294" i="3"/>
  <c r="AA294" i="3"/>
  <c r="P294" i="3"/>
  <c r="Q294" i="3" s="1"/>
  <c r="R294" i="3" s="1"/>
  <c r="S294" i="3" s="1"/>
  <c r="AC294" i="3"/>
  <c r="W293" i="3"/>
  <c r="T294" i="3" l="1"/>
  <c r="L293" i="3"/>
  <c r="AG294" i="3" l="1"/>
  <c r="U293" i="3"/>
  <c r="E294" i="3" s="1"/>
  <c r="H294" i="3" s="1"/>
  <c r="AH294" i="3"/>
  <c r="Y292" i="3"/>
  <c r="D294" i="3" l="1"/>
  <c r="G294" i="3" s="1"/>
  <c r="K294" i="3"/>
  <c r="F294" i="3" l="1"/>
  <c r="I294" i="3"/>
  <c r="J294" i="3"/>
  <c r="M294" i="3"/>
  <c r="N294" i="3" s="1"/>
  <c r="V294" i="3"/>
  <c r="A295" i="3"/>
  <c r="B295" i="3" s="1"/>
  <c r="W294" i="3" l="1"/>
  <c r="AD295" i="3"/>
  <c r="Z295" i="3"/>
  <c r="AC295" i="3"/>
  <c r="AA295" i="3"/>
  <c r="P295" i="3"/>
  <c r="Q295" i="3" s="1"/>
  <c r="R295" i="3" s="1"/>
  <c r="S295" i="3" s="1"/>
  <c r="AE295" i="3"/>
  <c r="L294" i="3"/>
  <c r="AD294" i="3"/>
  <c r="T295" i="3" l="1"/>
  <c r="AH295" i="3" s="1"/>
  <c r="U294" i="3"/>
  <c r="E295" i="3" s="1"/>
  <c r="H295" i="3" s="1"/>
  <c r="AG295" i="3"/>
  <c r="Y293" i="3"/>
  <c r="K295" i="3" l="1"/>
  <c r="D295" i="3"/>
  <c r="F295" i="3" l="1"/>
  <c r="G295" i="3"/>
  <c r="V295" i="3"/>
  <c r="A296" i="3"/>
  <c r="B296" i="3" s="1"/>
  <c r="Z296" i="3" l="1"/>
  <c r="AA296" i="3"/>
  <c r="AE296" i="3"/>
  <c r="P296" i="3"/>
  <c r="Q296" i="3" s="1"/>
  <c r="R296" i="3" s="1"/>
  <c r="S296" i="3" s="1"/>
  <c r="AC296" i="3"/>
  <c r="AD296" i="3"/>
  <c r="I295" i="3"/>
  <c r="W295" i="3" s="1"/>
  <c r="J295" i="3"/>
  <c r="M295" i="3"/>
  <c r="N295" i="3" s="1"/>
  <c r="L295" i="3" l="1"/>
  <c r="T296" i="3"/>
  <c r="AH296" i="3" l="1"/>
  <c r="AG296" i="3"/>
  <c r="U295" i="3"/>
  <c r="D296" i="3" s="1"/>
  <c r="Y294" i="3"/>
  <c r="E296" i="3" l="1"/>
  <c r="H296" i="3" s="1"/>
  <c r="K296" i="3" s="1"/>
  <c r="G296" i="3"/>
  <c r="F296" i="3" l="1"/>
  <c r="V296" i="3"/>
  <c r="A297" i="3"/>
  <c r="B297" i="3" s="1"/>
  <c r="I296" i="3"/>
  <c r="J296" i="3"/>
  <c r="M296" i="3"/>
  <c r="N296" i="3" s="1"/>
  <c r="L296" i="3" l="1"/>
  <c r="AE297" i="3"/>
  <c r="AC297" i="3"/>
  <c r="Z297" i="3"/>
  <c r="P297" i="3"/>
  <c r="Q297" i="3" s="1"/>
  <c r="R297" i="3" s="1"/>
  <c r="S297" i="3" s="1"/>
  <c r="AD297" i="3"/>
  <c r="AA297" i="3"/>
  <c r="W296" i="3"/>
  <c r="T297" i="3" l="1"/>
  <c r="AG297" i="3" s="1"/>
  <c r="U296" i="3"/>
  <c r="Y295" i="3"/>
  <c r="D297" i="3" l="1"/>
  <c r="G297" i="3" s="1"/>
  <c r="E297" i="3"/>
  <c r="H297" i="3" s="1"/>
  <c r="K297" i="3" s="1"/>
  <c r="AH297" i="3"/>
  <c r="F297" i="3" l="1"/>
  <c r="V297" i="3"/>
  <c r="A298" i="3"/>
  <c r="B298" i="3" s="1"/>
  <c r="I297" i="3"/>
  <c r="J297" i="3"/>
  <c r="M297" i="3"/>
  <c r="N297" i="3" s="1"/>
  <c r="AA298" i="3" l="1"/>
  <c r="AE298" i="3"/>
  <c r="AC298" i="3"/>
  <c r="AD298" i="3"/>
  <c r="Z298" i="3"/>
  <c r="P298" i="3"/>
  <c r="Q298" i="3" s="1"/>
  <c r="R298" i="3" s="1"/>
  <c r="S298" i="3" s="1"/>
  <c r="L297" i="3"/>
  <c r="W297" i="3"/>
  <c r="T298" i="3" l="1"/>
  <c r="AG298" i="3" s="1"/>
  <c r="U297" i="3"/>
  <c r="D298" i="3" s="1"/>
  <c r="Y296" i="3"/>
  <c r="AH298" i="3" l="1"/>
  <c r="E298" i="3"/>
  <c r="H298" i="3" s="1"/>
  <c r="K298" i="3" s="1"/>
  <c r="G298" i="3"/>
  <c r="F298" i="3" l="1"/>
  <c r="I298" i="3"/>
  <c r="J298" i="3"/>
  <c r="M298" i="3"/>
  <c r="N298" i="3" s="1"/>
  <c r="V298" i="3"/>
  <c r="A299" i="3"/>
  <c r="B299" i="3" s="1"/>
  <c r="W298" i="3" l="1"/>
  <c r="AE299" i="3"/>
  <c r="AC299" i="3"/>
  <c r="AA299" i="3"/>
  <c r="AD299" i="3"/>
  <c r="P299" i="3"/>
  <c r="Q299" i="3" s="1"/>
  <c r="R299" i="3" s="1"/>
  <c r="S299" i="3" s="1"/>
  <c r="Z299" i="3"/>
  <c r="L298" i="3"/>
  <c r="T299" i="3" l="1"/>
  <c r="AH299" i="3" s="1"/>
  <c r="U298" i="3"/>
  <c r="AG299" i="3"/>
  <c r="Y297" i="3"/>
  <c r="D299" i="3" l="1"/>
  <c r="G299" i="3" s="1"/>
  <c r="E299" i="3"/>
  <c r="H299" i="3" s="1"/>
  <c r="K299" i="3" s="1"/>
  <c r="F299" i="3" l="1"/>
  <c r="I299" i="3"/>
  <c r="J299" i="3"/>
  <c r="M299" i="3"/>
  <c r="N299" i="3" s="1"/>
  <c r="V299" i="3"/>
  <c r="A300" i="3"/>
  <c r="B300" i="3" s="1"/>
  <c r="W299" i="3" l="1"/>
  <c r="AD300" i="3"/>
  <c r="Z300" i="3"/>
  <c r="P300" i="3"/>
  <c r="Q300" i="3" s="1"/>
  <c r="R300" i="3" s="1"/>
  <c r="S300" i="3" s="1"/>
  <c r="AC300" i="3"/>
  <c r="AE300" i="3"/>
  <c r="AA300" i="3"/>
  <c r="L299" i="3"/>
  <c r="T300" i="3" l="1"/>
  <c r="AH300" i="3" s="1"/>
  <c r="U299" i="3"/>
  <c r="Y298" i="3"/>
  <c r="D300" i="3" l="1"/>
  <c r="G300" i="3" s="1"/>
  <c r="AG300" i="3"/>
  <c r="E300" i="3"/>
  <c r="H300" i="3" s="1"/>
  <c r="K300" i="3" s="1"/>
  <c r="F300" i="3" l="1"/>
  <c r="I300" i="3"/>
  <c r="J300" i="3"/>
  <c r="M300" i="3"/>
  <c r="N300" i="3" s="1"/>
  <c r="V300" i="3"/>
  <c r="A301" i="3"/>
  <c r="B301" i="3" s="1"/>
  <c r="W300" i="3" l="1"/>
  <c r="Z301" i="3"/>
  <c r="AE301" i="3"/>
  <c r="P301" i="3"/>
  <c r="Q301" i="3" s="1"/>
  <c r="R301" i="3" s="1"/>
  <c r="S301" i="3" s="1"/>
  <c r="AC301" i="3"/>
  <c r="AD301" i="3"/>
  <c r="AA301" i="3"/>
  <c r="L300" i="3"/>
  <c r="U300" i="3" l="1"/>
  <c r="Y299" i="3"/>
  <c r="T301" i="3"/>
  <c r="E301" i="3" l="1"/>
  <c r="H301" i="3" s="1"/>
  <c r="K301" i="3" s="1"/>
  <c r="D301" i="3"/>
  <c r="AH301" i="3"/>
  <c r="AG301" i="3"/>
  <c r="F301" i="3" l="1"/>
  <c r="G301" i="3"/>
  <c r="V301" i="3"/>
  <c r="A302" i="3"/>
  <c r="B302" i="3" s="1"/>
  <c r="AD302" i="3" l="1"/>
  <c r="AE302" i="3"/>
  <c r="Z302" i="3"/>
  <c r="AA302" i="3"/>
  <c r="P302" i="3"/>
  <c r="Q302" i="3" s="1"/>
  <c r="R302" i="3" s="1"/>
  <c r="S302" i="3" s="1"/>
  <c r="AC302" i="3"/>
  <c r="I301" i="3"/>
  <c r="W301" i="3" s="1"/>
  <c r="J301" i="3"/>
  <c r="M301" i="3"/>
  <c r="N301" i="3" s="1"/>
  <c r="T302" i="3" l="1"/>
  <c r="L301" i="3"/>
  <c r="AH302" i="3" l="1"/>
  <c r="U301" i="3"/>
  <c r="E302" i="3" s="1"/>
  <c r="H302" i="3" s="1"/>
  <c r="AG302" i="3"/>
  <c r="Y300" i="3"/>
  <c r="D302" i="3" l="1"/>
  <c r="F302" i="3" s="1"/>
  <c r="K302" i="3"/>
  <c r="G302" i="3" l="1"/>
  <c r="I302" i="3" s="1"/>
  <c r="V302" i="3"/>
  <c r="A303" i="3"/>
  <c r="B303" i="3" s="1"/>
  <c r="M302" i="3" l="1"/>
  <c r="N302" i="3" s="1"/>
  <c r="J302" i="3"/>
  <c r="W302" i="3"/>
  <c r="AA303" i="3"/>
  <c r="AE303" i="3"/>
  <c r="P303" i="3"/>
  <c r="Q303" i="3" s="1"/>
  <c r="R303" i="3" s="1"/>
  <c r="S303" i="3" s="1"/>
  <c r="AD303" i="3"/>
  <c r="AC303" i="3"/>
  <c r="Z303" i="3"/>
  <c r="L302" i="3"/>
  <c r="T303" i="3" l="1"/>
  <c r="AH303" i="3" s="1"/>
  <c r="U302" i="3"/>
  <c r="Y301" i="3"/>
  <c r="AG303" i="3" l="1"/>
  <c r="D303" i="3"/>
  <c r="G303" i="3" s="1"/>
  <c r="E303" i="3"/>
  <c r="H303" i="3" s="1"/>
  <c r="K303" i="3" l="1"/>
  <c r="I303" i="3"/>
  <c r="J303" i="3"/>
  <c r="M303" i="3"/>
  <c r="N303" i="3" s="1"/>
  <c r="F303" i="3"/>
  <c r="V303" i="3" l="1"/>
  <c r="W303" i="3" s="1"/>
  <c r="A304" i="3"/>
  <c r="B304" i="3" s="1"/>
  <c r="L303" i="3"/>
  <c r="U303" i="3" l="1"/>
  <c r="Y302" i="3"/>
  <c r="P304" i="3"/>
  <c r="Q304" i="3" s="1"/>
  <c r="R304" i="3" s="1"/>
  <c r="S304" i="3" s="1"/>
  <c r="Z304" i="3"/>
  <c r="AE304" i="3"/>
  <c r="AA304" i="3"/>
  <c r="AC304" i="3"/>
  <c r="T304" i="3" l="1"/>
  <c r="AH304" i="3" s="1"/>
  <c r="D304" i="3" l="1"/>
  <c r="G304" i="3" s="1"/>
  <c r="E304" i="3"/>
  <c r="H304" i="3" s="1"/>
  <c r="K304" i="3" s="1"/>
  <c r="AG304" i="3"/>
  <c r="F304" i="3" l="1"/>
  <c r="V304" i="3"/>
  <c r="A305" i="3"/>
  <c r="B305" i="3" s="1"/>
  <c r="I304" i="3"/>
  <c r="J304" i="3"/>
  <c r="M304" i="3"/>
  <c r="N304" i="3" s="1"/>
  <c r="AD305" i="3" l="1"/>
  <c r="AE305" i="3"/>
  <c r="Z305" i="3"/>
  <c r="AA305" i="3"/>
  <c r="AC305" i="3"/>
  <c r="P305" i="3"/>
  <c r="Q305" i="3" s="1"/>
  <c r="R305" i="3" s="1"/>
  <c r="S305" i="3" s="1"/>
  <c r="L304" i="3"/>
  <c r="AD304" i="3"/>
  <c r="W304" i="3"/>
  <c r="T305" i="3" l="1"/>
  <c r="U304" i="3"/>
  <c r="E305" i="3" s="1"/>
  <c r="H305" i="3" s="1"/>
  <c r="AG305" i="3"/>
  <c r="AH305" i="3"/>
  <c r="Y303" i="3"/>
  <c r="D305" i="3" l="1"/>
  <c r="F305" i="3" s="1"/>
  <c r="K305" i="3"/>
  <c r="G305" i="3" l="1"/>
  <c r="V305" i="3"/>
  <c r="A306" i="3"/>
  <c r="B306" i="3" s="1"/>
  <c r="I305" i="3"/>
  <c r="J305" i="3"/>
  <c r="M305" i="3"/>
  <c r="N305" i="3" s="1"/>
  <c r="W305" i="3" l="1"/>
  <c r="AC306" i="3"/>
  <c r="AE306" i="3"/>
  <c r="AA306" i="3"/>
  <c r="AD306" i="3"/>
  <c r="P306" i="3"/>
  <c r="Q306" i="3" s="1"/>
  <c r="R306" i="3" s="1"/>
  <c r="S306" i="3" s="1"/>
  <c r="Z306" i="3"/>
  <c r="L305" i="3"/>
  <c r="T306" i="3" l="1"/>
  <c r="AH306" i="3" s="1"/>
  <c r="U305" i="3"/>
  <c r="Y304" i="3"/>
  <c r="E306" i="3" l="1"/>
  <c r="H306" i="3" s="1"/>
  <c r="K306" i="3" s="1"/>
  <c r="AG306" i="3"/>
  <c r="D306" i="3"/>
  <c r="G306" i="3" s="1"/>
  <c r="F306" i="3" l="1"/>
  <c r="V306" i="3"/>
  <c r="A307" i="3"/>
  <c r="B307" i="3" s="1"/>
  <c r="I306" i="3"/>
  <c r="J306" i="3"/>
  <c r="M306" i="3"/>
  <c r="N306" i="3" s="1"/>
  <c r="L306" i="3" l="1"/>
  <c r="W306" i="3"/>
  <c r="AC307" i="3"/>
  <c r="AE307" i="3"/>
  <c r="Z307" i="3"/>
  <c r="AD307" i="3"/>
  <c r="AA307" i="3"/>
  <c r="P307" i="3"/>
  <c r="Q307" i="3" s="1"/>
  <c r="R307" i="3" s="1"/>
  <c r="S307" i="3" s="1"/>
  <c r="T307" i="3" l="1"/>
  <c r="AH307" i="3" s="1"/>
  <c r="U306" i="3"/>
  <c r="Y305" i="3"/>
  <c r="AG307" i="3" l="1"/>
  <c r="D307" i="3"/>
  <c r="G307" i="3" s="1"/>
  <c r="E307" i="3"/>
  <c r="H307" i="3" s="1"/>
  <c r="K307" i="3" s="1"/>
  <c r="F307" i="3" l="1"/>
  <c r="I307" i="3"/>
  <c r="J307" i="3"/>
  <c r="M307" i="3"/>
  <c r="N307" i="3" s="1"/>
  <c r="V307" i="3"/>
  <c r="A308" i="3"/>
  <c r="B308" i="3" s="1"/>
  <c r="W307" i="3" l="1"/>
  <c r="P308" i="3"/>
  <c r="Q308" i="3" s="1"/>
  <c r="R308" i="3" s="1"/>
  <c r="S308" i="3" s="1"/>
  <c r="AD308" i="3"/>
  <c r="AE308" i="3"/>
  <c r="Z308" i="3"/>
  <c r="AC308" i="3"/>
  <c r="AA308" i="3"/>
  <c r="L307" i="3"/>
  <c r="U307" i="3" l="1"/>
  <c r="Y306" i="3"/>
  <c r="T308" i="3"/>
  <c r="E308" i="3" l="1"/>
  <c r="H308" i="3" s="1"/>
  <c r="K308" i="3" s="1"/>
  <c r="AG308" i="3"/>
  <c r="AH308" i="3"/>
  <c r="D308" i="3"/>
  <c r="F308" i="3" s="1"/>
  <c r="G308" i="3" l="1"/>
  <c r="M308" i="3" s="1"/>
  <c r="N308" i="3" s="1"/>
  <c r="V308" i="3"/>
  <c r="A309" i="3"/>
  <c r="B309" i="3" s="1"/>
  <c r="J308" i="3" l="1"/>
  <c r="I308" i="3"/>
  <c r="Z309" i="3"/>
  <c r="P309" i="3"/>
  <c r="Q309" i="3" s="1"/>
  <c r="R309" i="3" s="1"/>
  <c r="S309" i="3" s="1"/>
  <c r="AC309" i="3"/>
  <c r="AA309" i="3"/>
  <c r="AD309" i="3"/>
  <c r="AE309" i="3"/>
  <c r="L308" i="3"/>
  <c r="W308" i="3"/>
  <c r="T309" i="3" l="1"/>
  <c r="AH309" i="3" s="1"/>
  <c r="U308" i="3"/>
  <c r="D309" i="3" s="1"/>
  <c r="Y307" i="3"/>
  <c r="AG309" i="3" l="1"/>
  <c r="E309" i="3"/>
  <c r="H309" i="3" s="1"/>
  <c r="K309" i="3" s="1"/>
  <c r="G309" i="3"/>
  <c r="F309" i="3" l="1"/>
  <c r="I309" i="3"/>
  <c r="J309" i="3"/>
  <c r="M309" i="3"/>
  <c r="N309" i="3" s="1"/>
  <c r="V309" i="3"/>
  <c r="A310" i="3"/>
  <c r="B310" i="3" s="1"/>
  <c r="W309" i="3" l="1"/>
  <c r="P310" i="3"/>
  <c r="Q310" i="3" s="1"/>
  <c r="R310" i="3" s="1"/>
  <c r="S310" i="3" s="1"/>
  <c r="AA310" i="3"/>
  <c r="AC310" i="3"/>
  <c r="Z310" i="3"/>
  <c r="AE310" i="3"/>
  <c r="AD310" i="3"/>
  <c r="L309" i="3"/>
  <c r="U309" i="3" l="1"/>
  <c r="Y308" i="3"/>
  <c r="T310" i="3"/>
  <c r="AG310" i="3" s="1"/>
  <c r="AH310" i="3" l="1"/>
  <c r="D310" i="3"/>
  <c r="G310" i="3" s="1"/>
  <c r="E310" i="3"/>
  <c r="H310" i="3" s="1"/>
  <c r="K310" i="3" l="1"/>
  <c r="I310" i="3"/>
  <c r="J310" i="3"/>
  <c r="M310" i="3"/>
  <c r="N310" i="3" s="1"/>
  <c r="F310" i="3"/>
  <c r="V310" i="3" l="1"/>
  <c r="W310" i="3" s="1"/>
  <c r="A311" i="3"/>
  <c r="B311" i="3" s="1"/>
  <c r="L310" i="3"/>
  <c r="AC311" i="3" l="1"/>
  <c r="AA311" i="3"/>
  <c r="P311" i="3"/>
  <c r="Q311" i="3" s="1"/>
  <c r="R311" i="3" s="1"/>
  <c r="S311" i="3" s="1"/>
  <c r="AE311" i="3"/>
  <c r="Z311" i="3"/>
  <c r="AD311" i="3"/>
  <c r="U310" i="3"/>
  <c r="Y309" i="3"/>
  <c r="T311" i="3" l="1"/>
  <c r="AG311" i="3" s="1"/>
  <c r="E311" i="3" l="1"/>
  <c r="H311" i="3" s="1"/>
  <c r="K311" i="3" s="1"/>
  <c r="D311" i="3"/>
  <c r="AH311" i="3"/>
  <c r="F311" i="3" l="1"/>
  <c r="G311" i="3"/>
  <c r="M311" i="3" s="1"/>
  <c r="N311" i="3" s="1"/>
  <c r="V311" i="3"/>
  <c r="A312" i="3"/>
  <c r="B312" i="3" s="1"/>
  <c r="I311" i="3" l="1"/>
  <c r="W311" i="3" s="1"/>
  <c r="J311" i="3"/>
  <c r="L311" i="3" s="1"/>
  <c r="Z312" i="3"/>
  <c r="AE312" i="3"/>
  <c r="AC312" i="3"/>
  <c r="P312" i="3"/>
  <c r="Q312" i="3" s="1"/>
  <c r="R312" i="3" s="1"/>
  <c r="S312" i="3" s="1"/>
  <c r="AA312" i="3"/>
  <c r="AD312" i="3"/>
  <c r="T312" i="3" l="1"/>
  <c r="AH312" i="3" s="1"/>
  <c r="U311" i="3"/>
  <c r="Y310" i="3"/>
  <c r="D312" i="3" l="1"/>
  <c r="G312" i="3" s="1"/>
  <c r="AG312" i="3"/>
  <c r="E312" i="3"/>
  <c r="H312" i="3" s="1"/>
  <c r="K312" i="3" l="1"/>
  <c r="I312" i="3"/>
  <c r="J312" i="3"/>
  <c r="M312" i="3"/>
  <c r="N312" i="3" s="1"/>
  <c r="F312" i="3"/>
  <c r="V312" i="3" l="1"/>
  <c r="W312" i="3" s="1"/>
  <c r="A313" i="3"/>
  <c r="B313" i="3" s="1"/>
  <c r="L312" i="3"/>
  <c r="AC313" i="3" l="1"/>
  <c r="AE313" i="3"/>
  <c r="AA313" i="3"/>
  <c r="P313" i="3"/>
  <c r="Q313" i="3" s="1"/>
  <c r="R313" i="3" s="1"/>
  <c r="S313" i="3" s="1"/>
  <c r="AD313" i="3"/>
  <c r="Z313" i="3"/>
  <c r="U312" i="3"/>
  <c r="Y311" i="3"/>
  <c r="T313" i="3" l="1"/>
  <c r="E313" i="3" s="1"/>
  <c r="H313" i="3" s="1"/>
  <c r="K313" i="3" l="1"/>
  <c r="AH313" i="3"/>
  <c r="D313" i="3"/>
  <c r="AG313" i="3"/>
  <c r="V313" i="3" l="1"/>
  <c r="A314" i="3"/>
  <c r="B314" i="3" s="1"/>
  <c r="F313" i="3"/>
  <c r="G313" i="3"/>
  <c r="AC314" i="3" l="1"/>
  <c r="AA314" i="3"/>
  <c r="P314" i="3"/>
  <c r="Q314" i="3" s="1"/>
  <c r="R314" i="3" s="1"/>
  <c r="S314" i="3" s="1"/>
  <c r="AE314" i="3"/>
  <c r="Z314" i="3"/>
  <c r="I313" i="3"/>
  <c r="W313" i="3" s="1"/>
  <c r="J313" i="3"/>
  <c r="M313" i="3"/>
  <c r="N313" i="3" s="1"/>
  <c r="L313" i="3" l="1"/>
  <c r="T314" i="3"/>
  <c r="U313" i="3" l="1"/>
  <c r="D314" i="3" s="1"/>
  <c r="AH314" i="3"/>
  <c r="AG314" i="3"/>
  <c r="Y312" i="3"/>
  <c r="E314" i="3" l="1"/>
  <c r="H314" i="3" s="1"/>
  <c r="K314" i="3" s="1"/>
  <c r="G314" i="3"/>
  <c r="F314" i="3" l="1"/>
  <c r="V314" i="3"/>
  <c r="A315" i="3"/>
  <c r="B315" i="3" s="1"/>
  <c r="I314" i="3"/>
  <c r="J314" i="3"/>
  <c r="M314" i="3"/>
  <c r="N314" i="3" s="1"/>
  <c r="L314" i="3" l="1"/>
  <c r="AD314" i="3"/>
  <c r="AD315" i="3"/>
  <c r="Z315" i="3"/>
  <c r="P315" i="3"/>
  <c r="Q315" i="3" s="1"/>
  <c r="R315" i="3" s="1"/>
  <c r="S315" i="3" s="1"/>
  <c r="AC315" i="3"/>
  <c r="AA315" i="3"/>
  <c r="AE315" i="3"/>
  <c r="W314" i="3"/>
  <c r="T315" i="3" l="1"/>
  <c r="AG315" i="3" s="1"/>
  <c r="U314" i="3"/>
  <c r="Y313" i="3"/>
  <c r="D315" i="3" l="1"/>
  <c r="G315" i="3" s="1"/>
  <c r="AH315" i="3"/>
  <c r="E315" i="3"/>
  <c r="H315" i="3" s="1"/>
  <c r="K315" i="3" l="1"/>
  <c r="I315" i="3"/>
  <c r="J315" i="3"/>
  <c r="M315" i="3"/>
  <c r="N315" i="3" s="1"/>
  <c r="F315" i="3"/>
  <c r="V315" i="3" l="1"/>
  <c r="W315" i="3" s="1"/>
  <c r="A316" i="3"/>
  <c r="B316" i="3" s="1"/>
  <c r="L315" i="3"/>
  <c r="AC316" i="3" l="1"/>
  <c r="P316" i="3"/>
  <c r="Q316" i="3" s="1"/>
  <c r="R316" i="3" s="1"/>
  <c r="S316" i="3" s="1"/>
  <c r="AA316" i="3"/>
  <c r="AD316" i="3"/>
  <c r="Z316" i="3"/>
  <c r="AE316" i="3"/>
  <c r="U315" i="3"/>
  <c r="Y314" i="3"/>
  <c r="T316" i="3" l="1"/>
  <c r="AG316" i="3" s="1"/>
  <c r="E316" i="3" l="1"/>
  <c r="H316" i="3" s="1"/>
  <c r="K316" i="3" s="1"/>
  <c r="AH316" i="3"/>
  <c r="D316" i="3"/>
  <c r="V316" i="3" l="1"/>
  <c r="A317" i="3"/>
  <c r="B317" i="3" s="1"/>
  <c r="F316" i="3"/>
  <c r="G316" i="3"/>
  <c r="AE317" i="3" l="1"/>
  <c r="P317" i="3"/>
  <c r="Q317" i="3" s="1"/>
  <c r="R317" i="3" s="1"/>
  <c r="S317" i="3" s="1"/>
  <c r="Z317" i="3"/>
  <c r="AC317" i="3"/>
  <c r="AA317" i="3"/>
  <c r="AD317" i="3"/>
  <c r="I316" i="3"/>
  <c r="W316" i="3" s="1"/>
  <c r="J316" i="3"/>
  <c r="M316" i="3"/>
  <c r="N316" i="3" s="1"/>
  <c r="L316" i="3" l="1"/>
  <c r="T317" i="3"/>
  <c r="U316" i="3" l="1"/>
  <c r="E317" i="3" s="1"/>
  <c r="H317" i="3" s="1"/>
  <c r="AH317" i="3"/>
  <c r="AG317" i="3"/>
  <c r="Y315" i="3"/>
  <c r="D317" i="3" l="1"/>
  <c r="F317" i="3" s="1"/>
  <c r="K317" i="3"/>
  <c r="G317" i="3" l="1"/>
  <c r="I317" i="3" s="1"/>
  <c r="V317" i="3"/>
  <c r="A318" i="3"/>
  <c r="B318" i="3" s="1"/>
  <c r="M317" i="3" l="1"/>
  <c r="N317" i="3" s="1"/>
  <c r="J317" i="3"/>
  <c r="W317" i="3"/>
  <c r="P318" i="3"/>
  <c r="Q318" i="3" s="1"/>
  <c r="R318" i="3" s="1"/>
  <c r="S318" i="3" s="1"/>
  <c r="Z318" i="3"/>
  <c r="AD318" i="3"/>
  <c r="AA318" i="3"/>
  <c r="AE318" i="3"/>
  <c r="AC318" i="3"/>
  <c r="L317" i="3"/>
  <c r="U317" i="3" l="1"/>
  <c r="Y316" i="3"/>
  <c r="T318" i="3"/>
  <c r="D318" i="3" l="1"/>
  <c r="G318" i="3" s="1"/>
  <c r="AG318" i="3"/>
  <c r="E318" i="3"/>
  <c r="H318" i="3" s="1"/>
  <c r="AH318" i="3"/>
  <c r="K318" i="3" l="1"/>
  <c r="I318" i="3"/>
  <c r="J318" i="3"/>
  <c r="M318" i="3"/>
  <c r="N318" i="3" s="1"/>
  <c r="F318" i="3"/>
  <c r="V318" i="3" l="1"/>
  <c r="W318" i="3" s="1"/>
  <c r="A319" i="3"/>
  <c r="B319" i="3" s="1"/>
  <c r="L318" i="3"/>
  <c r="U318" i="3" l="1"/>
  <c r="Y317" i="3"/>
  <c r="AC319" i="3"/>
  <c r="P319" i="3"/>
  <c r="Q319" i="3" s="1"/>
  <c r="R319" i="3" s="1"/>
  <c r="S319" i="3" s="1"/>
  <c r="AE319" i="3"/>
  <c r="AA319" i="3"/>
  <c r="AD319" i="3"/>
  <c r="Z319" i="3"/>
  <c r="T319" i="3" l="1"/>
  <c r="E319" i="3" s="1"/>
  <c r="H319" i="3" s="1"/>
  <c r="K319" i="3" l="1"/>
  <c r="D319" i="3"/>
  <c r="AG319" i="3"/>
  <c r="AH319" i="3"/>
  <c r="F319" i="3" l="1"/>
  <c r="G319" i="3"/>
  <c r="V319" i="3"/>
  <c r="A320" i="3"/>
  <c r="B320" i="3" s="1"/>
  <c r="AA320" i="3" l="1"/>
  <c r="AC320" i="3"/>
  <c r="P320" i="3"/>
  <c r="Q320" i="3" s="1"/>
  <c r="R320" i="3" s="1"/>
  <c r="S320" i="3" s="1"/>
  <c r="AE320" i="3"/>
  <c r="Z320" i="3"/>
  <c r="AD320" i="3"/>
  <c r="I319" i="3"/>
  <c r="W319" i="3" s="1"/>
  <c r="J319" i="3"/>
  <c r="M319" i="3"/>
  <c r="N319" i="3" s="1"/>
  <c r="L319" i="3" l="1"/>
  <c r="T320" i="3"/>
  <c r="AG320" i="3" l="1"/>
  <c r="AH320" i="3"/>
  <c r="U319" i="3"/>
  <c r="D320" i="3" s="1"/>
  <c r="Y318" i="3"/>
  <c r="E320" i="3" l="1"/>
  <c r="H320" i="3" s="1"/>
  <c r="K320" i="3" s="1"/>
  <c r="G320" i="3"/>
  <c r="F320" i="3" l="1"/>
  <c r="V320" i="3"/>
  <c r="A321" i="3"/>
  <c r="B321" i="3" s="1"/>
  <c r="I320" i="3"/>
  <c r="J320" i="3"/>
  <c r="M320" i="3"/>
  <c r="N320" i="3" s="1"/>
  <c r="W320" i="3" l="1"/>
  <c r="P321" i="3"/>
  <c r="Q321" i="3" s="1"/>
  <c r="R321" i="3" s="1"/>
  <c r="S321" i="3" s="1"/>
  <c r="AE321" i="3"/>
  <c r="AC321" i="3"/>
  <c r="AD321" i="3"/>
  <c r="Z321" i="3"/>
  <c r="AA321" i="3"/>
  <c r="L320" i="3"/>
  <c r="U320" i="3" l="1"/>
  <c r="Y319" i="3"/>
  <c r="T321" i="3"/>
  <c r="AH321" i="3" s="1"/>
  <c r="E321" i="3" l="1"/>
  <c r="H321" i="3" s="1"/>
  <c r="AG321" i="3"/>
  <c r="D321" i="3"/>
  <c r="F321" i="3" l="1"/>
  <c r="G321" i="3"/>
  <c r="K321" i="3"/>
  <c r="I321" i="3" l="1"/>
  <c r="J321" i="3"/>
  <c r="M321" i="3"/>
  <c r="N321" i="3" s="1"/>
  <c r="V321" i="3"/>
  <c r="A322" i="3"/>
  <c r="B322" i="3" s="1"/>
  <c r="W321" i="3" l="1"/>
  <c r="L321" i="3"/>
  <c r="P322" i="3"/>
  <c r="Q322" i="3" s="1"/>
  <c r="R322" i="3" s="1"/>
  <c r="S322" i="3" s="1"/>
  <c r="AA322" i="3"/>
  <c r="Z322" i="3"/>
  <c r="AD322" i="3"/>
  <c r="AE322" i="3"/>
  <c r="AC322" i="3"/>
  <c r="T322" i="3" l="1"/>
  <c r="AH322" i="3" s="1"/>
  <c r="U321" i="3"/>
  <c r="Y320" i="3"/>
  <c r="AG322" i="3" l="1"/>
  <c r="E322" i="3"/>
  <c r="H322" i="3" s="1"/>
  <c r="K322" i="3" s="1"/>
  <c r="D322" i="3"/>
  <c r="V322" i="3" l="1"/>
  <c r="A323" i="3"/>
  <c r="B323" i="3" s="1"/>
  <c r="F322" i="3"/>
  <c r="G322" i="3"/>
  <c r="AA323" i="3" l="1"/>
  <c r="AE323" i="3"/>
  <c r="AD323" i="3"/>
  <c r="P323" i="3"/>
  <c r="Q323" i="3" s="1"/>
  <c r="R323" i="3" s="1"/>
  <c r="S323" i="3" s="1"/>
  <c r="AC323" i="3"/>
  <c r="Z323" i="3"/>
  <c r="I322" i="3"/>
  <c r="W322" i="3" s="1"/>
  <c r="J322" i="3"/>
  <c r="M322" i="3"/>
  <c r="N322" i="3" s="1"/>
  <c r="L322" i="3" l="1"/>
  <c r="T323" i="3"/>
  <c r="AH323" i="3" l="1"/>
  <c r="AG323" i="3"/>
  <c r="U322" i="3"/>
  <c r="E323" i="3" s="1"/>
  <c r="H323" i="3" s="1"/>
  <c r="Y321" i="3"/>
  <c r="K323" i="3" l="1"/>
  <c r="D323" i="3"/>
  <c r="V323" i="3" l="1"/>
  <c r="A324" i="3"/>
  <c r="B324" i="3" s="1"/>
  <c r="F323" i="3"/>
  <c r="G323" i="3"/>
  <c r="AA324" i="3" l="1"/>
  <c r="AE324" i="3"/>
  <c r="Z324" i="3"/>
  <c r="P324" i="3"/>
  <c r="Q324" i="3" s="1"/>
  <c r="R324" i="3" s="1"/>
  <c r="S324" i="3" s="1"/>
  <c r="AC324" i="3"/>
  <c r="I323" i="3"/>
  <c r="W323" i="3" s="1"/>
  <c r="J323" i="3"/>
  <c r="M323" i="3"/>
  <c r="N323" i="3" s="1"/>
  <c r="L323" i="3" l="1"/>
  <c r="T324" i="3"/>
  <c r="AH324" i="3" l="1"/>
  <c r="U323" i="3"/>
  <c r="E324" i="3" s="1"/>
  <c r="H324" i="3" s="1"/>
  <c r="AG324" i="3"/>
  <c r="Y322" i="3"/>
  <c r="D324" i="3" l="1"/>
  <c r="F324" i="3" s="1"/>
  <c r="K324" i="3"/>
  <c r="G324" i="3" l="1"/>
  <c r="I324" i="3" s="1"/>
  <c r="V324" i="3"/>
  <c r="A325" i="3"/>
  <c r="B325" i="3" s="1"/>
  <c r="J324" i="3" l="1"/>
  <c r="AD324" i="3" s="1"/>
  <c r="M324" i="3"/>
  <c r="N324" i="3" s="1"/>
  <c r="AA325" i="3"/>
  <c r="AE325" i="3"/>
  <c r="Z325" i="3"/>
  <c r="P325" i="3"/>
  <c r="Q325" i="3" s="1"/>
  <c r="R325" i="3" s="1"/>
  <c r="S325" i="3" s="1"/>
  <c r="AC325" i="3"/>
  <c r="AD325" i="3"/>
  <c r="L324" i="3"/>
  <c r="W324" i="3"/>
  <c r="T325" i="3" l="1"/>
  <c r="AG325" i="3" s="1"/>
  <c r="U324" i="3"/>
  <c r="Y323" i="3"/>
  <c r="AH325" i="3" l="1"/>
  <c r="E325" i="3"/>
  <c r="H325" i="3" s="1"/>
  <c r="K325" i="3" s="1"/>
  <c r="D325" i="3"/>
  <c r="F325" i="3" l="1"/>
  <c r="G325" i="3"/>
  <c r="V325" i="3"/>
  <c r="A326" i="3"/>
  <c r="B326" i="3" s="1"/>
  <c r="P326" i="3" l="1"/>
  <c r="Q326" i="3" s="1"/>
  <c r="R326" i="3" s="1"/>
  <c r="S326" i="3" s="1"/>
  <c r="AC326" i="3"/>
  <c r="Z326" i="3"/>
  <c r="AD326" i="3"/>
  <c r="AE326" i="3"/>
  <c r="AA326" i="3"/>
  <c r="I325" i="3"/>
  <c r="W325" i="3" s="1"/>
  <c r="J325" i="3"/>
  <c r="M325" i="3"/>
  <c r="N325" i="3" s="1"/>
  <c r="L325" i="3" l="1"/>
  <c r="T326" i="3"/>
  <c r="AG326" i="3" l="1"/>
  <c r="U325" i="3"/>
  <c r="D326" i="3" s="1"/>
  <c r="AH326" i="3"/>
  <c r="Y324" i="3"/>
  <c r="E326" i="3" l="1"/>
  <c r="H326" i="3" s="1"/>
  <c r="K326" i="3" s="1"/>
  <c r="G326" i="3"/>
  <c r="F326" i="3" l="1"/>
  <c r="I326" i="3"/>
  <c r="J326" i="3"/>
  <c r="M326" i="3"/>
  <c r="N326" i="3" s="1"/>
  <c r="V326" i="3"/>
  <c r="A327" i="3"/>
  <c r="B327" i="3" s="1"/>
  <c r="W326" i="3" l="1"/>
  <c r="L326" i="3"/>
  <c r="AC327" i="3"/>
  <c r="P327" i="3"/>
  <c r="Q327" i="3" s="1"/>
  <c r="R327" i="3" s="1"/>
  <c r="S327" i="3" s="1"/>
  <c r="AE327" i="3"/>
  <c r="AD327" i="3"/>
  <c r="Z327" i="3"/>
  <c r="AA327" i="3"/>
  <c r="T327" i="3" l="1"/>
  <c r="AG327" i="3" s="1"/>
  <c r="U326" i="3"/>
  <c r="Y325" i="3"/>
  <c r="AH327" i="3" l="1"/>
  <c r="D327" i="3"/>
  <c r="G327" i="3" s="1"/>
  <c r="E327" i="3"/>
  <c r="H327" i="3" s="1"/>
  <c r="K327" i="3" s="1"/>
  <c r="F327" i="3" l="1"/>
  <c r="I327" i="3"/>
  <c r="J327" i="3"/>
  <c r="M327" i="3"/>
  <c r="N327" i="3" s="1"/>
  <c r="V327" i="3"/>
  <c r="A328" i="3"/>
  <c r="B328" i="3" s="1"/>
  <c r="W327" i="3" l="1"/>
  <c r="AC328" i="3"/>
  <c r="P328" i="3"/>
  <c r="Q328" i="3" s="1"/>
  <c r="R328" i="3" s="1"/>
  <c r="S328" i="3" s="1"/>
  <c r="AA328" i="3"/>
  <c r="Z328" i="3"/>
  <c r="AD328" i="3"/>
  <c r="AE328" i="3"/>
  <c r="L327" i="3"/>
  <c r="T328" i="3" l="1"/>
  <c r="AH328" i="3" s="1"/>
  <c r="U327" i="3"/>
  <c r="AG328" i="3"/>
  <c r="Y326" i="3"/>
  <c r="E328" i="3" l="1"/>
  <c r="H328" i="3" s="1"/>
  <c r="K328" i="3" s="1"/>
  <c r="D328" i="3"/>
  <c r="F328" i="3" l="1"/>
  <c r="G328" i="3"/>
  <c r="I328" i="3" s="1"/>
  <c r="V328" i="3"/>
  <c r="A329" i="3"/>
  <c r="B329" i="3" s="1"/>
  <c r="M328" i="3" l="1"/>
  <c r="N328" i="3" s="1"/>
  <c r="J328" i="3"/>
  <c r="L328" i="3" s="1"/>
  <c r="W328" i="3"/>
  <c r="AD329" i="3"/>
  <c r="P329" i="3"/>
  <c r="Q329" i="3" s="1"/>
  <c r="R329" i="3" s="1"/>
  <c r="S329" i="3" s="1"/>
  <c r="AC329" i="3"/>
  <c r="AA329" i="3"/>
  <c r="Z329" i="3"/>
  <c r="AE329" i="3"/>
  <c r="U328" i="3" l="1"/>
  <c r="Y327" i="3"/>
  <c r="T329" i="3"/>
  <c r="AG329" i="3" s="1"/>
  <c r="E329" i="3" l="1"/>
  <c r="H329" i="3" s="1"/>
  <c r="K329" i="3" s="1"/>
  <c r="D329" i="3"/>
  <c r="AH329" i="3"/>
  <c r="F329" i="3" l="1"/>
  <c r="G329" i="3"/>
  <c r="I329" i="3" s="1"/>
  <c r="V329" i="3"/>
  <c r="A330" i="3"/>
  <c r="B330" i="3" s="1"/>
  <c r="M329" i="3" l="1"/>
  <c r="N329" i="3" s="1"/>
  <c r="J329" i="3"/>
  <c r="W329" i="3"/>
  <c r="AD330" i="3"/>
  <c r="Z330" i="3"/>
  <c r="P330" i="3"/>
  <c r="Q330" i="3" s="1"/>
  <c r="R330" i="3" s="1"/>
  <c r="S330" i="3" s="1"/>
  <c r="AE330" i="3"/>
  <c r="AA330" i="3"/>
  <c r="AC330" i="3"/>
  <c r="L329" i="3"/>
  <c r="T330" i="3" l="1"/>
  <c r="AG330" i="3" s="1"/>
  <c r="U329" i="3"/>
  <c r="Y328" i="3"/>
  <c r="AH330" i="3" l="1"/>
  <c r="E330" i="3"/>
  <c r="H330" i="3" s="1"/>
  <c r="K330" i="3" s="1"/>
  <c r="D330" i="3"/>
  <c r="F330" i="3" l="1"/>
  <c r="G330" i="3"/>
  <c r="J330" i="3" s="1"/>
  <c r="V330" i="3"/>
  <c r="A331" i="3"/>
  <c r="B331" i="3" s="1"/>
  <c r="M330" i="3" l="1"/>
  <c r="N330" i="3" s="1"/>
  <c r="I330" i="3"/>
  <c r="W330" i="3" s="1"/>
  <c r="AA331" i="3"/>
  <c r="AD331" i="3"/>
  <c r="AE331" i="3"/>
  <c r="AC331" i="3"/>
  <c r="Z331" i="3"/>
  <c r="P331" i="3"/>
  <c r="Q331" i="3" s="1"/>
  <c r="R331" i="3" s="1"/>
  <c r="S331" i="3" s="1"/>
  <c r="L330" i="3"/>
  <c r="T331" i="3" l="1"/>
  <c r="U330" i="3"/>
  <c r="AH331" i="3"/>
  <c r="AG331" i="3"/>
  <c r="Y329" i="3"/>
  <c r="D331" i="3" l="1"/>
  <c r="G331" i="3" s="1"/>
  <c r="E331" i="3"/>
  <c r="H331" i="3" s="1"/>
  <c r="K331" i="3" s="1"/>
  <c r="F331" i="3" l="1"/>
  <c r="V331" i="3"/>
  <c r="A332" i="3"/>
  <c r="B332" i="3" s="1"/>
  <c r="I331" i="3"/>
  <c r="J331" i="3"/>
  <c r="M331" i="3"/>
  <c r="N331" i="3" s="1"/>
  <c r="L331" i="3" l="1"/>
  <c r="Z332" i="3"/>
  <c r="AD332" i="3"/>
  <c r="AA332" i="3"/>
  <c r="AC332" i="3"/>
  <c r="AE332" i="3"/>
  <c r="P332" i="3"/>
  <c r="Q332" i="3" s="1"/>
  <c r="R332" i="3" s="1"/>
  <c r="S332" i="3" s="1"/>
  <c r="W331" i="3"/>
  <c r="T332" i="3" l="1"/>
  <c r="AG332" i="3" s="1"/>
  <c r="U331" i="3"/>
  <c r="AH332" i="3"/>
  <c r="Y330" i="3"/>
  <c r="E332" i="3" l="1"/>
  <c r="H332" i="3" s="1"/>
  <c r="K332" i="3" s="1"/>
  <c r="D332" i="3"/>
  <c r="F332" i="3" l="1"/>
  <c r="G332" i="3"/>
  <c r="I332" i="3" s="1"/>
  <c r="V332" i="3"/>
  <c r="A333" i="3"/>
  <c r="B333" i="3" s="1"/>
  <c r="M332" i="3" l="1"/>
  <c r="N332" i="3" s="1"/>
  <c r="J332" i="3"/>
  <c r="L332" i="3" s="1"/>
  <c r="W332" i="3"/>
  <c r="Z333" i="3"/>
  <c r="AE333" i="3"/>
  <c r="AC333" i="3"/>
  <c r="P333" i="3"/>
  <c r="Q333" i="3" s="1"/>
  <c r="R333" i="3" s="1"/>
  <c r="S333" i="3" s="1"/>
  <c r="AD333" i="3"/>
  <c r="AA333" i="3"/>
  <c r="T333" i="3" l="1"/>
  <c r="AG333" i="3" s="1"/>
  <c r="AH333" i="3"/>
  <c r="U332" i="3"/>
  <c r="D333" i="3" s="1"/>
  <c r="Y331" i="3"/>
  <c r="E333" i="3" l="1"/>
  <c r="H333" i="3" s="1"/>
  <c r="K333" i="3" s="1"/>
  <c r="G333" i="3"/>
  <c r="F333" i="3" l="1"/>
  <c r="I333" i="3"/>
  <c r="J333" i="3"/>
  <c r="M333" i="3"/>
  <c r="N333" i="3" s="1"/>
  <c r="V333" i="3"/>
  <c r="A334" i="3"/>
  <c r="B334" i="3" s="1"/>
  <c r="W333" i="3" l="1"/>
  <c r="L333" i="3"/>
  <c r="AC334" i="3"/>
  <c r="AA334" i="3"/>
  <c r="Z334" i="3"/>
  <c r="AE334" i="3"/>
  <c r="P334" i="3"/>
  <c r="Q334" i="3" s="1"/>
  <c r="R334" i="3" s="1"/>
  <c r="S334" i="3" s="1"/>
  <c r="T334" i="3" l="1"/>
  <c r="U333" i="3"/>
  <c r="Y332" i="3"/>
  <c r="E334" i="3" l="1"/>
  <c r="H334" i="3" s="1"/>
  <c r="K334" i="3" s="1"/>
  <c r="D334" i="3"/>
  <c r="AH334" i="3"/>
  <c r="AG334" i="3"/>
  <c r="F334" i="3" l="1"/>
  <c r="G334" i="3"/>
  <c r="I334" i="3" s="1"/>
  <c r="V334" i="3"/>
  <c r="A335" i="3"/>
  <c r="B335" i="3" s="1"/>
  <c r="M334" i="3" l="1"/>
  <c r="N334" i="3" s="1"/>
  <c r="J334" i="3"/>
  <c r="L334" i="3" s="1"/>
  <c r="W334" i="3"/>
  <c r="P335" i="3"/>
  <c r="Q335" i="3" s="1"/>
  <c r="R335" i="3" s="1"/>
  <c r="S335" i="3" s="1"/>
  <c r="AE335" i="3"/>
  <c r="Z335" i="3"/>
  <c r="AD335" i="3"/>
  <c r="AC335" i="3"/>
  <c r="AA335" i="3"/>
  <c r="AD334" i="3" l="1"/>
  <c r="U334" i="3"/>
  <c r="Y333" i="3"/>
  <c r="T335" i="3"/>
  <c r="D335" i="3" s="1"/>
  <c r="G335" i="3" l="1"/>
  <c r="AG335" i="3"/>
  <c r="AH335" i="3"/>
  <c r="E335" i="3"/>
  <c r="H335" i="3" s="1"/>
  <c r="I335" i="3" l="1"/>
  <c r="J335" i="3"/>
  <c r="M335" i="3"/>
  <c r="N335" i="3" s="1"/>
  <c r="K335" i="3"/>
  <c r="F335" i="3"/>
  <c r="V335" i="3" l="1"/>
  <c r="W335" i="3" s="1"/>
  <c r="A336" i="3"/>
  <c r="B336" i="3" s="1"/>
  <c r="L335" i="3"/>
  <c r="AA336" i="3" l="1"/>
  <c r="Z336" i="3"/>
  <c r="P336" i="3"/>
  <c r="Q336" i="3" s="1"/>
  <c r="R336" i="3" s="1"/>
  <c r="S336" i="3" s="1"/>
  <c r="AE336" i="3"/>
  <c r="AD336" i="3"/>
  <c r="AC336" i="3"/>
  <c r="U335" i="3"/>
  <c r="Y334" i="3"/>
  <c r="T336" i="3" l="1"/>
  <c r="AG336" i="3" s="1"/>
  <c r="E336" i="3" l="1"/>
  <c r="H336" i="3" s="1"/>
  <c r="K336" i="3" s="1"/>
  <c r="AH336" i="3"/>
  <c r="D336" i="3"/>
  <c r="F336" i="3" l="1"/>
  <c r="G336" i="3"/>
  <c r="I336" i="3" s="1"/>
  <c r="V336" i="3"/>
  <c r="A337" i="3"/>
  <c r="B337" i="3" s="1"/>
  <c r="M336" i="3" l="1"/>
  <c r="N336" i="3" s="1"/>
  <c r="J336" i="3"/>
  <c r="W336" i="3"/>
  <c r="AA337" i="3"/>
  <c r="P337" i="3"/>
  <c r="Q337" i="3" s="1"/>
  <c r="R337" i="3" s="1"/>
  <c r="S337" i="3" s="1"/>
  <c r="AE337" i="3"/>
  <c r="Z337" i="3"/>
  <c r="AD337" i="3"/>
  <c r="AC337" i="3"/>
  <c r="L336" i="3"/>
  <c r="U336" i="3" l="1"/>
  <c r="Y335" i="3"/>
  <c r="T337" i="3"/>
  <c r="D337" i="3" s="1"/>
  <c r="G337" i="3" l="1"/>
  <c r="AG337" i="3"/>
  <c r="E337" i="3"/>
  <c r="H337" i="3" s="1"/>
  <c r="AH337" i="3"/>
  <c r="K337" i="3" l="1"/>
  <c r="I337" i="3"/>
  <c r="J337" i="3"/>
  <c r="M337" i="3"/>
  <c r="N337" i="3" s="1"/>
  <c r="F337" i="3"/>
  <c r="V337" i="3" l="1"/>
  <c r="W337" i="3" s="1"/>
  <c r="A338" i="3"/>
  <c r="B338" i="3" s="1"/>
  <c r="L337" i="3"/>
  <c r="AA338" i="3" l="1"/>
  <c r="AE338" i="3"/>
  <c r="Z338" i="3"/>
  <c r="AC338" i="3"/>
  <c r="P338" i="3"/>
  <c r="Q338" i="3" s="1"/>
  <c r="R338" i="3" s="1"/>
  <c r="S338" i="3" s="1"/>
  <c r="AD338" i="3"/>
  <c r="U337" i="3"/>
  <c r="Y336" i="3"/>
  <c r="T338" i="3" l="1"/>
  <c r="AG338" i="3" s="1"/>
  <c r="D338" i="3" l="1"/>
  <c r="E338" i="3"/>
  <c r="H338" i="3" s="1"/>
  <c r="AH338" i="3"/>
  <c r="K338" i="3" l="1"/>
  <c r="F338" i="3"/>
  <c r="G338" i="3"/>
  <c r="V338" i="3" l="1"/>
  <c r="A339" i="3"/>
  <c r="B339" i="3" s="1"/>
  <c r="I338" i="3"/>
  <c r="J338" i="3"/>
  <c r="M338" i="3"/>
  <c r="N338" i="3" s="1"/>
  <c r="AE339" i="3" l="1"/>
  <c r="P339" i="3"/>
  <c r="Q339" i="3" s="1"/>
  <c r="R339" i="3" s="1"/>
  <c r="S339" i="3" s="1"/>
  <c r="AA339" i="3"/>
  <c r="Z339" i="3"/>
  <c r="AD339" i="3"/>
  <c r="AC339" i="3"/>
  <c r="L338" i="3"/>
  <c r="W338" i="3"/>
  <c r="T339" i="3" l="1"/>
  <c r="AH339" i="3" s="1"/>
  <c r="U338" i="3"/>
  <c r="Y337" i="3"/>
  <c r="D339" i="3" l="1"/>
  <c r="G339" i="3" s="1"/>
  <c r="AG339" i="3"/>
  <c r="E339" i="3"/>
  <c r="H339" i="3" s="1"/>
  <c r="K339" i="3" s="1"/>
  <c r="F339" i="3" l="1"/>
  <c r="V339" i="3"/>
  <c r="A340" i="3"/>
  <c r="B340" i="3" s="1"/>
  <c r="I339" i="3"/>
  <c r="J339" i="3"/>
  <c r="M339" i="3"/>
  <c r="N339" i="3" s="1"/>
  <c r="W339" i="3" l="1"/>
  <c r="AA340" i="3"/>
  <c r="P340" i="3"/>
  <c r="Q340" i="3" s="1"/>
  <c r="R340" i="3" s="1"/>
  <c r="S340" i="3" s="1"/>
  <c r="Z340" i="3"/>
  <c r="AC340" i="3"/>
  <c r="AD340" i="3"/>
  <c r="AE340" i="3"/>
  <c r="L339" i="3"/>
  <c r="U339" i="3" l="1"/>
  <c r="Y338" i="3"/>
  <c r="T340" i="3"/>
  <c r="D340" i="3" s="1"/>
  <c r="AG340" i="3" l="1"/>
  <c r="AH340" i="3"/>
  <c r="G340" i="3"/>
  <c r="E340" i="3"/>
  <c r="H340" i="3" s="1"/>
  <c r="K340" i="3" l="1"/>
  <c r="I340" i="3"/>
  <c r="J340" i="3"/>
  <c r="M340" i="3"/>
  <c r="N340" i="3" s="1"/>
  <c r="F340" i="3"/>
  <c r="V340" i="3" l="1"/>
  <c r="W340" i="3" s="1"/>
  <c r="A341" i="3"/>
  <c r="B341" i="3" s="1"/>
  <c r="L340" i="3"/>
  <c r="AC341" i="3" l="1"/>
  <c r="AD341" i="3"/>
  <c r="Z341" i="3"/>
  <c r="AA341" i="3"/>
  <c r="P341" i="3"/>
  <c r="Q341" i="3" s="1"/>
  <c r="R341" i="3" s="1"/>
  <c r="S341" i="3" s="1"/>
  <c r="AE341" i="3"/>
  <c r="U340" i="3"/>
  <c r="Y339" i="3"/>
  <c r="T341" i="3" l="1"/>
  <c r="E341" i="3" s="1"/>
  <c r="H341" i="3" s="1"/>
  <c r="AH341" i="3" l="1"/>
  <c r="AG341" i="3"/>
  <c r="K341" i="3"/>
  <c r="D341" i="3"/>
  <c r="V341" i="3" l="1"/>
  <c r="A342" i="3"/>
  <c r="B342" i="3" s="1"/>
  <c r="F341" i="3"/>
  <c r="G341" i="3"/>
  <c r="AD342" i="3" l="1"/>
  <c r="P342" i="3"/>
  <c r="Q342" i="3" s="1"/>
  <c r="R342" i="3" s="1"/>
  <c r="S342" i="3" s="1"/>
  <c r="AA342" i="3"/>
  <c r="AE342" i="3"/>
  <c r="AC342" i="3"/>
  <c r="Z342" i="3"/>
  <c r="I341" i="3"/>
  <c r="W341" i="3" s="1"/>
  <c r="J341" i="3"/>
  <c r="M341" i="3"/>
  <c r="N341" i="3" s="1"/>
  <c r="L341" i="3" l="1"/>
  <c r="T342" i="3"/>
  <c r="AG342" i="3" l="1"/>
  <c r="AH342" i="3"/>
  <c r="U341" i="3"/>
  <c r="E342" i="3" s="1"/>
  <c r="H342" i="3" s="1"/>
  <c r="Y340" i="3"/>
  <c r="D342" i="3" l="1"/>
  <c r="F342" i="3" s="1"/>
  <c r="K342" i="3"/>
  <c r="G342" i="3" l="1"/>
  <c r="I342" i="3" s="1"/>
  <c r="V342" i="3"/>
  <c r="A343" i="3"/>
  <c r="B343" i="3" s="1"/>
  <c r="M342" i="3" l="1"/>
  <c r="N342" i="3" s="1"/>
  <c r="J342" i="3"/>
  <c r="L342" i="3" s="1"/>
  <c r="AA343" i="3"/>
  <c r="AC343" i="3"/>
  <c r="AE343" i="3"/>
  <c r="Z343" i="3"/>
  <c r="P343" i="3"/>
  <c r="Q343" i="3" s="1"/>
  <c r="R343" i="3" s="1"/>
  <c r="S343" i="3" s="1"/>
  <c r="AD343" i="3"/>
  <c r="W342" i="3"/>
  <c r="T343" i="3" l="1"/>
  <c r="AG343" i="3" s="1"/>
  <c r="U342" i="3"/>
  <c r="Y341" i="3"/>
  <c r="AH343" i="3" l="1"/>
  <c r="D343" i="3"/>
  <c r="G343" i="3" s="1"/>
  <c r="E343" i="3"/>
  <c r="H343" i="3" s="1"/>
  <c r="K343" i="3" s="1"/>
  <c r="F343" i="3" l="1"/>
  <c r="I343" i="3"/>
  <c r="J343" i="3"/>
  <c r="M343" i="3"/>
  <c r="N343" i="3" s="1"/>
  <c r="V343" i="3"/>
  <c r="A344" i="3"/>
  <c r="B344" i="3" s="1"/>
  <c r="W343" i="3" l="1"/>
  <c r="P344" i="3"/>
  <c r="Q344" i="3" s="1"/>
  <c r="R344" i="3" s="1"/>
  <c r="S344" i="3" s="1"/>
  <c r="AA344" i="3"/>
  <c r="Z344" i="3"/>
  <c r="AE344" i="3"/>
  <c r="AC344" i="3"/>
  <c r="L343" i="3"/>
  <c r="U343" i="3" l="1"/>
  <c r="Y342" i="3"/>
  <c r="T344" i="3"/>
  <c r="E344" i="3" l="1"/>
  <c r="H344" i="3" s="1"/>
  <c r="K344" i="3" s="1"/>
  <c r="D344" i="3"/>
  <c r="AH344" i="3"/>
  <c r="AG344" i="3"/>
  <c r="F344" i="3" l="1"/>
  <c r="G344" i="3"/>
  <c r="I344" i="3" s="1"/>
  <c r="V344" i="3"/>
  <c r="A345" i="3"/>
  <c r="B345" i="3" s="1"/>
  <c r="M344" i="3" l="1"/>
  <c r="N344" i="3" s="1"/>
  <c r="J344" i="3"/>
  <c r="AD344" i="3" s="1"/>
  <c r="AD345" i="3"/>
  <c r="P345" i="3"/>
  <c r="Q345" i="3" s="1"/>
  <c r="R345" i="3" s="1"/>
  <c r="S345" i="3" s="1"/>
  <c r="AE345" i="3"/>
  <c r="Z345" i="3"/>
  <c r="AC345" i="3"/>
  <c r="AA345" i="3"/>
  <c r="W344" i="3"/>
  <c r="L344" i="3" l="1"/>
  <c r="U344" i="3" s="1"/>
  <c r="T345" i="3"/>
  <c r="Y343" i="3" l="1"/>
  <c r="AG345" i="3"/>
  <c r="E345" i="3"/>
  <c r="H345" i="3" s="1"/>
  <c r="K345" i="3" s="1"/>
  <c r="AH345" i="3"/>
  <c r="D345" i="3"/>
  <c r="F345" i="3" l="1"/>
  <c r="G345" i="3"/>
  <c r="V345" i="3"/>
  <c r="A346" i="3"/>
  <c r="B346" i="3" s="1"/>
  <c r="P346" i="3" l="1"/>
  <c r="Q346" i="3" s="1"/>
  <c r="R346" i="3" s="1"/>
  <c r="S346" i="3" s="1"/>
  <c r="AD346" i="3"/>
  <c r="Z346" i="3"/>
  <c r="AC346" i="3"/>
  <c r="AA346" i="3"/>
  <c r="AE346" i="3"/>
  <c r="I345" i="3"/>
  <c r="W345" i="3" s="1"/>
  <c r="J345" i="3"/>
  <c r="M345" i="3"/>
  <c r="N345" i="3" s="1"/>
  <c r="L345" i="3" l="1"/>
  <c r="T346" i="3"/>
  <c r="AH346" i="3" l="1"/>
  <c r="AG346" i="3"/>
  <c r="U345" i="3"/>
  <c r="E346" i="3" s="1"/>
  <c r="H346" i="3" s="1"/>
  <c r="Y344" i="3"/>
  <c r="D346" i="3" l="1"/>
  <c r="F346" i="3" s="1"/>
  <c r="K346" i="3"/>
  <c r="G346" i="3" l="1"/>
  <c r="I346" i="3" s="1"/>
  <c r="V346" i="3"/>
  <c r="A347" i="3"/>
  <c r="B347" i="3" s="1"/>
  <c r="M346" i="3" l="1"/>
  <c r="N346" i="3" s="1"/>
  <c r="J346" i="3"/>
  <c r="L346" i="3" s="1"/>
  <c r="W346" i="3"/>
  <c r="Z347" i="3"/>
  <c r="AC347" i="3"/>
  <c r="AA347" i="3"/>
  <c r="P347" i="3"/>
  <c r="Q347" i="3" s="1"/>
  <c r="R347" i="3" s="1"/>
  <c r="S347" i="3" s="1"/>
  <c r="AE347" i="3"/>
  <c r="AD347" i="3"/>
  <c r="T347" i="3" l="1"/>
  <c r="U346" i="3"/>
  <c r="Y345" i="3"/>
  <c r="D347" i="3" l="1"/>
  <c r="G347" i="3" s="1"/>
  <c r="AG347" i="3"/>
  <c r="AH347" i="3"/>
  <c r="E347" i="3"/>
  <c r="H347" i="3" s="1"/>
  <c r="K347" i="3" s="1"/>
  <c r="F347" i="3" l="1"/>
  <c r="V347" i="3"/>
  <c r="A348" i="3"/>
  <c r="B348" i="3" s="1"/>
  <c r="I347" i="3"/>
  <c r="J347" i="3"/>
  <c r="M347" i="3"/>
  <c r="N347" i="3" s="1"/>
  <c r="W347" i="3" l="1"/>
  <c r="AA348" i="3"/>
  <c r="AE348" i="3"/>
  <c r="Z348" i="3"/>
  <c r="P348" i="3"/>
  <c r="Q348" i="3" s="1"/>
  <c r="R348" i="3" s="1"/>
  <c r="S348" i="3" s="1"/>
  <c r="AD348" i="3"/>
  <c r="AC348" i="3"/>
  <c r="L347" i="3"/>
  <c r="T348" i="3" l="1"/>
  <c r="AH348" i="3" s="1"/>
  <c r="U347" i="3"/>
  <c r="Y346" i="3"/>
  <c r="AG348" i="3" l="1"/>
  <c r="E348" i="3"/>
  <c r="H348" i="3" s="1"/>
  <c r="K348" i="3" s="1"/>
  <c r="D348" i="3"/>
  <c r="F348" i="3" l="1"/>
  <c r="G348" i="3"/>
  <c r="I348" i="3" s="1"/>
  <c r="V348" i="3"/>
  <c r="A349" i="3"/>
  <c r="B349" i="3" s="1"/>
  <c r="M348" i="3" l="1"/>
  <c r="N348" i="3" s="1"/>
  <c r="J348" i="3"/>
  <c r="L348" i="3" s="1"/>
  <c r="W348" i="3"/>
  <c r="P349" i="3"/>
  <c r="Q349" i="3" s="1"/>
  <c r="R349" i="3" s="1"/>
  <c r="S349" i="3" s="1"/>
  <c r="Z349" i="3"/>
  <c r="AA349" i="3"/>
  <c r="AD349" i="3"/>
  <c r="AE349" i="3"/>
  <c r="AC349" i="3"/>
  <c r="U348" i="3" l="1"/>
  <c r="Y347" i="3"/>
  <c r="T349" i="3"/>
  <c r="AH349" i="3" s="1"/>
  <c r="D349" i="3" l="1"/>
  <c r="G349" i="3" s="1"/>
  <c r="E349" i="3"/>
  <c r="H349" i="3" s="1"/>
  <c r="AG349" i="3"/>
  <c r="I349" i="3" l="1"/>
  <c r="J349" i="3"/>
  <c r="M349" i="3"/>
  <c r="N349" i="3" s="1"/>
  <c r="F349" i="3"/>
  <c r="K349" i="3"/>
  <c r="V349" i="3" l="1"/>
  <c r="W349" i="3" s="1"/>
  <c r="A350" i="3"/>
  <c r="B350" i="3" s="1"/>
  <c r="L349" i="3"/>
  <c r="AD350" i="3" l="1"/>
  <c r="AA350" i="3"/>
  <c r="AC350" i="3"/>
  <c r="Z350" i="3"/>
  <c r="P350" i="3"/>
  <c r="Q350" i="3" s="1"/>
  <c r="R350" i="3" s="1"/>
  <c r="S350" i="3" s="1"/>
  <c r="AE350" i="3"/>
  <c r="U349" i="3"/>
  <c r="Y348" i="3"/>
  <c r="T350" i="3" l="1"/>
  <c r="D350" i="3" s="1"/>
  <c r="E350" i="3" l="1"/>
  <c r="H350" i="3" s="1"/>
  <c r="K350" i="3" s="1"/>
  <c r="G350" i="3"/>
  <c r="AH350" i="3"/>
  <c r="AG350" i="3"/>
  <c r="F350" i="3" l="1"/>
  <c r="I350" i="3"/>
  <c r="J350" i="3"/>
  <c r="M350" i="3"/>
  <c r="N350" i="3" s="1"/>
  <c r="V350" i="3"/>
  <c r="A351" i="3"/>
  <c r="B351" i="3" s="1"/>
  <c r="W350" i="3" l="1"/>
  <c r="L350" i="3"/>
  <c r="AA351" i="3"/>
  <c r="AC351" i="3"/>
  <c r="Z351" i="3"/>
  <c r="P351" i="3"/>
  <c r="Q351" i="3" s="1"/>
  <c r="R351" i="3" s="1"/>
  <c r="S351" i="3" s="1"/>
  <c r="AE351" i="3"/>
  <c r="AD351" i="3"/>
  <c r="T351" i="3" l="1"/>
  <c r="U350" i="3"/>
  <c r="E351" i="3" s="1"/>
  <c r="H351" i="3" s="1"/>
  <c r="AH351" i="3"/>
  <c r="AG351" i="3"/>
  <c r="Y349" i="3"/>
  <c r="D351" i="3" l="1"/>
  <c r="F351" i="3" s="1"/>
  <c r="K351" i="3"/>
  <c r="G351" i="3" l="1"/>
  <c r="I351" i="3" s="1"/>
  <c r="V351" i="3"/>
  <c r="A352" i="3"/>
  <c r="B352" i="3" s="1"/>
  <c r="M351" i="3" l="1"/>
  <c r="N351" i="3" s="1"/>
  <c r="J351" i="3"/>
  <c r="W351" i="3"/>
  <c r="P352" i="3"/>
  <c r="Q352" i="3" s="1"/>
  <c r="R352" i="3" s="1"/>
  <c r="S352" i="3" s="1"/>
  <c r="Z352" i="3"/>
  <c r="AE352" i="3"/>
  <c r="AD352" i="3"/>
  <c r="AC352" i="3"/>
  <c r="AA352" i="3"/>
  <c r="L351" i="3"/>
  <c r="U351" i="3" l="1"/>
  <c r="Y350" i="3"/>
  <c r="T352" i="3"/>
  <c r="AG352" i="3" s="1"/>
  <c r="D352" i="3" l="1"/>
  <c r="G352" i="3" s="1"/>
  <c r="E352" i="3"/>
  <c r="H352" i="3" s="1"/>
  <c r="K352" i="3" s="1"/>
  <c r="AH352" i="3"/>
  <c r="F352" i="3" l="1"/>
  <c r="V352" i="3"/>
  <c r="A353" i="3"/>
  <c r="B353" i="3" s="1"/>
  <c r="I352" i="3"/>
  <c r="J352" i="3"/>
  <c r="M352" i="3"/>
  <c r="N352" i="3" s="1"/>
  <c r="AE353" i="3" l="1"/>
  <c r="AD353" i="3"/>
  <c r="Z353" i="3"/>
  <c r="P353" i="3"/>
  <c r="Q353" i="3" s="1"/>
  <c r="R353" i="3" s="1"/>
  <c r="S353" i="3" s="1"/>
  <c r="AC353" i="3"/>
  <c r="AA353" i="3"/>
  <c r="L352" i="3"/>
  <c r="W352" i="3"/>
  <c r="T353" i="3" l="1"/>
  <c r="U352" i="3"/>
  <c r="Y351" i="3"/>
  <c r="D353" i="3" l="1"/>
  <c r="G353" i="3" s="1"/>
  <c r="E353" i="3"/>
  <c r="H353" i="3" s="1"/>
  <c r="K353" i="3" s="1"/>
  <c r="AG353" i="3"/>
  <c r="AH353" i="3"/>
  <c r="F353" i="3" l="1"/>
  <c r="V353" i="3"/>
  <c r="A354" i="3"/>
  <c r="B354" i="3" s="1"/>
  <c r="I353" i="3"/>
  <c r="J353" i="3"/>
  <c r="M353" i="3"/>
  <c r="N353" i="3" s="1"/>
  <c r="L353" i="3" l="1"/>
  <c r="AA354" i="3"/>
  <c r="P354" i="3"/>
  <c r="Q354" i="3" s="1"/>
  <c r="R354" i="3" s="1"/>
  <c r="S354" i="3" s="1"/>
  <c r="AC354" i="3"/>
  <c r="AD354" i="3"/>
  <c r="AE354" i="3"/>
  <c r="Z354" i="3"/>
  <c r="W353" i="3"/>
  <c r="T354" i="3" l="1"/>
  <c r="AG354" i="3" s="1"/>
  <c r="U353" i="3"/>
  <c r="Y352" i="3"/>
  <c r="AH354" i="3" l="1"/>
  <c r="D354" i="3"/>
  <c r="G354" i="3" s="1"/>
  <c r="E354" i="3"/>
  <c r="H354" i="3" s="1"/>
  <c r="K354" i="3" s="1"/>
  <c r="F354" i="3" l="1"/>
  <c r="I354" i="3"/>
  <c r="J354" i="3"/>
  <c r="M354" i="3"/>
  <c r="N354" i="3" s="1"/>
  <c r="V354" i="3"/>
  <c r="A355" i="3"/>
  <c r="B355" i="3" s="1"/>
  <c r="W354" i="3" l="1"/>
  <c r="L354" i="3"/>
  <c r="AE355" i="3"/>
  <c r="Z355" i="3"/>
  <c r="AD355" i="3"/>
  <c r="AC355" i="3"/>
  <c r="P355" i="3"/>
  <c r="Q355" i="3" s="1"/>
  <c r="R355" i="3" s="1"/>
  <c r="S355" i="3" s="1"/>
  <c r="AA355" i="3"/>
  <c r="T355" i="3" l="1"/>
  <c r="U354" i="3"/>
  <c r="Y353" i="3"/>
  <c r="E355" i="3" l="1"/>
  <c r="H355" i="3" s="1"/>
  <c r="K355" i="3" s="1"/>
  <c r="AG355" i="3"/>
  <c r="AH355" i="3"/>
  <c r="D355" i="3"/>
  <c r="V355" i="3" l="1"/>
  <c r="A356" i="3"/>
  <c r="B356" i="3" s="1"/>
  <c r="F355" i="3"/>
  <c r="G355" i="3"/>
  <c r="Z356" i="3" l="1"/>
  <c r="P356" i="3"/>
  <c r="Q356" i="3" s="1"/>
  <c r="R356" i="3" s="1"/>
  <c r="S356" i="3" s="1"/>
  <c r="AA356" i="3"/>
  <c r="AE356" i="3"/>
  <c r="AC356" i="3"/>
  <c r="AD356" i="3"/>
  <c r="I355" i="3"/>
  <c r="W355" i="3" s="1"/>
  <c r="J355" i="3"/>
  <c r="M355" i="3"/>
  <c r="N355" i="3" s="1"/>
  <c r="L355" i="3" l="1"/>
  <c r="T356" i="3"/>
  <c r="AG356" i="3" l="1"/>
  <c r="U355" i="3"/>
  <c r="E356" i="3" s="1"/>
  <c r="H356" i="3" s="1"/>
  <c r="AH356" i="3"/>
  <c r="Y354" i="3"/>
  <c r="D356" i="3" l="1"/>
  <c r="G356" i="3" s="1"/>
  <c r="K356" i="3"/>
  <c r="F356" i="3" l="1"/>
  <c r="V356" i="3"/>
  <c r="A357" i="3"/>
  <c r="B357" i="3" s="1"/>
  <c r="I356" i="3"/>
  <c r="J356" i="3"/>
  <c r="M356" i="3"/>
  <c r="N356" i="3" s="1"/>
  <c r="W356" i="3" l="1"/>
  <c r="L356" i="3"/>
  <c r="AD357" i="3"/>
  <c r="Z357" i="3"/>
  <c r="AA357" i="3"/>
  <c r="AC357" i="3"/>
  <c r="AE357" i="3"/>
  <c r="P357" i="3"/>
  <c r="Q357" i="3" s="1"/>
  <c r="R357" i="3" s="1"/>
  <c r="S357" i="3" s="1"/>
  <c r="T357" i="3" l="1"/>
  <c r="AH357" i="3" s="1"/>
  <c r="U356" i="3"/>
  <c r="Y355" i="3"/>
  <c r="AG357" i="3" l="1"/>
  <c r="D357" i="3"/>
  <c r="G357" i="3" s="1"/>
  <c r="E357" i="3"/>
  <c r="H357" i="3" s="1"/>
  <c r="I357" i="3" l="1"/>
  <c r="J357" i="3"/>
  <c r="M357" i="3"/>
  <c r="N357" i="3" s="1"/>
  <c r="K357" i="3"/>
  <c r="F357" i="3"/>
  <c r="V357" i="3" l="1"/>
  <c r="W357" i="3" s="1"/>
  <c r="A358" i="3"/>
  <c r="B358" i="3" s="1"/>
  <c r="L357" i="3"/>
  <c r="AE358" i="3" l="1"/>
  <c r="AC358" i="3"/>
  <c r="AD358" i="3"/>
  <c r="P358" i="3"/>
  <c r="Q358" i="3" s="1"/>
  <c r="R358" i="3" s="1"/>
  <c r="S358" i="3" s="1"/>
  <c r="Z358" i="3"/>
  <c r="AA358" i="3"/>
  <c r="U357" i="3"/>
  <c r="Y356" i="3"/>
  <c r="T358" i="3" l="1"/>
  <c r="AG358" i="3" s="1"/>
  <c r="D358" i="3" l="1"/>
  <c r="G358" i="3" s="1"/>
  <c r="E358" i="3"/>
  <c r="H358" i="3" s="1"/>
  <c r="K358" i="3" s="1"/>
  <c r="AH358" i="3"/>
  <c r="F358" i="3" l="1"/>
  <c r="I358" i="3"/>
  <c r="J358" i="3"/>
  <c r="M358" i="3"/>
  <c r="N358" i="3" s="1"/>
  <c r="V358" i="3"/>
  <c r="A359" i="3"/>
  <c r="B359" i="3" s="1"/>
  <c r="W358" i="3" l="1"/>
  <c r="Z359" i="3"/>
  <c r="AE359" i="3"/>
  <c r="P359" i="3"/>
  <c r="Q359" i="3" s="1"/>
  <c r="R359" i="3" s="1"/>
  <c r="S359" i="3" s="1"/>
  <c r="AC359" i="3"/>
  <c r="AA359" i="3"/>
  <c r="AD359" i="3"/>
  <c r="L358" i="3"/>
  <c r="T359" i="3" l="1"/>
  <c r="AG359" i="3" s="1"/>
  <c r="AH359" i="3"/>
  <c r="U358" i="3"/>
  <c r="E359" i="3" s="1"/>
  <c r="H359" i="3" s="1"/>
  <c r="Y357" i="3"/>
  <c r="D359" i="3" l="1"/>
  <c r="F359" i="3" s="1"/>
  <c r="K359" i="3"/>
  <c r="G359" i="3" l="1"/>
  <c r="I359" i="3" s="1"/>
  <c r="V359" i="3"/>
  <c r="A360" i="3"/>
  <c r="B360" i="3" s="1"/>
  <c r="M359" i="3" l="1"/>
  <c r="N359" i="3" s="1"/>
  <c r="J359" i="3"/>
  <c r="L359" i="3" s="1"/>
  <c r="W359" i="3"/>
  <c r="P360" i="3"/>
  <c r="Q360" i="3" s="1"/>
  <c r="R360" i="3" s="1"/>
  <c r="S360" i="3" s="1"/>
  <c r="Z360" i="3"/>
  <c r="AD360" i="3"/>
  <c r="AA360" i="3"/>
  <c r="AE360" i="3"/>
  <c r="AC360" i="3"/>
  <c r="T360" i="3" l="1"/>
  <c r="AG360" i="3" s="1"/>
  <c r="U359" i="3"/>
  <c r="Y358" i="3"/>
  <c r="AH360" i="3" l="1"/>
  <c r="D360" i="3"/>
  <c r="G360" i="3" s="1"/>
  <c r="E360" i="3"/>
  <c r="H360" i="3" s="1"/>
  <c r="K360" i="3" s="1"/>
  <c r="F360" i="3" l="1"/>
  <c r="I360" i="3"/>
  <c r="J360" i="3"/>
  <c r="M360" i="3"/>
  <c r="N360" i="3" s="1"/>
  <c r="V360" i="3"/>
  <c r="A361" i="3"/>
  <c r="B361" i="3" s="1"/>
  <c r="W360" i="3" l="1"/>
  <c r="L360" i="3"/>
  <c r="AE361" i="3"/>
  <c r="Z361" i="3"/>
  <c r="AD361" i="3"/>
  <c r="AC361" i="3"/>
  <c r="P361" i="3"/>
  <c r="Q361" i="3" s="1"/>
  <c r="R361" i="3" s="1"/>
  <c r="S361" i="3" s="1"/>
  <c r="AA361" i="3"/>
  <c r="U360" i="3" l="1"/>
  <c r="Y359" i="3"/>
  <c r="T361" i="3"/>
  <c r="E361" i="3" s="1"/>
  <c r="H361" i="3" s="1"/>
  <c r="AG361" i="3" l="1"/>
  <c r="D361" i="3"/>
  <c r="F361" i="3" s="1"/>
  <c r="K361" i="3"/>
  <c r="AH361" i="3"/>
  <c r="G361" i="3" l="1"/>
  <c r="I361" i="3" s="1"/>
  <c r="V361" i="3"/>
  <c r="A362" i="3"/>
  <c r="B362" i="3" s="1"/>
  <c r="J361" i="3"/>
  <c r="M361" i="3"/>
  <c r="N361" i="3" s="1"/>
  <c r="Z362" i="3" l="1"/>
  <c r="AD362" i="3"/>
  <c r="P362" i="3"/>
  <c r="Q362" i="3" s="1"/>
  <c r="R362" i="3" s="1"/>
  <c r="S362" i="3" s="1"/>
  <c r="AC362" i="3"/>
  <c r="AA362" i="3"/>
  <c r="AE362" i="3"/>
  <c r="L361" i="3"/>
  <c r="W361" i="3"/>
  <c r="T362" i="3" l="1"/>
  <c r="AH362" i="3" s="1"/>
  <c r="U361" i="3"/>
  <c r="Y360" i="3"/>
  <c r="D362" i="3" l="1"/>
  <c r="G362" i="3" s="1"/>
  <c r="AG362" i="3"/>
  <c r="E362" i="3"/>
  <c r="H362" i="3" s="1"/>
  <c r="K362" i="3" l="1"/>
  <c r="I362" i="3"/>
  <c r="J362" i="3"/>
  <c r="M362" i="3"/>
  <c r="N362" i="3" s="1"/>
  <c r="F362" i="3"/>
  <c r="V362" i="3" l="1"/>
  <c r="W362" i="3" s="1"/>
  <c r="A363" i="3"/>
  <c r="B363" i="3" s="1"/>
  <c r="L362" i="3"/>
  <c r="P363" i="3" l="1"/>
  <c r="Q363" i="3" s="1"/>
  <c r="R363" i="3" s="1"/>
  <c r="S363" i="3" s="1"/>
  <c r="AA363" i="3"/>
  <c r="AC363" i="3"/>
  <c r="AD363" i="3"/>
  <c r="Z363" i="3"/>
  <c r="AE363" i="3"/>
  <c r="U362" i="3"/>
  <c r="Y361" i="3"/>
  <c r="T363" i="3" l="1"/>
  <c r="E363" i="3" s="1"/>
  <c r="H363" i="3" s="1"/>
  <c r="AG363" i="3" l="1"/>
  <c r="D363" i="3"/>
  <c r="K363" i="3"/>
  <c r="AH363" i="3"/>
  <c r="V363" i="3" l="1"/>
  <c r="A364" i="3"/>
  <c r="B364" i="3" s="1"/>
  <c r="F363" i="3"/>
  <c r="G363" i="3"/>
  <c r="Z364" i="3" l="1"/>
  <c r="P364" i="3"/>
  <c r="Q364" i="3" s="1"/>
  <c r="R364" i="3" s="1"/>
  <c r="S364" i="3" s="1"/>
  <c r="AA364" i="3"/>
  <c r="AE364" i="3"/>
  <c r="AC364" i="3"/>
  <c r="AD364" i="3"/>
  <c r="I363" i="3"/>
  <c r="W363" i="3" s="1"/>
  <c r="J363" i="3"/>
  <c r="M363" i="3"/>
  <c r="N363" i="3" s="1"/>
  <c r="L363" i="3" l="1"/>
  <c r="T364" i="3"/>
  <c r="U363" i="3" l="1"/>
  <c r="D364" i="3" s="1"/>
  <c r="AH364" i="3"/>
  <c r="AG364" i="3"/>
  <c r="E364" i="3"/>
  <c r="H364" i="3" s="1"/>
  <c r="Y362" i="3"/>
  <c r="K364" i="3" l="1"/>
  <c r="F364" i="3"/>
  <c r="G364" i="3"/>
  <c r="V364" i="3" l="1"/>
  <c r="A365" i="3"/>
  <c r="B365" i="3" s="1"/>
  <c r="I364" i="3"/>
  <c r="J364" i="3"/>
  <c r="M364" i="3"/>
  <c r="N364" i="3" s="1"/>
  <c r="W364" i="3" l="1"/>
  <c r="AC365" i="3"/>
  <c r="AD365" i="3"/>
  <c r="AE365" i="3"/>
  <c r="AA365" i="3"/>
  <c r="P365" i="3"/>
  <c r="Q365" i="3" s="1"/>
  <c r="R365" i="3" s="1"/>
  <c r="S365" i="3" s="1"/>
  <c r="Z365" i="3"/>
  <c r="L364" i="3"/>
  <c r="T365" i="3" l="1"/>
  <c r="AH365" i="3" s="1"/>
  <c r="U364" i="3"/>
  <c r="Y363" i="3"/>
  <c r="E365" i="3" l="1"/>
  <c r="H365" i="3" s="1"/>
  <c r="K365" i="3" s="1"/>
  <c r="D365" i="3"/>
  <c r="AG365" i="3"/>
  <c r="F365" i="3" l="1"/>
  <c r="G365" i="3"/>
  <c r="M365" i="3" s="1"/>
  <c r="N365" i="3" s="1"/>
  <c r="V365" i="3"/>
  <c r="A366" i="3"/>
  <c r="B366" i="3" s="1"/>
  <c r="J365" i="3" l="1"/>
  <c r="L365" i="3" s="1"/>
  <c r="I365" i="3"/>
  <c r="W365" i="3" s="1"/>
  <c r="Z366" i="3"/>
  <c r="AC366" i="3"/>
  <c r="AA366" i="3"/>
  <c r="AD366" i="3"/>
  <c r="P366" i="3"/>
  <c r="Q366" i="3" s="1"/>
  <c r="R366" i="3" s="1"/>
  <c r="S366" i="3" s="1"/>
  <c r="AE366" i="3"/>
  <c r="U365" i="3" l="1"/>
  <c r="Y364" i="3"/>
  <c r="T366" i="3"/>
  <c r="AH366" i="3" s="1"/>
  <c r="AG366" i="3" l="1"/>
  <c r="E366" i="3"/>
  <c r="H366" i="3" s="1"/>
  <c r="K366" i="3" s="1"/>
  <c r="D366" i="3"/>
  <c r="F366" i="3" l="1"/>
  <c r="G366" i="3"/>
  <c r="V366" i="3"/>
  <c r="A367" i="3"/>
  <c r="B367" i="3" s="1"/>
  <c r="AC367" i="3" l="1"/>
  <c r="AA367" i="3"/>
  <c r="AE367" i="3"/>
  <c r="P367" i="3"/>
  <c r="Q367" i="3" s="1"/>
  <c r="R367" i="3" s="1"/>
  <c r="S367" i="3" s="1"/>
  <c r="AD367" i="3"/>
  <c r="Z367" i="3"/>
  <c r="I366" i="3"/>
  <c r="W366" i="3" s="1"/>
  <c r="J366" i="3"/>
  <c r="M366" i="3"/>
  <c r="N366" i="3" s="1"/>
  <c r="L366" i="3" l="1"/>
  <c r="T367" i="3"/>
  <c r="AG367" i="3" l="1"/>
  <c r="U366" i="3"/>
  <c r="D367" i="3" s="1"/>
  <c r="AH367" i="3"/>
  <c r="Y365" i="3"/>
  <c r="E367" i="3" l="1"/>
  <c r="H367" i="3" s="1"/>
  <c r="K367" i="3" s="1"/>
  <c r="G367" i="3"/>
  <c r="F367" i="3" l="1"/>
  <c r="I367" i="3"/>
  <c r="J367" i="3"/>
  <c r="M367" i="3"/>
  <c r="N367" i="3" s="1"/>
  <c r="V367" i="3"/>
  <c r="A368" i="3"/>
  <c r="B368" i="3" s="1"/>
  <c r="W367" i="3" l="1"/>
  <c r="L367" i="3"/>
  <c r="AC368" i="3"/>
  <c r="Z368" i="3"/>
  <c r="P368" i="3"/>
  <c r="Q368" i="3" s="1"/>
  <c r="R368" i="3" s="1"/>
  <c r="S368" i="3" s="1"/>
  <c r="AA368" i="3"/>
  <c r="AE368" i="3"/>
  <c r="AD368" i="3"/>
  <c r="T368" i="3" l="1"/>
  <c r="AH368" i="3" s="1"/>
  <c r="U367" i="3"/>
  <c r="E368" i="3" s="1"/>
  <c r="H368" i="3" s="1"/>
  <c r="Y366" i="3"/>
  <c r="AG368" i="3" l="1"/>
  <c r="D368" i="3"/>
  <c r="F368" i="3" s="1"/>
  <c r="K368" i="3"/>
  <c r="G368" i="3" l="1"/>
  <c r="M368" i="3" s="1"/>
  <c r="N368" i="3" s="1"/>
  <c r="V368" i="3"/>
  <c r="A369" i="3"/>
  <c r="B369" i="3" s="1"/>
  <c r="J368" i="3" l="1"/>
  <c r="L368" i="3" s="1"/>
  <c r="I368" i="3"/>
  <c r="AE369" i="3"/>
  <c r="Z369" i="3"/>
  <c r="AA369" i="3"/>
  <c r="AC369" i="3"/>
  <c r="AD369" i="3"/>
  <c r="P369" i="3"/>
  <c r="Q369" i="3" s="1"/>
  <c r="R369" i="3" s="1"/>
  <c r="S369" i="3" s="1"/>
  <c r="W368" i="3"/>
  <c r="T369" i="3" l="1"/>
  <c r="AH369" i="3" s="1"/>
  <c r="U368" i="3"/>
  <c r="Y367" i="3"/>
  <c r="AG369" i="3" l="1"/>
  <c r="D369" i="3"/>
  <c r="G369" i="3" s="1"/>
  <c r="E369" i="3"/>
  <c r="H369" i="3" s="1"/>
  <c r="K369" i="3" s="1"/>
  <c r="F369" i="3" l="1"/>
  <c r="V369" i="3"/>
  <c r="A370" i="3"/>
  <c r="B370" i="3" s="1"/>
  <c r="I369" i="3"/>
  <c r="J369" i="3"/>
  <c r="M369" i="3"/>
  <c r="N369" i="3" s="1"/>
  <c r="Z370" i="3" l="1"/>
  <c r="AA370" i="3"/>
  <c r="AE370" i="3"/>
  <c r="P370" i="3"/>
  <c r="Q370" i="3" s="1"/>
  <c r="R370" i="3" s="1"/>
  <c r="S370" i="3" s="1"/>
  <c r="AC370" i="3"/>
  <c r="AD370" i="3"/>
  <c r="L369" i="3"/>
  <c r="W369" i="3"/>
  <c r="U369" i="3" l="1"/>
  <c r="Y368" i="3"/>
  <c r="T370" i="3"/>
  <c r="E370" i="3" l="1"/>
  <c r="H370" i="3" s="1"/>
  <c r="K370" i="3" s="1"/>
  <c r="AH370" i="3"/>
  <c r="D370" i="3"/>
  <c r="AG370" i="3"/>
  <c r="V370" i="3" l="1"/>
  <c r="A371" i="3"/>
  <c r="B371" i="3" s="1"/>
  <c r="F370" i="3"/>
  <c r="G370" i="3"/>
  <c r="AD371" i="3" l="1"/>
  <c r="AC371" i="3"/>
  <c r="AA371" i="3"/>
  <c r="P371" i="3"/>
  <c r="Q371" i="3" s="1"/>
  <c r="R371" i="3" s="1"/>
  <c r="S371" i="3" s="1"/>
  <c r="AE371" i="3"/>
  <c r="Z371" i="3"/>
  <c r="I370" i="3"/>
  <c r="W370" i="3" s="1"/>
  <c r="J370" i="3"/>
  <c r="M370" i="3"/>
  <c r="N370" i="3" s="1"/>
  <c r="L370" i="3" l="1"/>
  <c r="T371" i="3"/>
  <c r="AG371" i="3" l="1"/>
  <c r="U370" i="3"/>
  <c r="D371" i="3" s="1"/>
  <c r="AH371" i="3"/>
  <c r="Y369" i="3"/>
  <c r="E371" i="3" l="1"/>
  <c r="H371" i="3" s="1"/>
  <c r="K371" i="3" s="1"/>
  <c r="G371" i="3"/>
  <c r="F371" i="3" l="1"/>
  <c r="I371" i="3"/>
  <c r="J371" i="3"/>
  <c r="M371" i="3"/>
  <c r="N371" i="3" s="1"/>
  <c r="V371" i="3"/>
  <c r="A372" i="3"/>
  <c r="B372" i="3" s="1"/>
  <c r="W371" i="3" l="1"/>
  <c r="L371" i="3"/>
  <c r="Z372" i="3"/>
  <c r="AA372" i="3"/>
  <c r="AE372" i="3"/>
  <c r="AC372" i="3"/>
  <c r="P372" i="3"/>
  <c r="Q372" i="3" s="1"/>
  <c r="R372" i="3" s="1"/>
  <c r="S372" i="3" s="1"/>
  <c r="AD372" i="3"/>
  <c r="U371" i="3" l="1"/>
  <c r="Y370" i="3"/>
  <c r="T372" i="3"/>
  <c r="AH372" i="3" s="1"/>
  <c r="D372" i="3" l="1"/>
  <c r="E372" i="3"/>
  <c r="H372" i="3" s="1"/>
  <c r="AG372" i="3"/>
  <c r="K372" i="3" l="1"/>
  <c r="F372" i="3"/>
  <c r="G372" i="3"/>
  <c r="V372" i="3" l="1"/>
  <c r="A373" i="3"/>
  <c r="B373" i="3" s="1"/>
  <c r="I372" i="3"/>
  <c r="J372" i="3"/>
  <c r="M372" i="3"/>
  <c r="N372" i="3" s="1"/>
  <c r="AA373" i="3" l="1"/>
  <c r="AE373" i="3"/>
  <c r="AC373" i="3"/>
  <c r="AD373" i="3"/>
  <c r="P373" i="3"/>
  <c r="Q373" i="3" s="1"/>
  <c r="R373" i="3" s="1"/>
  <c r="S373" i="3" s="1"/>
  <c r="Z373" i="3"/>
  <c r="L372" i="3"/>
  <c r="W372" i="3"/>
  <c r="T373" i="3" l="1"/>
  <c r="AG373" i="3" s="1"/>
  <c r="U372" i="3"/>
  <c r="Y371" i="3"/>
  <c r="D373" i="3" l="1"/>
  <c r="G373" i="3" s="1"/>
  <c r="AH373" i="3"/>
  <c r="E373" i="3"/>
  <c r="H373" i="3" s="1"/>
  <c r="K373" i="3" s="1"/>
  <c r="F373" i="3" l="1"/>
  <c r="V373" i="3"/>
  <c r="A374" i="3"/>
  <c r="B374" i="3" s="1"/>
  <c r="I373" i="3"/>
  <c r="J373" i="3"/>
  <c r="M373" i="3"/>
  <c r="N373" i="3" s="1"/>
  <c r="L373" i="3" l="1"/>
  <c r="W373" i="3"/>
  <c r="P374" i="3"/>
  <c r="Q374" i="3" s="1"/>
  <c r="R374" i="3" s="1"/>
  <c r="S374" i="3" s="1"/>
  <c r="AA374" i="3"/>
  <c r="AE374" i="3"/>
  <c r="AC374" i="3"/>
  <c r="Z374" i="3"/>
  <c r="AD374" i="3"/>
  <c r="T374" i="3" l="1"/>
  <c r="AH374" i="3" s="1"/>
  <c r="U373" i="3"/>
  <c r="D374" i="3" s="1"/>
  <c r="Y372" i="3"/>
  <c r="AG374" i="3" l="1"/>
  <c r="E374" i="3"/>
  <c r="H374" i="3" s="1"/>
  <c r="K374" i="3" s="1"/>
  <c r="G374" i="3"/>
  <c r="F374" i="3" l="1"/>
  <c r="I374" i="3"/>
  <c r="J374" i="3"/>
  <c r="M374" i="3"/>
  <c r="N374" i="3" s="1"/>
  <c r="V374" i="3"/>
  <c r="A375" i="3"/>
  <c r="B375" i="3" s="1"/>
  <c r="W374" i="3" l="1"/>
  <c r="L374" i="3"/>
  <c r="AD375" i="3"/>
  <c r="AC375" i="3"/>
  <c r="P375" i="3"/>
  <c r="Q375" i="3" s="1"/>
  <c r="R375" i="3" s="1"/>
  <c r="S375" i="3" s="1"/>
  <c r="AA375" i="3"/>
  <c r="AE375" i="3"/>
  <c r="Z375" i="3"/>
  <c r="T375" i="3" l="1"/>
  <c r="AG375" i="3" s="1"/>
  <c r="U374" i="3"/>
  <c r="Y373" i="3"/>
  <c r="AH375" i="3" l="1"/>
  <c r="D375" i="3"/>
  <c r="G375" i="3" s="1"/>
  <c r="E375" i="3"/>
  <c r="H375" i="3" s="1"/>
  <c r="K375" i="3" s="1"/>
  <c r="F375" i="3" l="1"/>
  <c r="I375" i="3"/>
  <c r="J375" i="3"/>
  <c r="M375" i="3"/>
  <c r="N375" i="3" s="1"/>
  <c r="V375" i="3"/>
  <c r="A376" i="3"/>
  <c r="B376" i="3" s="1"/>
  <c r="W375" i="3" l="1"/>
  <c r="AE376" i="3"/>
  <c r="AA376" i="3"/>
  <c r="AC376" i="3"/>
  <c r="Z376" i="3"/>
  <c r="P376" i="3"/>
  <c r="Q376" i="3" s="1"/>
  <c r="R376" i="3" s="1"/>
  <c r="S376" i="3" s="1"/>
  <c r="AD376" i="3"/>
  <c r="L375" i="3"/>
  <c r="T376" i="3" l="1"/>
  <c r="AH376" i="3" s="1"/>
  <c r="U375" i="3"/>
  <c r="Y374" i="3"/>
  <c r="E376" i="3" l="1"/>
  <c r="H376" i="3" s="1"/>
  <c r="K376" i="3" s="1"/>
  <c r="AG376" i="3"/>
  <c r="D376" i="3"/>
  <c r="F376" i="3" s="1"/>
  <c r="G376" i="3" l="1"/>
  <c r="I376" i="3" s="1"/>
  <c r="V376" i="3"/>
  <c r="A377" i="3"/>
  <c r="B377" i="3" s="1"/>
  <c r="M376" i="3"/>
  <c r="N376" i="3" s="1"/>
  <c r="J376" i="3" l="1"/>
  <c r="W376" i="3"/>
  <c r="AC377" i="3"/>
  <c r="P377" i="3"/>
  <c r="Q377" i="3" s="1"/>
  <c r="R377" i="3" s="1"/>
  <c r="S377" i="3" s="1"/>
  <c r="Z377" i="3"/>
  <c r="AD377" i="3"/>
  <c r="AA377" i="3"/>
  <c r="AE377" i="3"/>
  <c r="L376" i="3"/>
  <c r="T377" i="3" l="1"/>
  <c r="AH377" i="3" s="1"/>
  <c r="U376" i="3"/>
  <c r="Y375" i="3"/>
  <c r="D377" i="3" l="1"/>
  <c r="AG377" i="3"/>
  <c r="E377" i="3"/>
  <c r="H377" i="3" s="1"/>
  <c r="K377" i="3" s="1"/>
  <c r="G377" i="3"/>
  <c r="F377" i="3" l="1"/>
  <c r="I377" i="3"/>
  <c r="J377" i="3"/>
  <c r="M377" i="3"/>
  <c r="N377" i="3" s="1"/>
  <c r="V377" i="3"/>
  <c r="A378" i="3"/>
  <c r="B378" i="3" s="1"/>
  <c r="W377" i="3" l="1"/>
  <c r="AE378" i="3"/>
  <c r="P378" i="3"/>
  <c r="Q378" i="3" s="1"/>
  <c r="R378" i="3" s="1"/>
  <c r="S378" i="3" s="1"/>
  <c r="AD378" i="3"/>
  <c r="Z378" i="3"/>
  <c r="AC378" i="3"/>
  <c r="AA378" i="3"/>
  <c r="L377" i="3"/>
  <c r="T378" i="3" l="1"/>
  <c r="AH378" i="3" s="1"/>
  <c r="U377" i="3"/>
  <c r="Y376" i="3"/>
  <c r="AG378" i="3" l="1"/>
  <c r="E378" i="3"/>
  <c r="H378" i="3" s="1"/>
  <c r="K378" i="3" s="1"/>
  <c r="D378" i="3"/>
  <c r="F378" i="3" l="1"/>
  <c r="G378" i="3"/>
  <c r="M378" i="3" s="1"/>
  <c r="N378" i="3" s="1"/>
  <c r="V378" i="3"/>
  <c r="A379" i="3"/>
  <c r="B379" i="3" s="1"/>
  <c r="J378" i="3" l="1"/>
  <c r="L378" i="3" s="1"/>
  <c r="I378" i="3"/>
  <c r="W378" i="3"/>
  <c r="AC379" i="3"/>
  <c r="P379" i="3"/>
  <c r="Q379" i="3" s="1"/>
  <c r="R379" i="3" s="1"/>
  <c r="S379" i="3" s="1"/>
  <c r="AA379" i="3"/>
  <c r="AE379" i="3"/>
  <c r="AD379" i="3"/>
  <c r="Z379" i="3"/>
  <c r="U378" i="3" l="1"/>
  <c r="Y377" i="3"/>
  <c r="T379" i="3"/>
  <c r="AH379" i="3" s="1"/>
  <c r="D379" i="3" l="1"/>
  <c r="G379" i="3" s="1"/>
  <c r="E379" i="3"/>
  <c r="H379" i="3" s="1"/>
  <c r="AG379" i="3"/>
  <c r="K379" i="3" l="1"/>
  <c r="I379" i="3"/>
  <c r="J379" i="3"/>
  <c r="M379" i="3"/>
  <c r="N379" i="3" s="1"/>
  <c r="F379" i="3"/>
  <c r="V379" i="3" l="1"/>
  <c r="W379" i="3" s="1"/>
  <c r="A380" i="3"/>
  <c r="B380" i="3" s="1"/>
  <c r="L379" i="3"/>
  <c r="AA380" i="3" l="1"/>
  <c r="P380" i="3"/>
  <c r="Q380" i="3" s="1"/>
  <c r="R380" i="3" s="1"/>
  <c r="S380" i="3" s="1"/>
  <c r="Z380" i="3"/>
  <c r="AE380" i="3"/>
  <c r="AC380" i="3"/>
  <c r="AD380" i="3"/>
  <c r="U379" i="3"/>
  <c r="Y378" i="3"/>
  <c r="T380" i="3" l="1"/>
  <c r="E380" i="3" s="1"/>
  <c r="H380" i="3" s="1"/>
  <c r="AG380" i="3" l="1"/>
  <c r="D380" i="3"/>
  <c r="F380" i="3" s="1"/>
  <c r="AH380" i="3"/>
  <c r="K380" i="3"/>
  <c r="G380" i="3" l="1"/>
  <c r="M380" i="3" s="1"/>
  <c r="N380" i="3" s="1"/>
  <c r="V380" i="3"/>
  <c r="A381" i="3"/>
  <c r="B381" i="3" s="1"/>
  <c r="I380" i="3"/>
  <c r="J380" i="3"/>
  <c r="W380" i="3" l="1"/>
  <c r="AE381" i="3"/>
  <c r="P381" i="3"/>
  <c r="Q381" i="3" s="1"/>
  <c r="R381" i="3" s="1"/>
  <c r="S381" i="3" s="1"/>
  <c r="AC381" i="3"/>
  <c r="AA381" i="3"/>
  <c r="Z381" i="3"/>
  <c r="AD381" i="3"/>
  <c r="L380" i="3"/>
  <c r="U380" i="3" l="1"/>
  <c r="Y379" i="3"/>
  <c r="T381" i="3"/>
  <c r="E381" i="3" s="1"/>
  <c r="H381" i="3" s="1"/>
  <c r="K381" i="3" l="1"/>
  <c r="AG381" i="3"/>
  <c r="AH381" i="3"/>
  <c r="D381" i="3"/>
  <c r="V381" i="3" l="1"/>
  <c r="A382" i="3"/>
  <c r="B382" i="3" s="1"/>
  <c r="F381" i="3"/>
  <c r="G381" i="3"/>
  <c r="AC382" i="3" l="1"/>
  <c r="Z382" i="3"/>
  <c r="AD382" i="3"/>
  <c r="P382" i="3"/>
  <c r="Q382" i="3" s="1"/>
  <c r="R382" i="3" s="1"/>
  <c r="S382" i="3" s="1"/>
  <c r="AA382" i="3"/>
  <c r="AE382" i="3"/>
  <c r="I381" i="3"/>
  <c r="W381" i="3" s="1"/>
  <c r="J381" i="3"/>
  <c r="M381" i="3"/>
  <c r="N381" i="3" s="1"/>
  <c r="L381" i="3" l="1"/>
  <c r="T382" i="3"/>
  <c r="AH382" i="3" l="1"/>
  <c r="U381" i="3"/>
  <c r="E382" i="3" s="1"/>
  <c r="H382" i="3" s="1"/>
  <c r="AG382" i="3"/>
  <c r="Y380" i="3"/>
  <c r="K382" i="3" l="1"/>
  <c r="D382" i="3"/>
  <c r="F382" i="3" l="1"/>
  <c r="G382" i="3"/>
  <c r="V382" i="3"/>
  <c r="A383" i="3"/>
  <c r="B383" i="3" s="1"/>
  <c r="P383" i="3" l="1"/>
  <c r="Q383" i="3" s="1"/>
  <c r="R383" i="3" s="1"/>
  <c r="S383" i="3" s="1"/>
  <c r="Z383" i="3"/>
  <c r="AA383" i="3"/>
  <c r="AE383" i="3"/>
  <c r="AC383" i="3"/>
  <c r="AD383" i="3"/>
  <c r="I382" i="3"/>
  <c r="W382" i="3" s="1"/>
  <c r="J382" i="3"/>
  <c r="M382" i="3"/>
  <c r="N382" i="3" s="1"/>
  <c r="L382" i="3" l="1"/>
  <c r="T383" i="3"/>
  <c r="AG383" i="3" l="1"/>
  <c r="AH383" i="3"/>
  <c r="U382" i="3"/>
  <c r="E383" i="3" s="1"/>
  <c r="H383" i="3" s="1"/>
  <c r="Y381" i="3"/>
  <c r="D383" i="3" l="1"/>
  <c r="F383" i="3" s="1"/>
  <c r="K383" i="3"/>
  <c r="G383" i="3" l="1"/>
  <c r="I383" i="3" s="1"/>
  <c r="V383" i="3"/>
  <c r="A384" i="3"/>
  <c r="B384" i="3" s="1"/>
  <c r="M383" i="3" l="1"/>
  <c r="N383" i="3" s="1"/>
  <c r="J383" i="3"/>
  <c r="W383" i="3"/>
  <c r="Z384" i="3"/>
  <c r="AE384" i="3"/>
  <c r="P384" i="3"/>
  <c r="Q384" i="3" s="1"/>
  <c r="R384" i="3" s="1"/>
  <c r="S384" i="3" s="1"/>
  <c r="AC384" i="3"/>
  <c r="AD384" i="3"/>
  <c r="AA384" i="3"/>
  <c r="L383" i="3"/>
  <c r="T384" i="3" l="1"/>
  <c r="AG384" i="3" s="1"/>
  <c r="U383" i="3"/>
  <c r="Y382" i="3"/>
  <c r="D384" i="3" l="1"/>
  <c r="G384" i="3" s="1"/>
  <c r="AH384" i="3"/>
  <c r="E384" i="3"/>
  <c r="H384" i="3" s="1"/>
  <c r="K384" i="3" s="1"/>
  <c r="F384" i="3" l="1"/>
  <c r="V384" i="3"/>
  <c r="A385" i="3"/>
  <c r="B385" i="3" s="1"/>
  <c r="I384" i="3"/>
  <c r="J384" i="3"/>
  <c r="M384" i="3"/>
  <c r="N384" i="3" s="1"/>
  <c r="W384" i="3" l="1"/>
  <c r="P385" i="3"/>
  <c r="Q385" i="3" s="1"/>
  <c r="R385" i="3" s="1"/>
  <c r="S385" i="3" s="1"/>
  <c r="Z385" i="3"/>
  <c r="AD385" i="3"/>
  <c r="AA385" i="3"/>
  <c r="AC385" i="3"/>
  <c r="AE385" i="3"/>
  <c r="L384" i="3"/>
  <c r="U384" i="3" l="1"/>
  <c r="Y383" i="3"/>
  <c r="T385" i="3"/>
  <c r="E385" i="3" s="1"/>
  <c r="H385" i="3" s="1"/>
  <c r="AH385" i="3" l="1"/>
  <c r="K385" i="3"/>
  <c r="AG385" i="3"/>
  <c r="D385" i="3"/>
  <c r="V385" i="3" l="1"/>
  <c r="A386" i="3"/>
  <c r="B386" i="3" s="1"/>
  <c r="F385" i="3"/>
  <c r="G385" i="3"/>
  <c r="AE386" i="3" l="1"/>
  <c r="AD386" i="3"/>
  <c r="P386" i="3"/>
  <c r="Q386" i="3" s="1"/>
  <c r="R386" i="3" s="1"/>
  <c r="S386" i="3" s="1"/>
  <c r="AA386" i="3"/>
  <c r="Z386" i="3"/>
  <c r="AC386" i="3"/>
  <c r="I385" i="3"/>
  <c r="W385" i="3" s="1"/>
  <c r="J385" i="3"/>
  <c r="M385" i="3"/>
  <c r="N385" i="3" s="1"/>
  <c r="L385" i="3" l="1"/>
  <c r="T386" i="3"/>
  <c r="AH386" i="3" l="1"/>
  <c r="U385" i="3"/>
  <c r="E386" i="3" s="1"/>
  <c r="H386" i="3" s="1"/>
  <c r="AG386" i="3"/>
  <c r="Y384" i="3"/>
  <c r="D386" i="3" l="1"/>
  <c r="F386" i="3" s="1"/>
  <c r="K386" i="3"/>
  <c r="G386" i="3" l="1"/>
  <c r="M386" i="3" s="1"/>
  <c r="N386" i="3" s="1"/>
  <c r="V386" i="3"/>
  <c r="A387" i="3"/>
  <c r="B387" i="3" s="1"/>
  <c r="J386" i="3" l="1"/>
  <c r="L386" i="3" s="1"/>
  <c r="I386" i="3"/>
  <c r="AE387" i="3"/>
  <c r="AD387" i="3"/>
  <c r="P387" i="3"/>
  <c r="Q387" i="3" s="1"/>
  <c r="R387" i="3" s="1"/>
  <c r="S387" i="3" s="1"/>
  <c r="Z387" i="3"/>
  <c r="AA387" i="3"/>
  <c r="AC387" i="3"/>
  <c r="W386" i="3"/>
  <c r="T387" i="3" l="1"/>
  <c r="AH387" i="3" s="1"/>
  <c r="U386" i="3"/>
  <c r="Y385" i="3"/>
  <c r="AG387" i="3" l="1"/>
  <c r="E387" i="3"/>
  <c r="H387" i="3" s="1"/>
  <c r="K387" i="3" s="1"/>
  <c r="D387" i="3"/>
  <c r="G387" i="3" s="1"/>
  <c r="F387" i="3" l="1"/>
  <c r="V387" i="3"/>
  <c r="A388" i="3"/>
  <c r="B388" i="3" s="1"/>
  <c r="I387" i="3"/>
  <c r="J387" i="3"/>
  <c r="M387" i="3"/>
  <c r="N387" i="3" s="1"/>
  <c r="W387" i="3" l="1"/>
  <c r="AC388" i="3"/>
  <c r="AD388" i="3"/>
  <c r="Z388" i="3"/>
  <c r="AE388" i="3"/>
  <c r="P388" i="3"/>
  <c r="Q388" i="3" s="1"/>
  <c r="R388" i="3" s="1"/>
  <c r="S388" i="3" s="1"/>
  <c r="AA388" i="3"/>
  <c r="L387" i="3"/>
  <c r="T388" i="3" l="1"/>
  <c r="AG388" i="3" s="1"/>
  <c r="U387" i="3"/>
  <c r="Y386" i="3"/>
  <c r="AH388" i="3" l="1"/>
  <c r="E388" i="3"/>
  <c r="H388" i="3" s="1"/>
  <c r="K388" i="3" s="1"/>
  <c r="D388" i="3"/>
  <c r="F388" i="3" l="1"/>
  <c r="G388" i="3"/>
  <c r="M388" i="3" s="1"/>
  <c r="N388" i="3" s="1"/>
  <c r="V388" i="3"/>
  <c r="A389" i="3"/>
  <c r="B389" i="3" s="1"/>
  <c r="J388" i="3" l="1"/>
  <c r="I388" i="3"/>
  <c r="W388" i="3" s="1"/>
  <c r="AD389" i="3"/>
  <c r="P389" i="3"/>
  <c r="Q389" i="3" s="1"/>
  <c r="R389" i="3" s="1"/>
  <c r="S389" i="3" s="1"/>
  <c r="AC389" i="3"/>
  <c r="Z389" i="3"/>
  <c r="AE389" i="3"/>
  <c r="AA389" i="3"/>
  <c r="L388" i="3"/>
  <c r="U388" i="3" l="1"/>
  <c r="Y387" i="3"/>
  <c r="T389" i="3"/>
  <c r="E389" i="3" s="1"/>
  <c r="H389" i="3" s="1"/>
  <c r="K389" i="3" l="1"/>
  <c r="AH389" i="3"/>
  <c r="AG389" i="3"/>
  <c r="D389" i="3"/>
  <c r="V389" i="3" l="1"/>
  <c r="A390" i="3"/>
  <c r="B390" i="3" s="1"/>
  <c r="F389" i="3"/>
  <c r="G389" i="3"/>
  <c r="Z390" i="3" l="1"/>
  <c r="P390" i="3"/>
  <c r="Q390" i="3" s="1"/>
  <c r="R390" i="3" s="1"/>
  <c r="S390" i="3" s="1"/>
  <c r="AA390" i="3"/>
  <c r="AD390" i="3"/>
  <c r="AC390" i="3"/>
  <c r="AE390" i="3"/>
  <c r="I389" i="3"/>
  <c r="W389" i="3" s="1"/>
  <c r="J389" i="3"/>
  <c r="M389" i="3"/>
  <c r="N389" i="3" s="1"/>
  <c r="L389" i="3" l="1"/>
  <c r="T390" i="3"/>
  <c r="U389" i="3" l="1"/>
  <c r="AG390" i="3"/>
  <c r="E390" i="3"/>
  <c r="H390" i="3" s="1"/>
  <c r="D390" i="3"/>
  <c r="AH390" i="3"/>
  <c r="Y388" i="3"/>
  <c r="F390" i="3" l="1"/>
  <c r="G390" i="3"/>
  <c r="K390" i="3"/>
  <c r="I390" i="3" l="1"/>
  <c r="J390" i="3"/>
  <c r="M390" i="3"/>
  <c r="N390" i="3" s="1"/>
  <c r="V390" i="3"/>
  <c r="W390" i="3" s="1"/>
  <c r="A391" i="3"/>
  <c r="B391" i="3" s="1"/>
  <c r="P391" i="3" l="1"/>
  <c r="Q391" i="3" s="1"/>
  <c r="R391" i="3" s="1"/>
  <c r="S391" i="3" s="1"/>
  <c r="AA391" i="3"/>
  <c r="AD391" i="3"/>
  <c r="AC391" i="3"/>
  <c r="Z391" i="3"/>
  <c r="AE391" i="3"/>
  <c r="L390" i="3"/>
  <c r="U390" i="3" l="1"/>
  <c r="Y389" i="3"/>
  <c r="T391" i="3"/>
  <c r="AG391" i="3" s="1"/>
  <c r="E391" i="3" l="1"/>
  <c r="H391" i="3" s="1"/>
  <c r="K391" i="3" s="1"/>
  <c r="AH391" i="3"/>
  <c r="D391" i="3"/>
  <c r="V391" i="3" l="1"/>
  <c r="A392" i="3"/>
  <c r="B392" i="3" s="1"/>
  <c r="F391" i="3"/>
  <c r="G391" i="3"/>
  <c r="I391" i="3" l="1"/>
  <c r="J391" i="3"/>
  <c r="M391" i="3"/>
  <c r="N391" i="3" s="1"/>
  <c r="W391" i="3"/>
  <c r="AD392" i="3"/>
  <c r="AA392" i="3"/>
  <c r="P392" i="3"/>
  <c r="Q392" i="3" s="1"/>
  <c r="R392" i="3" s="1"/>
  <c r="S392" i="3" s="1"/>
  <c r="Z392" i="3"/>
  <c r="AC392" i="3"/>
  <c r="AE392" i="3"/>
  <c r="L391" i="3" l="1"/>
  <c r="T392" i="3"/>
  <c r="U391" i="3" l="1"/>
  <c r="AH392" i="3"/>
  <c r="AG392" i="3"/>
  <c r="E392" i="3"/>
  <c r="H392" i="3" s="1"/>
  <c r="D392" i="3"/>
  <c r="Y390" i="3"/>
  <c r="F392" i="3" l="1"/>
  <c r="G392" i="3"/>
  <c r="K392" i="3"/>
  <c r="I392" i="3" l="1"/>
  <c r="J392" i="3"/>
  <c r="M392" i="3"/>
  <c r="N392" i="3" s="1"/>
  <c r="V392" i="3"/>
  <c r="A393" i="3"/>
  <c r="B393" i="3" s="1"/>
  <c r="W392" i="3" l="1"/>
  <c r="P393" i="3"/>
  <c r="Q393" i="3" s="1"/>
  <c r="R393" i="3" s="1"/>
  <c r="S393" i="3" s="1"/>
  <c r="AA393" i="3"/>
  <c r="AE393" i="3"/>
  <c r="AD393" i="3"/>
  <c r="AC393" i="3"/>
  <c r="Z393" i="3"/>
  <c r="L392" i="3"/>
  <c r="U392" i="3" l="1"/>
  <c r="Y391" i="3"/>
  <c r="T393" i="3"/>
  <c r="AG393" i="3" s="1"/>
  <c r="E393" i="3" l="1"/>
  <c r="H393" i="3" s="1"/>
  <c r="AH393" i="3"/>
  <c r="D393" i="3"/>
  <c r="F393" i="3" l="1"/>
  <c r="G393" i="3"/>
  <c r="K393" i="3"/>
  <c r="I393" i="3" l="1"/>
  <c r="J393" i="3"/>
  <c r="M393" i="3"/>
  <c r="N393" i="3" s="1"/>
  <c r="V393" i="3"/>
  <c r="W393" i="3" s="1"/>
  <c r="A394" i="3"/>
  <c r="B394" i="3" s="1"/>
  <c r="P394" i="3" l="1"/>
  <c r="Q394" i="3" s="1"/>
  <c r="R394" i="3" s="1"/>
  <c r="S394" i="3" s="1"/>
  <c r="AA394" i="3"/>
  <c r="AC394" i="3"/>
  <c r="AE394" i="3"/>
  <c r="AD394" i="3"/>
  <c r="Z394" i="3"/>
  <c r="L393" i="3"/>
  <c r="U393" i="3" l="1"/>
  <c r="Y392" i="3"/>
  <c r="T394" i="3"/>
  <c r="AG394" i="3" s="1"/>
  <c r="E394" i="3" l="1"/>
  <c r="H394" i="3" s="1"/>
  <c r="K394" i="3" s="1"/>
  <c r="AH394" i="3"/>
  <c r="D394" i="3"/>
  <c r="F394" i="3" l="1"/>
  <c r="G394" i="3"/>
  <c r="M394" i="3" s="1"/>
  <c r="N394" i="3" s="1"/>
  <c r="V394" i="3"/>
  <c r="A395" i="3"/>
  <c r="B395" i="3" s="1"/>
  <c r="J394" i="3" l="1"/>
  <c r="I394" i="3"/>
  <c r="AE395" i="3"/>
  <c r="P395" i="3"/>
  <c r="Q395" i="3" s="1"/>
  <c r="R395" i="3" s="1"/>
  <c r="S395" i="3" s="1"/>
  <c r="AC395" i="3"/>
  <c r="Z395" i="3"/>
  <c r="AD395" i="3"/>
  <c r="AA395" i="3"/>
  <c r="L394" i="3"/>
  <c r="W394" i="3"/>
  <c r="T395" i="3" l="1"/>
  <c r="AH395" i="3" s="1"/>
  <c r="U394" i="3"/>
  <c r="Y393" i="3"/>
  <c r="E395" i="3" l="1"/>
  <c r="H395" i="3" s="1"/>
  <c r="K395" i="3" s="1"/>
  <c r="D395" i="3"/>
  <c r="AG395" i="3"/>
  <c r="F395" i="3" l="1"/>
  <c r="G395" i="3"/>
  <c r="I395" i="3" s="1"/>
  <c r="V395" i="3"/>
  <c r="A396" i="3"/>
  <c r="B396" i="3" s="1"/>
  <c r="M395" i="3" l="1"/>
  <c r="N395" i="3" s="1"/>
  <c r="J395" i="3"/>
  <c r="W395" i="3"/>
  <c r="Z396" i="3"/>
  <c r="AD396" i="3"/>
  <c r="P396" i="3"/>
  <c r="Q396" i="3" s="1"/>
  <c r="R396" i="3" s="1"/>
  <c r="S396" i="3" s="1"/>
  <c r="AC396" i="3"/>
  <c r="AE396" i="3"/>
  <c r="AA396" i="3"/>
  <c r="L395" i="3"/>
  <c r="T396" i="3" l="1"/>
  <c r="AH396" i="3" s="1"/>
  <c r="U395" i="3"/>
  <c r="Y394" i="3"/>
  <c r="AG396" i="3" l="1"/>
  <c r="E396" i="3"/>
  <c r="H396" i="3" s="1"/>
  <c r="K396" i="3" s="1"/>
  <c r="D396" i="3"/>
  <c r="F396" i="3" l="1"/>
  <c r="G396" i="3"/>
  <c r="M396" i="3" s="1"/>
  <c r="N396" i="3" s="1"/>
  <c r="V396" i="3"/>
  <c r="A397" i="3"/>
  <c r="B397" i="3" s="1"/>
  <c r="J396" i="3" l="1"/>
  <c r="I396" i="3"/>
  <c r="AE397" i="3"/>
  <c r="P397" i="3"/>
  <c r="Q397" i="3" s="1"/>
  <c r="R397" i="3" s="1"/>
  <c r="S397" i="3" s="1"/>
  <c r="AA397" i="3"/>
  <c r="AC397" i="3"/>
  <c r="AD397" i="3"/>
  <c r="Z397" i="3"/>
  <c r="L396" i="3"/>
  <c r="W396" i="3"/>
  <c r="T397" i="3" l="1"/>
  <c r="U396" i="3"/>
  <c r="E397" i="3" s="1"/>
  <c r="H397" i="3" s="1"/>
  <c r="AG397" i="3"/>
  <c r="AH397" i="3"/>
  <c r="Y395" i="3"/>
  <c r="D397" i="3" l="1"/>
  <c r="G397" i="3" s="1"/>
  <c r="K397" i="3"/>
  <c r="F397" i="3" l="1"/>
  <c r="V397" i="3"/>
  <c r="A398" i="3"/>
  <c r="B398" i="3" s="1"/>
  <c r="I397" i="3"/>
  <c r="J397" i="3"/>
  <c r="M397" i="3"/>
  <c r="N397" i="3" s="1"/>
  <c r="L397" i="3" l="1"/>
  <c r="P398" i="3"/>
  <c r="Q398" i="3" s="1"/>
  <c r="R398" i="3" s="1"/>
  <c r="S398" i="3" s="1"/>
  <c r="AE398" i="3"/>
  <c r="AA398" i="3"/>
  <c r="AD398" i="3"/>
  <c r="AC398" i="3"/>
  <c r="Z398" i="3"/>
  <c r="W397" i="3"/>
  <c r="T398" i="3" l="1"/>
  <c r="AH398" i="3" s="1"/>
  <c r="U397" i="3"/>
  <c r="Y396" i="3"/>
  <c r="E398" i="3" l="1"/>
  <c r="H398" i="3" s="1"/>
  <c r="K398" i="3" s="1"/>
  <c r="AG398" i="3"/>
  <c r="D398" i="3"/>
  <c r="F398" i="3" l="1"/>
  <c r="G398" i="3"/>
  <c r="V398" i="3"/>
  <c r="A399" i="3"/>
  <c r="B399" i="3" s="1"/>
  <c r="Z399" i="3" l="1"/>
  <c r="AD399" i="3"/>
  <c r="AC399" i="3"/>
  <c r="AE399" i="3"/>
  <c r="P399" i="3"/>
  <c r="Q399" i="3" s="1"/>
  <c r="R399" i="3" s="1"/>
  <c r="S399" i="3" s="1"/>
  <c r="AA399" i="3"/>
  <c r="I398" i="3"/>
  <c r="W398" i="3" s="1"/>
  <c r="J398" i="3"/>
  <c r="M398" i="3"/>
  <c r="N398" i="3" s="1"/>
  <c r="L398" i="3" l="1"/>
  <c r="T399" i="3"/>
  <c r="AH399" i="3" l="1"/>
  <c r="U398" i="3"/>
  <c r="D399" i="3" s="1"/>
  <c r="AG399" i="3"/>
  <c r="Y397" i="3"/>
  <c r="E399" i="3" l="1"/>
  <c r="H399" i="3" s="1"/>
  <c r="K399" i="3" s="1"/>
  <c r="G399" i="3"/>
  <c r="F399" i="3" l="1"/>
  <c r="V399" i="3"/>
  <c r="A400" i="3"/>
  <c r="B400" i="3" s="1"/>
  <c r="I399" i="3"/>
  <c r="J399" i="3"/>
  <c r="M399" i="3"/>
  <c r="N399" i="3" s="1"/>
  <c r="W399" i="3" l="1"/>
  <c r="P400" i="3"/>
  <c r="Q400" i="3" s="1"/>
  <c r="R400" i="3" s="1"/>
  <c r="S400" i="3" s="1"/>
  <c r="AE400" i="3"/>
  <c r="Z400" i="3"/>
  <c r="AD400" i="3"/>
  <c r="AC400" i="3"/>
  <c r="AA400" i="3"/>
  <c r="L399" i="3"/>
  <c r="U399" i="3" l="1"/>
  <c r="Y398" i="3"/>
  <c r="T400" i="3"/>
  <c r="E400" i="3" s="1"/>
  <c r="H400" i="3" s="1"/>
  <c r="K400" i="3" l="1"/>
  <c r="AH400" i="3"/>
  <c r="D400" i="3"/>
  <c r="AG400" i="3"/>
  <c r="V400" i="3" l="1"/>
  <c r="A401" i="3"/>
  <c r="B401" i="3" s="1"/>
  <c r="F400" i="3"/>
  <c r="G400" i="3"/>
  <c r="I400" i="3" l="1"/>
  <c r="W400" i="3" s="1"/>
  <c r="J400" i="3"/>
  <c r="M400" i="3"/>
  <c r="N400" i="3" s="1"/>
  <c r="P401" i="3"/>
  <c r="Q401" i="3" s="1"/>
  <c r="R401" i="3" s="1"/>
  <c r="S401" i="3" s="1"/>
  <c r="Z401" i="3"/>
  <c r="AC401" i="3"/>
  <c r="AD401" i="3"/>
  <c r="AE401" i="3"/>
  <c r="AA401" i="3"/>
  <c r="L400" i="3" l="1"/>
  <c r="T401" i="3"/>
  <c r="AH401" i="3" l="1"/>
  <c r="AG401" i="3"/>
  <c r="U400" i="3"/>
  <c r="E401" i="3" s="1"/>
  <c r="H401" i="3" s="1"/>
  <c r="Y399" i="3"/>
  <c r="K401" i="3" l="1"/>
  <c r="D401" i="3"/>
  <c r="F401" i="3" l="1"/>
  <c r="G401" i="3"/>
  <c r="V401" i="3"/>
  <c r="A402" i="3"/>
  <c r="B402" i="3" s="1"/>
  <c r="P402" i="3" l="1"/>
  <c r="Q402" i="3" s="1"/>
  <c r="R402" i="3" s="1"/>
  <c r="S402" i="3" s="1"/>
  <c r="AC402" i="3"/>
  <c r="AE402" i="3"/>
  <c r="AA402" i="3"/>
  <c r="AD402" i="3"/>
  <c r="Z402" i="3"/>
  <c r="I401" i="3"/>
  <c r="W401" i="3" s="1"/>
  <c r="J401" i="3"/>
  <c r="M401" i="3"/>
  <c r="N401" i="3" s="1"/>
  <c r="L401" i="3" l="1"/>
  <c r="T402" i="3"/>
  <c r="U401" i="3" l="1"/>
  <c r="D402" i="3" s="1"/>
  <c r="AH402" i="3"/>
  <c r="AG402" i="3"/>
  <c r="Y400" i="3"/>
  <c r="E402" i="3" l="1"/>
  <c r="H402" i="3" s="1"/>
  <c r="K402" i="3" s="1"/>
  <c r="G402" i="3"/>
  <c r="F402" i="3" l="1"/>
  <c r="V402" i="3"/>
  <c r="A403" i="3"/>
  <c r="B403" i="3" s="1"/>
  <c r="I402" i="3"/>
  <c r="J402" i="3"/>
  <c r="M402" i="3"/>
  <c r="N402" i="3" s="1"/>
  <c r="AD403" i="3" l="1"/>
  <c r="P403" i="3"/>
  <c r="Q403" i="3" s="1"/>
  <c r="R403" i="3" s="1"/>
  <c r="S403" i="3" s="1"/>
  <c r="AE403" i="3"/>
  <c r="AA403" i="3"/>
  <c r="Z403" i="3"/>
  <c r="AC403" i="3"/>
  <c r="L402" i="3"/>
  <c r="W402" i="3"/>
  <c r="T403" i="3" l="1"/>
  <c r="AG403" i="3" s="1"/>
  <c r="U402" i="3"/>
  <c r="Y401" i="3"/>
  <c r="E403" i="3" l="1"/>
  <c r="H403" i="3" s="1"/>
  <c r="K403" i="3" s="1"/>
  <c r="D403" i="3"/>
  <c r="AH403" i="3"/>
  <c r="F403" i="3" l="1"/>
  <c r="G403" i="3"/>
  <c r="I403" i="3" s="1"/>
  <c r="V403" i="3"/>
  <c r="A404" i="3"/>
  <c r="B404" i="3" s="1"/>
  <c r="M403" i="3" l="1"/>
  <c r="N403" i="3" s="1"/>
  <c r="J403" i="3"/>
  <c r="L403" i="3" s="1"/>
  <c r="W403" i="3"/>
  <c r="AE404" i="3"/>
  <c r="P404" i="3"/>
  <c r="Q404" i="3" s="1"/>
  <c r="R404" i="3" s="1"/>
  <c r="S404" i="3" s="1"/>
  <c r="Z404" i="3"/>
  <c r="AA404" i="3"/>
  <c r="AC404" i="3"/>
  <c r="AD404" i="3"/>
  <c r="T404" i="3" l="1"/>
  <c r="AH404" i="3" s="1"/>
  <c r="U403" i="3"/>
  <c r="Y402" i="3"/>
  <c r="E404" i="3" l="1"/>
  <c r="H404" i="3" s="1"/>
  <c r="K404" i="3" s="1"/>
  <c r="AG404" i="3"/>
  <c r="D404" i="3"/>
  <c r="F404" i="3" s="1"/>
  <c r="G404" i="3" l="1"/>
  <c r="I404" i="3" s="1"/>
  <c r="V404" i="3"/>
  <c r="A405" i="3"/>
  <c r="B405" i="3" s="1"/>
  <c r="J404" i="3" l="1"/>
  <c r="M404" i="3"/>
  <c r="N404" i="3" s="1"/>
  <c r="W404" i="3"/>
  <c r="AA405" i="3"/>
  <c r="AE405" i="3"/>
  <c r="P405" i="3"/>
  <c r="Q405" i="3" s="1"/>
  <c r="R405" i="3" s="1"/>
  <c r="S405" i="3" s="1"/>
  <c r="Z405" i="3"/>
  <c r="AD405" i="3"/>
  <c r="AC405" i="3"/>
  <c r="L404" i="3"/>
  <c r="T405" i="3" l="1"/>
  <c r="AH405" i="3" s="1"/>
  <c r="U404" i="3"/>
  <c r="Y403" i="3"/>
  <c r="AG405" i="3" l="1"/>
  <c r="E405" i="3"/>
  <c r="H405" i="3" s="1"/>
  <c r="K405" i="3" s="1"/>
  <c r="D405" i="3"/>
  <c r="F405" i="3" l="1"/>
  <c r="G405" i="3"/>
  <c r="I405" i="3" s="1"/>
  <c r="V405" i="3"/>
  <c r="A406" i="3"/>
  <c r="B406" i="3" s="1"/>
  <c r="M405" i="3" l="1"/>
  <c r="N405" i="3" s="1"/>
  <c r="J405" i="3"/>
  <c r="W405" i="3"/>
  <c r="AC406" i="3"/>
  <c r="AA406" i="3"/>
  <c r="P406" i="3"/>
  <c r="Q406" i="3" s="1"/>
  <c r="R406" i="3" s="1"/>
  <c r="S406" i="3" s="1"/>
  <c r="Z406" i="3"/>
  <c r="AE406" i="3"/>
  <c r="AD406" i="3"/>
  <c r="L405" i="3"/>
  <c r="T406" i="3" l="1"/>
  <c r="U405" i="3"/>
  <c r="AG406" i="3"/>
  <c r="D406" i="3"/>
  <c r="AH406" i="3"/>
  <c r="Y404" i="3"/>
  <c r="E406" i="3" l="1"/>
  <c r="H406" i="3" s="1"/>
  <c r="K406" i="3" s="1"/>
  <c r="G406" i="3"/>
  <c r="F406" i="3" l="1"/>
  <c r="V406" i="3"/>
  <c r="A407" i="3"/>
  <c r="B407" i="3" s="1"/>
  <c r="I406" i="3"/>
  <c r="J406" i="3"/>
  <c r="M406" i="3"/>
  <c r="N406" i="3" s="1"/>
  <c r="L406" i="3" l="1"/>
  <c r="W406" i="3"/>
  <c r="AE407" i="3"/>
  <c r="P407" i="3"/>
  <c r="Q407" i="3" s="1"/>
  <c r="R407" i="3" s="1"/>
  <c r="S407" i="3" s="1"/>
  <c r="AA407" i="3"/>
  <c r="AC407" i="3"/>
  <c r="AD407" i="3"/>
  <c r="Z407" i="3"/>
  <c r="U406" i="3" l="1"/>
  <c r="Y405" i="3"/>
  <c r="T407" i="3"/>
  <c r="AH407" i="3" s="1"/>
  <c r="AG407" i="3" l="1"/>
  <c r="D407" i="3"/>
  <c r="G407" i="3" s="1"/>
  <c r="E407" i="3"/>
  <c r="H407" i="3" s="1"/>
  <c r="K407" i="3" s="1"/>
  <c r="F407" i="3" l="1"/>
  <c r="I407" i="3"/>
  <c r="J407" i="3"/>
  <c r="M407" i="3"/>
  <c r="N407" i="3" s="1"/>
  <c r="V407" i="3"/>
  <c r="A408" i="3"/>
  <c r="B408" i="3" s="1"/>
  <c r="W407" i="3" l="1"/>
  <c r="AD408" i="3"/>
  <c r="AE408" i="3"/>
  <c r="P408" i="3"/>
  <c r="Q408" i="3" s="1"/>
  <c r="R408" i="3" s="1"/>
  <c r="S408" i="3" s="1"/>
  <c r="AA408" i="3"/>
  <c r="Z408" i="3"/>
  <c r="AC408" i="3"/>
  <c r="L407" i="3"/>
  <c r="T408" i="3" l="1"/>
  <c r="AH408" i="3" s="1"/>
  <c r="U407" i="3"/>
  <c r="Y406" i="3"/>
  <c r="E408" i="3" l="1"/>
  <c r="H408" i="3" s="1"/>
  <c r="K408" i="3" s="1"/>
  <c r="AG408" i="3"/>
  <c r="D408" i="3"/>
  <c r="F408" i="3" l="1"/>
  <c r="G408" i="3"/>
  <c r="V408" i="3"/>
  <c r="A409" i="3"/>
  <c r="B409" i="3" s="1"/>
  <c r="AE409" i="3" l="1"/>
  <c r="Z409" i="3"/>
  <c r="AD409" i="3"/>
  <c r="P409" i="3"/>
  <c r="Q409" i="3" s="1"/>
  <c r="R409" i="3" s="1"/>
  <c r="S409" i="3" s="1"/>
  <c r="AC409" i="3"/>
  <c r="AA409" i="3"/>
  <c r="I408" i="3"/>
  <c r="W408" i="3" s="1"/>
  <c r="J408" i="3"/>
  <c r="M408" i="3"/>
  <c r="N408" i="3" s="1"/>
  <c r="L408" i="3" l="1"/>
  <c r="T409" i="3"/>
  <c r="AG409" i="3" l="1"/>
  <c r="U408" i="3"/>
  <c r="D409" i="3" s="1"/>
  <c r="AH409" i="3"/>
  <c r="Y407" i="3"/>
  <c r="E409" i="3" l="1"/>
  <c r="H409" i="3" s="1"/>
  <c r="K409" i="3" s="1"/>
  <c r="G409" i="3"/>
  <c r="F409" i="3" l="1"/>
  <c r="V409" i="3"/>
  <c r="A410" i="3"/>
  <c r="B410" i="3" s="1"/>
  <c r="I409" i="3"/>
  <c r="J409" i="3"/>
  <c r="M409" i="3"/>
  <c r="N409" i="3" s="1"/>
  <c r="P410" i="3" l="1"/>
  <c r="Q410" i="3" s="1"/>
  <c r="R410" i="3" s="1"/>
  <c r="S410" i="3" s="1"/>
  <c r="AA410" i="3"/>
  <c r="AC410" i="3"/>
  <c r="AD410" i="3"/>
  <c r="AE410" i="3"/>
  <c r="Z410" i="3"/>
  <c r="L409" i="3"/>
  <c r="W409" i="3"/>
  <c r="U409" i="3" l="1"/>
  <c r="Y408" i="3"/>
  <c r="T410" i="3"/>
  <c r="AG410" i="3" s="1"/>
  <c r="E410" i="3" l="1"/>
  <c r="H410" i="3" s="1"/>
  <c r="K410" i="3" s="1"/>
  <c r="D410" i="3"/>
  <c r="AH410" i="3"/>
  <c r="F410" i="3" l="1"/>
  <c r="G410" i="3"/>
  <c r="M410" i="3" s="1"/>
  <c r="N410" i="3" s="1"/>
  <c r="V410" i="3"/>
  <c r="A411" i="3"/>
  <c r="B411" i="3" s="1"/>
  <c r="J410" i="3" l="1"/>
  <c r="L410" i="3" s="1"/>
  <c r="I410" i="3"/>
  <c r="W410" i="3" s="1"/>
  <c r="AC411" i="3"/>
  <c r="P411" i="3"/>
  <c r="Q411" i="3" s="1"/>
  <c r="R411" i="3" s="1"/>
  <c r="S411" i="3" s="1"/>
  <c r="AA411" i="3"/>
  <c r="AD411" i="3"/>
  <c r="Z411" i="3"/>
  <c r="AE411" i="3"/>
  <c r="T411" i="3" l="1"/>
  <c r="AG411" i="3" s="1"/>
  <c r="U410" i="3"/>
  <c r="Y409" i="3"/>
  <c r="D411" i="3" l="1"/>
  <c r="G411" i="3" s="1"/>
  <c r="AH411" i="3"/>
  <c r="E411" i="3"/>
  <c r="H411" i="3" s="1"/>
  <c r="K411" i="3" s="1"/>
  <c r="F411" i="3" l="1"/>
  <c r="V411" i="3"/>
  <c r="A412" i="3"/>
  <c r="B412" i="3" s="1"/>
  <c r="I411" i="3"/>
  <c r="J411" i="3"/>
  <c r="M411" i="3"/>
  <c r="N411" i="3" s="1"/>
  <c r="W411" i="3" l="1"/>
  <c r="Z412" i="3"/>
  <c r="AC412" i="3"/>
  <c r="P412" i="3"/>
  <c r="Q412" i="3" s="1"/>
  <c r="R412" i="3" s="1"/>
  <c r="S412" i="3" s="1"/>
  <c r="AE412" i="3"/>
  <c r="AD412" i="3"/>
  <c r="AA412" i="3"/>
  <c r="L411" i="3"/>
  <c r="U411" i="3" l="1"/>
  <c r="Y410" i="3"/>
  <c r="T412" i="3"/>
  <c r="E412" i="3" l="1"/>
  <c r="H412" i="3" s="1"/>
  <c r="K412" i="3" s="1"/>
  <c r="AH412" i="3"/>
  <c r="AG412" i="3"/>
  <c r="D412" i="3"/>
  <c r="V412" i="3" l="1"/>
  <c r="A413" i="3"/>
  <c r="B413" i="3" s="1"/>
  <c r="F412" i="3"/>
  <c r="G412" i="3"/>
  <c r="AE413" i="3" l="1"/>
  <c r="AD413" i="3"/>
  <c r="Z413" i="3"/>
  <c r="AC413" i="3"/>
  <c r="P413" i="3"/>
  <c r="Q413" i="3" s="1"/>
  <c r="R413" i="3" s="1"/>
  <c r="S413" i="3" s="1"/>
  <c r="AA413" i="3"/>
  <c r="I412" i="3"/>
  <c r="W412" i="3" s="1"/>
  <c r="J412" i="3"/>
  <c r="M412" i="3"/>
  <c r="N412" i="3" s="1"/>
  <c r="L412" i="3" l="1"/>
  <c r="T413" i="3"/>
  <c r="AH413" i="3" l="1"/>
  <c r="U412" i="3"/>
  <c r="E413" i="3" s="1"/>
  <c r="H413" i="3" s="1"/>
  <c r="AG413" i="3"/>
  <c r="Y411" i="3"/>
  <c r="K413" i="3" l="1"/>
  <c r="D413" i="3"/>
  <c r="V413" i="3" l="1"/>
  <c r="A414" i="3"/>
  <c r="B414" i="3" s="1"/>
  <c r="F413" i="3"/>
  <c r="G413" i="3"/>
  <c r="Z414" i="3" l="1"/>
  <c r="AA414" i="3"/>
  <c r="AD414" i="3"/>
  <c r="P414" i="3"/>
  <c r="Q414" i="3" s="1"/>
  <c r="R414" i="3" s="1"/>
  <c r="S414" i="3" s="1"/>
  <c r="AE414" i="3"/>
  <c r="AC414" i="3"/>
  <c r="I413" i="3"/>
  <c r="W413" i="3" s="1"/>
  <c r="J413" i="3"/>
  <c r="M413" i="3"/>
  <c r="N413" i="3" s="1"/>
  <c r="L413" i="3" l="1"/>
  <c r="T414" i="3"/>
  <c r="U413" i="3" l="1"/>
  <c r="D414" i="3" s="1"/>
  <c r="AG414" i="3"/>
  <c r="AH414" i="3"/>
  <c r="Y412" i="3"/>
  <c r="E414" i="3" l="1"/>
  <c r="H414" i="3" s="1"/>
  <c r="K414" i="3" s="1"/>
  <c r="G414" i="3"/>
  <c r="F414" i="3" l="1"/>
  <c r="V414" i="3"/>
  <c r="A415" i="3"/>
  <c r="B415" i="3" s="1"/>
  <c r="I414" i="3"/>
  <c r="J414" i="3"/>
  <c r="M414" i="3"/>
  <c r="N414" i="3" s="1"/>
  <c r="W414" i="3" l="1"/>
  <c r="P415" i="3"/>
  <c r="Q415" i="3" s="1"/>
  <c r="R415" i="3" s="1"/>
  <c r="S415" i="3" s="1"/>
  <c r="AD415" i="3"/>
  <c r="AA415" i="3"/>
  <c r="AC415" i="3"/>
  <c r="AE415" i="3"/>
  <c r="Z415" i="3"/>
  <c r="L414" i="3"/>
  <c r="U414" i="3" l="1"/>
  <c r="Y413" i="3"/>
  <c r="T415" i="3"/>
  <c r="AH415" i="3" s="1"/>
  <c r="E415" i="3" l="1"/>
  <c r="H415" i="3" s="1"/>
  <c r="K415" i="3" s="1"/>
  <c r="AG415" i="3"/>
  <c r="D415" i="3"/>
  <c r="V415" i="3" l="1"/>
  <c r="A416" i="3"/>
  <c r="B416" i="3" s="1"/>
  <c r="F415" i="3"/>
  <c r="G415" i="3"/>
  <c r="I415" i="3" l="1"/>
  <c r="W415" i="3" s="1"/>
  <c r="J415" i="3"/>
  <c r="M415" i="3"/>
  <c r="N415" i="3" s="1"/>
  <c r="P416" i="3"/>
  <c r="Q416" i="3" s="1"/>
  <c r="R416" i="3" s="1"/>
  <c r="S416" i="3" s="1"/>
  <c r="AA416" i="3"/>
  <c r="AC416" i="3"/>
  <c r="Z416" i="3"/>
  <c r="AE416" i="3"/>
  <c r="AD416" i="3"/>
  <c r="L415" i="3" l="1"/>
  <c r="T416" i="3"/>
  <c r="AH416" i="3" l="1"/>
  <c r="U415" i="3"/>
  <c r="D416" i="3" s="1"/>
  <c r="AG416" i="3"/>
  <c r="Y414" i="3"/>
  <c r="E416" i="3" l="1"/>
  <c r="H416" i="3" s="1"/>
  <c r="K416" i="3" s="1"/>
  <c r="G416" i="3"/>
  <c r="F416" i="3" l="1"/>
  <c r="V416" i="3"/>
  <c r="A417" i="3"/>
  <c r="B417" i="3" s="1"/>
  <c r="I416" i="3"/>
  <c r="J416" i="3"/>
  <c r="M416" i="3"/>
  <c r="N416" i="3" s="1"/>
  <c r="W416" i="3" l="1"/>
  <c r="Z417" i="3"/>
  <c r="AD417" i="3"/>
  <c r="P417" i="3"/>
  <c r="Q417" i="3" s="1"/>
  <c r="R417" i="3" s="1"/>
  <c r="S417" i="3" s="1"/>
  <c r="AC417" i="3"/>
  <c r="AE417" i="3"/>
  <c r="AA417" i="3"/>
  <c r="L416" i="3"/>
  <c r="T417" i="3" l="1"/>
  <c r="AG417" i="3" s="1"/>
  <c r="U416" i="3"/>
  <c r="Y415" i="3"/>
  <c r="AH417" i="3" l="1"/>
  <c r="E417" i="3"/>
  <c r="H417" i="3" s="1"/>
  <c r="K417" i="3" s="1"/>
  <c r="D417" i="3"/>
  <c r="F417" i="3" l="1"/>
  <c r="G417" i="3"/>
  <c r="V417" i="3"/>
  <c r="A418" i="3"/>
  <c r="B418" i="3" s="1"/>
  <c r="Z418" i="3" l="1"/>
  <c r="AD418" i="3"/>
  <c r="P418" i="3"/>
  <c r="Q418" i="3" s="1"/>
  <c r="R418" i="3" s="1"/>
  <c r="S418" i="3" s="1"/>
  <c r="AA418" i="3"/>
  <c r="AE418" i="3"/>
  <c r="AC418" i="3"/>
  <c r="I417" i="3"/>
  <c r="W417" i="3" s="1"/>
  <c r="J417" i="3"/>
  <c r="M417" i="3"/>
  <c r="N417" i="3" s="1"/>
  <c r="T418" i="3" l="1"/>
  <c r="L417" i="3"/>
  <c r="AH418" i="3" l="1"/>
  <c r="U417" i="3"/>
  <c r="E418" i="3" s="1"/>
  <c r="H418" i="3" s="1"/>
  <c r="AG418" i="3"/>
  <c r="Y416" i="3"/>
  <c r="D418" i="3" l="1"/>
  <c r="F418" i="3" s="1"/>
  <c r="K418" i="3"/>
  <c r="G418" i="3" l="1"/>
  <c r="I418" i="3" s="1"/>
  <c r="V418" i="3"/>
  <c r="A419" i="3"/>
  <c r="B419" i="3" s="1"/>
  <c r="M418" i="3" l="1"/>
  <c r="N418" i="3" s="1"/>
  <c r="J418" i="3"/>
  <c r="L418" i="3" s="1"/>
  <c r="W418" i="3"/>
  <c r="P419" i="3"/>
  <c r="Q419" i="3" s="1"/>
  <c r="R419" i="3" s="1"/>
  <c r="S419" i="3" s="1"/>
  <c r="AE419" i="3"/>
  <c r="AA419" i="3"/>
  <c r="Z419" i="3"/>
  <c r="AC419" i="3"/>
  <c r="AD419" i="3"/>
  <c r="T419" i="3" l="1"/>
  <c r="AG419" i="3" s="1"/>
  <c r="U418" i="3"/>
  <c r="Y417" i="3"/>
  <c r="E419" i="3" l="1"/>
  <c r="H419" i="3" s="1"/>
  <c r="K419" i="3" s="1"/>
  <c r="AH419" i="3"/>
  <c r="D419" i="3"/>
  <c r="F419" i="3" l="1"/>
  <c r="G419" i="3"/>
  <c r="I419" i="3" s="1"/>
  <c r="V419" i="3"/>
  <c r="A420" i="3"/>
  <c r="B420" i="3" s="1"/>
  <c r="J419" i="3" l="1"/>
  <c r="M419" i="3"/>
  <c r="N419" i="3" s="1"/>
  <c r="AD420" i="3"/>
  <c r="AC420" i="3"/>
  <c r="AA420" i="3"/>
  <c r="Z420" i="3"/>
  <c r="P420" i="3"/>
  <c r="Q420" i="3" s="1"/>
  <c r="R420" i="3" s="1"/>
  <c r="S420" i="3" s="1"/>
  <c r="AE420" i="3"/>
  <c r="L419" i="3"/>
  <c r="W419" i="3"/>
  <c r="T420" i="3" l="1"/>
  <c r="AG420" i="3" s="1"/>
  <c r="U419" i="3"/>
  <c r="Y418" i="3"/>
  <c r="AH420" i="3" l="1"/>
  <c r="D420" i="3"/>
  <c r="G420" i="3" s="1"/>
  <c r="E420" i="3"/>
  <c r="H420" i="3" s="1"/>
  <c r="K420" i="3" s="1"/>
  <c r="F420" i="3" l="1"/>
  <c r="I420" i="3"/>
  <c r="J420" i="3"/>
  <c r="M420" i="3"/>
  <c r="N420" i="3" s="1"/>
  <c r="V420" i="3"/>
  <c r="A421" i="3"/>
  <c r="B421" i="3" s="1"/>
  <c r="W420" i="3" l="1"/>
  <c r="AA421" i="3"/>
  <c r="AC421" i="3"/>
  <c r="AE421" i="3"/>
  <c r="P421" i="3"/>
  <c r="Q421" i="3" s="1"/>
  <c r="R421" i="3" s="1"/>
  <c r="S421" i="3" s="1"/>
  <c r="Z421" i="3"/>
  <c r="AD421" i="3"/>
  <c r="L420" i="3"/>
  <c r="T421" i="3" l="1"/>
  <c r="AG421" i="3" s="1"/>
  <c r="U420" i="3"/>
  <c r="Y419" i="3"/>
  <c r="AH421" i="3" l="1"/>
  <c r="D421" i="3"/>
  <c r="G421" i="3" s="1"/>
  <c r="E421" i="3"/>
  <c r="H421" i="3" s="1"/>
  <c r="K421" i="3" l="1"/>
  <c r="I421" i="3"/>
  <c r="J421" i="3"/>
  <c r="M421" i="3"/>
  <c r="N421" i="3" s="1"/>
  <c r="F421" i="3"/>
  <c r="V421" i="3" l="1"/>
  <c r="W421" i="3" s="1"/>
  <c r="A422" i="3"/>
  <c r="B422" i="3" s="1"/>
  <c r="L421" i="3"/>
  <c r="AD422" i="3" l="1"/>
  <c r="P422" i="3"/>
  <c r="Q422" i="3" s="1"/>
  <c r="R422" i="3" s="1"/>
  <c r="S422" i="3" s="1"/>
  <c r="Z422" i="3"/>
  <c r="AA422" i="3"/>
  <c r="AE422" i="3"/>
  <c r="AC422" i="3"/>
  <c r="U421" i="3"/>
  <c r="Y420" i="3"/>
  <c r="T422" i="3" l="1"/>
  <c r="AG422" i="3" s="1"/>
  <c r="AH422" i="3" l="1"/>
  <c r="D422" i="3"/>
  <c r="G422" i="3" s="1"/>
  <c r="E422" i="3"/>
  <c r="H422" i="3" s="1"/>
  <c r="K422" i="3" l="1"/>
  <c r="I422" i="3"/>
  <c r="J422" i="3"/>
  <c r="M422" i="3"/>
  <c r="N422" i="3" s="1"/>
  <c r="F422" i="3"/>
  <c r="V422" i="3" l="1"/>
  <c r="W422" i="3" s="1"/>
  <c r="A423" i="3"/>
  <c r="B423" i="3" s="1"/>
  <c r="L422" i="3"/>
  <c r="AA423" i="3" l="1"/>
  <c r="AC423" i="3"/>
  <c r="P423" i="3"/>
  <c r="Q423" i="3" s="1"/>
  <c r="R423" i="3" s="1"/>
  <c r="S423" i="3" s="1"/>
  <c r="AD423" i="3"/>
  <c r="AE423" i="3"/>
  <c r="Z423" i="3"/>
  <c r="U422" i="3"/>
  <c r="Y421" i="3"/>
  <c r="T423" i="3" l="1"/>
  <c r="D423" i="3" s="1"/>
  <c r="E423" i="3" l="1"/>
  <c r="H423" i="3" s="1"/>
  <c r="K423" i="3" s="1"/>
  <c r="AH423" i="3"/>
  <c r="AG423" i="3"/>
  <c r="G423" i="3"/>
  <c r="F423" i="3" l="1"/>
  <c r="I423" i="3"/>
  <c r="J423" i="3"/>
  <c r="M423" i="3"/>
  <c r="N423" i="3" s="1"/>
  <c r="V423" i="3"/>
  <c r="A424" i="3"/>
  <c r="B424" i="3" s="1"/>
  <c r="W423" i="3" l="1"/>
  <c r="AA424" i="3"/>
  <c r="Z424" i="3"/>
  <c r="P424" i="3"/>
  <c r="Q424" i="3" s="1"/>
  <c r="R424" i="3" s="1"/>
  <c r="S424" i="3" s="1"/>
  <c r="AC424" i="3"/>
  <c r="AD424" i="3"/>
  <c r="AE424" i="3"/>
  <c r="L423" i="3"/>
  <c r="T424" i="3" l="1"/>
  <c r="AH424" i="3" s="1"/>
  <c r="U423" i="3"/>
  <c r="Y422" i="3"/>
  <c r="AG424" i="3" l="1"/>
  <c r="E424" i="3"/>
  <c r="H424" i="3" s="1"/>
  <c r="K424" i="3" s="1"/>
  <c r="D424" i="3"/>
  <c r="F424" i="3" l="1"/>
  <c r="G424" i="3"/>
  <c r="I424" i="3" s="1"/>
  <c r="V424" i="3"/>
  <c r="A425" i="3"/>
  <c r="B425" i="3" s="1"/>
  <c r="M424" i="3" l="1"/>
  <c r="N424" i="3" s="1"/>
  <c r="J424" i="3"/>
  <c r="W424" i="3"/>
  <c r="AC425" i="3"/>
  <c r="AA425" i="3"/>
  <c r="P425" i="3"/>
  <c r="Q425" i="3" s="1"/>
  <c r="R425" i="3" s="1"/>
  <c r="S425" i="3" s="1"/>
  <c r="AD425" i="3"/>
  <c r="AE425" i="3"/>
  <c r="Z425" i="3"/>
  <c r="L424" i="3"/>
  <c r="T425" i="3" l="1"/>
  <c r="AG425" i="3" s="1"/>
  <c r="U424" i="3"/>
  <c r="Y423" i="3"/>
  <c r="D425" i="3" l="1"/>
  <c r="G425" i="3" s="1"/>
  <c r="AH425" i="3"/>
  <c r="E425" i="3"/>
  <c r="H425" i="3" s="1"/>
  <c r="K425" i="3" s="1"/>
  <c r="F425" i="3" l="1"/>
  <c r="V425" i="3"/>
  <c r="A426" i="3"/>
  <c r="B426" i="3" s="1"/>
  <c r="I425" i="3"/>
  <c r="J425" i="3"/>
  <c r="M425" i="3"/>
  <c r="N425" i="3" s="1"/>
  <c r="L425" i="3" l="1"/>
  <c r="W425" i="3"/>
  <c r="Z426" i="3"/>
  <c r="AC426" i="3"/>
  <c r="AD426" i="3"/>
  <c r="P426" i="3"/>
  <c r="Q426" i="3" s="1"/>
  <c r="R426" i="3" s="1"/>
  <c r="S426" i="3" s="1"/>
  <c r="AA426" i="3"/>
  <c r="AE426" i="3"/>
  <c r="U425" i="3" l="1"/>
  <c r="Y424" i="3"/>
  <c r="T426" i="3"/>
  <c r="E426" i="3" l="1"/>
  <c r="H426" i="3" s="1"/>
  <c r="K426" i="3" s="1"/>
  <c r="D426" i="3"/>
  <c r="AG426" i="3"/>
  <c r="AH426" i="3"/>
  <c r="F426" i="3" l="1"/>
  <c r="G426" i="3"/>
  <c r="I426" i="3" s="1"/>
  <c r="V426" i="3"/>
  <c r="A427" i="3"/>
  <c r="B427" i="3" s="1"/>
  <c r="M426" i="3" l="1"/>
  <c r="N426" i="3" s="1"/>
  <c r="J426" i="3"/>
  <c r="W426" i="3"/>
  <c r="AC427" i="3"/>
  <c r="P427" i="3"/>
  <c r="Q427" i="3" s="1"/>
  <c r="R427" i="3" s="1"/>
  <c r="S427" i="3" s="1"/>
  <c r="AD427" i="3"/>
  <c r="AE427" i="3"/>
  <c r="AA427" i="3"/>
  <c r="Z427" i="3"/>
  <c r="L426" i="3"/>
  <c r="T427" i="3" l="1"/>
  <c r="AH427" i="3" s="1"/>
  <c r="U426" i="3"/>
  <c r="Y425" i="3"/>
  <c r="E427" i="3" l="1"/>
  <c r="H427" i="3" s="1"/>
  <c r="K427" i="3" s="1"/>
  <c r="AG427" i="3"/>
  <c r="D427" i="3"/>
  <c r="F427" i="3" l="1"/>
  <c r="G427" i="3"/>
  <c r="I427" i="3" s="1"/>
  <c r="V427" i="3"/>
  <c r="A428" i="3"/>
  <c r="B428" i="3" s="1"/>
  <c r="M427" i="3" l="1"/>
  <c r="N427" i="3" s="1"/>
  <c r="J427" i="3"/>
  <c r="L427" i="3" s="1"/>
  <c r="W427" i="3"/>
  <c r="AD428" i="3"/>
  <c r="Z428" i="3"/>
  <c r="P428" i="3"/>
  <c r="Q428" i="3" s="1"/>
  <c r="R428" i="3" s="1"/>
  <c r="S428" i="3" s="1"/>
  <c r="AE428" i="3"/>
  <c r="AA428" i="3"/>
  <c r="AC428" i="3"/>
  <c r="T428" i="3" l="1"/>
  <c r="AH428" i="3" s="1"/>
  <c r="AG428" i="3"/>
  <c r="U427" i="3"/>
  <c r="D428" i="3" s="1"/>
  <c r="Y426" i="3"/>
  <c r="E428" i="3" l="1"/>
  <c r="H428" i="3" s="1"/>
  <c r="K428" i="3" s="1"/>
  <c r="G428" i="3"/>
  <c r="F428" i="3" l="1"/>
  <c r="I428" i="3"/>
  <c r="J428" i="3"/>
  <c r="M428" i="3"/>
  <c r="N428" i="3" s="1"/>
  <c r="V428" i="3"/>
  <c r="A429" i="3"/>
  <c r="B429" i="3" s="1"/>
  <c r="W428" i="3" l="1"/>
  <c r="L428" i="3"/>
  <c r="Z429" i="3"/>
  <c r="AE429" i="3"/>
  <c r="P429" i="3"/>
  <c r="Q429" i="3" s="1"/>
  <c r="R429" i="3" s="1"/>
  <c r="S429" i="3" s="1"/>
  <c r="AD429" i="3"/>
  <c r="AC429" i="3"/>
  <c r="AA429" i="3"/>
  <c r="T429" i="3" l="1"/>
  <c r="AG429" i="3" s="1"/>
  <c r="U428" i="3"/>
  <c r="Y427" i="3"/>
  <c r="AH429" i="3" l="1"/>
  <c r="D429" i="3"/>
  <c r="G429" i="3" s="1"/>
  <c r="E429" i="3"/>
  <c r="H429" i="3" s="1"/>
  <c r="K429" i="3" s="1"/>
  <c r="F429" i="3" l="1"/>
  <c r="V429" i="3"/>
  <c r="A430" i="3"/>
  <c r="B430" i="3" s="1"/>
  <c r="I429" i="3"/>
  <c r="J429" i="3"/>
  <c r="M429" i="3"/>
  <c r="N429" i="3" s="1"/>
  <c r="W429" i="3" l="1"/>
  <c r="AE430" i="3"/>
  <c r="AA430" i="3"/>
  <c r="Z430" i="3"/>
  <c r="AD430" i="3"/>
  <c r="P430" i="3"/>
  <c r="Q430" i="3" s="1"/>
  <c r="R430" i="3" s="1"/>
  <c r="S430" i="3" s="1"/>
  <c r="AC430" i="3"/>
  <c r="L429" i="3"/>
  <c r="T430" i="3" l="1"/>
  <c r="AH430" i="3" s="1"/>
  <c r="U429" i="3"/>
  <c r="Y428" i="3"/>
  <c r="AG430" i="3" l="1"/>
  <c r="E430" i="3"/>
  <c r="H430" i="3" s="1"/>
  <c r="K430" i="3" s="1"/>
  <c r="D430" i="3"/>
  <c r="F430" i="3" l="1"/>
  <c r="G430" i="3"/>
  <c r="M430" i="3" s="1"/>
  <c r="N430" i="3" s="1"/>
  <c r="V430" i="3"/>
  <c r="A431" i="3"/>
  <c r="B431" i="3" s="1"/>
  <c r="J430" i="3" l="1"/>
  <c r="I430" i="3"/>
  <c r="P431" i="3"/>
  <c r="Q431" i="3" s="1"/>
  <c r="R431" i="3" s="1"/>
  <c r="S431" i="3" s="1"/>
  <c r="AA431" i="3"/>
  <c r="AC431" i="3"/>
  <c r="AE431" i="3"/>
  <c r="AD431" i="3"/>
  <c r="Z431" i="3"/>
  <c r="L430" i="3"/>
  <c r="W430" i="3"/>
  <c r="U430" i="3" l="1"/>
  <c r="Y429" i="3"/>
  <c r="T431" i="3"/>
  <c r="D431" i="3" s="1"/>
  <c r="G431" i="3" l="1"/>
  <c r="AH431" i="3"/>
  <c r="E431" i="3"/>
  <c r="H431" i="3" s="1"/>
  <c r="AG431" i="3"/>
  <c r="K431" i="3" l="1"/>
  <c r="I431" i="3"/>
  <c r="J431" i="3"/>
  <c r="M431" i="3"/>
  <c r="N431" i="3" s="1"/>
  <c r="F431" i="3"/>
  <c r="V431" i="3" l="1"/>
  <c r="W431" i="3" s="1"/>
  <c r="A432" i="3"/>
  <c r="B432" i="3" s="1"/>
  <c r="L431" i="3"/>
  <c r="AE432" i="3" l="1"/>
  <c r="Z432" i="3"/>
  <c r="P432" i="3"/>
  <c r="Q432" i="3" s="1"/>
  <c r="R432" i="3" s="1"/>
  <c r="S432" i="3" s="1"/>
  <c r="AD432" i="3"/>
  <c r="AA432" i="3"/>
  <c r="AC432" i="3"/>
  <c r="U431" i="3"/>
  <c r="Y430" i="3"/>
  <c r="T432" i="3" l="1"/>
  <c r="AG432" i="3" s="1"/>
  <c r="AH432" i="3" l="1"/>
  <c r="D432" i="3"/>
  <c r="E432" i="3"/>
  <c r="H432" i="3" s="1"/>
  <c r="K432" i="3" l="1"/>
  <c r="F432" i="3"/>
  <c r="G432" i="3"/>
  <c r="V432" i="3" l="1"/>
  <c r="A433" i="3"/>
  <c r="B433" i="3" s="1"/>
  <c r="I432" i="3"/>
  <c r="J432" i="3"/>
  <c r="M432" i="3"/>
  <c r="N432" i="3" s="1"/>
  <c r="W432" i="3" l="1"/>
  <c r="L432" i="3"/>
  <c r="P433" i="3"/>
  <c r="Q433" i="3" s="1"/>
  <c r="R433" i="3" s="1"/>
  <c r="S433" i="3" s="1"/>
  <c r="AE433" i="3"/>
  <c r="AA433" i="3"/>
  <c r="AD433" i="3"/>
  <c r="Z433" i="3"/>
  <c r="AC433" i="3"/>
  <c r="U432" i="3" l="1"/>
  <c r="Y431" i="3"/>
  <c r="T433" i="3"/>
  <c r="AH433" i="3" s="1"/>
  <c r="AG433" i="3" l="1"/>
  <c r="E433" i="3"/>
  <c r="H433" i="3" s="1"/>
  <c r="D433" i="3"/>
  <c r="F433" i="3" l="1"/>
  <c r="G433" i="3"/>
  <c r="K433" i="3"/>
  <c r="I433" i="3" l="1"/>
  <c r="J433" i="3"/>
  <c r="M433" i="3"/>
  <c r="N433" i="3" s="1"/>
  <c r="V433" i="3"/>
  <c r="W433" i="3" s="1"/>
  <c r="A434" i="3"/>
  <c r="B434" i="3" s="1"/>
  <c r="AA434" i="3" l="1"/>
  <c r="P434" i="3"/>
  <c r="Q434" i="3" s="1"/>
  <c r="R434" i="3" s="1"/>
  <c r="S434" i="3" s="1"/>
  <c r="AC434" i="3"/>
  <c r="AD434" i="3"/>
  <c r="Z434" i="3"/>
  <c r="AE434" i="3"/>
  <c r="L433" i="3"/>
  <c r="T434" i="3" l="1"/>
  <c r="U433" i="3"/>
  <c r="Y432" i="3"/>
  <c r="E434" i="3" l="1"/>
  <c r="H434" i="3" s="1"/>
  <c r="K434" i="3" s="1"/>
  <c r="D434" i="3"/>
  <c r="AH434" i="3"/>
  <c r="AG434" i="3"/>
  <c r="F434" i="3" l="1"/>
  <c r="G434" i="3"/>
  <c r="M434" i="3" s="1"/>
  <c r="N434" i="3" s="1"/>
  <c r="V434" i="3"/>
  <c r="A435" i="3"/>
  <c r="B435" i="3" s="1"/>
  <c r="J434" i="3" l="1"/>
  <c r="L434" i="3" s="1"/>
  <c r="I434" i="3"/>
  <c r="W434" i="3" s="1"/>
  <c r="AD435" i="3"/>
  <c r="AE435" i="3"/>
  <c r="P435" i="3"/>
  <c r="Q435" i="3" s="1"/>
  <c r="R435" i="3" s="1"/>
  <c r="S435" i="3" s="1"/>
  <c r="AC435" i="3"/>
  <c r="AA435" i="3"/>
  <c r="Z435" i="3"/>
  <c r="T435" i="3" l="1"/>
  <c r="AG435" i="3" s="1"/>
  <c r="U434" i="3"/>
  <c r="E435" i="3" s="1"/>
  <c r="H435" i="3" s="1"/>
  <c r="AH435" i="3"/>
  <c r="Y433" i="3"/>
  <c r="D435" i="3" l="1"/>
  <c r="F435" i="3" s="1"/>
  <c r="K435" i="3"/>
  <c r="G435" i="3" l="1"/>
  <c r="M435" i="3" s="1"/>
  <c r="N435" i="3" s="1"/>
  <c r="V435" i="3"/>
  <c r="A436" i="3"/>
  <c r="B436" i="3" s="1"/>
  <c r="J435" i="3" l="1"/>
  <c r="I435" i="3"/>
  <c r="W435" i="3" s="1"/>
  <c r="AE436" i="3"/>
  <c r="Z436" i="3"/>
  <c r="AD436" i="3"/>
  <c r="AA436" i="3"/>
  <c r="P436" i="3"/>
  <c r="Q436" i="3" s="1"/>
  <c r="R436" i="3" s="1"/>
  <c r="S436" i="3" s="1"/>
  <c r="AC436" i="3"/>
  <c r="L435" i="3"/>
  <c r="T436" i="3" l="1"/>
  <c r="AH436" i="3" s="1"/>
  <c r="U435" i="3"/>
  <c r="Y434" i="3"/>
  <c r="AG436" i="3" l="1"/>
  <c r="E436" i="3"/>
  <c r="H436" i="3" s="1"/>
  <c r="K436" i="3" s="1"/>
  <c r="D436" i="3"/>
  <c r="F436" i="3" l="1"/>
  <c r="G436" i="3"/>
  <c r="I436" i="3" s="1"/>
  <c r="V436" i="3"/>
  <c r="A437" i="3"/>
  <c r="B437" i="3" s="1"/>
  <c r="M436" i="3" l="1"/>
  <c r="N436" i="3" s="1"/>
  <c r="J436" i="3"/>
  <c r="W436" i="3"/>
  <c r="AC437" i="3"/>
  <c r="AA437" i="3"/>
  <c r="AD437" i="3"/>
  <c r="AE437" i="3"/>
  <c r="Z437" i="3"/>
  <c r="P437" i="3"/>
  <c r="Q437" i="3" s="1"/>
  <c r="R437" i="3" s="1"/>
  <c r="S437" i="3" s="1"/>
  <c r="L436" i="3"/>
  <c r="T437" i="3" l="1"/>
  <c r="AH437" i="3" s="1"/>
  <c r="U436" i="3"/>
  <c r="Y435" i="3"/>
  <c r="D437" i="3" l="1"/>
  <c r="G437" i="3" s="1"/>
  <c r="AG437" i="3"/>
  <c r="E437" i="3"/>
  <c r="H437" i="3" s="1"/>
  <c r="K437" i="3" l="1"/>
  <c r="I437" i="3"/>
  <c r="J437" i="3"/>
  <c r="M437" i="3"/>
  <c r="N437" i="3" s="1"/>
  <c r="F437" i="3"/>
  <c r="V437" i="3" l="1"/>
  <c r="W437" i="3" s="1"/>
  <c r="A438" i="3"/>
  <c r="B438" i="3" s="1"/>
  <c r="L437" i="3"/>
  <c r="AC438" i="3" l="1"/>
  <c r="AE438" i="3"/>
  <c r="AA438" i="3"/>
  <c r="P438" i="3"/>
  <c r="Q438" i="3" s="1"/>
  <c r="R438" i="3" s="1"/>
  <c r="S438" i="3" s="1"/>
  <c r="Z438" i="3"/>
  <c r="AD438" i="3"/>
  <c r="U437" i="3"/>
  <c r="Y436" i="3"/>
  <c r="T438" i="3" l="1"/>
  <c r="E438" i="3" l="1"/>
  <c r="H438" i="3" s="1"/>
  <c r="AG438" i="3"/>
  <c r="AH438" i="3"/>
  <c r="D438" i="3"/>
  <c r="F438" i="3" l="1"/>
  <c r="G438" i="3"/>
  <c r="K438" i="3"/>
  <c r="I438" i="3" l="1"/>
  <c r="J438" i="3"/>
  <c r="M438" i="3"/>
  <c r="N438" i="3" s="1"/>
  <c r="V438" i="3"/>
  <c r="A439" i="3"/>
  <c r="B439" i="3" s="1"/>
  <c r="W438" i="3" l="1"/>
  <c r="P439" i="3"/>
  <c r="Q439" i="3" s="1"/>
  <c r="R439" i="3" s="1"/>
  <c r="S439" i="3" s="1"/>
  <c r="Z439" i="3"/>
  <c r="AD439" i="3"/>
  <c r="AC439" i="3"/>
  <c r="AA439" i="3"/>
  <c r="AE439" i="3"/>
  <c r="L438" i="3"/>
  <c r="U438" i="3" l="1"/>
  <c r="Y437" i="3"/>
  <c r="T439" i="3"/>
  <c r="AG439" i="3" s="1"/>
  <c r="E439" i="3" l="1"/>
  <c r="H439" i="3" s="1"/>
  <c r="K439" i="3" s="1"/>
  <c r="D439" i="3"/>
  <c r="AH439" i="3"/>
  <c r="F439" i="3" l="1"/>
  <c r="G439" i="3"/>
  <c r="V439" i="3"/>
  <c r="A440" i="3"/>
  <c r="B440" i="3" s="1"/>
  <c r="Z440" i="3" l="1"/>
  <c r="AA440" i="3"/>
  <c r="AD440" i="3"/>
  <c r="P440" i="3"/>
  <c r="Q440" i="3" s="1"/>
  <c r="R440" i="3" s="1"/>
  <c r="S440" i="3" s="1"/>
  <c r="AC440" i="3"/>
  <c r="AE440" i="3"/>
  <c r="I439" i="3"/>
  <c r="W439" i="3" s="1"/>
  <c r="J439" i="3"/>
  <c r="M439" i="3"/>
  <c r="N439" i="3" s="1"/>
  <c r="L439" i="3" l="1"/>
  <c r="T440" i="3"/>
  <c r="AH440" i="3" l="1"/>
  <c r="AG440" i="3"/>
  <c r="U439" i="3"/>
  <c r="E440" i="3" s="1"/>
  <c r="H440" i="3" s="1"/>
  <c r="Y438" i="3"/>
  <c r="D440" i="3" l="1"/>
  <c r="F440" i="3" s="1"/>
  <c r="K440" i="3"/>
  <c r="G440" i="3" l="1"/>
  <c r="I440" i="3" s="1"/>
  <c r="V440" i="3"/>
  <c r="A441" i="3"/>
  <c r="B441" i="3" s="1"/>
  <c r="M440" i="3" l="1"/>
  <c r="N440" i="3" s="1"/>
  <c r="J440" i="3"/>
  <c r="L440" i="3" s="1"/>
  <c r="W440" i="3"/>
  <c r="P441" i="3"/>
  <c r="Q441" i="3" s="1"/>
  <c r="R441" i="3" s="1"/>
  <c r="S441" i="3" s="1"/>
  <c r="AD441" i="3"/>
  <c r="AA441" i="3"/>
  <c r="Z441" i="3"/>
  <c r="AE441" i="3"/>
  <c r="AC441" i="3"/>
  <c r="T441" i="3" l="1"/>
  <c r="AG441" i="3" s="1"/>
  <c r="U440" i="3"/>
  <c r="AH441" i="3"/>
  <c r="Y439" i="3"/>
  <c r="D441" i="3" l="1"/>
  <c r="G441" i="3" s="1"/>
  <c r="E441" i="3"/>
  <c r="H441" i="3" s="1"/>
  <c r="K441" i="3" s="1"/>
  <c r="F441" i="3" l="1"/>
  <c r="I441" i="3"/>
  <c r="J441" i="3"/>
  <c r="M441" i="3"/>
  <c r="N441" i="3" s="1"/>
  <c r="V441" i="3"/>
  <c r="A442" i="3"/>
  <c r="B442" i="3" s="1"/>
  <c r="W441" i="3" l="1"/>
  <c r="L441" i="3"/>
  <c r="Z442" i="3"/>
  <c r="AC442" i="3"/>
  <c r="AE442" i="3"/>
  <c r="P442" i="3"/>
  <c r="Q442" i="3" s="1"/>
  <c r="R442" i="3" s="1"/>
  <c r="S442" i="3" s="1"/>
  <c r="AD442" i="3"/>
  <c r="AA442" i="3"/>
  <c r="T442" i="3" l="1"/>
  <c r="AH442" i="3" s="1"/>
  <c r="U441" i="3"/>
  <c r="Y440" i="3"/>
  <c r="AG442" i="3" l="1"/>
  <c r="E442" i="3"/>
  <c r="H442" i="3" s="1"/>
  <c r="K442" i="3" s="1"/>
  <c r="D442" i="3"/>
  <c r="V442" i="3" l="1"/>
  <c r="A443" i="3"/>
  <c r="B443" i="3" s="1"/>
  <c r="F442" i="3"/>
  <c r="G442" i="3"/>
  <c r="P443" i="3" l="1"/>
  <c r="Q443" i="3" s="1"/>
  <c r="R443" i="3" s="1"/>
  <c r="S443" i="3" s="1"/>
  <c r="Z443" i="3"/>
  <c r="AE443" i="3"/>
  <c r="AC443" i="3"/>
  <c r="AD443" i="3"/>
  <c r="AA443" i="3"/>
  <c r="I442" i="3"/>
  <c r="W442" i="3" s="1"/>
  <c r="J442" i="3"/>
  <c r="M442" i="3"/>
  <c r="N442" i="3" s="1"/>
  <c r="L442" i="3" l="1"/>
  <c r="T443" i="3"/>
  <c r="AG443" i="3" l="1"/>
  <c r="U442" i="3"/>
  <c r="E443" i="3" s="1"/>
  <c r="H443" i="3" s="1"/>
  <c r="AH443" i="3"/>
  <c r="Y441" i="3"/>
  <c r="D443" i="3" l="1"/>
  <c r="F443" i="3" s="1"/>
  <c r="K443" i="3"/>
  <c r="G443" i="3" l="1"/>
  <c r="I443" i="3" s="1"/>
  <c r="V443" i="3"/>
  <c r="A444" i="3"/>
  <c r="B444" i="3" s="1"/>
  <c r="M443" i="3" l="1"/>
  <c r="N443" i="3" s="1"/>
  <c r="J443" i="3"/>
  <c r="W443" i="3"/>
  <c r="AE444" i="3"/>
  <c r="AA444" i="3"/>
  <c r="AC444" i="3"/>
  <c r="P444" i="3"/>
  <c r="Q444" i="3" s="1"/>
  <c r="R444" i="3" s="1"/>
  <c r="S444" i="3" s="1"/>
  <c r="Z444" i="3"/>
  <c r="AD444" i="3"/>
  <c r="L443" i="3"/>
  <c r="T444" i="3" l="1"/>
  <c r="AG444" i="3" s="1"/>
  <c r="U443" i="3"/>
  <c r="Y442" i="3"/>
  <c r="D444" i="3" l="1"/>
  <c r="G444" i="3" s="1"/>
  <c r="AH444" i="3"/>
  <c r="E444" i="3"/>
  <c r="H444" i="3" s="1"/>
  <c r="K444" i="3" l="1"/>
  <c r="I444" i="3"/>
  <c r="J444" i="3"/>
  <c r="M444" i="3"/>
  <c r="N444" i="3" s="1"/>
  <c r="F444" i="3"/>
  <c r="V444" i="3" l="1"/>
  <c r="W444" i="3" s="1"/>
  <c r="A445" i="3"/>
  <c r="B445" i="3" s="1"/>
  <c r="L444" i="3"/>
  <c r="AA445" i="3" l="1"/>
  <c r="AE445" i="3"/>
  <c r="P445" i="3"/>
  <c r="Q445" i="3" s="1"/>
  <c r="R445" i="3" s="1"/>
  <c r="S445" i="3" s="1"/>
  <c r="AD445" i="3"/>
  <c r="AC445" i="3"/>
  <c r="Z445" i="3"/>
  <c r="U444" i="3"/>
  <c r="Y443" i="3"/>
  <c r="T445" i="3" l="1"/>
  <c r="D445" i="3" s="1"/>
  <c r="AG445" i="3" l="1"/>
  <c r="AH445" i="3"/>
  <c r="E445" i="3"/>
  <c r="H445" i="3" s="1"/>
  <c r="K445" i="3" s="1"/>
  <c r="G445" i="3"/>
  <c r="F445" i="3" l="1"/>
  <c r="I445" i="3"/>
  <c r="J445" i="3"/>
  <c r="M445" i="3"/>
  <c r="N445" i="3" s="1"/>
  <c r="V445" i="3"/>
  <c r="A446" i="3"/>
  <c r="B446" i="3" s="1"/>
  <c r="W445" i="3" l="1"/>
  <c r="AD446" i="3"/>
  <c r="AC446" i="3"/>
  <c r="AE446" i="3"/>
  <c r="P446" i="3"/>
  <c r="Q446" i="3" s="1"/>
  <c r="R446" i="3" s="1"/>
  <c r="S446" i="3" s="1"/>
  <c r="AA446" i="3"/>
  <c r="Z446" i="3"/>
  <c r="L445" i="3"/>
  <c r="U445" i="3" l="1"/>
  <c r="Y444" i="3"/>
  <c r="T446" i="3"/>
  <c r="D446" i="3" l="1"/>
  <c r="G446" i="3" s="1"/>
  <c r="AH446" i="3"/>
  <c r="AG446" i="3"/>
  <c r="E446" i="3"/>
  <c r="H446" i="3" s="1"/>
  <c r="K446" i="3" l="1"/>
  <c r="I446" i="3"/>
  <c r="J446" i="3"/>
  <c r="M446" i="3"/>
  <c r="N446" i="3" s="1"/>
  <c r="F446" i="3"/>
  <c r="V446" i="3" l="1"/>
  <c r="W446" i="3" s="1"/>
  <c r="A447" i="3"/>
  <c r="B447" i="3" s="1"/>
  <c r="L446" i="3"/>
  <c r="AD447" i="3" l="1"/>
  <c r="Z447" i="3"/>
  <c r="P447" i="3"/>
  <c r="Q447" i="3" s="1"/>
  <c r="R447" i="3" s="1"/>
  <c r="S447" i="3" s="1"/>
  <c r="AC447" i="3"/>
  <c r="AE447" i="3"/>
  <c r="AA447" i="3"/>
  <c r="U446" i="3"/>
  <c r="Y445" i="3"/>
  <c r="T447" i="3" l="1"/>
  <c r="AH447" i="3" s="1"/>
  <c r="E447" i="3" l="1"/>
  <c r="H447" i="3" s="1"/>
  <c r="AG447" i="3"/>
  <c r="D447" i="3"/>
  <c r="K447" i="3" l="1"/>
  <c r="F447" i="3"/>
  <c r="G447" i="3"/>
  <c r="V447" i="3" l="1"/>
  <c r="A448" i="3"/>
  <c r="B448" i="3" s="1"/>
  <c r="I447" i="3"/>
  <c r="J447" i="3"/>
  <c r="M447" i="3"/>
  <c r="N447" i="3" s="1"/>
  <c r="AD448" i="3" l="1"/>
  <c r="AE448" i="3"/>
  <c r="Z448" i="3"/>
  <c r="AC448" i="3"/>
  <c r="AA448" i="3"/>
  <c r="P448" i="3"/>
  <c r="Q448" i="3" s="1"/>
  <c r="R448" i="3" s="1"/>
  <c r="S448" i="3" s="1"/>
  <c r="L447" i="3"/>
  <c r="W447" i="3"/>
  <c r="U447" i="3" l="1"/>
  <c r="Y446" i="3"/>
  <c r="T448" i="3"/>
  <c r="AG448" i="3" s="1"/>
  <c r="E448" i="3" l="1"/>
  <c r="H448" i="3" s="1"/>
  <c r="K448" i="3" s="1"/>
  <c r="D448" i="3"/>
  <c r="AH448" i="3"/>
  <c r="F448" i="3" l="1"/>
  <c r="G448" i="3"/>
  <c r="M448" i="3" s="1"/>
  <c r="N448" i="3" s="1"/>
  <c r="V448" i="3"/>
  <c r="A449" i="3"/>
  <c r="B449" i="3" s="1"/>
  <c r="J448" i="3" l="1"/>
  <c r="I448" i="3"/>
  <c r="W448" i="3" s="1"/>
  <c r="L448" i="3"/>
  <c r="Z449" i="3"/>
  <c r="P449" i="3"/>
  <c r="Q449" i="3" s="1"/>
  <c r="R449" i="3" s="1"/>
  <c r="S449" i="3" s="1"/>
  <c r="AC449" i="3"/>
  <c r="AD449" i="3"/>
  <c r="AE449" i="3"/>
  <c r="AA449" i="3"/>
  <c r="U448" i="3" l="1"/>
  <c r="Y447" i="3"/>
  <c r="T449" i="3"/>
  <c r="AH449" i="3" s="1"/>
  <c r="E449" i="3" l="1"/>
  <c r="H449" i="3" s="1"/>
  <c r="K449" i="3" s="1"/>
  <c r="AG449" i="3"/>
  <c r="D449" i="3"/>
  <c r="F449" i="3" l="1"/>
  <c r="G449" i="3"/>
  <c r="J449" i="3" s="1"/>
  <c r="V449" i="3"/>
  <c r="A450" i="3"/>
  <c r="B450" i="3" s="1"/>
  <c r="I449" i="3" l="1"/>
  <c r="M449" i="3"/>
  <c r="N449" i="3" s="1"/>
  <c r="L449" i="3"/>
  <c r="AA450" i="3"/>
  <c r="AE450" i="3"/>
  <c r="P450" i="3"/>
  <c r="Q450" i="3" s="1"/>
  <c r="R450" i="3" s="1"/>
  <c r="S450" i="3" s="1"/>
  <c r="AC450" i="3"/>
  <c r="AD450" i="3"/>
  <c r="Z450" i="3"/>
  <c r="W449" i="3"/>
  <c r="T450" i="3" l="1"/>
  <c r="AH450" i="3" s="1"/>
  <c r="U449" i="3"/>
  <c r="Y448" i="3"/>
  <c r="AG450" i="3" l="1"/>
  <c r="E450" i="3"/>
  <c r="H450" i="3" s="1"/>
  <c r="K450" i="3" s="1"/>
  <c r="D450" i="3"/>
  <c r="G450" i="3" s="1"/>
  <c r="F450" i="3" l="1"/>
  <c r="V450" i="3"/>
  <c r="A451" i="3"/>
  <c r="B451" i="3" s="1"/>
  <c r="I450" i="3"/>
  <c r="J450" i="3"/>
  <c r="M450" i="3"/>
  <c r="N450" i="3" s="1"/>
  <c r="W450" i="3" l="1"/>
  <c r="Z451" i="3"/>
  <c r="AD451" i="3"/>
  <c r="AE451" i="3"/>
  <c r="AC451" i="3"/>
  <c r="P451" i="3"/>
  <c r="Q451" i="3" s="1"/>
  <c r="R451" i="3" s="1"/>
  <c r="S451" i="3" s="1"/>
  <c r="AA451" i="3"/>
  <c r="L450" i="3"/>
  <c r="T451" i="3" l="1"/>
  <c r="AH451" i="3" s="1"/>
  <c r="U450" i="3"/>
  <c r="Y449" i="3"/>
  <c r="AG451" i="3" l="1"/>
  <c r="D451" i="3"/>
  <c r="G451" i="3" s="1"/>
  <c r="E451" i="3"/>
  <c r="H451" i="3" s="1"/>
  <c r="K451" i="3" s="1"/>
  <c r="F451" i="3" l="1"/>
  <c r="V451" i="3"/>
  <c r="A452" i="3"/>
  <c r="B452" i="3" s="1"/>
  <c r="I451" i="3"/>
  <c r="J451" i="3"/>
  <c r="M451" i="3"/>
  <c r="N451" i="3" s="1"/>
  <c r="W451" i="3" l="1"/>
  <c r="AA452" i="3"/>
  <c r="AE452" i="3"/>
  <c r="AD452" i="3"/>
  <c r="Z452" i="3"/>
  <c r="AC452" i="3"/>
  <c r="P452" i="3"/>
  <c r="Q452" i="3" s="1"/>
  <c r="R452" i="3" s="1"/>
  <c r="S452" i="3" s="1"/>
  <c r="L451" i="3"/>
  <c r="U451" i="3" l="1"/>
  <c r="Y450" i="3"/>
  <c r="T452" i="3"/>
  <c r="E452" i="3" l="1"/>
  <c r="H452" i="3" s="1"/>
  <c r="K452" i="3" s="1"/>
  <c r="AH452" i="3"/>
  <c r="AG452" i="3"/>
  <c r="D452" i="3"/>
  <c r="G452" i="3" s="1"/>
  <c r="F452" i="3" l="1"/>
  <c r="I452" i="3"/>
  <c r="J452" i="3"/>
  <c r="M452" i="3"/>
  <c r="N452" i="3" s="1"/>
  <c r="V452" i="3"/>
  <c r="A453" i="3"/>
  <c r="B453" i="3" s="1"/>
  <c r="W452" i="3" l="1"/>
  <c r="AA453" i="3"/>
  <c r="P453" i="3"/>
  <c r="Q453" i="3" s="1"/>
  <c r="R453" i="3" s="1"/>
  <c r="S453" i="3" s="1"/>
  <c r="AE453" i="3"/>
  <c r="AC453" i="3"/>
  <c r="Z453" i="3"/>
  <c r="AD453" i="3"/>
  <c r="L452" i="3"/>
  <c r="U452" i="3" l="1"/>
  <c r="Y451" i="3"/>
  <c r="T453" i="3"/>
  <c r="D453" i="3" s="1"/>
  <c r="G453" i="3" l="1"/>
  <c r="AH453" i="3"/>
  <c r="AG453" i="3"/>
  <c r="E453" i="3"/>
  <c r="H453" i="3" s="1"/>
  <c r="I453" i="3" l="1"/>
  <c r="J453" i="3"/>
  <c r="M453" i="3"/>
  <c r="N453" i="3" s="1"/>
  <c r="K453" i="3"/>
  <c r="F453" i="3"/>
  <c r="L453" i="3" l="1"/>
  <c r="V453" i="3"/>
  <c r="W453" i="3" s="1"/>
  <c r="A454" i="3"/>
  <c r="B454" i="3" s="1"/>
  <c r="AD454" i="3" l="1"/>
  <c r="P454" i="3"/>
  <c r="Q454" i="3" s="1"/>
  <c r="R454" i="3" s="1"/>
  <c r="S454" i="3" s="1"/>
  <c r="Z454" i="3"/>
  <c r="AA454" i="3"/>
  <c r="AE454" i="3"/>
  <c r="AC454" i="3"/>
  <c r="U453" i="3"/>
  <c r="Y452" i="3"/>
  <c r="T454" i="3" l="1"/>
  <c r="AH454" i="3" s="1"/>
  <c r="E454" i="3" l="1"/>
  <c r="H454" i="3" s="1"/>
  <c r="D454" i="3"/>
  <c r="AG454" i="3"/>
  <c r="F454" i="3" l="1"/>
  <c r="G454" i="3"/>
  <c r="K454" i="3"/>
  <c r="I454" i="3" l="1"/>
  <c r="J454" i="3"/>
  <c r="M454" i="3"/>
  <c r="N454" i="3" s="1"/>
  <c r="V454" i="3"/>
  <c r="W454" i="3" s="1"/>
  <c r="A455" i="3"/>
  <c r="B455" i="3" s="1"/>
  <c r="P455" i="3" l="1"/>
  <c r="Q455" i="3" s="1"/>
  <c r="R455" i="3" s="1"/>
  <c r="S455" i="3" s="1"/>
  <c r="AA455" i="3"/>
  <c r="Z455" i="3"/>
  <c r="AC455" i="3"/>
  <c r="AE455" i="3"/>
  <c r="AD455" i="3"/>
  <c r="L454" i="3"/>
  <c r="U454" i="3" l="1"/>
  <c r="Y453" i="3"/>
  <c r="T455" i="3"/>
  <c r="D455" i="3" s="1"/>
  <c r="G455" i="3" l="1"/>
  <c r="AG455" i="3"/>
  <c r="E455" i="3"/>
  <c r="H455" i="3" s="1"/>
  <c r="AH455" i="3"/>
  <c r="K455" i="3" l="1"/>
  <c r="I455" i="3"/>
  <c r="J455" i="3"/>
  <c r="M455" i="3"/>
  <c r="N455" i="3" s="1"/>
  <c r="F455" i="3"/>
  <c r="V455" i="3" l="1"/>
  <c r="W455" i="3" s="1"/>
  <c r="A456" i="3"/>
  <c r="B456" i="3" s="1"/>
  <c r="L455" i="3"/>
  <c r="AA456" i="3" l="1"/>
  <c r="AC456" i="3"/>
  <c r="AD456" i="3"/>
  <c r="P456" i="3"/>
  <c r="Q456" i="3" s="1"/>
  <c r="R456" i="3" s="1"/>
  <c r="S456" i="3" s="1"/>
  <c r="AE456" i="3"/>
  <c r="Z456" i="3"/>
  <c r="U455" i="3"/>
  <c r="Y454" i="3"/>
  <c r="T456" i="3" l="1"/>
  <c r="D456" i="3" s="1"/>
  <c r="E456" i="3" l="1"/>
  <c r="H456" i="3" s="1"/>
  <c r="K456" i="3" s="1"/>
  <c r="AG456" i="3"/>
  <c r="G456" i="3"/>
  <c r="AH456" i="3"/>
  <c r="F456" i="3" l="1"/>
  <c r="I456" i="3"/>
  <c r="J456" i="3"/>
  <c r="M456" i="3"/>
  <c r="N456" i="3" s="1"/>
  <c r="V456" i="3"/>
  <c r="A457" i="3"/>
  <c r="B457" i="3" s="1"/>
  <c r="W456" i="3" l="1"/>
  <c r="L456" i="3"/>
  <c r="AA457" i="3"/>
  <c r="AE457" i="3"/>
  <c r="AD457" i="3"/>
  <c r="P457" i="3"/>
  <c r="Q457" i="3" s="1"/>
  <c r="R457" i="3" s="1"/>
  <c r="S457" i="3" s="1"/>
  <c r="AC457" i="3"/>
  <c r="Z457" i="3"/>
  <c r="T457" i="3" l="1"/>
  <c r="AH457" i="3" s="1"/>
  <c r="U456" i="3"/>
  <c r="Y455" i="3"/>
  <c r="D457" i="3" l="1"/>
  <c r="G457" i="3" s="1"/>
  <c r="AG457" i="3"/>
  <c r="E457" i="3"/>
  <c r="H457" i="3" s="1"/>
  <c r="K457" i="3" s="1"/>
  <c r="F457" i="3" l="1"/>
  <c r="I457" i="3"/>
  <c r="J457" i="3"/>
  <c r="M457" i="3"/>
  <c r="N457" i="3" s="1"/>
  <c r="V457" i="3"/>
  <c r="A458" i="3"/>
  <c r="B458" i="3" s="1"/>
  <c r="W457" i="3" l="1"/>
  <c r="Z458" i="3"/>
  <c r="AA458" i="3"/>
  <c r="AD458" i="3"/>
  <c r="AE458" i="3"/>
  <c r="P458" i="3"/>
  <c r="Q458" i="3" s="1"/>
  <c r="R458" i="3" s="1"/>
  <c r="S458" i="3" s="1"/>
  <c r="AC458" i="3"/>
  <c r="L457" i="3"/>
  <c r="T458" i="3" l="1"/>
  <c r="AH458" i="3" s="1"/>
  <c r="U457" i="3"/>
  <c r="Y456" i="3"/>
  <c r="E458" i="3" l="1"/>
  <c r="H458" i="3" s="1"/>
  <c r="K458" i="3" s="1"/>
  <c r="AG458" i="3"/>
  <c r="D458" i="3"/>
  <c r="F458" i="3" s="1"/>
  <c r="G458" i="3" l="1"/>
  <c r="I458" i="3" s="1"/>
  <c r="V458" i="3"/>
  <c r="A459" i="3"/>
  <c r="B459" i="3" s="1"/>
  <c r="M458" i="3" l="1"/>
  <c r="N458" i="3" s="1"/>
  <c r="J458" i="3"/>
  <c r="L458" i="3" s="1"/>
  <c r="W458" i="3"/>
  <c r="AC459" i="3"/>
  <c r="AD459" i="3"/>
  <c r="P459" i="3"/>
  <c r="Q459" i="3" s="1"/>
  <c r="R459" i="3" s="1"/>
  <c r="S459" i="3" s="1"/>
  <c r="AE459" i="3"/>
  <c r="Z459" i="3"/>
  <c r="AA459" i="3"/>
  <c r="T459" i="3" l="1"/>
  <c r="AH459" i="3" s="1"/>
  <c r="U458" i="3"/>
  <c r="Y457" i="3"/>
  <c r="AG459" i="3" l="1"/>
  <c r="D459" i="3"/>
  <c r="G459" i="3" s="1"/>
  <c r="E459" i="3"/>
  <c r="H459" i="3" s="1"/>
  <c r="K459" i="3" s="1"/>
  <c r="F459" i="3" l="1"/>
  <c r="V459" i="3"/>
  <c r="A460" i="3"/>
  <c r="B460" i="3" s="1"/>
  <c r="I459" i="3"/>
  <c r="J459" i="3"/>
  <c r="M459" i="3"/>
  <c r="N459" i="3" s="1"/>
  <c r="AE460" i="3" l="1"/>
  <c r="AC460" i="3"/>
  <c r="P460" i="3"/>
  <c r="Q460" i="3" s="1"/>
  <c r="R460" i="3" s="1"/>
  <c r="S460" i="3" s="1"/>
  <c r="AA460" i="3"/>
  <c r="AD460" i="3"/>
  <c r="Z460" i="3"/>
  <c r="L459" i="3"/>
  <c r="W459" i="3"/>
  <c r="U459" i="3" l="1"/>
  <c r="Y458" i="3"/>
  <c r="T460" i="3"/>
  <c r="E460" i="3" l="1"/>
  <c r="H460" i="3" s="1"/>
  <c r="K460" i="3" s="1"/>
  <c r="AG460" i="3"/>
  <c r="AH460" i="3"/>
  <c r="D460" i="3"/>
  <c r="F460" i="3" l="1"/>
  <c r="G460" i="3"/>
  <c r="V460" i="3"/>
  <c r="A461" i="3"/>
  <c r="B461" i="3" s="1"/>
  <c r="AD461" i="3" l="1"/>
  <c r="AC461" i="3"/>
  <c r="AE461" i="3"/>
  <c r="P461" i="3"/>
  <c r="Q461" i="3" s="1"/>
  <c r="R461" i="3" s="1"/>
  <c r="S461" i="3" s="1"/>
  <c r="Z461" i="3"/>
  <c r="AA461" i="3"/>
  <c r="I460" i="3"/>
  <c r="W460" i="3" s="1"/>
  <c r="J460" i="3"/>
  <c r="M460" i="3"/>
  <c r="N460" i="3" s="1"/>
  <c r="T461" i="3" l="1"/>
  <c r="L460" i="3"/>
  <c r="AH461" i="3" l="1"/>
  <c r="AG461" i="3"/>
  <c r="U460" i="3"/>
  <c r="E461" i="3" s="1"/>
  <c r="H461" i="3" s="1"/>
  <c r="Y459" i="3"/>
  <c r="D461" i="3" l="1"/>
  <c r="G461" i="3" s="1"/>
  <c r="K461" i="3"/>
  <c r="F461" i="3" l="1"/>
  <c r="V461" i="3"/>
  <c r="A462" i="3"/>
  <c r="B462" i="3" s="1"/>
  <c r="I461" i="3"/>
  <c r="J461" i="3"/>
  <c r="M461" i="3"/>
  <c r="N461" i="3" s="1"/>
  <c r="AE462" i="3" l="1"/>
  <c r="Z462" i="3"/>
  <c r="AC462" i="3"/>
  <c r="AA462" i="3"/>
  <c r="P462" i="3"/>
  <c r="Q462" i="3" s="1"/>
  <c r="R462" i="3" s="1"/>
  <c r="S462" i="3" s="1"/>
  <c r="AD462" i="3"/>
  <c r="L461" i="3"/>
  <c r="W461" i="3"/>
  <c r="U461" i="3" l="1"/>
  <c r="Y460" i="3"/>
  <c r="T462" i="3"/>
  <c r="AG462" i="3" s="1"/>
  <c r="D462" i="3" l="1"/>
  <c r="AH462" i="3"/>
  <c r="E462" i="3"/>
  <c r="H462" i="3" s="1"/>
  <c r="K462" i="3" l="1"/>
  <c r="F462" i="3"/>
  <c r="G462" i="3"/>
  <c r="V462" i="3" l="1"/>
  <c r="A463" i="3"/>
  <c r="B463" i="3" s="1"/>
  <c r="I462" i="3"/>
  <c r="J462" i="3"/>
  <c r="M462" i="3"/>
  <c r="N462" i="3" s="1"/>
  <c r="Z463" i="3" l="1"/>
  <c r="P463" i="3"/>
  <c r="Q463" i="3" s="1"/>
  <c r="R463" i="3" s="1"/>
  <c r="S463" i="3" s="1"/>
  <c r="AA463" i="3"/>
  <c r="AE463" i="3"/>
  <c r="AC463" i="3"/>
  <c r="AD463" i="3"/>
  <c r="L462" i="3"/>
  <c r="W462" i="3"/>
  <c r="T463" i="3" l="1"/>
  <c r="U462" i="3"/>
  <c r="Y461" i="3"/>
  <c r="E463" i="3" l="1"/>
  <c r="H463" i="3" s="1"/>
  <c r="K463" i="3" s="1"/>
  <c r="AH463" i="3"/>
  <c r="AG463" i="3"/>
  <c r="D463" i="3"/>
  <c r="G463" i="3" s="1"/>
  <c r="F463" i="3" l="1"/>
  <c r="V463" i="3"/>
  <c r="A464" i="3"/>
  <c r="B464" i="3" s="1"/>
  <c r="I463" i="3"/>
  <c r="J463" i="3"/>
  <c r="M463" i="3"/>
  <c r="N463" i="3" s="1"/>
  <c r="W463" i="3" l="1"/>
  <c r="L463" i="3"/>
  <c r="P464" i="3"/>
  <c r="Q464" i="3" s="1"/>
  <c r="R464" i="3" s="1"/>
  <c r="S464" i="3" s="1"/>
  <c r="AA464" i="3"/>
  <c r="AE464" i="3"/>
  <c r="Z464" i="3"/>
  <c r="AC464" i="3"/>
  <c r="AD464" i="3"/>
  <c r="T464" i="3" l="1"/>
  <c r="AH464" i="3" s="1"/>
  <c r="U463" i="3"/>
  <c r="Y462" i="3"/>
  <c r="AG464" i="3" l="1"/>
  <c r="E464" i="3"/>
  <c r="H464" i="3" s="1"/>
  <c r="K464" i="3" s="1"/>
  <c r="D464" i="3"/>
  <c r="F464" i="3" l="1"/>
  <c r="G464" i="3"/>
  <c r="I464" i="3" s="1"/>
  <c r="V464" i="3"/>
  <c r="A465" i="3"/>
  <c r="B465" i="3" s="1"/>
  <c r="M464" i="3" l="1"/>
  <c r="N464" i="3" s="1"/>
  <c r="J464" i="3"/>
  <c r="L464" i="3" s="1"/>
  <c r="W464" i="3"/>
  <c r="AD465" i="3"/>
  <c r="AC465" i="3"/>
  <c r="AE465" i="3"/>
  <c r="AA465" i="3"/>
  <c r="P465" i="3"/>
  <c r="Q465" i="3" s="1"/>
  <c r="R465" i="3" s="1"/>
  <c r="S465" i="3" s="1"/>
  <c r="Z465" i="3"/>
  <c r="T465" i="3" l="1"/>
  <c r="AH465" i="3" s="1"/>
  <c r="U464" i="3"/>
  <c r="Y463" i="3"/>
  <c r="AG465" i="3" l="1"/>
  <c r="E465" i="3"/>
  <c r="H465" i="3" s="1"/>
  <c r="K465" i="3" s="1"/>
  <c r="D465" i="3"/>
  <c r="F465" i="3" l="1"/>
  <c r="G465" i="3"/>
  <c r="V465" i="3"/>
  <c r="A466" i="3"/>
  <c r="B466" i="3" s="1"/>
  <c r="P466" i="3" l="1"/>
  <c r="Q466" i="3" s="1"/>
  <c r="R466" i="3" s="1"/>
  <c r="S466" i="3" s="1"/>
  <c r="AC466" i="3"/>
  <c r="AE466" i="3"/>
  <c r="Z466" i="3"/>
  <c r="AD466" i="3"/>
  <c r="AA466" i="3"/>
  <c r="I465" i="3"/>
  <c r="W465" i="3" s="1"/>
  <c r="J465" i="3"/>
  <c r="M465" i="3"/>
  <c r="N465" i="3" s="1"/>
  <c r="L465" i="3" l="1"/>
  <c r="T466" i="3"/>
  <c r="U465" i="3" l="1"/>
  <c r="D466" i="3" s="1"/>
  <c r="AH466" i="3"/>
  <c r="AG466" i="3"/>
  <c r="Y464" i="3"/>
  <c r="E466" i="3" l="1"/>
  <c r="H466" i="3" s="1"/>
  <c r="K466" i="3" s="1"/>
  <c r="G466" i="3"/>
  <c r="F466" i="3" l="1"/>
  <c r="I466" i="3"/>
  <c r="J466" i="3"/>
  <c r="M466" i="3"/>
  <c r="N466" i="3" s="1"/>
  <c r="V466" i="3"/>
  <c r="A467" i="3"/>
  <c r="B467" i="3" s="1"/>
  <c r="W466" i="3" l="1"/>
  <c r="AA467" i="3"/>
  <c r="AE467" i="3"/>
  <c r="AC467" i="3"/>
  <c r="AD467" i="3"/>
  <c r="P467" i="3"/>
  <c r="Q467" i="3" s="1"/>
  <c r="R467" i="3" s="1"/>
  <c r="S467" i="3" s="1"/>
  <c r="Z467" i="3"/>
  <c r="L466" i="3"/>
  <c r="U466" i="3" l="1"/>
  <c r="Y465" i="3"/>
  <c r="T467" i="3"/>
  <c r="E467" i="3" s="1"/>
  <c r="H467" i="3" s="1"/>
  <c r="K467" i="3" l="1"/>
  <c r="AH467" i="3"/>
  <c r="AG467" i="3"/>
  <c r="D467" i="3"/>
  <c r="V467" i="3" l="1"/>
  <c r="A468" i="3"/>
  <c r="B468" i="3" s="1"/>
  <c r="F467" i="3"/>
  <c r="G467" i="3"/>
  <c r="Z468" i="3" l="1"/>
  <c r="AC468" i="3"/>
  <c r="AE468" i="3"/>
  <c r="AA468" i="3"/>
  <c r="P468" i="3"/>
  <c r="Q468" i="3" s="1"/>
  <c r="R468" i="3" s="1"/>
  <c r="S468" i="3" s="1"/>
  <c r="AD468" i="3"/>
  <c r="I467" i="3"/>
  <c r="W467" i="3" s="1"/>
  <c r="J467" i="3"/>
  <c r="M467" i="3"/>
  <c r="N467" i="3" s="1"/>
  <c r="T468" i="3" l="1"/>
  <c r="L467" i="3"/>
  <c r="AG468" i="3" l="1"/>
  <c r="AH468" i="3"/>
  <c r="U467" i="3"/>
  <c r="E468" i="3" s="1"/>
  <c r="H468" i="3" s="1"/>
  <c r="Y466" i="3"/>
  <c r="D468" i="3" l="1"/>
  <c r="G468" i="3" s="1"/>
  <c r="K468" i="3"/>
  <c r="F468" i="3" l="1"/>
  <c r="I468" i="3"/>
  <c r="J468" i="3"/>
  <c r="M468" i="3"/>
  <c r="N468" i="3" s="1"/>
  <c r="V468" i="3"/>
  <c r="A469" i="3"/>
  <c r="B469" i="3" s="1"/>
  <c r="W468" i="3" l="1"/>
  <c r="L468" i="3"/>
  <c r="AA469" i="3"/>
  <c r="P469" i="3"/>
  <c r="Q469" i="3" s="1"/>
  <c r="R469" i="3" s="1"/>
  <c r="S469" i="3" s="1"/>
  <c r="AC469" i="3"/>
  <c r="Z469" i="3"/>
  <c r="AE469" i="3"/>
  <c r="AD469" i="3"/>
  <c r="T469" i="3" l="1"/>
  <c r="AG469" i="3" s="1"/>
  <c r="U468" i="3"/>
  <c r="Y467" i="3"/>
  <c r="AH469" i="3" l="1"/>
  <c r="E469" i="3"/>
  <c r="H469" i="3" s="1"/>
  <c r="K469" i="3" s="1"/>
  <c r="D469" i="3"/>
  <c r="F469" i="3" l="1"/>
  <c r="G469" i="3"/>
  <c r="V469" i="3"/>
  <c r="A470" i="3"/>
  <c r="B470" i="3" s="1"/>
  <c r="Z470" i="3" l="1"/>
  <c r="AD470" i="3"/>
  <c r="AA470" i="3"/>
  <c r="AE470" i="3"/>
  <c r="AC470" i="3"/>
  <c r="P470" i="3"/>
  <c r="Q470" i="3" s="1"/>
  <c r="R470" i="3" s="1"/>
  <c r="S470" i="3" s="1"/>
  <c r="I469" i="3"/>
  <c r="W469" i="3" s="1"/>
  <c r="J469" i="3"/>
  <c r="M469" i="3"/>
  <c r="N469" i="3" s="1"/>
  <c r="L469" i="3" l="1"/>
  <c r="T470" i="3"/>
  <c r="U469" i="3" l="1"/>
  <c r="E470" i="3" s="1"/>
  <c r="H470" i="3" s="1"/>
  <c r="AH470" i="3"/>
  <c r="AG470" i="3"/>
  <c r="Y468" i="3"/>
  <c r="D470" i="3" l="1"/>
  <c r="F470" i="3" s="1"/>
  <c r="K470" i="3"/>
  <c r="G470" i="3" l="1"/>
  <c r="I470" i="3" s="1"/>
  <c r="V470" i="3"/>
  <c r="A471" i="3"/>
  <c r="B471" i="3" s="1"/>
  <c r="M470" i="3" l="1"/>
  <c r="N470" i="3" s="1"/>
  <c r="J470" i="3"/>
  <c r="L470" i="3" s="1"/>
  <c r="W470" i="3"/>
  <c r="AE471" i="3"/>
  <c r="Z471" i="3"/>
  <c r="AA471" i="3"/>
  <c r="AD471" i="3"/>
  <c r="AC471" i="3"/>
  <c r="P471" i="3"/>
  <c r="Q471" i="3" s="1"/>
  <c r="R471" i="3" s="1"/>
  <c r="S471" i="3" s="1"/>
  <c r="T471" i="3" l="1"/>
  <c r="AH471" i="3" s="1"/>
  <c r="U470" i="3"/>
  <c r="AG471" i="3"/>
  <c r="Y469" i="3"/>
  <c r="E471" i="3" l="1"/>
  <c r="H471" i="3" s="1"/>
  <c r="K471" i="3" s="1"/>
  <c r="D471" i="3"/>
  <c r="F471" i="3" s="1"/>
  <c r="G471" i="3" l="1"/>
  <c r="I471" i="3" s="1"/>
  <c r="V471" i="3"/>
  <c r="A472" i="3"/>
  <c r="B472" i="3" s="1"/>
  <c r="M471" i="3" l="1"/>
  <c r="N471" i="3" s="1"/>
  <c r="J471" i="3"/>
  <c r="L471" i="3" s="1"/>
  <c r="W471" i="3"/>
  <c r="AA472" i="3"/>
  <c r="AD472" i="3"/>
  <c r="AC472" i="3"/>
  <c r="P472" i="3"/>
  <c r="Q472" i="3" s="1"/>
  <c r="R472" i="3" s="1"/>
  <c r="S472" i="3" s="1"/>
  <c r="Z472" i="3"/>
  <c r="AE472" i="3"/>
  <c r="U471" i="3" l="1"/>
  <c r="Y470" i="3"/>
  <c r="T472" i="3"/>
  <c r="AG472" i="3" s="1"/>
  <c r="E472" i="3" l="1"/>
  <c r="H472" i="3" s="1"/>
  <c r="K472" i="3" s="1"/>
  <c r="D472" i="3"/>
  <c r="AH472" i="3"/>
  <c r="V472" i="3" l="1"/>
  <c r="A473" i="3"/>
  <c r="B473" i="3" s="1"/>
  <c r="F472" i="3"/>
  <c r="G472" i="3"/>
  <c r="AE473" i="3" l="1"/>
  <c r="AC473" i="3"/>
  <c r="AA473" i="3"/>
  <c r="AD473" i="3"/>
  <c r="P473" i="3"/>
  <c r="Q473" i="3" s="1"/>
  <c r="R473" i="3" s="1"/>
  <c r="S473" i="3" s="1"/>
  <c r="Z473" i="3"/>
  <c r="I472" i="3"/>
  <c r="W472" i="3" s="1"/>
  <c r="J472" i="3"/>
  <c r="M472" i="3"/>
  <c r="N472" i="3" s="1"/>
  <c r="T473" i="3" l="1"/>
  <c r="L472" i="3"/>
  <c r="U472" i="3" l="1"/>
  <c r="AH473" i="3"/>
  <c r="D473" i="3"/>
  <c r="AG473" i="3"/>
  <c r="E473" i="3"/>
  <c r="H473" i="3" s="1"/>
  <c r="Y471" i="3"/>
  <c r="F473" i="3" l="1"/>
  <c r="G473" i="3"/>
  <c r="K473" i="3"/>
  <c r="I473" i="3" l="1"/>
  <c r="J473" i="3"/>
  <c r="M473" i="3"/>
  <c r="N473" i="3" s="1"/>
  <c r="V473" i="3"/>
  <c r="A474" i="3"/>
  <c r="B474" i="3" s="1"/>
  <c r="W473" i="3" l="1"/>
  <c r="L473" i="3"/>
  <c r="P474" i="3"/>
  <c r="Q474" i="3" s="1"/>
  <c r="R474" i="3" s="1"/>
  <c r="S474" i="3" s="1"/>
  <c r="AA474" i="3"/>
  <c r="AD474" i="3"/>
  <c r="AC474" i="3"/>
  <c r="Z474" i="3"/>
  <c r="AE474" i="3"/>
  <c r="T474" i="3" l="1"/>
  <c r="AH474" i="3" s="1"/>
  <c r="U473" i="3"/>
  <c r="Y472" i="3"/>
  <c r="E474" i="3" l="1"/>
  <c r="H474" i="3" s="1"/>
  <c r="K474" i="3" s="1"/>
  <c r="AG474" i="3"/>
  <c r="D474" i="3"/>
  <c r="F474" i="3" s="1"/>
  <c r="G474" i="3" l="1"/>
  <c r="I474" i="3" s="1"/>
  <c r="V474" i="3"/>
  <c r="A475" i="3"/>
  <c r="B475" i="3" s="1"/>
  <c r="M474" i="3" l="1"/>
  <c r="N474" i="3" s="1"/>
  <c r="J474" i="3"/>
  <c r="L474" i="3" s="1"/>
  <c r="W474" i="3"/>
  <c r="AE475" i="3"/>
  <c r="AA475" i="3"/>
  <c r="P475" i="3"/>
  <c r="Q475" i="3" s="1"/>
  <c r="R475" i="3" s="1"/>
  <c r="S475" i="3" s="1"/>
  <c r="Z475" i="3"/>
  <c r="AD475" i="3"/>
  <c r="AC475" i="3"/>
  <c r="U474" i="3" l="1"/>
  <c r="Y473" i="3"/>
  <c r="T475" i="3"/>
  <c r="AH475" i="3" s="1"/>
  <c r="AG475" i="3" l="1"/>
  <c r="D475" i="3"/>
  <c r="E475" i="3"/>
  <c r="H475" i="3" s="1"/>
  <c r="K475" i="3" l="1"/>
  <c r="F475" i="3"/>
  <c r="G475" i="3"/>
  <c r="V475" i="3" l="1"/>
  <c r="A476" i="3"/>
  <c r="B476" i="3" s="1"/>
  <c r="I475" i="3"/>
  <c r="J475" i="3"/>
  <c r="M475" i="3"/>
  <c r="N475" i="3" s="1"/>
  <c r="W475" i="3" l="1"/>
  <c r="P476" i="3"/>
  <c r="Q476" i="3" s="1"/>
  <c r="R476" i="3" s="1"/>
  <c r="S476" i="3" s="1"/>
  <c r="Z476" i="3"/>
  <c r="AE476" i="3"/>
  <c r="AD476" i="3"/>
  <c r="AA476" i="3"/>
  <c r="AC476" i="3"/>
  <c r="L475" i="3"/>
  <c r="U475" i="3" l="1"/>
  <c r="Y474" i="3"/>
  <c r="T476" i="3"/>
  <c r="AG476" i="3" s="1"/>
  <c r="D476" i="3" l="1"/>
  <c r="G476" i="3" s="1"/>
  <c r="E476" i="3"/>
  <c r="H476" i="3" s="1"/>
  <c r="K476" i="3" s="1"/>
  <c r="AH476" i="3"/>
  <c r="F476" i="3" l="1"/>
  <c r="V476" i="3"/>
  <c r="A477" i="3"/>
  <c r="B477" i="3" s="1"/>
  <c r="I476" i="3"/>
  <c r="J476" i="3"/>
  <c r="M476" i="3"/>
  <c r="N476" i="3" s="1"/>
  <c r="AE477" i="3" l="1"/>
  <c r="AC477" i="3"/>
  <c r="Z477" i="3"/>
  <c r="AD477" i="3"/>
  <c r="P477" i="3"/>
  <c r="Q477" i="3" s="1"/>
  <c r="R477" i="3" s="1"/>
  <c r="S477" i="3" s="1"/>
  <c r="AA477" i="3"/>
  <c r="W476" i="3"/>
  <c r="L476" i="3"/>
  <c r="U476" i="3" l="1"/>
  <c r="Y475" i="3"/>
  <c r="T477" i="3"/>
  <c r="AH477" i="3" s="1"/>
  <c r="E477" i="3" l="1"/>
  <c r="H477" i="3" s="1"/>
  <c r="D477" i="3"/>
  <c r="AG477" i="3"/>
  <c r="F477" i="3" l="1"/>
  <c r="G477" i="3"/>
  <c r="K477" i="3"/>
  <c r="I477" i="3" l="1"/>
  <c r="J477" i="3"/>
  <c r="M477" i="3"/>
  <c r="N477" i="3" s="1"/>
  <c r="V477" i="3"/>
  <c r="W477" i="3" s="1"/>
  <c r="A478" i="3"/>
  <c r="B478" i="3" s="1"/>
  <c r="AA478" i="3" l="1"/>
  <c r="P478" i="3"/>
  <c r="Q478" i="3" s="1"/>
  <c r="R478" i="3" s="1"/>
  <c r="S478" i="3" s="1"/>
  <c r="AD478" i="3"/>
  <c r="AE478" i="3"/>
  <c r="AC478" i="3"/>
  <c r="Z478" i="3"/>
  <c r="L477" i="3"/>
  <c r="T478" i="3" l="1"/>
  <c r="AH478" i="3" s="1"/>
  <c r="U477" i="3"/>
  <c r="Y476" i="3"/>
  <c r="E478" i="3" l="1"/>
  <c r="H478" i="3" s="1"/>
  <c r="K478" i="3" s="1"/>
  <c r="AG478" i="3"/>
  <c r="D478" i="3"/>
  <c r="F478" i="3" l="1"/>
  <c r="G478" i="3"/>
  <c r="V478" i="3"/>
  <c r="A479" i="3"/>
  <c r="B479" i="3" s="1"/>
  <c r="I478" i="3" l="1"/>
  <c r="W478" i="3" s="1"/>
  <c r="J478" i="3"/>
  <c r="M478" i="3"/>
  <c r="N478" i="3" s="1"/>
  <c r="AE479" i="3"/>
  <c r="AC479" i="3"/>
  <c r="AA479" i="3"/>
  <c r="AD479" i="3"/>
  <c r="P479" i="3"/>
  <c r="Q479" i="3" s="1"/>
  <c r="R479" i="3" s="1"/>
  <c r="S479" i="3" s="1"/>
  <c r="Z479" i="3"/>
  <c r="L478" i="3" l="1"/>
  <c r="T479" i="3"/>
  <c r="AH479" i="3" l="1"/>
  <c r="AG479" i="3"/>
  <c r="U478" i="3"/>
  <c r="E479" i="3" s="1"/>
  <c r="H479" i="3" s="1"/>
  <c r="Y477" i="3"/>
  <c r="K479" i="3" l="1"/>
  <c r="D479" i="3"/>
  <c r="V479" i="3" l="1"/>
  <c r="A480" i="3"/>
  <c r="B480" i="3" s="1"/>
  <c r="F479" i="3"/>
  <c r="G479" i="3"/>
  <c r="I479" i="3" l="1"/>
  <c r="W479" i="3" s="1"/>
  <c r="J479" i="3"/>
  <c r="M479" i="3"/>
  <c r="N479" i="3" s="1"/>
  <c r="AA480" i="3"/>
  <c r="AC480" i="3"/>
  <c r="Z480" i="3"/>
  <c r="AD480" i="3"/>
  <c r="AE480" i="3"/>
  <c r="P480" i="3"/>
  <c r="Q480" i="3" s="1"/>
  <c r="R480" i="3" s="1"/>
  <c r="S480" i="3" s="1"/>
  <c r="L479" i="3" l="1"/>
  <c r="T480" i="3"/>
  <c r="AH480" i="3" l="1"/>
  <c r="U479" i="3"/>
  <c r="E480" i="3" s="1"/>
  <c r="H480" i="3" s="1"/>
  <c r="AG480" i="3"/>
  <c r="Y478" i="3"/>
  <c r="D480" i="3" l="1"/>
  <c r="F480" i="3" s="1"/>
  <c r="K480" i="3"/>
  <c r="G480" i="3" l="1"/>
  <c r="M480" i="3" s="1"/>
  <c r="N480" i="3" s="1"/>
  <c r="V480" i="3"/>
  <c r="A481" i="3"/>
  <c r="B481" i="3" s="1"/>
  <c r="J480" i="3" l="1"/>
  <c r="L480" i="3" s="1"/>
  <c r="I480" i="3"/>
  <c r="W480" i="3" s="1"/>
  <c r="AC481" i="3"/>
  <c r="P481" i="3"/>
  <c r="Q481" i="3" s="1"/>
  <c r="R481" i="3" s="1"/>
  <c r="S481" i="3" s="1"/>
  <c r="Z481" i="3"/>
  <c r="AD481" i="3"/>
  <c r="AE481" i="3"/>
  <c r="AA481" i="3"/>
  <c r="U480" i="3" l="1"/>
  <c r="Y479" i="3"/>
  <c r="T481" i="3"/>
  <c r="AG481" i="3" s="1"/>
  <c r="AH481" i="3" l="1"/>
  <c r="E481" i="3"/>
  <c r="H481" i="3" s="1"/>
  <c r="D481" i="3"/>
  <c r="F481" i="3" l="1"/>
  <c r="G481" i="3"/>
  <c r="K481" i="3"/>
  <c r="I481" i="3" l="1"/>
  <c r="J481" i="3"/>
  <c r="M481" i="3"/>
  <c r="N481" i="3" s="1"/>
  <c r="V481" i="3"/>
  <c r="A482" i="3"/>
  <c r="B482" i="3" s="1"/>
  <c r="W481" i="3" l="1"/>
  <c r="P482" i="3"/>
  <c r="Q482" i="3" s="1"/>
  <c r="R482" i="3" s="1"/>
  <c r="S482" i="3" s="1"/>
  <c r="AC482" i="3"/>
  <c r="AA482" i="3"/>
  <c r="Z482" i="3"/>
  <c r="AE482" i="3"/>
  <c r="AD482" i="3"/>
  <c r="L481" i="3"/>
  <c r="U481" i="3" l="1"/>
  <c r="Y480" i="3"/>
  <c r="T482" i="3"/>
  <c r="AG482" i="3" s="1"/>
  <c r="AH482" i="3" l="1"/>
  <c r="D482" i="3"/>
  <c r="E482" i="3"/>
  <c r="H482" i="3" s="1"/>
  <c r="K482" i="3" l="1"/>
  <c r="F482" i="3"/>
  <c r="G482" i="3"/>
  <c r="V482" i="3" l="1"/>
  <c r="A483" i="3"/>
  <c r="B483" i="3" s="1"/>
  <c r="I482" i="3"/>
  <c r="J482" i="3"/>
  <c r="M482" i="3"/>
  <c r="N482" i="3" s="1"/>
  <c r="AD483" i="3" l="1"/>
  <c r="AA483" i="3"/>
  <c r="AC483" i="3"/>
  <c r="AE483" i="3"/>
  <c r="Z483" i="3"/>
  <c r="P483" i="3"/>
  <c r="Q483" i="3" s="1"/>
  <c r="R483" i="3" s="1"/>
  <c r="S483" i="3" s="1"/>
  <c r="L482" i="3"/>
  <c r="W482" i="3"/>
  <c r="T483" i="3" l="1"/>
  <c r="AG483" i="3" s="1"/>
  <c r="U482" i="3"/>
  <c r="Y481" i="3"/>
  <c r="AH483" i="3" l="1"/>
  <c r="E483" i="3"/>
  <c r="H483" i="3" s="1"/>
  <c r="K483" i="3" s="1"/>
  <c r="D483" i="3"/>
  <c r="F483" i="3" l="1"/>
  <c r="G483" i="3"/>
  <c r="I483" i="3" s="1"/>
  <c r="V483" i="3"/>
  <c r="A484" i="3"/>
  <c r="B484" i="3" s="1"/>
  <c r="M483" i="3" l="1"/>
  <c r="N483" i="3" s="1"/>
  <c r="J483" i="3"/>
  <c r="L483" i="3" s="1"/>
  <c r="W483" i="3"/>
  <c r="AA484" i="3"/>
  <c r="AC484" i="3"/>
  <c r="AD484" i="3"/>
  <c r="AE484" i="3"/>
  <c r="Z484" i="3"/>
  <c r="P484" i="3"/>
  <c r="Q484" i="3" s="1"/>
  <c r="R484" i="3" s="1"/>
  <c r="S484" i="3" s="1"/>
  <c r="T484" i="3" l="1"/>
  <c r="AH484" i="3" s="1"/>
  <c r="U483" i="3"/>
  <c r="AG484" i="3"/>
  <c r="Y482" i="3"/>
  <c r="E484" i="3" l="1"/>
  <c r="H484" i="3" s="1"/>
  <c r="K484" i="3" s="1"/>
  <c r="D484" i="3"/>
  <c r="F484" i="3" l="1"/>
  <c r="G484" i="3"/>
  <c r="I484" i="3" s="1"/>
  <c r="V484" i="3"/>
  <c r="A485" i="3"/>
  <c r="B485" i="3" s="1"/>
  <c r="M484" i="3" l="1"/>
  <c r="N484" i="3" s="1"/>
  <c r="J484" i="3"/>
  <c r="L484" i="3" s="1"/>
  <c r="AA485" i="3"/>
  <c r="AE485" i="3"/>
  <c r="AC485" i="3"/>
  <c r="AD485" i="3"/>
  <c r="P485" i="3"/>
  <c r="Q485" i="3" s="1"/>
  <c r="R485" i="3" s="1"/>
  <c r="S485" i="3" s="1"/>
  <c r="Z485" i="3"/>
  <c r="W484" i="3"/>
  <c r="T485" i="3" l="1"/>
  <c r="AH485" i="3" s="1"/>
  <c r="U484" i="3"/>
  <c r="D485" i="3" s="1"/>
  <c r="Y483" i="3"/>
  <c r="AG485" i="3" l="1"/>
  <c r="E485" i="3"/>
  <c r="H485" i="3" s="1"/>
  <c r="K485" i="3" s="1"/>
  <c r="G485" i="3"/>
  <c r="F485" i="3" l="1"/>
  <c r="V485" i="3"/>
  <c r="A486" i="3"/>
  <c r="B486" i="3" s="1"/>
  <c r="I485" i="3"/>
  <c r="J485" i="3"/>
  <c r="M485" i="3"/>
  <c r="N485" i="3" s="1"/>
  <c r="L485" i="3" l="1"/>
  <c r="AC486" i="3"/>
  <c r="AE486" i="3"/>
  <c r="Z486" i="3"/>
  <c r="AD486" i="3"/>
  <c r="P486" i="3"/>
  <c r="Q486" i="3" s="1"/>
  <c r="R486" i="3" s="1"/>
  <c r="S486" i="3" s="1"/>
  <c r="AA486" i="3"/>
  <c r="W485" i="3"/>
  <c r="T486" i="3" l="1"/>
  <c r="U485" i="3"/>
  <c r="AG486" i="3"/>
  <c r="AH486" i="3"/>
  <c r="Y484" i="3"/>
  <c r="E486" i="3" l="1"/>
  <c r="H486" i="3" s="1"/>
  <c r="K486" i="3" s="1"/>
  <c r="D486" i="3"/>
  <c r="F486" i="3" l="1"/>
  <c r="G486" i="3"/>
  <c r="V486" i="3"/>
  <c r="A487" i="3"/>
  <c r="B487" i="3" s="1"/>
  <c r="AE487" i="3" l="1"/>
  <c r="AA487" i="3"/>
  <c r="AD487" i="3"/>
  <c r="AC487" i="3"/>
  <c r="P487" i="3"/>
  <c r="Q487" i="3" s="1"/>
  <c r="R487" i="3" s="1"/>
  <c r="S487" i="3" s="1"/>
  <c r="Z487" i="3"/>
  <c r="I486" i="3"/>
  <c r="W486" i="3" s="1"/>
  <c r="J486" i="3"/>
  <c r="M486" i="3"/>
  <c r="N486" i="3" s="1"/>
  <c r="L486" i="3" l="1"/>
  <c r="T487" i="3"/>
  <c r="U486" i="3" l="1"/>
  <c r="E487" i="3" s="1"/>
  <c r="H487" i="3" s="1"/>
  <c r="AH487" i="3"/>
  <c r="AG487" i="3"/>
  <c r="Y485" i="3"/>
  <c r="D487" i="3" l="1"/>
  <c r="G487" i="3" s="1"/>
  <c r="K487" i="3"/>
  <c r="F487" i="3" l="1"/>
  <c r="V487" i="3"/>
  <c r="A488" i="3"/>
  <c r="B488" i="3" s="1"/>
  <c r="I487" i="3"/>
  <c r="J487" i="3"/>
  <c r="M487" i="3"/>
  <c r="N487" i="3" s="1"/>
  <c r="Z488" i="3" l="1"/>
  <c r="P488" i="3"/>
  <c r="Q488" i="3" s="1"/>
  <c r="R488" i="3" s="1"/>
  <c r="S488" i="3" s="1"/>
  <c r="AC488" i="3"/>
  <c r="AA488" i="3"/>
  <c r="AE488" i="3"/>
  <c r="AD488" i="3"/>
  <c r="L487" i="3"/>
  <c r="W487" i="3"/>
  <c r="T488" i="3" l="1"/>
  <c r="AH488" i="3" s="1"/>
  <c r="U487" i="3"/>
  <c r="Y486" i="3"/>
  <c r="AG488" i="3" l="1"/>
  <c r="E488" i="3"/>
  <c r="H488" i="3" s="1"/>
  <c r="K488" i="3" s="1"/>
  <c r="D488" i="3"/>
  <c r="F488" i="3" l="1"/>
  <c r="G488" i="3"/>
  <c r="V488" i="3"/>
  <c r="A489" i="3"/>
  <c r="B489" i="3" s="1"/>
  <c r="P489" i="3" l="1"/>
  <c r="Q489" i="3" s="1"/>
  <c r="R489" i="3" s="1"/>
  <c r="S489" i="3" s="1"/>
  <c r="AD489" i="3"/>
  <c r="AA489" i="3"/>
  <c r="Z489" i="3"/>
  <c r="AC489" i="3"/>
  <c r="AE489" i="3"/>
  <c r="I488" i="3"/>
  <c r="W488" i="3" s="1"/>
  <c r="J488" i="3"/>
  <c r="M488" i="3"/>
  <c r="N488" i="3" s="1"/>
  <c r="L488" i="3" l="1"/>
  <c r="T489" i="3"/>
  <c r="U488" i="3" l="1"/>
  <c r="AH489" i="3"/>
  <c r="AG489" i="3"/>
  <c r="D489" i="3"/>
  <c r="E489" i="3"/>
  <c r="H489" i="3" s="1"/>
  <c r="Y487" i="3"/>
  <c r="K489" i="3" l="1"/>
  <c r="F489" i="3"/>
  <c r="G489" i="3"/>
  <c r="V489" i="3" l="1"/>
  <c r="A490" i="3"/>
  <c r="B490" i="3" s="1"/>
  <c r="I489" i="3"/>
  <c r="J489" i="3"/>
  <c r="M489" i="3"/>
  <c r="N489" i="3" s="1"/>
  <c r="L489" i="3" l="1"/>
  <c r="AD490" i="3"/>
  <c r="AE490" i="3"/>
  <c r="Z490" i="3"/>
  <c r="AC490" i="3"/>
  <c r="P490" i="3"/>
  <c r="Q490" i="3" s="1"/>
  <c r="R490" i="3" s="1"/>
  <c r="S490" i="3" s="1"/>
  <c r="AA490" i="3"/>
  <c r="W489" i="3"/>
  <c r="T490" i="3" l="1"/>
  <c r="U489" i="3"/>
  <c r="Y488" i="3"/>
  <c r="D490" i="3" l="1"/>
  <c r="G490" i="3" s="1"/>
  <c r="AG490" i="3"/>
  <c r="E490" i="3"/>
  <c r="H490" i="3" s="1"/>
  <c r="K490" i="3" s="1"/>
  <c r="AH490" i="3"/>
  <c r="F490" i="3" l="1"/>
  <c r="V490" i="3"/>
  <c r="A491" i="3"/>
  <c r="B491" i="3" s="1"/>
  <c r="I490" i="3"/>
  <c r="J490" i="3"/>
  <c r="M490" i="3"/>
  <c r="N490" i="3" s="1"/>
  <c r="AA491" i="3" l="1"/>
  <c r="P491" i="3"/>
  <c r="Q491" i="3" s="1"/>
  <c r="R491" i="3" s="1"/>
  <c r="S491" i="3" s="1"/>
  <c r="AC491" i="3"/>
  <c r="Z491" i="3"/>
  <c r="AE491" i="3"/>
  <c r="AD491" i="3"/>
  <c r="L490" i="3"/>
  <c r="W490" i="3"/>
  <c r="T491" i="3" l="1"/>
  <c r="AG491" i="3" s="1"/>
  <c r="U490" i="3"/>
  <c r="Y489" i="3"/>
  <c r="AH491" i="3" l="1"/>
  <c r="D491" i="3"/>
  <c r="G491" i="3" s="1"/>
  <c r="E491" i="3"/>
  <c r="H491" i="3" s="1"/>
  <c r="K491" i="3" s="1"/>
  <c r="F491" i="3" l="1"/>
  <c r="V491" i="3"/>
  <c r="A492" i="3"/>
  <c r="B492" i="3" s="1"/>
  <c r="I491" i="3"/>
  <c r="J491" i="3"/>
  <c r="M491" i="3"/>
  <c r="N491" i="3" s="1"/>
  <c r="W491" i="3" l="1"/>
  <c r="AA492" i="3"/>
  <c r="AE492" i="3"/>
  <c r="AD492" i="3"/>
  <c r="P492" i="3"/>
  <c r="Q492" i="3" s="1"/>
  <c r="R492" i="3" s="1"/>
  <c r="S492" i="3" s="1"/>
  <c r="AC492" i="3"/>
  <c r="Z492" i="3"/>
  <c r="L491" i="3"/>
  <c r="U491" i="3" l="1"/>
  <c r="Y490" i="3"/>
  <c r="T492" i="3"/>
  <c r="AG492" i="3" s="1"/>
  <c r="E492" i="3" l="1"/>
  <c r="H492" i="3" s="1"/>
  <c r="D492" i="3"/>
  <c r="AH492" i="3"/>
  <c r="F492" i="3" l="1"/>
  <c r="G492" i="3"/>
  <c r="K492" i="3"/>
  <c r="I492" i="3" l="1"/>
  <c r="J492" i="3"/>
  <c r="M492" i="3"/>
  <c r="N492" i="3" s="1"/>
  <c r="V492" i="3"/>
  <c r="A493" i="3"/>
  <c r="B493" i="3" s="1"/>
  <c r="W492" i="3" l="1"/>
  <c r="L492" i="3"/>
  <c r="AC493" i="3"/>
  <c r="P493" i="3"/>
  <c r="Q493" i="3" s="1"/>
  <c r="R493" i="3" s="1"/>
  <c r="S493" i="3" s="1"/>
  <c r="AA493" i="3"/>
  <c r="Z493" i="3"/>
  <c r="AD493" i="3"/>
  <c r="AE493" i="3"/>
  <c r="T493" i="3" l="1"/>
  <c r="AG493" i="3" s="1"/>
  <c r="U492" i="3"/>
  <c r="Y491" i="3"/>
  <c r="AH493" i="3" l="1"/>
  <c r="E493" i="3"/>
  <c r="H493" i="3" s="1"/>
  <c r="K493" i="3" s="1"/>
  <c r="D493" i="3"/>
  <c r="F493" i="3" l="1"/>
  <c r="G493" i="3"/>
  <c r="I493" i="3" s="1"/>
  <c r="V493" i="3"/>
  <c r="A494" i="3"/>
  <c r="B494" i="3" s="1"/>
  <c r="M493" i="3" l="1"/>
  <c r="N493" i="3" s="1"/>
  <c r="J493" i="3"/>
  <c r="W493" i="3"/>
  <c r="AA494" i="3"/>
  <c r="AC494" i="3"/>
  <c r="P494" i="3"/>
  <c r="Q494" i="3" s="1"/>
  <c r="R494" i="3" s="1"/>
  <c r="S494" i="3" s="1"/>
  <c r="AE494" i="3"/>
  <c r="Z494" i="3"/>
  <c r="AD494" i="3"/>
  <c r="L493" i="3"/>
  <c r="T494" i="3" l="1"/>
  <c r="AG494" i="3" s="1"/>
  <c r="U493" i="3"/>
  <c r="Y492" i="3"/>
  <c r="AH494" i="3" l="1"/>
  <c r="E494" i="3"/>
  <c r="H494" i="3" s="1"/>
  <c r="K494" i="3" s="1"/>
  <c r="D494" i="3"/>
  <c r="F494" i="3" l="1"/>
  <c r="G494" i="3"/>
  <c r="V494" i="3"/>
  <c r="A495" i="3"/>
  <c r="B495" i="3" s="1"/>
  <c r="AD495" i="3" l="1"/>
  <c r="AE495" i="3"/>
  <c r="P495" i="3"/>
  <c r="Q495" i="3" s="1"/>
  <c r="R495" i="3" s="1"/>
  <c r="S495" i="3" s="1"/>
  <c r="AA495" i="3"/>
  <c r="Z495" i="3"/>
  <c r="AC495" i="3"/>
  <c r="I494" i="3"/>
  <c r="W494" i="3" s="1"/>
  <c r="J494" i="3"/>
  <c r="M494" i="3"/>
  <c r="N494" i="3" s="1"/>
  <c r="L494" i="3" l="1"/>
  <c r="T495" i="3"/>
  <c r="U494" i="3" l="1"/>
  <c r="D495" i="3" s="1"/>
  <c r="AG495" i="3"/>
  <c r="AH495" i="3"/>
  <c r="Y493" i="3"/>
  <c r="E495" i="3" l="1"/>
  <c r="H495" i="3" s="1"/>
  <c r="K495" i="3" s="1"/>
  <c r="G495" i="3"/>
  <c r="F495" i="3" l="1"/>
  <c r="V495" i="3"/>
  <c r="A496" i="3"/>
  <c r="B496" i="3" s="1"/>
  <c r="I495" i="3"/>
  <c r="J495" i="3"/>
  <c r="M495" i="3"/>
  <c r="N495" i="3" s="1"/>
  <c r="W495" i="3" l="1"/>
  <c r="AE496" i="3"/>
  <c r="P496" i="3"/>
  <c r="Q496" i="3" s="1"/>
  <c r="R496" i="3" s="1"/>
  <c r="S496" i="3" s="1"/>
  <c r="AA496" i="3"/>
  <c r="AD496" i="3"/>
  <c r="Z496" i="3"/>
  <c r="AC496" i="3"/>
  <c r="L495" i="3"/>
  <c r="T496" i="3" l="1"/>
  <c r="AH496" i="3" s="1"/>
  <c r="U495" i="3"/>
  <c r="Y494" i="3"/>
  <c r="E496" i="3" l="1"/>
  <c r="H496" i="3" s="1"/>
  <c r="K496" i="3" s="1"/>
  <c r="AG496" i="3"/>
  <c r="D496" i="3"/>
  <c r="F496" i="3" l="1"/>
  <c r="G496" i="3"/>
  <c r="I496" i="3" s="1"/>
  <c r="V496" i="3"/>
  <c r="A497" i="3"/>
  <c r="B497" i="3" s="1"/>
  <c r="M496" i="3" l="1"/>
  <c r="N496" i="3" s="1"/>
  <c r="J496" i="3"/>
  <c r="W496" i="3"/>
  <c r="P497" i="3"/>
  <c r="Q497" i="3" s="1"/>
  <c r="R497" i="3" s="1"/>
  <c r="S497" i="3" s="1"/>
  <c r="AE497" i="3"/>
  <c r="AC497" i="3"/>
  <c r="AD497" i="3"/>
  <c r="AA497" i="3"/>
  <c r="Z497" i="3"/>
  <c r="L496" i="3"/>
  <c r="U496" i="3" l="1"/>
  <c r="Y495" i="3"/>
  <c r="T497" i="3"/>
  <c r="AG497" i="3" s="1"/>
  <c r="AH497" i="3" l="1"/>
  <c r="E497" i="3"/>
  <c r="H497" i="3" s="1"/>
  <c r="D497" i="3"/>
  <c r="F497" i="3" l="1"/>
  <c r="G497" i="3"/>
  <c r="K497" i="3"/>
  <c r="I497" i="3" l="1"/>
  <c r="J497" i="3"/>
  <c r="M497" i="3"/>
  <c r="N497" i="3" s="1"/>
  <c r="V497" i="3"/>
  <c r="A498" i="3"/>
  <c r="B498" i="3" s="1"/>
  <c r="W497" i="3" l="1"/>
  <c r="L497" i="3"/>
  <c r="P498" i="3"/>
  <c r="Q498" i="3" s="1"/>
  <c r="R498" i="3" s="1"/>
  <c r="S498" i="3" s="1"/>
  <c r="AD498" i="3"/>
  <c r="AE498" i="3"/>
  <c r="AA498" i="3"/>
  <c r="Z498" i="3"/>
  <c r="AC498" i="3"/>
  <c r="U497" i="3" l="1"/>
  <c r="Y496" i="3"/>
  <c r="T498" i="3"/>
  <c r="AG498" i="3" s="1"/>
  <c r="D498" i="3" l="1"/>
  <c r="G498" i="3" s="1"/>
  <c r="E498" i="3"/>
  <c r="H498" i="3" s="1"/>
  <c r="K498" i="3" s="1"/>
  <c r="AH498" i="3"/>
  <c r="F498" i="3" l="1"/>
  <c r="V498" i="3"/>
  <c r="A499" i="3"/>
  <c r="B499" i="3" s="1"/>
  <c r="I498" i="3"/>
  <c r="J498" i="3"/>
  <c r="M498" i="3"/>
  <c r="N498" i="3" s="1"/>
  <c r="W498" i="3" l="1"/>
  <c r="AC499" i="3"/>
  <c r="AD499" i="3"/>
  <c r="P499" i="3"/>
  <c r="Q499" i="3" s="1"/>
  <c r="R499" i="3" s="1"/>
  <c r="S499" i="3" s="1"/>
  <c r="AE499" i="3"/>
  <c r="Z499" i="3"/>
  <c r="AA499" i="3"/>
  <c r="L498" i="3"/>
  <c r="T499" i="3" l="1"/>
  <c r="AH499" i="3" s="1"/>
  <c r="U498" i="3"/>
  <c r="Y497" i="3"/>
  <c r="AG499" i="3" l="1"/>
  <c r="D499" i="3"/>
  <c r="G499" i="3" s="1"/>
  <c r="E499" i="3"/>
  <c r="H499" i="3" s="1"/>
  <c r="K499" i="3" s="1"/>
  <c r="F499" i="3" l="1"/>
  <c r="I499" i="3"/>
  <c r="J499" i="3"/>
  <c r="M499" i="3"/>
  <c r="N499" i="3" s="1"/>
  <c r="V499" i="3"/>
  <c r="A500" i="3"/>
  <c r="B500" i="3" s="1"/>
  <c r="W499" i="3" l="1"/>
  <c r="L499" i="3"/>
  <c r="AA500" i="3"/>
  <c r="AE500" i="3"/>
  <c r="AD500" i="3"/>
  <c r="Z500" i="3"/>
  <c r="P500" i="3"/>
  <c r="Q500" i="3" s="1"/>
  <c r="R500" i="3" s="1"/>
  <c r="S500" i="3" s="1"/>
  <c r="AC500" i="3"/>
  <c r="U499" i="3" l="1"/>
  <c r="Y498" i="3"/>
  <c r="T500" i="3"/>
  <c r="E500" i="3" s="1"/>
  <c r="H500" i="3" s="1"/>
  <c r="K500" i="3" l="1"/>
  <c r="D500" i="3"/>
  <c r="AH500" i="3"/>
  <c r="AG500" i="3"/>
  <c r="F500" i="3" l="1"/>
  <c r="G500" i="3"/>
  <c r="V500" i="3"/>
  <c r="A501" i="3"/>
  <c r="B501" i="3" s="1"/>
  <c r="I500" i="3" l="1"/>
  <c r="W500" i="3" s="1"/>
  <c r="J500" i="3"/>
  <c r="M500" i="3"/>
  <c r="N500" i="3" s="1"/>
  <c r="AA501" i="3"/>
  <c r="P501" i="3"/>
  <c r="Q501" i="3" s="1"/>
  <c r="R501" i="3" s="1"/>
  <c r="S501" i="3" s="1"/>
  <c r="AC501" i="3"/>
  <c r="Z501" i="3"/>
  <c r="AE501" i="3"/>
  <c r="AD501" i="3"/>
  <c r="L500" i="3" l="1"/>
  <c r="T501" i="3"/>
  <c r="U500" i="3" l="1"/>
  <c r="D501" i="3" s="1"/>
  <c r="AG501" i="3"/>
  <c r="E501" i="3"/>
  <c r="H501" i="3" s="1"/>
  <c r="AH501" i="3"/>
  <c r="Y499" i="3"/>
  <c r="K501" i="3" l="1"/>
  <c r="F501" i="3"/>
  <c r="G501" i="3"/>
  <c r="V501" i="3" l="1"/>
  <c r="A502" i="3"/>
  <c r="B502" i="3" s="1"/>
  <c r="I501" i="3"/>
  <c r="J501" i="3"/>
  <c r="M501" i="3"/>
  <c r="N501" i="3" s="1"/>
  <c r="L501" i="3" l="1"/>
  <c r="Z502" i="3"/>
  <c r="AD502" i="3"/>
  <c r="AC502" i="3"/>
  <c r="P502" i="3"/>
  <c r="Q502" i="3" s="1"/>
  <c r="R502" i="3" s="1"/>
  <c r="S502" i="3" s="1"/>
  <c r="AE502" i="3"/>
  <c r="AA502" i="3"/>
  <c r="W501" i="3"/>
  <c r="T502" i="3" l="1"/>
  <c r="AH502" i="3" s="1"/>
  <c r="U501" i="3"/>
  <c r="Y500" i="3"/>
  <c r="AG502" i="3" l="1"/>
  <c r="E502" i="3"/>
  <c r="H502" i="3" s="1"/>
  <c r="K502" i="3" s="1"/>
  <c r="D502" i="3"/>
  <c r="F502" i="3" l="1"/>
  <c r="G502" i="3"/>
  <c r="I502" i="3" s="1"/>
  <c r="V502" i="3"/>
  <c r="A503" i="3"/>
  <c r="B503" i="3" s="1"/>
  <c r="W502" i="3" l="1"/>
  <c r="M502" i="3"/>
  <c r="N502" i="3" s="1"/>
  <c r="J502" i="3"/>
  <c r="L502" i="3" s="1"/>
  <c r="Z503" i="3"/>
  <c r="AE503" i="3"/>
  <c r="P503" i="3"/>
  <c r="Q503" i="3" s="1"/>
  <c r="R503" i="3" s="1"/>
  <c r="S503" i="3" s="1"/>
  <c r="AA503" i="3"/>
  <c r="AD503" i="3"/>
  <c r="AC503" i="3"/>
  <c r="T503" i="3" l="1"/>
  <c r="AG503" i="3" s="1"/>
  <c r="U502" i="3"/>
  <c r="Y501" i="3"/>
  <c r="D503" i="3" l="1"/>
  <c r="G503" i="3" s="1"/>
  <c r="AH503" i="3"/>
  <c r="E503" i="3"/>
  <c r="H503" i="3" s="1"/>
  <c r="K503" i="3" s="1"/>
  <c r="F503" i="3" l="1"/>
  <c r="I503" i="3"/>
  <c r="J503" i="3"/>
  <c r="M503" i="3"/>
  <c r="N503" i="3" s="1"/>
  <c r="V503" i="3"/>
  <c r="A504" i="3"/>
  <c r="B504" i="3" s="1"/>
  <c r="W503" i="3" l="1"/>
  <c r="AE504" i="3"/>
  <c r="AD504" i="3"/>
  <c r="Z504" i="3"/>
  <c r="P504" i="3"/>
  <c r="Q504" i="3" s="1"/>
  <c r="R504" i="3" s="1"/>
  <c r="S504" i="3" s="1"/>
  <c r="AC504" i="3"/>
  <c r="AA504" i="3"/>
  <c r="L503" i="3"/>
  <c r="U503" i="3" l="1"/>
  <c r="Y502" i="3"/>
  <c r="T504" i="3"/>
  <c r="E504" i="3" l="1"/>
  <c r="H504" i="3" s="1"/>
  <c r="K504" i="3" s="1"/>
  <c r="AH504" i="3"/>
  <c r="AG504" i="3"/>
  <c r="D504" i="3"/>
  <c r="G504" i="3" s="1"/>
  <c r="F504" i="3" l="1"/>
  <c r="V504" i="3"/>
  <c r="A505" i="3"/>
  <c r="B505" i="3" s="1"/>
  <c r="I504" i="3"/>
  <c r="J504" i="3"/>
  <c r="M504" i="3"/>
  <c r="N504" i="3" s="1"/>
  <c r="AA505" i="3" l="1"/>
  <c r="AD505" i="3"/>
  <c r="AC505" i="3"/>
  <c r="AE505" i="3"/>
  <c r="P505" i="3"/>
  <c r="Q505" i="3" s="1"/>
  <c r="R505" i="3" s="1"/>
  <c r="S505" i="3" s="1"/>
  <c r="Z505" i="3"/>
  <c r="L504" i="3"/>
  <c r="W504" i="3"/>
  <c r="T505" i="3" l="1"/>
  <c r="AG505" i="3" s="1"/>
  <c r="U504" i="3"/>
  <c r="Y503" i="3"/>
  <c r="E505" i="3" l="1"/>
  <c r="H505" i="3" s="1"/>
  <c r="K505" i="3" s="1"/>
  <c r="AH505" i="3"/>
  <c r="D505" i="3"/>
  <c r="F505" i="3" l="1"/>
  <c r="G505" i="3"/>
  <c r="M505" i="3" s="1"/>
  <c r="N505" i="3" s="1"/>
  <c r="V505" i="3"/>
  <c r="A506" i="3"/>
  <c r="B506" i="3" s="1"/>
  <c r="J505" i="3" l="1"/>
  <c r="L505" i="3" s="1"/>
  <c r="I505" i="3"/>
  <c r="W505" i="3" s="1"/>
  <c r="AC506" i="3"/>
  <c r="P506" i="3"/>
  <c r="Q506" i="3" s="1"/>
  <c r="R506" i="3" s="1"/>
  <c r="S506" i="3" s="1"/>
  <c r="AE506" i="3"/>
  <c r="AD506" i="3"/>
  <c r="Z506" i="3"/>
  <c r="AA506" i="3"/>
  <c r="U505" i="3" l="1"/>
  <c r="Y504" i="3"/>
  <c r="T506" i="3"/>
  <c r="D506" i="3" s="1"/>
  <c r="G506" i="3" l="1"/>
  <c r="AG506" i="3"/>
  <c r="AH506" i="3"/>
  <c r="E506" i="3"/>
  <c r="H506" i="3" s="1"/>
  <c r="I506" i="3" l="1"/>
  <c r="J506" i="3"/>
  <c r="M506" i="3"/>
  <c r="N506" i="3" s="1"/>
  <c r="K506" i="3"/>
  <c r="F506" i="3"/>
  <c r="V506" i="3" l="1"/>
  <c r="W506" i="3" s="1"/>
  <c r="A507" i="3"/>
  <c r="B507" i="3" s="1"/>
  <c r="L506" i="3"/>
  <c r="P507" i="3" l="1"/>
  <c r="Q507" i="3" s="1"/>
  <c r="R507" i="3" s="1"/>
  <c r="S507" i="3" s="1"/>
  <c r="AC507" i="3"/>
  <c r="Z507" i="3"/>
  <c r="AD507" i="3"/>
  <c r="AA507" i="3"/>
  <c r="AE507" i="3"/>
  <c r="U506" i="3"/>
  <c r="Y505" i="3"/>
  <c r="T507" i="3" l="1"/>
  <c r="E507" i="3" l="1"/>
  <c r="H507" i="3" s="1"/>
  <c r="AH507" i="3"/>
  <c r="AG507" i="3"/>
  <c r="D507" i="3"/>
  <c r="F507" i="3" l="1"/>
  <c r="G507" i="3"/>
  <c r="K507" i="3"/>
  <c r="I507" i="3" l="1"/>
  <c r="J507" i="3"/>
  <c r="M507" i="3"/>
  <c r="N507" i="3" s="1"/>
  <c r="V507" i="3"/>
  <c r="A508" i="3"/>
  <c r="B508" i="3" s="1"/>
  <c r="W507" i="3" l="1"/>
  <c r="L507" i="3"/>
  <c r="P508" i="3"/>
  <c r="Q508" i="3" s="1"/>
  <c r="R508" i="3" s="1"/>
  <c r="S508" i="3" s="1"/>
  <c r="AA508" i="3"/>
  <c r="AC508" i="3"/>
  <c r="AE508" i="3"/>
  <c r="AD508" i="3"/>
  <c r="Z508" i="3"/>
  <c r="T508" i="3" l="1"/>
  <c r="AG508" i="3" s="1"/>
  <c r="U507" i="3"/>
  <c r="Y506" i="3"/>
  <c r="AH508" i="3" l="1"/>
  <c r="E508" i="3"/>
  <c r="H508" i="3" s="1"/>
  <c r="K508" i="3" s="1"/>
  <c r="D508" i="3"/>
  <c r="F508" i="3" l="1"/>
  <c r="G508" i="3"/>
  <c r="I508" i="3" s="1"/>
  <c r="V508" i="3"/>
  <c r="A509" i="3"/>
  <c r="B509" i="3" s="1"/>
  <c r="M508" i="3" l="1"/>
  <c r="N508" i="3" s="1"/>
  <c r="J508" i="3"/>
  <c r="L508" i="3" s="1"/>
  <c r="W508" i="3"/>
  <c r="Z509" i="3"/>
  <c r="AA509" i="3"/>
  <c r="AD509" i="3"/>
  <c r="P509" i="3"/>
  <c r="Q509" i="3" s="1"/>
  <c r="R509" i="3" s="1"/>
  <c r="S509" i="3" s="1"/>
  <c r="AE509" i="3"/>
  <c r="AC509" i="3"/>
  <c r="T509" i="3" l="1"/>
  <c r="AG509" i="3" s="1"/>
  <c r="U508" i="3"/>
  <c r="Y507" i="3"/>
  <c r="AH509" i="3" l="1"/>
  <c r="D509" i="3"/>
  <c r="G509" i="3" s="1"/>
  <c r="E509" i="3"/>
  <c r="H509" i="3" s="1"/>
  <c r="K509" i="3" s="1"/>
  <c r="F509" i="3" l="1"/>
  <c r="V509" i="3"/>
  <c r="A510" i="3"/>
  <c r="B510" i="3" s="1"/>
  <c r="I509" i="3"/>
  <c r="J509" i="3"/>
  <c r="M509" i="3"/>
  <c r="N509" i="3" s="1"/>
  <c r="L509" i="3" l="1"/>
  <c r="Z510" i="3"/>
  <c r="AA510" i="3"/>
  <c r="P510" i="3"/>
  <c r="Q510" i="3" s="1"/>
  <c r="R510" i="3" s="1"/>
  <c r="S510" i="3" s="1"/>
  <c r="AC510" i="3"/>
  <c r="AE510" i="3"/>
  <c r="AD510" i="3"/>
  <c r="W509" i="3"/>
  <c r="T510" i="3" l="1"/>
  <c r="AG510" i="3" s="1"/>
  <c r="U509" i="3"/>
  <c r="Y508" i="3"/>
  <c r="AH510" i="3" l="1"/>
  <c r="E510" i="3"/>
  <c r="H510" i="3" s="1"/>
  <c r="K510" i="3" s="1"/>
  <c r="D510" i="3"/>
  <c r="F510" i="3" l="1"/>
  <c r="G510" i="3"/>
  <c r="I510" i="3" s="1"/>
  <c r="V510" i="3"/>
  <c r="A511" i="3"/>
  <c r="B511" i="3" s="1"/>
  <c r="M510" i="3" l="1"/>
  <c r="N510" i="3" s="1"/>
  <c r="J510" i="3"/>
  <c r="W510" i="3"/>
  <c r="P511" i="3"/>
  <c r="Q511" i="3" s="1"/>
  <c r="R511" i="3" s="1"/>
  <c r="S511" i="3" s="1"/>
  <c r="AA511" i="3"/>
  <c r="AD511" i="3"/>
  <c r="Z511" i="3"/>
  <c r="AC511" i="3"/>
  <c r="AE511" i="3"/>
  <c r="L510" i="3"/>
  <c r="U510" i="3" l="1"/>
  <c r="Y509" i="3"/>
  <c r="T511" i="3"/>
  <c r="E511" i="3" s="1"/>
  <c r="H511" i="3" s="1"/>
  <c r="K511" i="3" l="1"/>
  <c r="D511" i="3"/>
  <c r="AG511" i="3"/>
  <c r="AH511" i="3"/>
  <c r="F511" i="3" l="1"/>
  <c r="G511" i="3"/>
  <c r="V511" i="3"/>
  <c r="A512" i="3"/>
  <c r="B512" i="3" s="1"/>
  <c r="Z512" i="3" l="1"/>
  <c r="AA512" i="3"/>
  <c r="AE512" i="3"/>
  <c r="P512" i="3"/>
  <c r="Q512" i="3" s="1"/>
  <c r="R512" i="3" s="1"/>
  <c r="S512" i="3" s="1"/>
  <c r="AD512" i="3"/>
  <c r="AC512" i="3"/>
  <c r="I511" i="3"/>
  <c r="W511" i="3" s="1"/>
  <c r="J511" i="3"/>
  <c r="M511" i="3"/>
  <c r="N511" i="3" s="1"/>
  <c r="L511" i="3" l="1"/>
  <c r="T512" i="3"/>
  <c r="AG512" i="3" l="1"/>
  <c r="AH512" i="3"/>
  <c r="U511" i="3"/>
  <c r="D512" i="3" s="1"/>
  <c r="Y510" i="3"/>
  <c r="E512" i="3" l="1"/>
  <c r="H512" i="3" s="1"/>
  <c r="K512" i="3" s="1"/>
  <c r="G512" i="3"/>
  <c r="F512" i="3" l="1"/>
  <c r="I512" i="3"/>
  <c r="J512" i="3"/>
  <c r="M512" i="3"/>
  <c r="N512" i="3" s="1"/>
  <c r="V512" i="3"/>
  <c r="A513" i="3"/>
  <c r="B513" i="3" s="1"/>
  <c r="W512" i="3" l="1"/>
  <c r="AE513" i="3"/>
  <c r="Z513" i="3"/>
  <c r="AC513" i="3"/>
  <c r="AD513" i="3"/>
  <c r="P513" i="3"/>
  <c r="Q513" i="3" s="1"/>
  <c r="R513" i="3" s="1"/>
  <c r="S513" i="3" s="1"/>
  <c r="AA513" i="3"/>
  <c r="L512" i="3"/>
  <c r="T513" i="3" l="1"/>
  <c r="AG513" i="3" s="1"/>
  <c r="U512" i="3"/>
  <c r="Y511" i="3"/>
  <c r="E513" i="3" l="1"/>
  <c r="H513" i="3" s="1"/>
  <c r="K513" i="3" s="1"/>
  <c r="AH513" i="3"/>
  <c r="D513" i="3"/>
  <c r="F513" i="3" s="1"/>
  <c r="G513" i="3" l="1"/>
  <c r="M513" i="3" s="1"/>
  <c r="N513" i="3" s="1"/>
  <c r="V513" i="3"/>
  <c r="A514" i="3"/>
  <c r="B514" i="3" s="1"/>
  <c r="J513" i="3" l="1"/>
  <c r="I513" i="3"/>
  <c r="W513" i="3" s="1"/>
  <c r="Z514" i="3"/>
  <c r="AA514" i="3"/>
  <c r="AC514" i="3"/>
  <c r="P514" i="3"/>
  <c r="Q514" i="3" s="1"/>
  <c r="R514" i="3" s="1"/>
  <c r="S514" i="3" s="1"/>
  <c r="AE514" i="3"/>
  <c r="AD514" i="3"/>
  <c r="L513" i="3"/>
  <c r="T514" i="3" l="1"/>
  <c r="AG514" i="3" s="1"/>
  <c r="U513" i="3"/>
  <c r="Y512" i="3"/>
  <c r="AH514" i="3" l="1"/>
  <c r="D514" i="3"/>
  <c r="G514" i="3" s="1"/>
  <c r="E514" i="3"/>
  <c r="H514" i="3" s="1"/>
  <c r="K514" i="3" l="1"/>
  <c r="I514" i="3"/>
  <c r="J514" i="3"/>
  <c r="M514" i="3"/>
  <c r="N514" i="3" s="1"/>
  <c r="F514" i="3"/>
  <c r="L514" i="3" l="1"/>
  <c r="V514" i="3"/>
  <c r="W514" i="3" s="1"/>
  <c r="A515" i="3"/>
  <c r="B515" i="3" s="1"/>
  <c r="AA515" i="3" l="1"/>
  <c r="AE515" i="3"/>
  <c r="AD515" i="3"/>
  <c r="P515" i="3"/>
  <c r="Q515" i="3" s="1"/>
  <c r="R515" i="3" s="1"/>
  <c r="S515" i="3" s="1"/>
  <c r="AC515" i="3"/>
  <c r="Z515" i="3"/>
  <c r="U514" i="3"/>
  <c r="Y513" i="3"/>
  <c r="T515" i="3" l="1"/>
  <c r="AG515" i="3" s="1"/>
  <c r="AH515" i="3" l="1"/>
  <c r="D515" i="3"/>
  <c r="E515" i="3"/>
  <c r="H515" i="3" s="1"/>
  <c r="K515" i="3" l="1"/>
  <c r="F515" i="3"/>
  <c r="G515" i="3"/>
  <c r="V515" i="3" l="1"/>
  <c r="A516" i="3"/>
  <c r="B516" i="3" s="1"/>
  <c r="I515" i="3"/>
  <c r="J515" i="3"/>
  <c r="M515" i="3"/>
  <c r="N515" i="3" s="1"/>
  <c r="W515" i="3" l="1"/>
  <c r="AD516" i="3"/>
  <c r="Z516" i="3"/>
  <c r="AC516" i="3"/>
  <c r="AE516" i="3"/>
  <c r="P516" i="3"/>
  <c r="Q516" i="3" s="1"/>
  <c r="R516" i="3" s="1"/>
  <c r="S516" i="3" s="1"/>
  <c r="AA516" i="3"/>
  <c r="L515" i="3"/>
  <c r="T516" i="3" l="1"/>
  <c r="AH516" i="3" s="1"/>
  <c r="U515" i="3"/>
  <c r="Y514" i="3"/>
  <c r="E516" i="3" l="1"/>
  <c r="H516" i="3" s="1"/>
  <c r="K516" i="3" s="1"/>
  <c r="AG516" i="3"/>
  <c r="D516" i="3"/>
  <c r="F516" i="3" l="1"/>
  <c r="G516" i="3"/>
  <c r="V516" i="3"/>
  <c r="A517" i="3"/>
  <c r="B517" i="3" s="1"/>
  <c r="AA517" i="3" l="1"/>
  <c r="AC517" i="3"/>
  <c r="P517" i="3"/>
  <c r="Q517" i="3" s="1"/>
  <c r="R517" i="3" s="1"/>
  <c r="S517" i="3" s="1"/>
  <c r="Z517" i="3"/>
  <c r="AE517" i="3"/>
  <c r="AD517" i="3"/>
  <c r="I516" i="3"/>
  <c r="W516" i="3" s="1"/>
  <c r="J516" i="3"/>
  <c r="M516" i="3"/>
  <c r="N516" i="3" s="1"/>
  <c r="T517" i="3" l="1"/>
  <c r="L516" i="3"/>
  <c r="U516" i="3" l="1"/>
  <c r="D517" i="3" s="1"/>
  <c r="AG517" i="3"/>
  <c r="AH517" i="3"/>
  <c r="Y515" i="3"/>
  <c r="E517" i="3" l="1"/>
  <c r="H517" i="3" s="1"/>
  <c r="K517" i="3" s="1"/>
  <c r="G517" i="3"/>
  <c r="F517" i="3" l="1"/>
  <c r="V517" i="3"/>
  <c r="A518" i="3"/>
  <c r="B518" i="3" s="1"/>
  <c r="I517" i="3"/>
  <c r="J517" i="3"/>
  <c r="M517" i="3"/>
  <c r="N517" i="3" s="1"/>
  <c r="AE518" i="3" l="1"/>
  <c r="AA518" i="3"/>
  <c r="AC518" i="3"/>
  <c r="P518" i="3"/>
  <c r="Q518" i="3" s="1"/>
  <c r="R518" i="3" s="1"/>
  <c r="S518" i="3" s="1"/>
  <c r="Z518" i="3"/>
  <c r="AD518" i="3"/>
  <c r="L517" i="3"/>
  <c r="W517" i="3"/>
  <c r="T518" i="3" l="1"/>
  <c r="AG518" i="3" s="1"/>
  <c r="U517" i="3"/>
  <c r="Y516" i="3"/>
  <c r="AH518" i="3" l="1"/>
  <c r="E518" i="3"/>
  <c r="H518" i="3" s="1"/>
  <c r="K518" i="3" s="1"/>
  <c r="D518" i="3"/>
  <c r="F518" i="3" l="1"/>
  <c r="G518" i="3"/>
  <c r="M518" i="3" s="1"/>
  <c r="N518" i="3" s="1"/>
  <c r="V518" i="3"/>
  <c r="A519" i="3"/>
  <c r="B519" i="3" s="1"/>
  <c r="J518" i="3" l="1"/>
  <c r="I518" i="3"/>
  <c r="AC519" i="3"/>
  <c r="P519" i="3"/>
  <c r="Q519" i="3" s="1"/>
  <c r="R519" i="3" s="1"/>
  <c r="S519" i="3" s="1"/>
  <c r="AA519" i="3"/>
  <c r="AE519" i="3"/>
  <c r="Z519" i="3"/>
  <c r="AD519" i="3"/>
  <c r="L518" i="3"/>
  <c r="W518" i="3"/>
  <c r="T519" i="3" l="1"/>
  <c r="AG519" i="3" s="1"/>
  <c r="U518" i="3"/>
  <c r="Y517" i="3"/>
  <c r="E519" i="3" l="1"/>
  <c r="H519" i="3" s="1"/>
  <c r="K519" i="3" s="1"/>
  <c r="AH519" i="3"/>
  <c r="D519" i="3"/>
  <c r="F519" i="3" l="1"/>
  <c r="G519" i="3"/>
  <c r="I519" i="3" s="1"/>
  <c r="V519" i="3"/>
  <c r="A520" i="3"/>
  <c r="B520" i="3" s="1"/>
  <c r="M519" i="3" l="1"/>
  <c r="N519" i="3" s="1"/>
  <c r="J519" i="3"/>
  <c r="W519" i="3"/>
  <c r="AD520" i="3"/>
  <c r="P520" i="3"/>
  <c r="Q520" i="3" s="1"/>
  <c r="R520" i="3" s="1"/>
  <c r="S520" i="3" s="1"/>
  <c r="AA520" i="3"/>
  <c r="Z520" i="3"/>
  <c r="AC520" i="3"/>
  <c r="AE520" i="3"/>
  <c r="L519" i="3"/>
  <c r="T520" i="3" l="1"/>
  <c r="AH520" i="3" s="1"/>
  <c r="U519" i="3"/>
  <c r="Y518" i="3"/>
  <c r="AG520" i="3" l="1"/>
  <c r="E520" i="3"/>
  <c r="H520" i="3" s="1"/>
  <c r="K520" i="3" s="1"/>
  <c r="D520" i="3"/>
  <c r="F520" i="3" l="1"/>
  <c r="G520" i="3"/>
  <c r="I520" i="3" s="1"/>
  <c r="V520" i="3"/>
  <c r="A521" i="3"/>
  <c r="B521" i="3" s="1"/>
  <c r="M520" i="3" l="1"/>
  <c r="N520" i="3" s="1"/>
  <c r="J520" i="3"/>
  <c r="L520" i="3" s="1"/>
  <c r="W520" i="3"/>
  <c r="AD521" i="3"/>
  <c r="P521" i="3"/>
  <c r="Q521" i="3" s="1"/>
  <c r="R521" i="3" s="1"/>
  <c r="S521" i="3" s="1"/>
  <c r="AC521" i="3"/>
  <c r="Z521" i="3"/>
  <c r="AE521" i="3"/>
  <c r="AA521" i="3"/>
  <c r="T521" i="3" l="1"/>
  <c r="AG521" i="3" s="1"/>
  <c r="U520" i="3"/>
  <c r="Y519" i="3"/>
  <c r="AH521" i="3" l="1"/>
  <c r="D521" i="3"/>
  <c r="G521" i="3" s="1"/>
  <c r="E521" i="3"/>
  <c r="H521" i="3" s="1"/>
  <c r="K521" i="3" s="1"/>
  <c r="F521" i="3" l="1"/>
  <c r="I521" i="3"/>
  <c r="J521" i="3"/>
  <c r="M521" i="3"/>
  <c r="N521" i="3" s="1"/>
  <c r="V521" i="3"/>
  <c r="A522" i="3"/>
  <c r="B522" i="3" s="1"/>
  <c r="W521" i="3" l="1"/>
  <c r="AC522" i="3"/>
  <c r="AA522" i="3"/>
  <c r="AD522" i="3"/>
  <c r="P522" i="3"/>
  <c r="Q522" i="3" s="1"/>
  <c r="R522" i="3" s="1"/>
  <c r="S522" i="3" s="1"/>
  <c r="Z522" i="3"/>
  <c r="AE522" i="3"/>
  <c r="L521" i="3"/>
  <c r="T522" i="3" l="1"/>
  <c r="AH522" i="3" s="1"/>
  <c r="U521" i="3"/>
  <c r="Y520" i="3"/>
  <c r="AG522" i="3" l="1"/>
  <c r="E522" i="3"/>
  <c r="H522" i="3" s="1"/>
  <c r="K522" i="3" s="1"/>
  <c r="D522" i="3"/>
  <c r="F522" i="3" l="1"/>
  <c r="G522" i="3"/>
  <c r="I522" i="3" s="1"/>
  <c r="V522" i="3"/>
  <c r="A523" i="3"/>
  <c r="B523" i="3" s="1"/>
  <c r="M522" i="3" l="1"/>
  <c r="N522" i="3" s="1"/>
  <c r="J522" i="3"/>
  <c r="L522" i="3" s="1"/>
  <c r="AD523" i="3"/>
  <c r="AC523" i="3"/>
  <c r="AA523" i="3"/>
  <c r="P523" i="3"/>
  <c r="Q523" i="3" s="1"/>
  <c r="R523" i="3" s="1"/>
  <c r="S523" i="3" s="1"/>
  <c r="Z523" i="3"/>
  <c r="AE523" i="3"/>
  <c r="W522" i="3"/>
  <c r="U522" i="3" l="1"/>
  <c r="Y521" i="3"/>
  <c r="T523" i="3"/>
  <c r="E523" i="3" l="1"/>
  <c r="H523" i="3" s="1"/>
  <c r="K523" i="3" s="1"/>
  <c r="D523" i="3"/>
  <c r="AH523" i="3"/>
  <c r="AG523" i="3"/>
  <c r="V523" i="3" l="1"/>
  <c r="A524" i="3"/>
  <c r="B524" i="3" s="1"/>
  <c r="F523" i="3"/>
  <c r="G523" i="3"/>
  <c r="I523" i="3" l="1"/>
  <c r="J523" i="3"/>
  <c r="M523" i="3"/>
  <c r="N523" i="3" s="1"/>
  <c r="AC524" i="3"/>
  <c r="AD524" i="3"/>
  <c r="P524" i="3"/>
  <c r="Q524" i="3" s="1"/>
  <c r="R524" i="3" s="1"/>
  <c r="S524" i="3" s="1"/>
  <c r="AA524" i="3"/>
  <c r="AE524" i="3"/>
  <c r="Z524" i="3"/>
  <c r="W523" i="3"/>
  <c r="L523" i="3" l="1"/>
  <c r="T524" i="3"/>
  <c r="AG524" i="3" l="1"/>
  <c r="U523" i="3"/>
  <c r="D524" i="3" s="1"/>
  <c r="AH524" i="3"/>
  <c r="Y522" i="3"/>
  <c r="G524" i="3" l="1"/>
  <c r="E524" i="3"/>
  <c r="H524" i="3" s="1"/>
  <c r="K524" i="3" l="1"/>
  <c r="I524" i="3"/>
  <c r="J524" i="3"/>
  <c r="M524" i="3"/>
  <c r="N524" i="3" s="1"/>
  <c r="F524" i="3"/>
  <c r="L524" i="3" l="1"/>
  <c r="V524" i="3"/>
  <c r="W524" i="3" s="1"/>
  <c r="A525" i="3"/>
  <c r="B525" i="3" s="1"/>
  <c r="P525" i="3" l="1"/>
  <c r="Q525" i="3" s="1"/>
  <c r="R525" i="3" s="1"/>
  <c r="S525" i="3" s="1"/>
  <c r="AA525" i="3"/>
  <c r="Z525" i="3"/>
  <c r="AC525" i="3"/>
  <c r="AD525" i="3"/>
  <c r="AE525" i="3"/>
  <c r="U524" i="3"/>
  <c r="Y523" i="3"/>
  <c r="T525" i="3" l="1"/>
  <c r="D525" i="3" s="1"/>
  <c r="G525" i="3" l="1"/>
  <c r="E525" i="3"/>
  <c r="H525" i="3" s="1"/>
  <c r="AG525" i="3"/>
  <c r="AH525" i="3"/>
  <c r="K525" i="3" l="1"/>
  <c r="I525" i="3"/>
  <c r="J525" i="3"/>
  <c r="M525" i="3"/>
  <c r="N525" i="3" s="1"/>
  <c r="F525" i="3"/>
  <c r="V525" i="3" l="1"/>
  <c r="W525" i="3" s="1"/>
  <c r="A526" i="3"/>
  <c r="B526" i="3" s="1"/>
  <c r="L525" i="3"/>
  <c r="AA526" i="3" l="1"/>
  <c r="AC526" i="3"/>
  <c r="AE526" i="3"/>
  <c r="Z526" i="3"/>
  <c r="AD526" i="3"/>
  <c r="P526" i="3"/>
  <c r="Q526" i="3" s="1"/>
  <c r="R526" i="3" s="1"/>
  <c r="S526" i="3" s="1"/>
  <c r="U525" i="3"/>
  <c r="Y524" i="3"/>
  <c r="T526" i="3" l="1"/>
  <c r="D526" i="3" s="1"/>
  <c r="E526" i="3" l="1"/>
  <c r="H526" i="3" s="1"/>
  <c r="K526" i="3" s="1"/>
  <c r="AH526" i="3"/>
  <c r="G526" i="3"/>
  <c r="AG526" i="3"/>
  <c r="F526" i="3" l="1"/>
  <c r="I526" i="3"/>
  <c r="J526" i="3"/>
  <c r="M526" i="3"/>
  <c r="N526" i="3" s="1"/>
  <c r="V526" i="3"/>
  <c r="A527" i="3"/>
  <c r="B527" i="3" s="1"/>
  <c r="L526" i="3" l="1"/>
  <c r="W526" i="3"/>
  <c r="AA527" i="3"/>
  <c r="AD527" i="3"/>
  <c r="P527" i="3"/>
  <c r="Q527" i="3" s="1"/>
  <c r="R527" i="3" s="1"/>
  <c r="S527" i="3" s="1"/>
  <c r="Z527" i="3"/>
  <c r="AC527" i="3"/>
  <c r="AE527" i="3"/>
  <c r="T527" i="3" l="1"/>
  <c r="U526" i="3"/>
  <c r="Y525" i="3"/>
  <c r="E527" i="3" l="1"/>
  <c r="H527" i="3" s="1"/>
  <c r="K527" i="3" s="1"/>
  <c r="AG527" i="3"/>
  <c r="AH527" i="3"/>
  <c r="D527" i="3"/>
  <c r="F527" i="3" l="1"/>
  <c r="G527" i="3"/>
  <c r="V527" i="3"/>
  <c r="A528" i="3"/>
  <c r="B528" i="3" s="1"/>
  <c r="AD528" i="3" l="1"/>
  <c r="Z528" i="3"/>
  <c r="AC528" i="3"/>
  <c r="AE528" i="3"/>
  <c r="P528" i="3"/>
  <c r="Q528" i="3" s="1"/>
  <c r="R528" i="3" s="1"/>
  <c r="S528" i="3" s="1"/>
  <c r="AA528" i="3"/>
  <c r="I527" i="3"/>
  <c r="W527" i="3" s="1"/>
  <c r="J527" i="3"/>
  <c r="M527" i="3"/>
  <c r="N527" i="3" s="1"/>
  <c r="L527" i="3" l="1"/>
  <c r="T528" i="3"/>
  <c r="AH528" i="3" l="1"/>
  <c r="U527" i="3"/>
  <c r="D528" i="3" s="1"/>
  <c r="AG528" i="3"/>
  <c r="Y526" i="3"/>
  <c r="G528" i="3" l="1"/>
  <c r="E528" i="3"/>
  <c r="H528" i="3" s="1"/>
  <c r="I528" i="3" l="1"/>
  <c r="J528" i="3"/>
  <c r="M528" i="3"/>
  <c r="N528" i="3" s="1"/>
  <c r="K528" i="3"/>
  <c r="F528" i="3"/>
  <c r="L528" i="3" l="1"/>
  <c r="V528" i="3"/>
  <c r="W528" i="3" s="1"/>
  <c r="A529" i="3"/>
  <c r="B529" i="3" s="1"/>
  <c r="AD529" i="3" l="1"/>
  <c r="Z529" i="3"/>
  <c r="AE529" i="3"/>
  <c r="P529" i="3"/>
  <c r="Q529" i="3" s="1"/>
  <c r="R529" i="3" s="1"/>
  <c r="S529" i="3" s="1"/>
  <c r="AA529" i="3"/>
  <c r="AC529" i="3"/>
  <c r="U528" i="3"/>
  <c r="Y527" i="3"/>
  <c r="T529" i="3" l="1"/>
  <c r="AH529" i="3" s="1"/>
  <c r="D529" i="3" l="1"/>
  <c r="G529" i="3" s="1"/>
  <c r="E529" i="3"/>
  <c r="H529" i="3" s="1"/>
  <c r="AG529" i="3"/>
  <c r="K529" i="3" l="1"/>
  <c r="I529" i="3"/>
  <c r="J529" i="3"/>
  <c r="M529" i="3"/>
  <c r="N529" i="3" s="1"/>
  <c r="F529" i="3"/>
  <c r="L529" i="3" l="1"/>
  <c r="V529" i="3"/>
  <c r="W529" i="3" s="1"/>
  <c r="A530" i="3"/>
  <c r="B530" i="3" s="1"/>
  <c r="Z530" i="3" l="1"/>
  <c r="AA530" i="3"/>
  <c r="AC530" i="3"/>
  <c r="P530" i="3"/>
  <c r="Q530" i="3" s="1"/>
  <c r="R530" i="3" s="1"/>
  <c r="S530" i="3" s="1"/>
  <c r="AD530" i="3"/>
  <c r="AE530" i="3"/>
  <c r="U529" i="3"/>
  <c r="Y528" i="3"/>
  <c r="T530" i="3" l="1"/>
  <c r="D530" i="3" s="1"/>
  <c r="E530" i="3"/>
  <c r="H530" i="3" s="1"/>
  <c r="AG530" i="3" l="1"/>
  <c r="AH530" i="3"/>
  <c r="K530" i="3"/>
  <c r="F530" i="3"/>
  <c r="G530" i="3"/>
  <c r="V530" i="3" l="1"/>
  <c r="A531" i="3"/>
  <c r="B531" i="3" s="1"/>
  <c r="I530" i="3"/>
  <c r="J530" i="3"/>
  <c r="M530" i="3"/>
  <c r="N530" i="3" s="1"/>
  <c r="W530" i="3" l="1"/>
  <c r="L530" i="3"/>
  <c r="Z531" i="3"/>
  <c r="AD531" i="3"/>
  <c r="P531" i="3"/>
  <c r="Q531" i="3" s="1"/>
  <c r="R531" i="3" s="1"/>
  <c r="S531" i="3" s="1"/>
  <c r="AC531" i="3"/>
  <c r="AE531" i="3"/>
  <c r="AA531" i="3"/>
  <c r="T531" i="3" l="1"/>
  <c r="AG531" i="3" s="1"/>
  <c r="U530" i="3"/>
  <c r="Y529" i="3"/>
  <c r="AH531" i="3" l="1"/>
  <c r="D531" i="3"/>
  <c r="E531" i="3"/>
  <c r="H531" i="3" s="1"/>
  <c r="K531" i="3" s="1"/>
  <c r="F531" i="3" l="1"/>
  <c r="G531" i="3"/>
  <c r="I531" i="3" s="1"/>
  <c r="V531" i="3"/>
  <c r="A532" i="3"/>
  <c r="B532" i="3" s="1"/>
  <c r="M531" i="3" l="1"/>
  <c r="N531" i="3" s="1"/>
  <c r="J531" i="3"/>
  <c r="L531" i="3" s="1"/>
  <c r="W531" i="3"/>
  <c r="Z532" i="3"/>
  <c r="AE532" i="3"/>
  <c r="AC532" i="3"/>
  <c r="AD532" i="3"/>
  <c r="P532" i="3"/>
  <c r="Q532" i="3" s="1"/>
  <c r="R532" i="3" s="1"/>
  <c r="S532" i="3" s="1"/>
  <c r="AA532" i="3"/>
  <c r="T532" i="3" l="1"/>
  <c r="AH532" i="3" s="1"/>
  <c r="U531" i="3"/>
  <c r="Y530" i="3"/>
  <c r="AG532" i="3" l="1"/>
  <c r="D532" i="3"/>
  <c r="G532" i="3" s="1"/>
  <c r="E532" i="3"/>
  <c r="H532" i="3" s="1"/>
  <c r="K532" i="3" s="1"/>
  <c r="F532" i="3" l="1"/>
  <c r="V532" i="3"/>
  <c r="A533" i="3"/>
  <c r="B533" i="3" s="1"/>
  <c r="I532" i="3"/>
  <c r="J532" i="3"/>
  <c r="M532" i="3"/>
  <c r="N532" i="3" s="1"/>
  <c r="W532" i="3" l="1"/>
  <c r="AE533" i="3"/>
  <c r="P533" i="3"/>
  <c r="Q533" i="3" s="1"/>
  <c r="R533" i="3" s="1"/>
  <c r="S533" i="3" s="1"/>
  <c r="AA533" i="3"/>
  <c r="Z533" i="3"/>
  <c r="AC533" i="3"/>
  <c r="AD533" i="3"/>
  <c r="L532" i="3"/>
  <c r="T533" i="3" l="1"/>
  <c r="AG533" i="3" s="1"/>
  <c r="U532" i="3"/>
  <c r="Y531" i="3"/>
  <c r="AH533" i="3" l="1"/>
  <c r="E533" i="3"/>
  <c r="H533" i="3" s="1"/>
  <c r="K533" i="3" s="1"/>
  <c r="D533" i="3"/>
  <c r="F533" i="3" l="1"/>
  <c r="G533" i="3"/>
  <c r="I533" i="3" s="1"/>
  <c r="V533" i="3"/>
  <c r="A534" i="3"/>
  <c r="B534" i="3" s="1"/>
  <c r="M533" i="3" l="1"/>
  <c r="N533" i="3" s="1"/>
  <c r="J533" i="3"/>
  <c r="L533" i="3" s="1"/>
  <c r="AE534" i="3"/>
  <c r="AD534" i="3"/>
  <c r="P534" i="3"/>
  <c r="Q534" i="3" s="1"/>
  <c r="R534" i="3" s="1"/>
  <c r="S534" i="3" s="1"/>
  <c r="AA534" i="3"/>
  <c r="Z534" i="3"/>
  <c r="AC534" i="3"/>
  <c r="W533" i="3"/>
  <c r="T534" i="3" l="1"/>
  <c r="AH534" i="3" s="1"/>
  <c r="U533" i="3"/>
  <c r="Y532" i="3"/>
  <c r="AG534" i="3" l="1"/>
  <c r="D534" i="3"/>
  <c r="G534" i="3" s="1"/>
  <c r="E534" i="3"/>
  <c r="H534" i="3" s="1"/>
  <c r="K534" i="3" s="1"/>
  <c r="F534" i="3" l="1"/>
  <c r="V534" i="3"/>
  <c r="A535" i="3"/>
  <c r="B535" i="3" s="1"/>
  <c r="I534" i="3"/>
  <c r="J534" i="3"/>
  <c r="M534" i="3"/>
  <c r="N534" i="3" s="1"/>
  <c r="L534" i="3" l="1"/>
  <c r="Z535" i="3"/>
  <c r="P535" i="3"/>
  <c r="Q535" i="3" s="1"/>
  <c r="R535" i="3" s="1"/>
  <c r="S535" i="3" s="1"/>
  <c r="AA535" i="3"/>
  <c r="AD535" i="3"/>
  <c r="AC535" i="3"/>
  <c r="AE535" i="3"/>
  <c r="W534" i="3"/>
  <c r="T535" i="3" l="1"/>
  <c r="AH535" i="3" s="1"/>
  <c r="U534" i="3"/>
  <c r="Y533" i="3"/>
  <c r="E535" i="3" l="1"/>
  <c r="H535" i="3" s="1"/>
  <c r="K535" i="3" s="1"/>
  <c r="D535" i="3"/>
  <c r="F535" i="3" s="1"/>
  <c r="AG535" i="3"/>
  <c r="G535" i="3" l="1"/>
  <c r="V535" i="3"/>
  <c r="A536" i="3"/>
  <c r="B536" i="3" s="1"/>
  <c r="I535" i="3"/>
  <c r="J535" i="3"/>
  <c r="M535" i="3"/>
  <c r="N535" i="3" s="1"/>
  <c r="W535" i="3" l="1"/>
  <c r="L535" i="3"/>
  <c r="AC536" i="3"/>
  <c r="AD536" i="3"/>
  <c r="P536" i="3"/>
  <c r="Q536" i="3" s="1"/>
  <c r="R536" i="3" s="1"/>
  <c r="S536" i="3" s="1"/>
  <c r="Z536" i="3"/>
  <c r="AA536" i="3"/>
  <c r="AE536" i="3"/>
  <c r="T536" i="3" l="1"/>
  <c r="AG536" i="3" s="1"/>
  <c r="U535" i="3"/>
  <c r="Y534" i="3"/>
  <c r="D536" i="3" l="1"/>
  <c r="G536" i="3" s="1"/>
  <c r="AH536" i="3"/>
  <c r="E536" i="3"/>
  <c r="H536" i="3" s="1"/>
  <c r="K536" i="3" l="1"/>
  <c r="I536" i="3"/>
  <c r="J536" i="3"/>
  <c r="M536" i="3"/>
  <c r="N536" i="3" s="1"/>
  <c r="F536" i="3"/>
  <c r="V536" i="3" l="1"/>
  <c r="W536" i="3" s="1"/>
  <c r="A537" i="3"/>
  <c r="B537" i="3" s="1"/>
  <c r="L536" i="3"/>
  <c r="AE537" i="3" l="1"/>
  <c r="AD537" i="3"/>
  <c r="P537" i="3"/>
  <c r="Q537" i="3" s="1"/>
  <c r="R537" i="3" s="1"/>
  <c r="S537" i="3" s="1"/>
  <c r="Z537" i="3"/>
  <c r="AA537" i="3"/>
  <c r="AC537" i="3"/>
  <c r="U536" i="3"/>
  <c r="Y535" i="3"/>
  <c r="T537" i="3" l="1"/>
  <c r="AH537" i="3" s="1"/>
  <c r="E537" i="3" l="1"/>
  <c r="H537" i="3" s="1"/>
  <c r="K537" i="3" s="1"/>
  <c r="AG537" i="3"/>
  <c r="D537" i="3"/>
  <c r="F537" i="3" l="1"/>
  <c r="G537" i="3"/>
  <c r="I537" i="3" s="1"/>
  <c r="V537" i="3"/>
  <c r="A538" i="3"/>
  <c r="B538" i="3" s="1"/>
  <c r="M537" i="3" l="1"/>
  <c r="N537" i="3" s="1"/>
  <c r="J537" i="3"/>
  <c r="AC538" i="3"/>
  <c r="AA538" i="3"/>
  <c r="P538" i="3"/>
  <c r="Q538" i="3" s="1"/>
  <c r="R538" i="3" s="1"/>
  <c r="S538" i="3" s="1"/>
  <c r="Z538" i="3"/>
  <c r="AD538" i="3"/>
  <c r="AE538" i="3"/>
  <c r="L537" i="3"/>
  <c r="W537" i="3"/>
  <c r="T538" i="3" l="1"/>
  <c r="AH538" i="3" s="1"/>
  <c r="U537" i="3"/>
  <c r="Y536" i="3"/>
  <c r="E538" i="3" l="1"/>
  <c r="H538" i="3" s="1"/>
  <c r="K538" i="3" s="1"/>
  <c r="D538" i="3"/>
  <c r="AG538" i="3"/>
  <c r="F538" i="3" l="1"/>
  <c r="G538" i="3"/>
  <c r="M538" i="3" s="1"/>
  <c r="N538" i="3" s="1"/>
  <c r="V538" i="3"/>
  <c r="A539" i="3"/>
  <c r="B539" i="3" s="1"/>
  <c r="J538" i="3" l="1"/>
  <c r="L538" i="3" s="1"/>
  <c r="I538" i="3"/>
  <c r="W538" i="3" s="1"/>
  <c r="AE539" i="3"/>
  <c r="P539" i="3"/>
  <c r="Q539" i="3" s="1"/>
  <c r="R539" i="3" s="1"/>
  <c r="S539" i="3" s="1"/>
  <c r="AD539" i="3"/>
  <c r="AA539" i="3"/>
  <c r="Z539" i="3"/>
  <c r="AC539" i="3"/>
  <c r="U538" i="3" l="1"/>
  <c r="Y537" i="3"/>
  <c r="T539" i="3"/>
  <c r="AG539" i="3" s="1"/>
  <c r="D539" i="3" l="1"/>
  <c r="E539" i="3"/>
  <c r="H539" i="3" s="1"/>
  <c r="AH539" i="3"/>
  <c r="K539" i="3" l="1"/>
  <c r="F539" i="3"/>
  <c r="G539" i="3"/>
  <c r="V539" i="3" l="1"/>
  <c r="A540" i="3"/>
  <c r="B540" i="3" s="1"/>
  <c r="I539" i="3"/>
  <c r="J539" i="3"/>
  <c r="M539" i="3"/>
  <c r="N539" i="3" s="1"/>
  <c r="P540" i="3" l="1"/>
  <c r="Q540" i="3" s="1"/>
  <c r="R540" i="3" s="1"/>
  <c r="S540" i="3" s="1"/>
  <c r="AA540" i="3"/>
  <c r="AD540" i="3"/>
  <c r="Z540" i="3"/>
  <c r="AE540" i="3"/>
  <c r="AC540" i="3"/>
  <c r="L539" i="3"/>
  <c r="W539" i="3"/>
  <c r="U539" i="3" l="1"/>
  <c r="Y538" i="3"/>
  <c r="T540" i="3"/>
  <c r="D540" i="3" s="1"/>
  <c r="G540" i="3" l="1"/>
  <c r="AG540" i="3"/>
  <c r="E540" i="3"/>
  <c r="H540" i="3" s="1"/>
  <c r="AH540" i="3"/>
  <c r="K540" i="3" l="1"/>
  <c r="I540" i="3"/>
  <c r="J540" i="3"/>
  <c r="M540" i="3"/>
  <c r="N540" i="3" s="1"/>
  <c r="F540" i="3"/>
  <c r="V540" i="3" l="1"/>
  <c r="W540" i="3" s="1"/>
  <c r="A541" i="3"/>
  <c r="B541" i="3" s="1"/>
  <c r="L540" i="3"/>
  <c r="AC541" i="3" l="1"/>
  <c r="AA541" i="3"/>
  <c r="Z541" i="3"/>
  <c r="P541" i="3"/>
  <c r="Q541" i="3" s="1"/>
  <c r="R541" i="3" s="1"/>
  <c r="S541" i="3" s="1"/>
  <c r="AD541" i="3"/>
  <c r="AE541" i="3"/>
  <c r="U540" i="3"/>
  <c r="Y539" i="3"/>
  <c r="T541" i="3" l="1"/>
  <c r="AH541" i="3" s="1"/>
  <c r="E541" i="3" l="1"/>
  <c r="H541" i="3" s="1"/>
  <c r="AG541" i="3"/>
  <c r="D541" i="3"/>
  <c r="F541" i="3" l="1"/>
  <c r="G541" i="3"/>
  <c r="K541" i="3"/>
  <c r="I541" i="3" l="1"/>
  <c r="J541" i="3"/>
  <c r="M541" i="3"/>
  <c r="N541" i="3" s="1"/>
  <c r="V541" i="3"/>
  <c r="A542" i="3"/>
  <c r="B542" i="3" s="1"/>
  <c r="W541" i="3" l="1"/>
  <c r="AE542" i="3"/>
  <c r="P542" i="3"/>
  <c r="Q542" i="3" s="1"/>
  <c r="R542" i="3" s="1"/>
  <c r="S542" i="3" s="1"/>
  <c r="AA542" i="3"/>
  <c r="AD542" i="3"/>
  <c r="Z542" i="3"/>
  <c r="AC542" i="3"/>
  <c r="L541" i="3"/>
  <c r="T542" i="3" l="1"/>
  <c r="AG542" i="3" s="1"/>
  <c r="U541" i="3"/>
  <c r="Y540" i="3"/>
  <c r="D542" i="3" l="1"/>
  <c r="G542" i="3" s="1"/>
  <c r="AH542" i="3"/>
  <c r="E542" i="3"/>
  <c r="H542" i="3" s="1"/>
  <c r="K542" i="3" s="1"/>
  <c r="F542" i="3" l="1"/>
  <c r="V542" i="3"/>
  <c r="A543" i="3"/>
  <c r="B543" i="3" s="1"/>
  <c r="I542" i="3"/>
  <c r="J542" i="3"/>
  <c r="M542" i="3"/>
  <c r="N542" i="3" s="1"/>
  <c r="W542" i="3" l="1"/>
  <c r="P543" i="3"/>
  <c r="Q543" i="3" s="1"/>
  <c r="R543" i="3" s="1"/>
  <c r="S543" i="3" s="1"/>
  <c r="AA543" i="3"/>
  <c r="Z543" i="3"/>
  <c r="AE543" i="3"/>
  <c r="AD543" i="3"/>
  <c r="AC543" i="3"/>
  <c r="L542" i="3"/>
  <c r="U542" i="3" l="1"/>
  <c r="Y541" i="3"/>
  <c r="T543" i="3"/>
  <c r="AG543" i="3" s="1"/>
  <c r="D543" i="3" l="1"/>
  <c r="G543" i="3" s="1"/>
  <c r="E543" i="3"/>
  <c r="H543" i="3" s="1"/>
  <c r="K543" i="3" s="1"/>
  <c r="AH543" i="3"/>
  <c r="F543" i="3" l="1"/>
  <c r="V543" i="3"/>
  <c r="A544" i="3"/>
  <c r="B544" i="3" s="1"/>
  <c r="I543" i="3"/>
  <c r="J543" i="3"/>
  <c r="M543" i="3"/>
  <c r="N543" i="3" s="1"/>
  <c r="AA544" i="3" l="1"/>
  <c r="AE544" i="3"/>
  <c r="Z544" i="3"/>
  <c r="AD544" i="3"/>
  <c r="P544" i="3"/>
  <c r="Q544" i="3" s="1"/>
  <c r="R544" i="3" s="1"/>
  <c r="S544" i="3" s="1"/>
  <c r="AC544" i="3"/>
  <c r="L543" i="3"/>
  <c r="W543" i="3"/>
  <c r="T544" i="3" l="1"/>
  <c r="AH544" i="3" s="1"/>
  <c r="U543" i="3"/>
  <c r="Y542" i="3"/>
  <c r="D544" i="3" l="1"/>
  <c r="G544" i="3" s="1"/>
  <c r="E544" i="3"/>
  <c r="H544" i="3" s="1"/>
  <c r="K544" i="3" s="1"/>
  <c r="AG544" i="3"/>
  <c r="F544" i="3" l="1"/>
  <c r="V544" i="3"/>
  <c r="A545" i="3"/>
  <c r="B545" i="3" s="1"/>
  <c r="I544" i="3"/>
  <c r="J544" i="3"/>
  <c r="M544" i="3"/>
  <c r="N544" i="3" s="1"/>
  <c r="W544" i="3" l="1"/>
  <c r="AC545" i="3"/>
  <c r="P545" i="3"/>
  <c r="Q545" i="3" s="1"/>
  <c r="R545" i="3" s="1"/>
  <c r="S545" i="3" s="1"/>
  <c r="Z545" i="3"/>
  <c r="AD545" i="3"/>
  <c r="AA545" i="3"/>
  <c r="AE545" i="3"/>
  <c r="L544" i="3"/>
  <c r="U544" i="3" l="1"/>
  <c r="Y543" i="3"/>
  <c r="T545" i="3"/>
  <c r="AG545" i="3" s="1"/>
  <c r="D545" i="3" l="1"/>
  <c r="AH545" i="3"/>
  <c r="E545" i="3"/>
  <c r="H545" i="3" s="1"/>
  <c r="K545" i="3" l="1"/>
  <c r="F545" i="3"/>
  <c r="G545" i="3"/>
  <c r="V545" i="3" l="1"/>
  <c r="A546" i="3"/>
  <c r="B546" i="3" s="1"/>
  <c r="I545" i="3"/>
  <c r="J545" i="3"/>
  <c r="M545" i="3"/>
  <c r="N545" i="3" s="1"/>
  <c r="AD546" i="3" l="1"/>
  <c r="AC546" i="3"/>
  <c r="AE546" i="3"/>
  <c r="P546" i="3"/>
  <c r="Q546" i="3" s="1"/>
  <c r="R546" i="3" s="1"/>
  <c r="S546" i="3" s="1"/>
  <c r="Z546" i="3"/>
  <c r="AA546" i="3"/>
  <c r="L545" i="3"/>
  <c r="W545" i="3"/>
  <c r="T546" i="3" l="1"/>
  <c r="AH546" i="3" s="1"/>
  <c r="U545" i="3"/>
  <c r="Y544" i="3"/>
  <c r="AG546" i="3" l="1"/>
  <c r="D546" i="3"/>
  <c r="G546" i="3" s="1"/>
  <c r="E546" i="3"/>
  <c r="H546" i="3" s="1"/>
  <c r="K546" i="3" s="1"/>
  <c r="F546" i="3" l="1"/>
  <c r="V546" i="3"/>
  <c r="A547" i="3"/>
  <c r="B547" i="3" s="1"/>
  <c r="I546" i="3"/>
  <c r="J546" i="3"/>
  <c r="M546" i="3"/>
  <c r="N546" i="3" s="1"/>
  <c r="AA547" i="3" l="1"/>
  <c r="P547" i="3"/>
  <c r="Q547" i="3" s="1"/>
  <c r="R547" i="3" s="1"/>
  <c r="S547" i="3" s="1"/>
  <c r="AC547" i="3"/>
  <c r="AE547" i="3"/>
  <c r="Z547" i="3"/>
  <c r="AD547" i="3"/>
  <c r="L546" i="3"/>
  <c r="W546" i="3"/>
  <c r="T547" i="3" l="1"/>
  <c r="AG547" i="3" s="1"/>
  <c r="U546" i="3"/>
  <c r="Y545" i="3"/>
  <c r="AH547" i="3" l="1"/>
  <c r="E547" i="3"/>
  <c r="H547" i="3" s="1"/>
  <c r="K547" i="3" s="1"/>
  <c r="D547" i="3"/>
  <c r="F547" i="3" l="1"/>
  <c r="G547" i="3"/>
  <c r="J547" i="3" s="1"/>
  <c r="V547" i="3"/>
  <c r="A548" i="3"/>
  <c r="B548" i="3" s="1"/>
  <c r="I547" i="3" l="1"/>
  <c r="W547" i="3" s="1"/>
  <c r="M547" i="3"/>
  <c r="N547" i="3" s="1"/>
  <c r="AE548" i="3"/>
  <c r="P548" i="3"/>
  <c r="Q548" i="3" s="1"/>
  <c r="R548" i="3" s="1"/>
  <c r="S548" i="3" s="1"/>
  <c r="Z548" i="3"/>
  <c r="AA548" i="3"/>
  <c r="AD548" i="3"/>
  <c r="AC548" i="3"/>
  <c r="L547" i="3"/>
  <c r="T548" i="3" l="1"/>
  <c r="AG548" i="3" s="1"/>
  <c r="U547" i="3"/>
  <c r="Y546" i="3"/>
  <c r="AH548" i="3" l="1"/>
  <c r="E548" i="3"/>
  <c r="H548" i="3" s="1"/>
  <c r="K548" i="3" s="1"/>
  <c r="D548" i="3"/>
  <c r="G548" i="3" s="1"/>
  <c r="F548" i="3" l="1"/>
  <c r="V548" i="3"/>
  <c r="A549" i="3"/>
  <c r="B549" i="3" s="1"/>
  <c r="I548" i="3"/>
  <c r="J548" i="3"/>
  <c r="M548" i="3"/>
  <c r="N548" i="3" s="1"/>
  <c r="W548" i="3" l="1"/>
  <c r="P549" i="3"/>
  <c r="Q549" i="3" s="1"/>
  <c r="R549" i="3" s="1"/>
  <c r="S549" i="3" s="1"/>
  <c r="Z549" i="3"/>
  <c r="AA549" i="3"/>
  <c r="AE549" i="3"/>
  <c r="AC549" i="3"/>
  <c r="AD549" i="3"/>
  <c r="L548" i="3"/>
  <c r="U548" i="3" l="1"/>
  <c r="Y547" i="3"/>
  <c r="T549" i="3"/>
  <c r="AH549" i="3" s="1"/>
  <c r="E549" i="3" l="1"/>
  <c r="H549" i="3" s="1"/>
  <c r="AG549" i="3"/>
  <c r="D549" i="3"/>
  <c r="F549" i="3" l="1"/>
  <c r="G549" i="3"/>
  <c r="K549" i="3"/>
  <c r="I549" i="3" l="1"/>
  <c r="J549" i="3"/>
  <c r="M549" i="3"/>
  <c r="N549" i="3" s="1"/>
  <c r="V549" i="3"/>
  <c r="A550" i="3"/>
  <c r="B550" i="3" s="1"/>
  <c r="W549" i="3" l="1"/>
  <c r="L549" i="3"/>
  <c r="Z550" i="3"/>
  <c r="AE550" i="3"/>
  <c r="P550" i="3"/>
  <c r="Q550" i="3" s="1"/>
  <c r="R550" i="3" s="1"/>
  <c r="S550" i="3" s="1"/>
  <c r="AC550" i="3"/>
  <c r="AA550" i="3"/>
  <c r="AD550" i="3"/>
  <c r="T550" i="3" l="1"/>
  <c r="AG550" i="3" s="1"/>
  <c r="U549" i="3"/>
  <c r="Y548" i="3"/>
  <c r="D550" i="3" l="1"/>
  <c r="G550" i="3" s="1"/>
  <c r="E550" i="3"/>
  <c r="H550" i="3" s="1"/>
  <c r="K550" i="3" s="1"/>
  <c r="AH550" i="3"/>
  <c r="F550" i="3" l="1"/>
  <c r="V550" i="3"/>
  <c r="A551" i="3"/>
  <c r="B551" i="3" s="1"/>
  <c r="I550" i="3"/>
  <c r="J550" i="3"/>
  <c r="M550" i="3"/>
  <c r="N550" i="3" s="1"/>
  <c r="W550" i="3" l="1"/>
  <c r="L550" i="3"/>
  <c r="P551" i="3"/>
  <c r="Q551" i="3" s="1"/>
  <c r="R551" i="3" s="1"/>
  <c r="S551" i="3" s="1"/>
  <c r="AA551" i="3"/>
  <c r="AE551" i="3"/>
  <c r="Z551" i="3"/>
  <c r="AD551" i="3"/>
  <c r="AC551" i="3"/>
  <c r="T551" i="3" l="1"/>
  <c r="AH551" i="3" s="1"/>
  <c r="U550" i="3"/>
  <c r="Y549" i="3"/>
  <c r="D551" i="3" l="1"/>
  <c r="G551" i="3" s="1"/>
  <c r="AG551" i="3"/>
  <c r="E551" i="3"/>
  <c r="H551" i="3" s="1"/>
  <c r="K551" i="3" l="1"/>
  <c r="I551" i="3"/>
  <c r="J551" i="3"/>
  <c r="M551" i="3"/>
  <c r="N551" i="3" s="1"/>
  <c r="F551" i="3"/>
  <c r="V551" i="3" l="1"/>
  <c r="W551" i="3" s="1"/>
  <c r="A552" i="3"/>
  <c r="B552" i="3" s="1"/>
  <c r="L551" i="3"/>
  <c r="AD552" i="3" l="1"/>
  <c r="P552" i="3"/>
  <c r="Q552" i="3" s="1"/>
  <c r="R552" i="3" s="1"/>
  <c r="S552" i="3" s="1"/>
  <c r="AA552" i="3"/>
  <c r="AC552" i="3"/>
  <c r="Z552" i="3"/>
  <c r="AE552" i="3"/>
  <c r="U551" i="3"/>
  <c r="Y550" i="3"/>
  <c r="T552" i="3" l="1"/>
  <c r="D552" i="3" s="1"/>
  <c r="E552" i="3" l="1"/>
  <c r="H552" i="3" s="1"/>
  <c r="K552" i="3" s="1"/>
  <c r="G552" i="3"/>
  <c r="AH552" i="3"/>
  <c r="AG552" i="3"/>
  <c r="F552" i="3" l="1"/>
  <c r="V552" i="3"/>
  <c r="A553" i="3"/>
  <c r="B553" i="3" s="1"/>
  <c r="I552" i="3"/>
  <c r="J552" i="3"/>
  <c r="M552" i="3"/>
  <c r="N552" i="3" s="1"/>
  <c r="W552" i="3" l="1"/>
  <c r="AA553" i="3"/>
  <c r="P553" i="3"/>
  <c r="Q553" i="3" s="1"/>
  <c r="R553" i="3" s="1"/>
  <c r="S553" i="3" s="1"/>
  <c r="AE553" i="3"/>
  <c r="AC553" i="3"/>
  <c r="Z553" i="3"/>
  <c r="AD553" i="3"/>
  <c r="L552" i="3"/>
  <c r="T553" i="3" l="1"/>
  <c r="AH553" i="3" s="1"/>
  <c r="U552" i="3"/>
  <c r="Y551" i="3"/>
  <c r="AG553" i="3" l="1"/>
  <c r="E553" i="3"/>
  <c r="H553" i="3" s="1"/>
  <c r="K553" i="3" s="1"/>
  <c r="D553" i="3"/>
  <c r="G553" i="3" s="1"/>
  <c r="F553" i="3" l="1"/>
  <c r="V553" i="3"/>
  <c r="A554" i="3"/>
  <c r="B554" i="3" s="1"/>
  <c r="I553" i="3"/>
  <c r="J553" i="3"/>
  <c r="M553" i="3"/>
  <c r="N553" i="3" s="1"/>
  <c r="AE554" i="3" l="1"/>
  <c r="AA554" i="3"/>
  <c r="P554" i="3"/>
  <c r="Q554" i="3" s="1"/>
  <c r="R554" i="3" s="1"/>
  <c r="S554" i="3" s="1"/>
  <c r="AD554" i="3"/>
  <c r="AC554" i="3"/>
  <c r="Z554" i="3"/>
  <c r="L553" i="3"/>
  <c r="W553" i="3"/>
  <c r="T554" i="3" l="1"/>
  <c r="AH554" i="3" s="1"/>
  <c r="U553" i="3"/>
  <c r="Y552" i="3"/>
  <c r="AG554" i="3" l="1"/>
  <c r="E554" i="3"/>
  <c r="H554" i="3" s="1"/>
  <c r="K554" i="3" s="1"/>
  <c r="D554" i="3"/>
  <c r="F554" i="3" l="1"/>
  <c r="G554" i="3"/>
  <c r="I554" i="3" s="1"/>
  <c r="V554" i="3"/>
  <c r="A555" i="3"/>
  <c r="B555" i="3" s="1"/>
  <c r="M554" i="3" l="1"/>
  <c r="N554" i="3" s="1"/>
  <c r="J554" i="3"/>
  <c r="W554" i="3"/>
  <c r="AA555" i="3"/>
  <c r="AE555" i="3"/>
  <c r="AD555" i="3"/>
  <c r="AC555" i="3"/>
  <c r="P555" i="3"/>
  <c r="Q555" i="3" s="1"/>
  <c r="R555" i="3" s="1"/>
  <c r="S555" i="3" s="1"/>
  <c r="Z555" i="3"/>
  <c r="L554" i="3"/>
  <c r="T555" i="3" l="1"/>
  <c r="AH555" i="3" s="1"/>
  <c r="U554" i="3"/>
  <c r="Y553" i="3"/>
  <c r="D555" i="3" l="1"/>
  <c r="G555" i="3" s="1"/>
  <c r="AG555" i="3"/>
  <c r="E555" i="3"/>
  <c r="H555" i="3" s="1"/>
  <c r="K555" i="3" l="1"/>
  <c r="I555" i="3"/>
  <c r="J555" i="3"/>
  <c r="M555" i="3"/>
  <c r="N555" i="3" s="1"/>
  <c r="F555" i="3"/>
  <c r="V555" i="3" l="1"/>
  <c r="W555" i="3" s="1"/>
  <c r="A556" i="3"/>
  <c r="B556" i="3" s="1"/>
  <c r="L555" i="3"/>
  <c r="AE556" i="3" l="1"/>
  <c r="AD556" i="3"/>
  <c r="Z556" i="3"/>
  <c r="AC556" i="3"/>
  <c r="P556" i="3"/>
  <c r="Q556" i="3" s="1"/>
  <c r="R556" i="3" s="1"/>
  <c r="S556" i="3" s="1"/>
  <c r="AA556" i="3"/>
  <c r="U555" i="3"/>
  <c r="Y554" i="3"/>
  <c r="T556" i="3" l="1"/>
  <c r="AH556" i="3" s="1"/>
  <c r="D556" i="3" l="1"/>
  <c r="G556" i="3" s="1"/>
  <c r="AG556" i="3"/>
  <c r="E556" i="3"/>
  <c r="H556" i="3" s="1"/>
  <c r="K556" i="3" s="1"/>
  <c r="F556" i="3" l="1"/>
  <c r="I556" i="3"/>
  <c r="J556" i="3"/>
  <c r="M556" i="3"/>
  <c r="N556" i="3" s="1"/>
  <c r="V556" i="3"/>
  <c r="A557" i="3"/>
  <c r="B557" i="3" s="1"/>
  <c r="W556" i="3" l="1"/>
  <c r="L556" i="3"/>
  <c r="Z557" i="3"/>
  <c r="AE557" i="3"/>
  <c r="AD557" i="3"/>
  <c r="P557" i="3"/>
  <c r="Q557" i="3" s="1"/>
  <c r="R557" i="3" s="1"/>
  <c r="S557" i="3" s="1"/>
  <c r="AA557" i="3"/>
  <c r="AC557" i="3"/>
  <c r="T557" i="3" l="1"/>
  <c r="AH557" i="3" s="1"/>
  <c r="U556" i="3"/>
  <c r="Y555" i="3"/>
  <c r="D557" i="3" l="1"/>
  <c r="G557" i="3" s="1"/>
  <c r="AG557" i="3"/>
  <c r="E557" i="3"/>
  <c r="H557" i="3" s="1"/>
  <c r="K557" i="3" s="1"/>
  <c r="F557" i="3" l="1"/>
  <c r="V557" i="3"/>
  <c r="A558" i="3"/>
  <c r="B558" i="3" s="1"/>
  <c r="I557" i="3"/>
  <c r="J557" i="3"/>
  <c r="M557" i="3"/>
  <c r="N557" i="3" s="1"/>
  <c r="AE558" i="3" l="1"/>
  <c r="AC558" i="3"/>
  <c r="P558" i="3"/>
  <c r="Q558" i="3" s="1"/>
  <c r="R558" i="3" s="1"/>
  <c r="S558" i="3" s="1"/>
  <c r="Z558" i="3"/>
  <c r="AD558" i="3"/>
  <c r="AA558" i="3"/>
  <c r="L557" i="3"/>
  <c r="W557" i="3"/>
  <c r="T558" i="3" l="1"/>
  <c r="U557" i="3"/>
  <c r="Y556" i="3"/>
  <c r="E558" i="3" l="1"/>
  <c r="H558" i="3" s="1"/>
  <c r="K558" i="3" s="1"/>
  <c r="AG558" i="3"/>
  <c r="AH558" i="3"/>
  <c r="D558" i="3"/>
  <c r="G558" i="3" s="1"/>
  <c r="F558" i="3" l="1"/>
  <c r="I558" i="3"/>
  <c r="J558" i="3"/>
  <c r="M558" i="3"/>
  <c r="N558" i="3" s="1"/>
  <c r="V558" i="3"/>
  <c r="A559" i="3"/>
  <c r="B559" i="3" s="1"/>
  <c r="W558" i="3" l="1"/>
  <c r="L558" i="3"/>
  <c r="AE559" i="3"/>
  <c r="AD559" i="3"/>
  <c r="P559" i="3"/>
  <c r="Q559" i="3" s="1"/>
  <c r="R559" i="3" s="1"/>
  <c r="S559" i="3" s="1"/>
  <c r="AA559" i="3"/>
  <c r="Z559" i="3"/>
  <c r="AC559" i="3"/>
  <c r="T559" i="3" l="1"/>
  <c r="AG559" i="3" s="1"/>
  <c r="U558" i="3"/>
  <c r="E559" i="3" s="1"/>
  <c r="H559" i="3" s="1"/>
  <c r="AH559" i="3"/>
  <c r="Y557" i="3"/>
  <c r="K559" i="3" l="1"/>
  <c r="D559" i="3"/>
  <c r="F559" i="3" l="1"/>
  <c r="G559" i="3"/>
  <c r="V559" i="3"/>
  <c r="A560" i="3"/>
  <c r="B560" i="3" s="1"/>
  <c r="AC560" i="3" l="1"/>
  <c r="AD560" i="3"/>
  <c r="AA560" i="3"/>
  <c r="P560" i="3"/>
  <c r="Q560" i="3" s="1"/>
  <c r="R560" i="3" s="1"/>
  <c r="S560" i="3" s="1"/>
  <c r="AE560" i="3"/>
  <c r="Z560" i="3"/>
  <c r="I559" i="3"/>
  <c r="W559" i="3" s="1"/>
  <c r="J559" i="3"/>
  <c r="M559" i="3"/>
  <c r="N559" i="3" s="1"/>
  <c r="L559" i="3" l="1"/>
  <c r="T560" i="3"/>
  <c r="AH560" i="3" l="1"/>
  <c r="U559" i="3"/>
  <c r="D560" i="3" s="1"/>
  <c r="AG560" i="3"/>
  <c r="Y558" i="3"/>
  <c r="E560" i="3" l="1"/>
  <c r="H560" i="3" s="1"/>
  <c r="K560" i="3" s="1"/>
  <c r="G560" i="3"/>
  <c r="F560" i="3" l="1"/>
  <c r="I560" i="3"/>
  <c r="J560" i="3"/>
  <c r="M560" i="3"/>
  <c r="N560" i="3" s="1"/>
  <c r="V560" i="3"/>
  <c r="A561" i="3"/>
  <c r="B561" i="3" s="1"/>
  <c r="W560" i="3" l="1"/>
  <c r="L560" i="3"/>
  <c r="AE561" i="3"/>
  <c r="AC561" i="3"/>
  <c r="Z561" i="3"/>
  <c r="P561" i="3"/>
  <c r="Q561" i="3" s="1"/>
  <c r="R561" i="3" s="1"/>
  <c r="S561" i="3" s="1"/>
  <c r="AD561" i="3"/>
  <c r="AA561" i="3"/>
  <c r="T561" i="3" l="1"/>
  <c r="AH561" i="3" s="1"/>
  <c r="U560" i="3"/>
  <c r="Y559" i="3"/>
  <c r="AG561" i="3" l="1"/>
  <c r="D561" i="3"/>
  <c r="G561" i="3" s="1"/>
  <c r="E561" i="3"/>
  <c r="H561" i="3" s="1"/>
  <c r="K561" i="3" s="1"/>
  <c r="F561" i="3" l="1"/>
  <c r="I561" i="3"/>
  <c r="J561" i="3"/>
  <c r="M561" i="3"/>
  <c r="N561" i="3" s="1"/>
  <c r="V561" i="3"/>
  <c r="A562" i="3"/>
  <c r="B562" i="3" s="1"/>
  <c r="W561" i="3" l="1"/>
  <c r="L561" i="3"/>
  <c r="AD562" i="3"/>
  <c r="AA562" i="3"/>
  <c r="P562" i="3"/>
  <c r="Q562" i="3" s="1"/>
  <c r="R562" i="3" s="1"/>
  <c r="S562" i="3" s="1"/>
  <c r="AC562" i="3"/>
  <c r="Z562" i="3"/>
  <c r="AE562" i="3"/>
  <c r="T562" i="3" l="1"/>
  <c r="AH562" i="3" s="1"/>
  <c r="U561" i="3"/>
  <c r="Y560" i="3"/>
  <c r="D562" i="3" l="1"/>
  <c r="G562" i="3" s="1"/>
  <c r="AG562" i="3"/>
  <c r="E562" i="3"/>
  <c r="H562" i="3" s="1"/>
  <c r="K562" i="3" s="1"/>
  <c r="F562" i="3" l="1"/>
  <c r="I562" i="3"/>
  <c r="J562" i="3"/>
  <c r="M562" i="3"/>
  <c r="N562" i="3" s="1"/>
  <c r="V562" i="3"/>
  <c r="A563" i="3"/>
  <c r="B563" i="3" s="1"/>
  <c r="W562" i="3" l="1"/>
  <c r="L562" i="3"/>
  <c r="AD563" i="3"/>
  <c r="AE563" i="3"/>
  <c r="Z563" i="3"/>
  <c r="AA563" i="3"/>
  <c r="AC563" i="3"/>
  <c r="P563" i="3"/>
  <c r="Q563" i="3" s="1"/>
  <c r="R563" i="3" s="1"/>
  <c r="S563" i="3" s="1"/>
  <c r="T563" i="3" l="1"/>
  <c r="U562" i="3"/>
  <c r="AH563" i="3"/>
  <c r="Y561" i="3"/>
  <c r="E563" i="3" l="1"/>
  <c r="H563" i="3" s="1"/>
  <c r="K563" i="3" s="1"/>
  <c r="AG563" i="3"/>
  <c r="D563" i="3"/>
  <c r="F563" i="3" s="1"/>
  <c r="G563" i="3" l="1"/>
  <c r="I563" i="3" s="1"/>
  <c r="V563" i="3"/>
  <c r="A564" i="3"/>
  <c r="B564" i="3" s="1"/>
  <c r="M563" i="3" l="1"/>
  <c r="N563" i="3" s="1"/>
  <c r="J563" i="3"/>
  <c r="W563" i="3"/>
  <c r="AD564" i="3"/>
  <c r="AC564" i="3"/>
  <c r="P564" i="3"/>
  <c r="Q564" i="3" s="1"/>
  <c r="R564" i="3" s="1"/>
  <c r="S564" i="3" s="1"/>
  <c r="Z564" i="3"/>
  <c r="AA564" i="3"/>
  <c r="AE564" i="3"/>
  <c r="L563" i="3"/>
  <c r="U563" i="3" l="1"/>
  <c r="Y562" i="3"/>
  <c r="T564" i="3"/>
  <c r="D564" i="3" s="1"/>
  <c r="AG564" i="3" l="1"/>
  <c r="AH564" i="3"/>
  <c r="G564" i="3"/>
  <c r="E564" i="3"/>
  <c r="H564" i="3" s="1"/>
  <c r="K564" i="3" l="1"/>
  <c r="I564" i="3"/>
  <c r="J564" i="3"/>
  <c r="M564" i="3"/>
  <c r="N564" i="3" s="1"/>
  <c r="F564" i="3"/>
  <c r="V564" i="3" l="1"/>
  <c r="W564" i="3" s="1"/>
  <c r="A565" i="3"/>
  <c r="B565" i="3" s="1"/>
  <c r="L564" i="3"/>
  <c r="AC565" i="3" l="1"/>
  <c r="AD565" i="3"/>
  <c r="Z565" i="3"/>
  <c r="AE565" i="3"/>
  <c r="P565" i="3"/>
  <c r="Q565" i="3" s="1"/>
  <c r="R565" i="3" s="1"/>
  <c r="S565" i="3" s="1"/>
  <c r="AA565" i="3"/>
  <c r="U564" i="3"/>
  <c r="Y563" i="3"/>
  <c r="T565" i="3" l="1"/>
  <c r="AH565" i="3" s="1"/>
  <c r="D565" i="3" l="1"/>
  <c r="E565" i="3"/>
  <c r="H565" i="3" s="1"/>
  <c r="K565" i="3" s="1"/>
  <c r="AG565" i="3"/>
  <c r="F565" i="3" l="1"/>
  <c r="G565" i="3"/>
  <c r="I565" i="3" s="1"/>
  <c r="V565" i="3"/>
  <c r="A566" i="3"/>
  <c r="B566" i="3" s="1"/>
  <c r="M565" i="3" l="1"/>
  <c r="N565" i="3" s="1"/>
  <c r="J565" i="3"/>
  <c r="L565" i="3" s="1"/>
  <c r="AE566" i="3"/>
  <c r="AA566" i="3"/>
  <c r="AC566" i="3"/>
  <c r="AD566" i="3"/>
  <c r="P566" i="3"/>
  <c r="Q566" i="3" s="1"/>
  <c r="R566" i="3" s="1"/>
  <c r="S566" i="3" s="1"/>
  <c r="Z566" i="3"/>
  <c r="W565" i="3"/>
  <c r="T566" i="3" l="1"/>
  <c r="AG566" i="3" s="1"/>
  <c r="U565" i="3"/>
  <c r="Y564" i="3"/>
  <c r="AH566" i="3" l="1"/>
  <c r="D566" i="3"/>
  <c r="G566" i="3" s="1"/>
  <c r="E566" i="3"/>
  <c r="H566" i="3" s="1"/>
  <c r="K566" i="3" s="1"/>
  <c r="F566" i="3" l="1"/>
  <c r="V566" i="3"/>
  <c r="A567" i="3"/>
  <c r="B567" i="3" s="1"/>
  <c r="I566" i="3"/>
  <c r="J566" i="3"/>
  <c r="M566" i="3"/>
  <c r="N566" i="3" s="1"/>
  <c r="W566" i="3" l="1"/>
  <c r="AC567" i="3"/>
  <c r="AE567" i="3"/>
  <c r="AD567" i="3"/>
  <c r="P567" i="3"/>
  <c r="Q567" i="3" s="1"/>
  <c r="R567" i="3" s="1"/>
  <c r="S567" i="3" s="1"/>
  <c r="AA567" i="3"/>
  <c r="Z567" i="3"/>
  <c r="L566" i="3"/>
  <c r="T567" i="3" l="1"/>
  <c r="AG567" i="3" s="1"/>
  <c r="U566" i="3"/>
  <c r="D567" i="3" s="1"/>
  <c r="Y565" i="3"/>
  <c r="AH567" i="3" l="1"/>
  <c r="G567" i="3"/>
  <c r="E567" i="3"/>
  <c r="H567" i="3" s="1"/>
  <c r="K567" i="3" l="1"/>
  <c r="I567" i="3"/>
  <c r="J567" i="3"/>
  <c r="M567" i="3"/>
  <c r="N567" i="3" s="1"/>
  <c r="F567" i="3"/>
  <c r="L567" i="3" l="1"/>
  <c r="V567" i="3"/>
  <c r="W567" i="3" s="1"/>
  <c r="A568" i="3"/>
  <c r="B568" i="3" s="1"/>
  <c r="AC568" i="3" l="1"/>
  <c r="Z568" i="3"/>
  <c r="P568" i="3"/>
  <c r="Q568" i="3" s="1"/>
  <c r="R568" i="3" s="1"/>
  <c r="S568" i="3" s="1"/>
  <c r="AD568" i="3"/>
  <c r="AA568" i="3"/>
  <c r="AE568" i="3"/>
  <c r="U567" i="3"/>
  <c r="Y566" i="3"/>
  <c r="T568" i="3" l="1"/>
  <c r="E568" i="3" s="1"/>
  <c r="H568" i="3" s="1"/>
  <c r="AH568" i="3" l="1"/>
  <c r="D568" i="3"/>
  <c r="G568" i="3" s="1"/>
  <c r="AG568" i="3"/>
  <c r="K568" i="3"/>
  <c r="F568" i="3" l="1"/>
  <c r="I568" i="3"/>
  <c r="J568" i="3"/>
  <c r="M568" i="3"/>
  <c r="N568" i="3" s="1"/>
  <c r="V568" i="3"/>
  <c r="A569" i="3"/>
  <c r="B569" i="3" s="1"/>
  <c r="W568" i="3" l="1"/>
  <c r="L568" i="3"/>
  <c r="P569" i="3"/>
  <c r="Q569" i="3" s="1"/>
  <c r="R569" i="3" s="1"/>
  <c r="S569" i="3" s="1"/>
  <c r="AD569" i="3"/>
  <c r="AA569" i="3"/>
  <c r="Z569" i="3"/>
  <c r="AC569" i="3"/>
  <c r="AE569" i="3"/>
  <c r="T569" i="3" l="1"/>
  <c r="AG569" i="3" s="1"/>
  <c r="U568" i="3"/>
  <c r="E569" i="3" s="1"/>
  <c r="H569" i="3" s="1"/>
  <c r="Y567" i="3"/>
  <c r="D569" i="3" l="1"/>
  <c r="F569" i="3" s="1"/>
  <c r="AH569" i="3"/>
  <c r="K569" i="3"/>
  <c r="G569" i="3" l="1"/>
  <c r="I569" i="3" s="1"/>
  <c r="V569" i="3"/>
  <c r="A570" i="3"/>
  <c r="B570" i="3" s="1"/>
  <c r="M569" i="3" l="1"/>
  <c r="N569" i="3" s="1"/>
  <c r="J569" i="3"/>
  <c r="W569" i="3"/>
  <c r="AD570" i="3"/>
  <c r="AE570" i="3"/>
  <c r="AA570" i="3"/>
  <c r="AC570" i="3"/>
  <c r="Z570" i="3"/>
  <c r="P570" i="3"/>
  <c r="Q570" i="3" s="1"/>
  <c r="R570" i="3" s="1"/>
  <c r="S570" i="3" s="1"/>
  <c r="L569" i="3"/>
  <c r="T570" i="3" l="1"/>
  <c r="U569" i="3"/>
  <c r="AH570" i="3"/>
  <c r="AG570" i="3"/>
  <c r="Y568" i="3"/>
  <c r="D570" i="3" l="1"/>
  <c r="G570" i="3" s="1"/>
  <c r="E570" i="3"/>
  <c r="H570" i="3" s="1"/>
  <c r="K570" i="3" s="1"/>
  <c r="F570" i="3" l="1"/>
  <c r="I570" i="3"/>
  <c r="J570" i="3"/>
  <c r="M570" i="3"/>
  <c r="N570" i="3" s="1"/>
  <c r="V570" i="3"/>
  <c r="A571" i="3"/>
  <c r="B571" i="3" s="1"/>
  <c r="W570" i="3" l="1"/>
  <c r="L570" i="3"/>
  <c r="P571" i="3"/>
  <c r="Q571" i="3" s="1"/>
  <c r="R571" i="3" s="1"/>
  <c r="S571" i="3" s="1"/>
  <c r="AD571" i="3"/>
  <c r="AC571" i="3"/>
  <c r="Z571" i="3"/>
  <c r="AA571" i="3"/>
  <c r="AE571" i="3"/>
  <c r="T571" i="3" l="1"/>
  <c r="AG571" i="3" s="1"/>
  <c r="U570" i="3"/>
  <c r="Y569" i="3"/>
  <c r="E571" i="3" l="1"/>
  <c r="H571" i="3" s="1"/>
  <c r="K571" i="3" s="1"/>
  <c r="D571" i="3"/>
  <c r="AH571" i="3"/>
  <c r="F571" i="3" l="1"/>
  <c r="G571" i="3"/>
  <c r="I571" i="3" s="1"/>
  <c r="V571" i="3"/>
  <c r="A572" i="3"/>
  <c r="B572" i="3" s="1"/>
  <c r="M571" i="3" l="1"/>
  <c r="N571" i="3" s="1"/>
  <c r="J571" i="3"/>
  <c r="L571" i="3" s="1"/>
  <c r="AC572" i="3"/>
  <c r="AD572" i="3"/>
  <c r="Z572" i="3"/>
  <c r="AE572" i="3"/>
  <c r="P572" i="3"/>
  <c r="Q572" i="3" s="1"/>
  <c r="R572" i="3" s="1"/>
  <c r="S572" i="3" s="1"/>
  <c r="AA572" i="3"/>
  <c r="W571" i="3"/>
  <c r="T572" i="3" l="1"/>
  <c r="AG572" i="3" s="1"/>
  <c r="U571" i="3"/>
  <c r="Y570" i="3"/>
  <c r="AH572" i="3" l="1"/>
  <c r="D572" i="3"/>
  <c r="G572" i="3" s="1"/>
  <c r="E572" i="3"/>
  <c r="H572" i="3" s="1"/>
  <c r="K572" i="3" l="1"/>
  <c r="I572" i="3"/>
  <c r="J572" i="3"/>
  <c r="M572" i="3"/>
  <c r="N572" i="3" s="1"/>
  <c r="F572" i="3"/>
  <c r="V572" i="3" l="1"/>
  <c r="W572" i="3" s="1"/>
  <c r="A573" i="3"/>
  <c r="B573" i="3" s="1"/>
  <c r="L572" i="3"/>
  <c r="Z573" i="3" l="1"/>
  <c r="AD573" i="3"/>
  <c r="AE573" i="3"/>
  <c r="P573" i="3"/>
  <c r="Q573" i="3" s="1"/>
  <c r="R573" i="3" s="1"/>
  <c r="S573" i="3" s="1"/>
  <c r="AC573" i="3"/>
  <c r="AA573" i="3"/>
  <c r="U572" i="3"/>
  <c r="Y571" i="3"/>
  <c r="T573" i="3" l="1"/>
  <c r="D573" i="3" s="1"/>
  <c r="G573" i="3" l="1"/>
  <c r="AG573" i="3"/>
  <c r="AH573" i="3"/>
  <c r="E573" i="3"/>
  <c r="H573" i="3" s="1"/>
  <c r="I573" i="3" l="1"/>
  <c r="J573" i="3"/>
  <c r="M573" i="3"/>
  <c r="N573" i="3" s="1"/>
  <c r="K573" i="3"/>
  <c r="F573" i="3"/>
  <c r="V573" i="3" l="1"/>
  <c r="W573" i="3" s="1"/>
  <c r="A574" i="3"/>
  <c r="B574" i="3" s="1"/>
  <c r="L573" i="3"/>
  <c r="AC574" i="3" l="1"/>
  <c r="AE574" i="3"/>
  <c r="Z574" i="3"/>
  <c r="P574" i="3"/>
  <c r="Q574" i="3" s="1"/>
  <c r="R574" i="3" s="1"/>
  <c r="S574" i="3" s="1"/>
  <c r="AD574" i="3"/>
  <c r="AA574" i="3"/>
  <c r="U573" i="3"/>
  <c r="Y572" i="3"/>
  <c r="T574" i="3" l="1"/>
  <c r="AH574" i="3" s="1"/>
  <c r="E574" i="3" l="1"/>
  <c r="H574" i="3" s="1"/>
  <c r="D574" i="3"/>
  <c r="AG574" i="3"/>
  <c r="F574" i="3" l="1"/>
  <c r="G574" i="3"/>
  <c r="K574" i="3"/>
  <c r="I574" i="3" l="1"/>
  <c r="J574" i="3"/>
  <c r="M574" i="3"/>
  <c r="N574" i="3" s="1"/>
  <c r="V574" i="3"/>
  <c r="A575" i="3"/>
  <c r="B575" i="3" s="1"/>
  <c r="W574" i="3" l="1"/>
  <c r="L574" i="3"/>
  <c r="Z575" i="3"/>
  <c r="AA575" i="3"/>
  <c r="P575" i="3"/>
  <c r="Q575" i="3" s="1"/>
  <c r="R575" i="3" s="1"/>
  <c r="S575" i="3" s="1"/>
  <c r="AD575" i="3"/>
  <c r="AC575" i="3"/>
  <c r="AE575" i="3"/>
  <c r="T575" i="3" l="1"/>
  <c r="U574" i="3"/>
  <c r="Y573" i="3"/>
  <c r="D575" i="3" l="1"/>
  <c r="E575" i="3"/>
  <c r="H575" i="3" s="1"/>
  <c r="K575" i="3" s="1"/>
  <c r="AG575" i="3"/>
  <c r="AH575" i="3"/>
  <c r="G575" i="3"/>
  <c r="F575" i="3" l="1"/>
  <c r="V575" i="3"/>
  <c r="A576" i="3"/>
  <c r="B576" i="3" s="1"/>
  <c r="I575" i="3"/>
  <c r="J575" i="3"/>
  <c r="M575" i="3"/>
  <c r="N575" i="3" s="1"/>
  <c r="L575" i="3" l="1"/>
  <c r="AA576" i="3"/>
  <c r="P576" i="3"/>
  <c r="Q576" i="3" s="1"/>
  <c r="R576" i="3" s="1"/>
  <c r="S576" i="3" s="1"/>
  <c r="AD576" i="3"/>
  <c r="AC576" i="3"/>
  <c r="AE576" i="3"/>
  <c r="Z576" i="3"/>
  <c r="W575" i="3"/>
  <c r="T576" i="3" l="1"/>
  <c r="U575" i="3"/>
  <c r="D576" i="3" s="1"/>
  <c r="Y574" i="3"/>
  <c r="E576" i="3" l="1"/>
  <c r="H576" i="3" s="1"/>
  <c r="K576" i="3" s="1"/>
  <c r="AH576" i="3"/>
  <c r="AG576" i="3"/>
  <c r="G576" i="3"/>
  <c r="F576" i="3" l="1"/>
  <c r="I576" i="3"/>
  <c r="J576" i="3"/>
  <c r="M576" i="3"/>
  <c r="N576" i="3" s="1"/>
  <c r="V576" i="3"/>
  <c r="A577" i="3"/>
  <c r="B577" i="3" s="1"/>
  <c r="W576" i="3" l="1"/>
  <c r="L576" i="3"/>
  <c r="Z577" i="3"/>
  <c r="P577" i="3"/>
  <c r="Q577" i="3" s="1"/>
  <c r="R577" i="3" s="1"/>
  <c r="S577" i="3" s="1"/>
  <c r="AD577" i="3"/>
  <c r="AA577" i="3"/>
  <c r="AC577" i="3"/>
  <c r="AE577" i="3"/>
  <c r="T577" i="3" l="1"/>
  <c r="AG577" i="3" s="1"/>
  <c r="U576" i="3"/>
  <c r="AH577" i="3"/>
  <c r="Y575" i="3"/>
  <c r="D577" i="3" l="1"/>
  <c r="G577" i="3" s="1"/>
  <c r="E577" i="3"/>
  <c r="H577" i="3" s="1"/>
  <c r="K577" i="3" s="1"/>
  <c r="F577" i="3" l="1"/>
  <c r="V577" i="3"/>
  <c r="A578" i="3"/>
  <c r="B578" i="3" s="1"/>
  <c r="I577" i="3"/>
  <c r="J577" i="3"/>
  <c r="M577" i="3"/>
  <c r="N577" i="3" s="1"/>
  <c r="AD578" i="3" l="1"/>
  <c r="AE578" i="3"/>
  <c r="Z578" i="3"/>
  <c r="AA578" i="3"/>
  <c r="P578" i="3"/>
  <c r="Q578" i="3" s="1"/>
  <c r="R578" i="3" s="1"/>
  <c r="S578" i="3" s="1"/>
  <c r="AC578" i="3"/>
  <c r="L577" i="3"/>
  <c r="W577" i="3"/>
  <c r="U577" i="3" l="1"/>
  <c r="Y576" i="3"/>
  <c r="T578" i="3"/>
  <c r="AH578" i="3" s="1"/>
  <c r="AG578" i="3" l="1"/>
  <c r="E578" i="3"/>
  <c r="H578" i="3" s="1"/>
  <c r="K578" i="3" s="1"/>
  <c r="D578" i="3"/>
  <c r="V578" i="3" l="1"/>
  <c r="A579" i="3"/>
  <c r="B579" i="3" s="1"/>
  <c r="F578" i="3"/>
  <c r="G578" i="3"/>
  <c r="I578" i="3" l="1"/>
  <c r="J578" i="3"/>
  <c r="M578" i="3"/>
  <c r="N578" i="3" s="1"/>
  <c r="W578" i="3"/>
  <c r="P579" i="3"/>
  <c r="Q579" i="3" s="1"/>
  <c r="R579" i="3" s="1"/>
  <c r="S579" i="3" s="1"/>
  <c r="AA579" i="3"/>
  <c r="AD579" i="3"/>
  <c r="AC579" i="3"/>
  <c r="Z579" i="3"/>
  <c r="AE579" i="3"/>
  <c r="L578" i="3" l="1"/>
  <c r="T579" i="3"/>
  <c r="U578" i="3" l="1"/>
  <c r="D579" i="3" s="1"/>
  <c r="AG579" i="3"/>
  <c r="AH579" i="3"/>
  <c r="Y577" i="3"/>
  <c r="E579" i="3" l="1"/>
  <c r="H579" i="3" s="1"/>
  <c r="K579" i="3" s="1"/>
  <c r="G579" i="3"/>
  <c r="F579" i="3" l="1"/>
  <c r="I579" i="3"/>
  <c r="J579" i="3"/>
  <c r="M579" i="3"/>
  <c r="N579" i="3" s="1"/>
  <c r="V579" i="3"/>
  <c r="A580" i="3"/>
  <c r="B580" i="3" s="1"/>
  <c r="W579" i="3" l="1"/>
  <c r="L579" i="3"/>
  <c r="AA580" i="3"/>
  <c r="Z580" i="3"/>
  <c r="AD580" i="3"/>
  <c r="P580" i="3"/>
  <c r="Q580" i="3" s="1"/>
  <c r="R580" i="3" s="1"/>
  <c r="S580" i="3" s="1"/>
  <c r="AE580" i="3"/>
  <c r="AC580" i="3"/>
  <c r="T580" i="3" l="1"/>
  <c r="AH580" i="3" s="1"/>
  <c r="U579" i="3"/>
  <c r="AG580" i="3"/>
  <c r="Y578" i="3"/>
  <c r="D580" i="3" l="1"/>
  <c r="G580" i="3" s="1"/>
  <c r="E580" i="3"/>
  <c r="H580" i="3" s="1"/>
  <c r="K580" i="3" s="1"/>
  <c r="F580" i="3" l="1"/>
  <c r="V580" i="3"/>
  <c r="A581" i="3"/>
  <c r="B581" i="3" s="1"/>
  <c r="I580" i="3"/>
  <c r="J580" i="3"/>
  <c r="M580" i="3"/>
  <c r="N580" i="3" s="1"/>
  <c r="AC581" i="3" l="1"/>
  <c r="P581" i="3"/>
  <c r="Q581" i="3" s="1"/>
  <c r="R581" i="3" s="1"/>
  <c r="S581" i="3" s="1"/>
  <c r="AE581" i="3"/>
  <c r="AD581" i="3"/>
  <c r="Z581" i="3"/>
  <c r="AA581" i="3"/>
  <c r="L580" i="3"/>
  <c r="W580" i="3"/>
  <c r="T581" i="3" l="1"/>
  <c r="AG581" i="3" s="1"/>
  <c r="U580" i="3"/>
  <c r="Y579" i="3"/>
  <c r="AH581" i="3" l="1"/>
  <c r="D581" i="3"/>
  <c r="G581" i="3" s="1"/>
  <c r="E581" i="3"/>
  <c r="H581" i="3" s="1"/>
  <c r="K581" i="3" l="1"/>
  <c r="I581" i="3"/>
  <c r="J581" i="3"/>
  <c r="M581" i="3"/>
  <c r="N581" i="3" s="1"/>
  <c r="F581" i="3"/>
  <c r="V581" i="3" l="1"/>
  <c r="W581" i="3" s="1"/>
  <c r="A582" i="3"/>
  <c r="B582" i="3" s="1"/>
  <c r="L581" i="3"/>
  <c r="AE582" i="3" l="1"/>
  <c r="Z582" i="3"/>
  <c r="P582" i="3"/>
  <c r="Q582" i="3" s="1"/>
  <c r="R582" i="3" s="1"/>
  <c r="S582" i="3" s="1"/>
  <c r="AC582" i="3"/>
  <c r="AA582" i="3"/>
  <c r="AD582" i="3"/>
  <c r="U581" i="3"/>
  <c r="Y580" i="3"/>
  <c r="T582" i="3" l="1"/>
  <c r="AH582" i="3" s="1"/>
  <c r="E582" i="3" l="1"/>
  <c r="H582" i="3" s="1"/>
  <c r="K582" i="3" s="1"/>
  <c r="D582" i="3"/>
  <c r="AG582" i="3"/>
  <c r="F582" i="3" l="1"/>
  <c r="G582" i="3"/>
  <c r="I582" i="3" s="1"/>
  <c r="V582" i="3"/>
  <c r="A583" i="3"/>
  <c r="B583" i="3" s="1"/>
  <c r="M582" i="3" l="1"/>
  <c r="N582" i="3" s="1"/>
  <c r="J582" i="3"/>
  <c r="L582" i="3" s="1"/>
  <c r="W582" i="3"/>
  <c r="AE583" i="3"/>
  <c r="Z583" i="3"/>
  <c r="AC583" i="3"/>
  <c r="AD583" i="3"/>
  <c r="P583" i="3"/>
  <c r="Q583" i="3" s="1"/>
  <c r="R583" i="3" s="1"/>
  <c r="S583" i="3" s="1"/>
  <c r="AA583" i="3"/>
  <c r="U582" i="3" l="1"/>
  <c r="Y581" i="3"/>
  <c r="T583" i="3"/>
  <c r="D583" i="3" s="1"/>
  <c r="G583" i="3" l="1"/>
  <c r="E583" i="3"/>
  <c r="H583" i="3" s="1"/>
  <c r="AG583" i="3"/>
  <c r="AH583" i="3"/>
  <c r="K583" i="3" l="1"/>
  <c r="I583" i="3"/>
  <c r="J583" i="3"/>
  <c r="M583" i="3"/>
  <c r="N583" i="3" s="1"/>
  <c r="F583" i="3"/>
  <c r="V583" i="3" l="1"/>
  <c r="W583" i="3" s="1"/>
  <c r="A584" i="3"/>
  <c r="B584" i="3" s="1"/>
  <c r="L583" i="3"/>
  <c r="AD584" i="3" l="1"/>
  <c r="AE584" i="3"/>
  <c r="AA584" i="3"/>
  <c r="P584" i="3"/>
  <c r="Q584" i="3" s="1"/>
  <c r="R584" i="3" s="1"/>
  <c r="S584" i="3" s="1"/>
  <c r="AC584" i="3"/>
  <c r="Z584" i="3"/>
  <c r="U583" i="3"/>
  <c r="Y582" i="3"/>
  <c r="T584" i="3" l="1"/>
  <c r="D584" i="3" s="1"/>
  <c r="AG584" i="3" l="1"/>
  <c r="G584" i="3"/>
  <c r="E584" i="3"/>
  <c r="H584" i="3" s="1"/>
  <c r="AH584" i="3"/>
  <c r="K584" i="3" l="1"/>
  <c r="I584" i="3"/>
  <c r="J584" i="3"/>
  <c r="M584" i="3"/>
  <c r="N584" i="3" s="1"/>
  <c r="F584" i="3"/>
  <c r="V584" i="3" l="1"/>
  <c r="W584" i="3" s="1"/>
  <c r="A585" i="3"/>
  <c r="B585" i="3" s="1"/>
  <c r="L584" i="3"/>
  <c r="AE585" i="3" l="1"/>
  <c r="AC585" i="3"/>
  <c r="Z585" i="3"/>
  <c r="AD585" i="3"/>
  <c r="P585" i="3"/>
  <c r="Q585" i="3" s="1"/>
  <c r="R585" i="3" s="1"/>
  <c r="S585" i="3" s="1"/>
  <c r="AA585" i="3"/>
  <c r="U584" i="3"/>
  <c r="Y583" i="3"/>
  <c r="T585" i="3" l="1"/>
  <c r="D585" i="3" s="1"/>
  <c r="E585" i="3" l="1"/>
  <c r="H585" i="3" s="1"/>
  <c r="K585" i="3" s="1"/>
  <c r="G585" i="3"/>
  <c r="AG585" i="3"/>
  <c r="AH585" i="3"/>
  <c r="F585" i="3" l="1"/>
  <c r="I585" i="3"/>
  <c r="J585" i="3"/>
  <c r="M585" i="3"/>
  <c r="N585" i="3" s="1"/>
  <c r="V585" i="3"/>
  <c r="A586" i="3"/>
  <c r="B586" i="3" s="1"/>
  <c r="W585" i="3" l="1"/>
  <c r="P586" i="3"/>
  <c r="Q586" i="3" s="1"/>
  <c r="R586" i="3" s="1"/>
  <c r="S586" i="3" s="1"/>
  <c r="AD586" i="3"/>
  <c r="AC586" i="3"/>
  <c r="AA586" i="3"/>
  <c r="Z586" i="3"/>
  <c r="AE586" i="3"/>
  <c r="L585" i="3"/>
  <c r="U585" i="3" l="1"/>
  <c r="Y584" i="3"/>
  <c r="T586" i="3"/>
  <c r="AG586" i="3" s="1"/>
  <c r="AH586" i="3" l="1"/>
  <c r="D586" i="3"/>
  <c r="E586" i="3"/>
  <c r="H586" i="3" s="1"/>
  <c r="K586" i="3" l="1"/>
  <c r="F586" i="3"/>
  <c r="G586" i="3"/>
  <c r="V586" i="3" l="1"/>
  <c r="A587" i="3"/>
  <c r="B587" i="3" s="1"/>
  <c r="I586" i="3"/>
  <c r="J586" i="3"/>
  <c r="M586" i="3"/>
  <c r="N586" i="3" s="1"/>
  <c r="AE587" i="3" l="1"/>
  <c r="AA587" i="3"/>
  <c r="AD587" i="3"/>
  <c r="P587" i="3"/>
  <c r="Q587" i="3" s="1"/>
  <c r="R587" i="3" s="1"/>
  <c r="S587" i="3" s="1"/>
  <c r="Z587" i="3"/>
  <c r="AC587" i="3"/>
  <c r="L586" i="3"/>
  <c r="W586" i="3"/>
  <c r="U586" i="3" l="1"/>
  <c r="Y585" i="3"/>
  <c r="T587" i="3"/>
  <c r="E587" i="3" l="1"/>
  <c r="H587" i="3" s="1"/>
  <c r="K587" i="3" s="1"/>
  <c r="AG587" i="3"/>
  <c r="D587" i="3"/>
  <c r="F587" i="3" s="1"/>
  <c r="AH587" i="3"/>
  <c r="G587" i="3" l="1"/>
  <c r="J587" i="3" s="1"/>
  <c r="V587" i="3"/>
  <c r="A588" i="3"/>
  <c r="B588" i="3" s="1"/>
  <c r="I587" i="3" l="1"/>
  <c r="W587" i="3" s="1"/>
  <c r="M587" i="3"/>
  <c r="N587" i="3" s="1"/>
  <c r="L587" i="3"/>
  <c r="Z588" i="3"/>
  <c r="AD588" i="3"/>
  <c r="AA588" i="3"/>
  <c r="AE588" i="3"/>
  <c r="P588" i="3"/>
  <c r="Q588" i="3" s="1"/>
  <c r="R588" i="3" s="1"/>
  <c r="S588" i="3" s="1"/>
  <c r="AC588" i="3"/>
  <c r="U587" i="3" l="1"/>
  <c r="Y586" i="3"/>
  <c r="T588" i="3"/>
  <c r="AH588" i="3" s="1"/>
  <c r="D588" i="3" l="1"/>
  <c r="AG588" i="3"/>
  <c r="E588" i="3"/>
  <c r="H588" i="3" s="1"/>
  <c r="K588" i="3" l="1"/>
  <c r="F588" i="3"/>
  <c r="G588" i="3"/>
  <c r="V588" i="3" l="1"/>
  <c r="A589" i="3"/>
  <c r="B589" i="3" s="1"/>
  <c r="I588" i="3"/>
  <c r="J588" i="3"/>
  <c r="M588" i="3"/>
  <c r="N588" i="3" s="1"/>
  <c r="W588" i="3" l="1"/>
  <c r="P589" i="3"/>
  <c r="Q589" i="3" s="1"/>
  <c r="R589" i="3" s="1"/>
  <c r="S589" i="3" s="1"/>
  <c r="AD589" i="3"/>
  <c r="AC589" i="3"/>
  <c r="AA589" i="3"/>
  <c r="Z589" i="3"/>
  <c r="AE589" i="3"/>
  <c r="L588" i="3"/>
  <c r="U588" i="3" l="1"/>
  <c r="Y587" i="3"/>
  <c r="T589" i="3"/>
  <c r="E589" i="3" l="1"/>
  <c r="H589" i="3" s="1"/>
  <c r="K589" i="3" s="1"/>
  <c r="AH589" i="3"/>
  <c r="AG589" i="3"/>
  <c r="D589" i="3"/>
  <c r="V589" i="3" l="1"/>
  <c r="A590" i="3"/>
  <c r="B590" i="3" s="1"/>
  <c r="F589" i="3"/>
  <c r="G589" i="3"/>
  <c r="AA590" i="3" l="1"/>
  <c r="AC590" i="3"/>
  <c r="Z590" i="3"/>
  <c r="AD590" i="3"/>
  <c r="P590" i="3"/>
  <c r="Q590" i="3" s="1"/>
  <c r="R590" i="3" s="1"/>
  <c r="S590" i="3" s="1"/>
  <c r="AE590" i="3"/>
  <c r="I589" i="3"/>
  <c r="W589" i="3" s="1"/>
  <c r="J589" i="3"/>
  <c r="M589" i="3"/>
  <c r="N589" i="3" s="1"/>
  <c r="L589" i="3" l="1"/>
  <c r="T590" i="3"/>
  <c r="AG590" i="3" l="1"/>
  <c r="AH590" i="3"/>
  <c r="U589" i="3"/>
  <c r="E590" i="3" s="1"/>
  <c r="H590" i="3" s="1"/>
  <c r="Y588" i="3"/>
  <c r="D590" i="3" l="1"/>
  <c r="F590" i="3" s="1"/>
  <c r="K590" i="3"/>
  <c r="G590" i="3" l="1"/>
  <c r="V590" i="3"/>
  <c r="A591" i="3"/>
  <c r="B591" i="3" s="1"/>
  <c r="I590" i="3"/>
  <c r="J590" i="3"/>
  <c r="M590" i="3"/>
  <c r="N590" i="3" s="1"/>
  <c r="W590" i="3" l="1"/>
  <c r="AA591" i="3"/>
  <c r="AC591" i="3"/>
  <c r="P591" i="3"/>
  <c r="Q591" i="3" s="1"/>
  <c r="R591" i="3" s="1"/>
  <c r="S591" i="3" s="1"/>
  <c r="AD591" i="3"/>
  <c r="AE591" i="3"/>
  <c r="Z591" i="3"/>
  <c r="L590" i="3"/>
  <c r="T591" i="3" l="1"/>
  <c r="AH591" i="3" s="1"/>
  <c r="U590" i="3"/>
  <c r="Y589" i="3"/>
  <c r="E591" i="3" l="1"/>
  <c r="H591" i="3" s="1"/>
  <c r="K591" i="3" s="1"/>
  <c r="AG591" i="3"/>
  <c r="D591" i="3"/>
  <c r="F591" i="3" l="1"/>
  <c r="G591" i="3"/>
  <c r="V591" i="3"/>
  <c r="A592" i="3"/>
  <c r="B592" i="3" s="1"/>
  <c r="AD592" i="3" l="1"/>
  <c r="P592" i="3"/>
  <c r="Q592" i="3" s="1"/>
  <c r="R592" i="3" s="1"/>
  <c r="S592" i="3" s="1"/>
  <c r="Z592" i="3"/>
  <c r="AE592" i="3"/>
  <c r="AC592" i="3"/>
  <c r="AA592" i="3"/>
  <c r="I591" i="3"/>
  <c r="W591" i="3" s="1"/>
  <c r="J591" i="3"/>
  <c r="M591" i="3"/>
  <c r="N591" i="3" s="1"/>
  <c r="L591" i="3" l="1"/>
  <c r="T592" i="3"/>
  <c r="U591" i="3" l="1"/>
  <c r="D592" i="3" s="1"/>
  <c r="AH592" i="3"/>
  <c r="AG592" i="3"/>
  <c r="Y590" i="3"/>
  <c r="E592" i="3" l="1"/>
  <c r="H592" i="3" s="1"/>
  <c r="K592" i="3" s="1"/>
  <c r="G592" i="3"/>
  <c r="F592" i="3" l="1"/>
  <c r="V592" i="3"/>
  <c r="A593" i="3"/>
  <c r="B593" i="3" s="1"/>
  <c r="I592" i="3"/>
  <c r="J592" i="3"/>
  <c r="M592" i="3"/>
  <c r="N592" i="3" s="1"/>
  <c r="AA593" i="3" l="1"/>
  <c r="AC593" i="3"/>
  <c r="P593" i="3"/>
  <c r="Q593" i="3" s="1"/>
  <c r="R593" i="3" s="1"/>
  <c r="S593" i="3" s="1"/>
  <c r="AD593" i="3"/>
  <c r="AE593" i="3"/>
  <c r="Z593" i="3"/>
  <c r="L592" i="3"/>
  <c r="W592" i="3"/>
  <c r="T593" i="3" l="1"/>
  <c r="U592" i="3"/>
  <c r="Y591" i="3"/>
  <c r="E593" i="3" l="1"/>
  <c r="H593" i="3" s="1"/>
  <c r="K593" i="3" s="1"/>
  <c r="AG593" i="3"/>
  <c r="AH593" i="3"/>
  <c r="D593" i="3"/>
  <c r="G593" i="3" s="1"/>
  <c r="F593" i="3" l="1"/>
  <c r="V593" i="3"/>
  <c r="A594" i="3"/>
  <c r="B594" i="3" s="1"/>
  <c r="I593" i="3"/>
  <c r="J593" i="3"/>
  <c r="M593" i="3"/>
  <c r="N593" i="3" s="1"/>
  <c r="AC594" i="3" l="1"/>
  <c r="AE594" i="3"/>
  <c r="P594" i="3"/>
  <c r="Q594" i="3" s="1"/>
  <c r="R594" i="3" s="1"/>
  <c r="S594" i="3" s="1"/>
  <c r="Z594" i="3"/>
  <c r="AA594" i="3"/>
  <c r="AD594" i="3"/>
  <c r="L593" i="3"/>
  <c r="W593" i="3"/>
  <c r="T594" i="3" l="1"/>
  <c r="U593" i="3"/>
  <c r="AG594" i="3"/>
  <c r="Y592" i="3"/>
  <c r="D594" i="3" l="1"/>
  <c r="AH594" i="3"/>
  <c r="E594" i="3"/>
  <c r="H594" i="3" s="1"/>
  <c r="K594" i="3" s="1"/>
  <c r="G594" i="3"/>
  <c r="F594" i="3" l="1"/>
  <c r="I594" i="3"/>
  <c r="J594" i="3"/>
  <c r="M594" i="3"/>
  <c r="N594" i="3" s="1"/>
  <c r="V594" i="3"/>
  <c r="A595" i="3"/>
  <c r="B595" i="3" s="1"/>
  <c r="W594" i="3" l="1"/>
  <c r="AC595" i="3"/>
  <c r="AD595" i="3"/>
  <c r="AA595" i="3"/>
  <c r="P595" i="3"/>
  <c r="Q595" i="3" s="1"/>
  <c r="R595" i="3" s="1"/>
  <c r="S595" i="3" s="1"/>
  <c r="AE595" i="3"/>
  <c r="Z595" i="3"/>
  <c r="L594" i="3"/>
  <c r="T595" i="3" l="1"/>
  <c r="AG595" i="3" s="1"/>
  <c r="U594" i="3"/>
  <c r="Y593" i="3"/>
  <c r="AH595" i="3" l="1"/>
  <c r="D595" i="3"/>
  <c r="G595" i="3" s="1"/>
  <c r="E595" i="3"/>
  <c r="H595" i="3" s="1"/>
  <c r="K595" i="3" s="1"/>
  <c r="F595" i="3" l="1"/>
  <c r="V595" i="3"/>
  <c r="A596" i="3"/>
  <c r="B596" i="3" s="1"/>
  <c r="I595" i="3"/>
  <c r="J595" i="3"/>
  <c r="M595" i="3"/>
  <c r="N595" i="3" s="1"/>
  <c r="P596" i="3" l="1"/>
  <c r="Q596" i="3" s="1"/>
  <c r="R596" i="3" s="1"/>
  <c r="S596" i="3" s="1"/>
  <c r="AE596" i="3"/>
  <c r="AD596" i="3"/>
  <c r="Z596" i="3"/>
  <c r="AA596" i="3"/>
  <c r="AC596" i="3"/>
  <c r="L595" i="3"/>
  <c r="W595" i="3"/>
  <c r="U595" i="3" l="1"/>
  <c r="Y594" i="3"/>
  <c r="T596" i="3"/>
  <c r="E596" i="3" l="1"/>
  <c r="H596" i="3" s="1"/>
  <c r="K596" i="3" s="1"/>
  <c r="AH596" i="3"/>
  <c r="D596" i="3"/>
  <c r="AG596" i="3"/>
  <c r="V596" i="3" l="1"/>
  <c r="A597" i="3"/>
  <c r="B597" i="3" s="1"/>
  <c r="F596" i="3"/>
  <c r="G596" i="3"/>
  <c r="AC597" i="3" l="1"/>
  <c r="P597" i="3"/>
  <c r="Q597" i="3" s="1"/>
  <c r="R597" i="3" s="1"/>
  <c r="S597" i="3" s="1"/>
  <c r="AD597" i="3"/>
  <c r="Z597" i="3"/>
  <c r="AE597" i="3"/>
  <c r="AA597" i="3"/>
  <c r="I596" i="3"/>
  <c r="W596" i="3" s="1"/>
  <c r="J596" i="3"/>
  <c r="M596" i="3"/>
  <c r="N596" i="3" s="1"/>
  <c r="T597" i="3" l="1"/>
  <c r="L596" i="3"/>
  <c r="U596" i="3" l="1"/>
  <c r="D597" i="3" s="1"/>
  <c r="AH597" i="3"/>
  <c r="AG597" i="3"/>
  <c r="E597" i="3"/>
  <c r="H597" i="3" s="1"/>
  <c r="Y595" i="3"/>
  <c r="F597" i="3" l="1"/>
  <c r="G597" i="3"/>
  <c r="K597" i="3"/>
  <c r="I597" i="3" l="1"/>
  <c r="J597" i="3"/>
  <c r="M597" i="3"/>
  <c r="N597" i="3" s="1"/>
  <c r="V597" i="3"/>
  <c r="A598" i="3"/>
  <c r="B598" i="3" s="1"/>
  <c r="W597" i="3" l="1"/>
  <c r="L597" i="3"/>
  <c r="AA598" i="3"/>
  <c r="P598" i="3"/>
  <c r="Q598" i="3" s="1"/>
  <c r="R598" i="3" s="1"/>
  <c r="S598" i="3" s="1"/>
  <c r="AE598" i="3"/>
  <c r="AC598" i="3"/>
  <c r="Z598" i="3"/>
  <c r="AD598" i="3"/>
  <c r="T598" i="3" l="1"/>
  <c r="AG598" i="3" s="1"/>
  <c r="U597" i="3"/>
  <c r="Y596" i="3"/>
  <c r="AH598" i="3" l="1"/>
  <c r="D598" i="3"/>
  <c r="G598" i="3" s="1"/>
  <c r="E598" i="3"/>
  <c r="H598" i="3" s="1"/>
  <c r="K598" i="3" s="1"/>
  <c r="F598" i="3" l="1"/>
  <c r="I598" i="3"/>
  <c r="J598" i="3"/>
  <c r="M598" i="3"/>
  <c r="N598" i="3" s="1"/>
  <c r="V598" i="3"/>
  <c r="A599" i="3"/>
  <c r="B599" i="3" s="1"/>
  <c r="W598" i="3" l="1"/>
  <c r="L598" i="3"/>
  <c r="AE599" i="3"/>
  <c r="AC599" i="3"/>
  <c r="Z599" i="3"/>
  <c r="AD599" i="3"/>
  <c r="AA599" i="3"/>
  <c r="P599" i="3"/>
  <c r="Q599" i="3" s="1"/>
  <c r="R599" i="3" s="1"/>
  <c r="S599" i="3" s="1"/>
  <c r="T599" i="3" l="1"/>
  <c r="AH599" i="3" s="1"/>
  <c r="U598" i="3"/>
  <c r="Y597" i="3"/>
  <c r="AG599" i="3" l="1"/>
  <c r="D599" i="3"/>
  <c r="G599" i="3" s="1"/>
  <c r="E599" i="3"/>
  <c r="H599" i="3" s="1"/>
  <c r="K599" i="3" s="1"/>
  <c r="F599" i="3" l="1"/>
  <c r="I599" i="3"/>
  <c r="J599" i="3"/>
  <c r="M599" i="3"/>
  <c r="N599" i="3" s="1"/>
  <c r="V599" i="3"/>
  <c r="A600" i="3"/>
  <c r="B600" i="3" s="1"/>
  <c r="W599" i="3" l="1"/>
  <c r="Z600" i="3"/>
  <c r="AE600" i="3"/>
  <c r="AD600" i="3"/>
  <c r="AA600" i="3"/>
  <c r="P600" i="3"/>
  <c r="Q600" i="3" s="1"/>
  <c r="R600" i="3" s="1"/>
  <c r="S600" i="3" s="1"/>
  <c r="AC600" i="3"/>
  <c r="L599" i="3"/>
  <c r="T600" i="3" l="1"/>
  <c r="AH600" i="3" s="1"/>
  <c r="U599" i="3"/>
  <c r="Y598" i="3"/>
  <c r="AG600" i="3" l="1"/>
  <c r="D600" i="3"/>
  <c r="G600" i="3" s="1"/>
  <c r="E600" i="3"/>
  <c r="H600" i="3" s="1"/>
  <c r="K600" i="3" s="1"/>
  <c r="F600" i="3" l="1"/>
  <c r="V600" i="3"/>
  <c r="A601" i="3"/>
  <c r="B601" i="3" s="1"/>
  <c r="I600" i="3"/>
  <c r="J600" i="3"/>
  <c r="M600" i="3"/>
  <c r="N600" i="3" s="1"/>
  <c r="W600" i="3" l="1"/>
  <c r="AE601" i="3"/>
  <c r="AD601" i="3"/>
  <c r="AA601" i="3"/>
  <c r="Z601" i="3"/>
  <c r="P601" i="3"/>
  <c r="Q601" i="3" s="1"/>
  <c r="R601" i="3" s="1"/>
  <c r="S601" i="3" s="1"/>
  <c r="AC601" i="3"/>
  <c r="L600" i="3"/>
  <c r="T601" i="3" l="1"/>
  <c r="AG601" i="3" s="1"/>
  <c r="U600" i="3"/>
  <c r="Y599" i="3"/>
  <c r="AH601" i="3" l="1"/>
  <c r="D601" i="3"/>
  <c r="G601" i="3" s="1"/>
  <c r="E601" i="3"/>
  <c r="H601" i="3" s="1"/>
  <c r="K601" i="3" s="1"/>
  <c r="F601" i="3" l="1"/>
  <c r="V601" i="3"/>
  <c r="A602" i="3"/>
  <c r="B602" i="3" s="1"/>
  <c r="I601" i="3"/>
  <c r="J601" i="3"/>
  <c r="M601" i="3"/>
  <c r="N601" i="3" s="1"/>
  <c r="AA602" i="3" l="1"/>
  <c r="AD602" i="3"/>
  <c r="AE602" i="3"/>
  <c r="AC602" i="3"/>
  <c r="P602" i="3"/>
  <c r="Q602" i="3" s="1"/>
  <c r="R602" i="3" s="1"/>
  <c r="S602" i="3" s="1"/>
  <c r="Z602" i="3"/>
  <c r="L601" i="3"/>
  <c r="W601" i="3"/>
  <c r="T602" i="3" l="1"/>
  <c r="U601" i="3"/>
  <c r="Y600" i="3"/>
  <c r="D602" i="3" l="1"/>
  <c r="G602" i="3" s="1"/>
  <c r="AH602" i="3"/>
  <c r="AG602" i="3"/>
  <c r="E602" i="3"/>
  <c r="H602" i="3" s="1"/>
  <c r="K602" i="3" s="1"/>
  <c r="F602" i="3" l="1"/>
  <c r="I602" i="3"/>
  <c r="J602" i="3"/>
  <c r="M602" i="3"/>
  <c r="N602" i="3" s="1"/>
  <c r="V602" i="3"/>
  <c r="A603" i="3"/>
  <c r="B603" i="3" s="1"/>
  <c r="W602" i="3" l="1"/>
  <c r="L602" i="3"/>
  <c r="Z603" i="3"/>
  <c r="AA603" i="3"/>
  <c r="AC603" i="3"/>
  <c r="P603" i="3"/>
  <c r="Q603" i="3" s="1"/>
  <c r="R603" i="3" s="1"/>
  <c r="S603" i="3" s="1"/>
  <c r="AE603" i="3"/>
  <c r="AD603" i="3"/>
  <c r="T603" i="3" l="1"/>
  <c r="AG603" i="3" s="1"/>
  <c r="U602" i="3"/>
  <c r="Y601" i="3"/>
  <c r="AH603" i="3" l="1"/>
  <c r="E603" i="3"/>
  <c r="H603" i="3" s="1"/>
  <c r="K603" i="3" s="1"/>
  <c r="D603" i="3"/>
  <c r="F603" i="3" l="1"/>
  <c r="G603" i="3"/>
  <c r="I603" i="3" s="1"/>
  <c r="V603" i="3"/>
  <c r="A604" i="3"/>
  <c r="B604" i="3" s="1"/>
  <c r="M603" i="3" l="1"/>
  <c r="N603" i="3" s="1"/>
  <c r="J603" i="3"/>
  <c r="L603" i="3" s="1"/>
  <c r="W603" i="3"/>
  <c r="P604" i="3"/>
  <c r="Q604" i="3" s="1"/>
  <c r="R604" i="3" s="1"/>
  <c r="S604" i="3" s="1"/>
  <c r="AA604" i="3"/>
  <c r="AC604" i="3"/>
  <c r="AD604" i="3"/>
  <c r="AE604" i="3"/>
  <c r="Z604" i="3"/>
  <c r="T604" i="3" l="1"/>
  <c r="AG604" i="3" s="1"/>
  <c r="U603" i="3"/>
  <c r="Y602" i="3"/>
  <c r="E604" i="3" l="1"/>
  <c r="H604" i="3" s="1"/>
  <c r="K604" i="3" s="1"/>
  <c r="AH604" i="3"/>
  <c r="D604" i="3"/>
  <c r="F604" i="3" l="1"/>
  <c r="G604" i="3"/>
  <c r="I604" i="3" s="1"/>
  <c r="V604" i="3"/>
  <c r="A605" i="3"/>
  <c r="B605" i="3" s="1"/>
  <c r="M604" i="3" l="1"/>
  <c r="N604" i="3" s="1"/>
  <c r="J604" i="3"/>
  <c r="L604" i="3" s="1"/>
  <c r="W604" i="3"/>
  <c r="Z605" i="3"/>
  <c r="AD605" i="3"/>
  <c r="AE605" i="3"/>
  <c r="AC605" i="3"/>
  <c r="P605" i="3"/>
  <c r="Q605" i="3" s="1"/>
  <c r="R605" i="3" s="1"/>
  <c r="S605" i="3" s="1"/>
  <c r="AA605" i="3"/>
  <c r="T605" i="3" l="1"/>
  <c r="AG605" i="3" s="1"/>
  <c r="U604" i="3"/>
  <c r="Y603" i="3"/>
  <c r="D605" i="3" l="1"/>
  <c r="G605" i="3" s="1"/>
  <c r="AH605" i="3"/>
  <c r="E605" i="3"/>
  <c r="H605" i="3" s="1"/>
  <c r="K605" i="3" s="1"/>
  <c r="F605" i="3" l="1"/>
  <c r="I605" i="3"/>
  <c r="J605" i="3"/>
  <c r="M605" i="3"/>
  <c r="N605" i="3" s="1"/>
  <c r="V605" i="3"/>
  <c r="A606" i="3"/>
  <c r="B606" i="3" s="1"/>
  <c r="W605" i="3" l="1"/>
  <c r="L605" i="3"/>
  <c r="AA606" i="3"/>
  <c r="AE606" i="3"/>
  <c r="AD606" i="3"/>
  <c r="AC606" i="3"/>
  <c r="Z606" i="3"/>
  <c r="P606" i="3"/>
  <c r="Q606" i="3" s="1"/>
  <c r="R606" i="3" s="1"/>
  <c r="S606" i="3" s="1"/>
  <c r="T606" i="3" l="1"/>
  <c r="AH606" i="3" s="1"/>
  <c r="U605" i="3"/>
  <c r="Y604" i="3"/>
  <c r="AG606" i="3" l="1"/>
  <c r="E606" i="3"/>
  <c r="H606" i="3" s="1"/>
  <c r="K606" i="3" s="1"/>
  <c r="D606" i="3"/>
  <c r="G606" i="3" s="1"/>
  <c r="F606" i="3" l="1"/>
  <c r="V606" i="3"/>
  <c r="A607" i="3"/>
  <c r="B607" i="3" s="1"/>
  <c r="I606" i="3"/>
  <c r="J606" i="3"/>
  <c r="M606" i="3"/>
  <c r="N606" i="3" s="1"/>
  <c r="W606" i="3" l="1"/>
  <c r="L606" i="3"/>
  <c r="P607" i="3"/>
  <c r="Q607" i="3" s="1"/>
  <c r="R607" i="3" s="1"/>
  <c r="S607" i="3" s="1"/>
  <c r="AD607" i="3"/>
  <c r="AE607" i="3"/>
  <c r="AC607" i="3"/>
  <c r="AA607" i="3"/>
  <c r="Z607" i="3"/>
  <c r="T607" i="3" l="1"/>
  <c r="U606" i="3"/>
  <c r="Y605" i="3"/>
  <c r="D607" i="3" l="1"/>
  <c r="G607" i="3" s="1"/>
  <c r="AH607" i="3"/>
  <c r="AG607" i="3"/>
  <c r="E607" i="3"/>
  <c r="H607" i="3" s="1"/>
  <c r="K607" i="3" s="1"/>
  <c r="F607" i="3" l="1"/>
  <c r="V607" i="3"/>
  <c r="A608" i="3"/>
  <c r="B608" i="3" s="1"/>
  <c r="I607" i="3"/>
  <c r="J607" i="3"/>
  <c r="M607" i="3"/>
  <c r="N607" i="3" s="1"/>
  <c r="L607" i="3" l="1"/>
  <c r="AE608" i="3"/>
  <c r="AD608" i="3"/>
  <c r="Z608" i="3"/>
  <c r="AC608" i="3"/>
  <c r="P608" i="3"/>
  <c r="Q608" i="3" s="1"/>
  <c r="R608" i="3" s="1"/>
  <c r="S608" i="3" s="1"/>
  <c r="AA608" i="3"/>
  <c r="W607" i="3"/>
  <c r="U607" i="3" l="1"/>
  <c r="Y606" i="3"/>
  <c r="T608" i="3"/>
  <c r="AG608" i="3" s="1"/>
  <c r="E608" i="3" l="1"/>
  <c r="H608" i="3" s="1"/>
  <c r="D608" i="3"/>
  <c r="AH608" i="3"/>
  <c r="F608" i="3" l="1"/>
  <c r="G608" i="3"/>
  <c r="K608" i="3"/>
  <c r="I608" i="3" l="1"/>
  <c r="J608" i="3"/>
  <c r="M608" i="3"/>
  <c r="N608" i="3" s="1"/>
  <c r="V608" i="3"/>
  <c r="A609" i="3"/>
  <c r="B609" i="3" s="1"/>
  <c r="W608" i="3" l="1"/>
  <c r="AD609" i="3"/>
  <c r="AA609" i="3"/>
  <c r="P609" i="3"/>
  <c r="Q609" i="3" s="1"/>
  <c r="R609" i="3" s="1"/>
  <c r="S609" i="3" s="1"/>
  <c r="AC609" i="3"/>
  <c r="AE609" i="3"/>
  <c r="Z609" i="3"/>
  <c r="L608" i="3"/>
  <c r="T609" i="3" l="1"/>
  <c r="AH609" i="3" s="1"/>
  <c r="U608" i="3"/>
  <c r="Y607" i="3"/>
  <c r="AG609" i="3" l="1"/>
  <c r="E609" i="3"/>
  <c r="H609" i="3" s="1"/>
  <c r="D609" i="3"/>
  <c r="K609" i="3" l="1"/>
  <c r="F609" i="3"/>
  <c r="G609" i="3"/>
  <c r="V609" i="3" l="1"/>
  <c r="A610" i="3"/>
  <c r="B610" i="3" s="1"/>
  <c r="I609" i="3"/>
  <c r="J609" i="3"/>
  <c r="M609" i="3"/>
  <c r="N609" i="3" s="1"/>
  <c r="AE610" i="3" l="1"/>
  <c r="AC610" i="3"/>
  <c r="Z610" i="3"/>
  <c r="AD610" i="3"/>
  <c r="P610" i="3"/>
  <c r="Q610" i="3" s="1"/>
  <c r="R610" i="3" s="1"/>
  <c r="S610" i="3" s="1"/>
  <c r="AA610" i="3"/>
  <c r="L609" i="3"/>
  <c r="W609" i="3"/>
  <c r="U609" i="3" l="1"/>
  <c r="Y608" i="3"/>
  <c r="T610" i="3"/>
  <c r="AH610" i="3" s="1"/>
  <c r="D610" i="3" l="1"/>
  <c r="G610" i="3" s="1"/>
  <c r="AG610" i="3"/>
  <c r="E610" i="3"/>
  <c r="H610" i="3" s="1"/>
  <c r="I610" i="3" l="1"/>
  <c r="J610" i="3"/>
  <c r="M610" i="3"/>
  <c r="N610" i="3" s="1"/>
  <c r="K610" i="3"/>
  <c r="F610" i="3"/>
  <c r="V610" i="3" l="1"/>
  <c r="W610" i="3" s="1"/>
  <c r="A611" i="3"/>
  <c r="B611" i="3" s="1"/>
  <c r="L610" i="3"/>
  <c r="Z611" i="3" l="1"/>
  <c r="AA611" i="3"/>
  <c r="AE611" i="3"/>
  <c r="AC611" i="3"/>
  <c r="AD611" i="3"/>
  <c r="P611" i="3"/>
  <c r="Q611" i="3" s="1"/>
  <c r="R611" i="3" s="1"/>
  <c r="S611" i="3" s="1"/>
  <c r="U610" i="3"/>
  <c r="Y609" i="3"/>
  <c r="T611" i="3" l="1"/>
  <c r="AG611" i="3" s="1"/>
  <c r="D611" i="3" l="1"/>
  <c r="G611" i="3" s="1"/>
  <c r="AH611" i="3"/>
  <c r="E611" i="3"/>
  <c r="H611" i="3" s="1"/>
  <c r="K611" i="3" s="1"/>
  <c r="F611" i="3" l="1"/>
  <c r="V611" i="3"/>
  <c r="A612" i="3"/>
  <c r="B612" i="3" s="1"/>
  <c r="I611" i="3"/>
  <c r="J611" i="3"/>
  <c r="M611" i="3"/>
  <c r="N611" i="3" s="1"/>
  <c r="AD612" i="3" l="1"/>
  <c r="AE612" i="3"/>
  <c r="AC612" i="3"/>
  <c r="Z612" i="3"/>
  <c r="P612" i="3"/>
  <c r="Q612" i="3" s="1"/>
  <c r="R612" i="3" s="1"/>
  <c r="S612" i="3" s="1"/>
  <c r="AA612" i="3"/>
  <c r="L611" i="3"/>
  <c r="W611" i="3"/>
  <c r="T612" i="3" l="1"/>
  <c r="AH612" i="3" s="1"/>
  <c r="U611" i="3"/>
  <c r="Y610" i="3"/>
  <c r="AG612" i="3" l="1"/>
  <c r="E612" i="3"/>
  <c r="H612" i="3" s="1"/>
  <c r="K612" i="3" s="1"/>
  <c r="D612" i="3"/>
  <c r="F612" i="3" l="1"/>
  <c r="G612" i="3"/>
  <c r="I612" i="3" s="1"/>
  <c r="V612" i="3"/>
  <c r="A613" i="3"/>
  <c r="B613" i="3" s="1"/>
  <c r="M612" i="3" l="1"/>
  <c r="N612" i="3" s="1"/>
  <c r="J612" i="3"/>
  <c r="W612" i="3"/>
  <c r="AC613" i="3"/>
  <c r="AD613" i="3"/>
  <c r="Z613" i="3"/>
  <c r="P613" i="3"/>
  <c r="Q613" i="3" s="1"/>
  <c r="R613" i="3" s="1"/>
  <c r="S613" i="3" s="1"/>
  <c r="AE613" i="3"/>
  <c r="AA613" i="3"/>
  <c r="L612" i="3"/>
  <c r="U612" i="3" l="1"/>
  <c r="Y611" i="3"/>
  <c r="T613" i="3"/>
  <c r="AG613" i="3" s="1"/>
  <c r="AH613" i="3" l="1"/>
  <c r="D613" i="3"/>
  <c r="E613" i="3"/>
  <c r="H613" i="3" s="1"/>
  <c r="K613" i="3" l="1"/>
  <c r="F613" i="3"/>
  <c r="G613" i="3"/>
  <c r="V613" i="3" l="1"/>
  <c r="A614" i="3"/>
  <c r="B614" i="3" s="1"/>
  <c r="I613" i="3"/>
  <c r="J613" i="3"/>
  <c r="M613" i="3"/>
  <c r="N613" i="3" s="1"/>
  <c r="W613" i="3" l="1"/>
  <c r="P614" i="3"/>
  <c r="Q614" i="3" s="1"/>
  <c r="R614" i="3" s="1"/>
  <c r="S614" i="3" s="1"/>
  <c r="AA614" i="3"/>
  <c r="AC614" i="3"/>
  <c r="AE614" i="3"/>
  <c r="AD614" i="3"/>
  <c r="Z614" i="3"/>
  <c r="L613" i="3"/>
  <c r="U613" i="3" l="1"/>
  <c r="Y612" i="3"/>
  <c r="T614" i="3"/>
  <c r="AG614" i="3" s="1"/>
  <c r="E614" i="3" l="1"/>
  <c r="H614" i="3" s="1"/>
  <c r="D614" i="3"/>
  <c r="AH614" i="3"/>
  <c r="F614" i="3" l="1"/>
  <c r="G614" i="3"/>
  <c r="K614" i="3"/>
  <c r="I614" i="3" l="1"/>
  <c r="J614" i="3"/>
  <c r="M614" i="3"/>
  <c r="N614" i="3" s="1"/>
  <c r="V614" i="3"/>
  <c r="A615" i="3"/>
  <c r="B615" i="3" s="1"/>
  <c r="W614" i="3" l="1"/>
  <c r="L614" i="3"/>
  <c r="AC615" i="3"/>
  <c r="AD615" i="3"/>
  <c r="Z615" i="3"/>
  <c r="AA615" i="3"/>
  <c r="AE615" i="3"/>
  <c r="P615" i="3"/>
  <c r="Q615" i="3" s="1"/>
  <c r="R615" i="3" s="1"/>
  <c r="S615" i="3" s="1"/>
  <c r="T615" i="3" l="1"/>
  <c r="AG615" i="3" s="1"/>
  <c r="U614" i="3"/>
  <c r="Y613" i="3"/>
  <c r="AH615" i="3" l="1"/>
  <c r="D615" i="3"/>
  <c r="G615" i="3" s="1"/>
  <c r="E615" i="3"/>
  <c r="H615" i="3" s="1"/>
  <c r="K615" i="3" s="1"/>
  <c r="F615" i="3" l="1"/>
  <c r="I615" i="3"/>
  <c r="J615" i="3"/>
  <c r="M615" i="3"/>
  <c r="N615" i="3" s="1"/>
  <c r="V615" i="3"/>
  <c r="A616" i="3"/>
  <c r="B616" i="3" s="1"/>
  <c r="W615" i="3" l="1"/>
  <c r="L615" i="3"/>
  <c r="AE616" i="3"/>
  <c r="P616" i="3"/>
  <c r="Q616" i="3" s="1"/>
  <c r="R616" i="3" s="1"/>
  <c r="S616" i="3" s="1"/>
  <c r="AC616" i="3"/>
  <c r="AD616" i="3"/>
  <c r="Z616" i="3"/>
  <c r="AA616" i="3"/>
  <c r="U615" i="3" l="1"/>
  <c r="Y614" i="3"/>
  <c r="T616" i="3"/>
  <c r="AH616" i="3" s="1"/>
  <c r="D616" i="3" l="1"/>
  <c r="G616" i="3" s="1"/>
  <c r="E616" i="3"/>
  <c r="H616" i="3" s="1"/>
  <c r="K616" i="3" s="1"/>
  <c r="AG616" i="3"/>
  <c r="F616" i="3" l="1"/>
  <c r="V616" i="3"/>
  <c r="A617" i="3"/>
  <c r="B617" i="3" s="1"/>
  <c r="I616" i="3"/>
  <c r="J616" i="3"/>
  <c r="M616" i="3"/>
  <c r="N616" i="3" s="1"/>
  <c r="Z617" i="3" l="1"/>
  <c r="AC617" i="3"/>
  <c r="AD617" i="3"/>
  <c r="AE617" i="3"/>
  <c r="P617" i="3"/>
  <c r="Q617" i="3" s="1"/>
  <c r="R617" i="3" s="1"/>
  <c r="S617" i="3" s="1"/>
  <c r="AA617" i="3"/>
  <c r="W616" i="3"/>
  <c r="L616" i="3"/>
  <c r="T617" i="3" l="1"/>
  <c r="AH617" i="3" s="1"/>
  <c r="U616" i="3"/>
  <c r="Y615" i="3"/>
  <c r="AG617" i="3" l="1"/>
  <c r="D617" i="3"/>
  <c r="G617" i="3" s="1"/>
  <c r="E617" i="3"/>
  <c r="H617" i="3" s="1"/>
  <c r="K617" i="3" s="1"/>
  <c r="F617" i="3" l="1"/>
  <c r="V617" i="3"/>
  <c r="A618" i="3"/>
  <c r="B618" i="3" s="1"/>
  <c r="I617" i="3"/>
  <c r="J617" i="3"/>
  <c r="M617" i="3"/>
  <c r="N617" i="3" s="1"/>
  <c r="W617" i="3" l="1"/>
  <c r="L617" i="3"/>
  <c r="AE618" i="3"/>
  <c r="AC618" i="3"/>
  <c r="AD618" i="3"/>
  <c r="P618" i="3"/>
  <c r="Q618" i="3" s="1"/>
  <c r="R618" i="3" s="1"/>
  <c r="S618" i="3" s="1"/>
  <c r="Z618" i="3"/>
  <c r="AA618" i="3"/>
  <c r="U617" i="3" l="1"/>
  <c r="Y616" i="3"/>
  <c r="T618" i="3"/>
  <c r="AH618" i="3" s="1"/>
  <c r="AG618" i="3" l="1"/>
  <c r="D618" i="3"/>
  <c r="E618" i="3"/>
  <c r="H618" i="3" s="1"/>
  <c r="K618" i="3" l="1"/>
  <c r="F618" i="3"/>
  <c r="G618" i="3"/>
  <c r="V618" i="3" l="1"/>
  <c r="A619" i="3"/>
  <c r="B619" i="3" s="1"/>
  <c r="I618" i="3"/>
  <c r="J618" i="3"/>
  <c r="M618" i="3"/>
  <c r="N618" i="3" s="1"/>
  <c r="W618" i="3" l="1"/>
  <c r="AA619" i="3"/>
  <c r="AD619" i="3"/>
  <c r="AC619" i="3"/>
  <c r="P619" i="3"/>
  <c r="Q619" i="3" s="1"/>
  <c r="R619" i="3" s="1"/>
  <c r="S619" i="3" s="1"/>
  <c r="Z619" i="3"/>
  <c r="AE619" i="3"/>
  <c r="L618" i="3"/>
  <c r="T619" i="3" l="1"/>
  <c r="AH619" i="3" s="1"/>
  <c r="U618" i="3"/>
  <c r="Y617" i="3"/>
  <c r="E619" i="3" l="1"/>
  <c r="H619" i="3" s="1"/>
  <c r="K619" i="3" s="1"/>
  <c r="AG619" i="3"/>
  <c r="D619" i="3"/>
  <c r="G619" i="3" s="1"/>
  <c r="F619" i="3" l="1"/>
  <c r="V619" i="3"/>
  <c r="A620" i="3"/>
  <c r="B620" i="3" s="1"/>
  <c r="I619" i="3"/>
  <c r="J619" i="3"/>
  <c r="M619" i="3"/>
  <c r="N619" i="3" s="1"/>
  <c r="L619" i="3" l="1"/>
  <c r="W619" i="3"/>
  <c r="AE620" i="3"/>
  <c r="AA620" i="3"/>
  <c r="P620" i="3"/>
  <c r="Q620" i="3" s="1"/>
  <c r="R620" i="3" s="1"/>
  <c r="S620" i="3" s="1"/>
  <c r="AC620" i="3"/>
  <c r="Z620" i="3"/>
  <c r="AD620" i="3"/>
  <c r="T620" i="3" l="1"/>
  <c r="U619" i="3"/>
  <c r="Y618" i="3"/>
  <c r="D620" i="3" l="1"/>
  <c r="G620" i="3" s="1"/>
  <c r="AG620" i="3"/>
  <c r="AH620" i="3"/>
  <c r="E620" i="3"/>
  <c r="H620" i="3" s="1"/>
  <c r="K620" i="3" s="1"/>
  <c r="F620" i="3" l="1"/>
  <c r="I620" i="3"/>
  <c r="J620" i="3"/>
  <c r="M620" i="3"/>
  <c r="N620" i="3" s="1"/>
  <c r="V620" i="3"/>
  <c r="A621" i="3"/>
  <c r="B621" i="3" s="1"/>
  <c r="W620" i="3" l="1"/>
  <c r="AE621" i="3"/>
  <c r="P621" i="3"/>
  <c r="Q621" i="3" s="1"/>
  <c r="R621" i="3" s="1"/>
  <c r="S621" i="3" s="1"/>
  <c r="AA621" i="3"/>
  <c r="AD621" i="3"/>
  <c r="Z621" i="3"/>
  <c r="AC621" i="3"/>
  <c r="L620" i="3"/>
  <c r="T621" i="3" l="1"/>
  <c r="U620" i="3"/>
  <c r="D621" i="3" s="1"/>
  <c r="AH621" i="3"/>
  <c r="AG621" i="3"/>
  <c r="Y619" i="3"/>
  <c r="E621" i="3" l="1"/>
  <c r="H621" i="3" s="1"/>
  <c r="K621" i="3" s="1"/>
  <c r="G621" i="3"/>
  <c r="F621" i="3" l="1"/>
  <c r="V621" i="3"/>
  <c r="A622" i="3"/>
  <c r="B622" i="3" s="1"/>
  <c r="I621" i="3"/>
  <c r="J621" i="3"/>
  <c r="M621" i="3"/>
  <c r="N621" i="3" s="1"/>
  <c r="L621" i="3" l="1"/>
  <c r="P622" i="3"/>
  <c r="Q622" i="3" s="1"/>
  <c r="R622" i="3" s="1"/>
  <c r="S622" i="3" s="1"/>
  <c r="AC622" i="3"/>
  <c r="AA622" i="3"/>
  <c r="Z622" i="3"/>
  <c r="AD622" i="3"/>
  <c r="AE622" i="3"/>
  <c r="W621" i="3"/>
  <c r="T622" i="3" l="1"/>
  <c r="AG622" i="3" s="1"/>
  <c r="U621" i="3"/>
  <c r="Y620" i="3"/>
  <c r="AH622" i="3" l="1"/>
  <c r="E622" i="3"/>
  <c r="H622" i="3" s="1"/>
  <c r="K622" i="3" s="1"/>
  <c r="D622" i="3"/>
  <c r="F622" i="3" l="1"/>
  <c r="G622" i="3"/>
  <c r="I622" i="3" s="1"/>
  <c r="V622" i="3"/>
  <c r="A623" i="3"/>
  <c r="B623" i="3" s="1"/>
  <c r="M622" i="3" l="1"/>
  <c r="N622" i="3" s="1"/>
  <c r="J622" i="3"/>
  <c r="L622" i="3" s="1"/>
  <c r="W622" i="3"/>
  <c r="AD623" i="3"/>
  <c r="Z623" i="3"/>
  <c r="AE623" i="3"/>
  <c r="AC623" i="3"/>
  <c r="P623" i="3"/>
  <c r="Q623" i="3" s="1"/>
  <c r="R623" i="3" s="1"/>
  <c r="S623" i="3" s="1"/>
  <c r="AA623" i="3"/>
  <c r="U622" i="3" l="1"/>
  <c r="Y621" i="3"/>
  <c r="T623" i="3"/>
  <c r="AH623" i="3" s="1"/>
  <c r="E623" i="3" l="1"/>
  <c r="H623" i="3" s="1"/>
  <c r="AG623" i="3"/>
  <c r="D623" i="3"/>
  <c r="F623" i="3" l="1"/>
  <c r="G623" i="3"/>
  <c r="K623" i="3"/>
  <c r="I623" i="3" l="1"/>
  <c r="J623" i="3"/>
  <c r="M623" i="3"/>
  <c r="N623" i="3" s="1"/>
  <c r="V623" i="3"/>
  <c r="W623" i="3" s="1"/>
  <c r="A624" i="3"/>
  <c r="B624" i="3" s="1"/>
  <c r="AD624" i="3" l="1"/>
  <c r="AE624" i="3"/>
  <c r="Z624" i="3"/>
  <c r="P624" i="3"/>
  <c r="Q624" i="3" s="1"/>
  <c r="R624" i="3" s="1"/>
  <c r="S624" i="3" s="1"/>
  <c r="AC624" i="3"/>
  <c r="AA624" i="3"/>
  <c r="L623" i="3"/>
  <c r="U623" i="3" l="1"/>
  <c r="Y622" i="3"/>
  <c r="T624" i="3"/>
  <c r="AH624" i="3" s="1"/>
  <c r="D624" i="3" l="1"/>
  <c r="AG624" i="3"/>
  <c r="E624" i="3"/>
  <c r="H624" i="3" s="1"/>
  <c r="K624" i="3" l="1"/>
  <c r="F624" i="3"/>
  <c r="G624" i="3"/>
  <c r="V624" i="3" l="1"/>
  <c r="A625" i="3"/>
  <c r="B625" i="3" s="1"/>
  <c r="I624" i="3"/>
  <c r="J624" i="3"/>
  <c r="M624" i="3"/>
  <c r="N624" i="3" s="1"/>
  <c r="AE625" i="3" l="1"/>
  <c r="AD625" i="3"/>
  <c r="Z625" i="3"/>
  <c r="AA625" i="3"/>
  <c r="AC625" i="3"/>
  <c r="P625" i="3"/>
  <c r="Q625" i="3" s="1"/>
  <c r="R625" i="3" s="1"/>
  <c r="S625" i="3" s="1"/>
  <c r="L624" i="3"/>
  <c r="W624" i="3"/>
  <c r="T625" i="3" l="1"/>
  <c r="AG625" i="3" s="1"/>
  <c r="U624" i="3"/>
  <c r="Y623" i="3"/>
  <c r="AH625" i="3" l="1"/>
  <c r="E625" i="3"/>
  <c r="H625" i="3" s="1"/>
  <c r="K625" i="3" s="1"/>
  <c r="D625" i="3"/>
  <c r="F625" i="3" l="1"/>
  <c r="G625" i="3"/>
  <c r="V625" i="3"/>
  <c r="A626" i="3"/>
  <c r="B626" i="3" s="1"/>
  <c r="AC626" i="3" l="1"/>
  <c r="AE626" i="3"/>
  <c r="Z626" i="3"/>
  <c r="AD626" i="3"/>
  <c r="P626" i="3"/>
  <c r="Q626" i="3" s="1"/>
  <c r="R626" i="3" s="1"/>
  <c r="S626" i="3" s="1"/>
  <c r="AA626" i="3"/>
  <c r="I625" i="3"/>
  <c r="W625" i="3" s="1"/>
  <c r="J625" i="3"/>
  <c r="M625" i="3"/>
  <c r="N625" i="3" s="1"/>
  <c r="L625" i="3" l="1"/>
  <c r="T626" i="3"/>
  <c r="AH626" i="3" l="1"/>
  <c r="U625" i="3"/>
  <c r="D626" i="3"/>
  <c r="E626" i="3"/>
  <c r="H626" i="3" s="1"/>
  <c r="AG626" i="3"/>
  <c r="Y624" i="3"/>
  <c r="F626" i="3" l="1"/>
  <c r="G626" i="3"/>
  <c r="K626" i="3"/>
  <c r="I626" i="3" l="1"/>
  <c r="J626" i="3"/>
  <c r="M626" i="3"/>
  <c r="N626" i="3" s="1"/>
  <c r="V626" i="3"/>
  <c r="W626" i="3" s="1"/>
  <c r="A627" i="3"/>
  <c r="B627" i="3" s="1"/>
  <c r="L626" i="3" l="1"/>
  <c r="Z627" i="3"/>
  <c r="AA627" i="3"/>
  <c r="P627" i="3"/>
  <c r="Q627" i="3" s="1"/>
  <c r="R627" i="3" s="1"/>
  <c r="S627" i="3" s="1"/>
  <c r="AE627" i="3"/>
  <c r="AC627" i="3"/>
  <c r="AD627" i="3"/>
  <c r="T627" i="3" l="1"/>
  <c r="U626" i="3"/>
  <c r="Y625" i="3"/>
  <c r="E627" i="3" l="1"/>
  <c r="H627" i="3" s="1"/>
  <c r="K627" i="3" s="1"/>
  <c r="D627" i="3"/>
  <c r="G627" i="3" s="1"/>
  <c r="AG627" i="3"/>
  <c r="AH627" i="3"/>
  <c r="F627" i="3" l="1"/>
  <c r="V627" i="3"/>
  <c r="A628" i="3"/>
  <c r="B628" i="3" s="1"/>
  <c r="I627" i="3"/>
  <c r="J627" i="3"/>
  <c r="M627" i="3"/>
  <c r="N627" i="3" s="1"/>
  <c r="W627" i="3" l="1"/>
  <c r="AD628" i="3"/>
  <c r="P628" i="3"/>
  <c r="Q628" i="3" s="1"/>
  <c r="R628" i="3" s="1"/>
  <c r="S628" i="3" s="1"/>
  <c r="Z628" i="3"/>
  <c r="AE628" i="3"/>
  <c r="AA628" i="3"/>
  <c r="AC628" i="3"/>
  <c r="L627" i="3"/>
  <c r="T628" i="3" l="1"/>
  <c r="AH628" i="3" s="1"/>
  <c r="U627" i="3"/>
  <c r="Y626" i="3"/>
  <c r="AG628" i="3" l="1"/>
  <c r="D628" i="3"/>
  <c r="G628" i="3" s="1"/>
  <c r="E628" i="3"/>
  <c r="H628" i="3" s="1"/>
  <c r="K628" i="3" s="1"/>
  <c r="F628" i="3" l="1"/>
  <c r="I628" i="3"/>
  <c r="J628" i="3"/>
  <c r="M628" i="3"/>
  <c r="N628" i="3" s="1"/>
  <c r="V628" i="3"/>
  <c r="A629" i="3"/>
  <c r="B629" i="3" s="1"/>
  <c r="W628" i="3" l="1"/>
  <c r="AA629" i="3"/>
  <c r="Z629" i="3"/>
  <c r="AD629" i="3"/>
  <c r="AC629" i="3"/>
  <c r="AE629" i="3"/>
  <c r="P629" i="3"/>
  <c r="Q629" i="3" s="1"/>
  <c r="R629" i="3" s="1"/>
  <c r="S629" i="3" s="1"/>
  <c r="L628" i="3"/>
  <c r="T629" i="3" l="1"/>
  <c r="AG629" i="3" s="1"/>
  <c r="U628" i="3"/>
  <c r="Y627" i="3"/>
  <c r="AH629" i="3" l="1"/>
  <c r="E629" i="3"/>
  <c r="H629" i="3" s="1"/>
  <c r="K629" i="3" s="1"/>
  <c r="D629" i="3"/>
  <c r="F629" i="3" l="1"/>
  <c r="G629" i="3"/>
  <c r="I629" i="3" s="1"/>
  <c r="V629" i="3"/>
  <c r="A630" i="3"/>
  <c r="B630" i="3" s="1"/>
  <c r="M629" i="3" l="1"/>
  <c r="N629" i="3" s="1"/>
  <c r="J629" i="3"/>
  <c r="L629" i="3" s="1"/>
  <c r="AC630" i="3"/>
  <c r="Z630" i="3"/>
  <c r="AD630" i="3"/>
  <c r="P630" i="3"/>
  <c r="Q630" i="3" s="1"/>
  <c r="R630" i="3" s="1"/>
  <c r="S630" i="3" s="1"/>
  <c r="AE630" i="3"/>
  <c r="AA630" i="3"/>
  <c r="W629" i="3"/>
  <c r="T630" i="3" l="1"/>
  <c r="AG630" i="3" s="1"/>
  <c r="U629" i="3"/>
  <c r="Y628" i="3"/>
  <c r="AH630" i="3" l="1"/>
  <c r="D630" i="3"/>
  <c r="G630" i="3" s="1"/>
  <c r="E630" i="3"/>
  <c r="H630" i="3" s="1"/>
  <c r="K630" i="3" s="1"/>
  <c r="F630" i="3" l="1"/>
  <c r="I630" i="3"/>
  <c r="J630" i="3"/>
  <c r="M630" i="3"/>
  <c r="N630" i="3" s="1"/>
  <c r="V630" i="3"/>
  <c r="A631" i="3"/>
  <c r="B631" i="3" s="1"/>
  <c r="W630" i="3" l="1"/>
  <c r="L630" i="3"/>
  <c r="Z631" i="3"/>
  <c r="AD631" i="3"/>
  <c r="AE631" i="3"/>
  <c r="P631" i="3"/>
  <c r="Q631" i="3" s="1"/>
  <c r="R631" i="3" s="1"/>
  <c r="S631" i="3" s="1"/>
  <c r="AA631" i="3"/>
  <c r="AC631" i="3"/>
  <c r="T631" i="3" l="1"/>
  <c r="AG631" i="3" s="1"/>
  <c r="U630" i="3"/>
  <c r="Y629" i="3"/>
  <c r="E631" i="3" l="1"/>
  <c r="H631" i="3" s="1"/>
  <c r="K631" i="3" s="1"/>
  <c r="AH631" i="3"/>
  <c r="D631" i="3"/>
  <c r="F631" i="3" s="1"/>
  <c r="G631" i="3" l="1"/>
  <c r="M631" i="3" s="1"/>
  <c r="N631" i="3" s="1"/>
  <c r="V631" i="3"/>
  <c r="A632" i="3"/>
  <c r="B632" i="3" s="1"/>
  <c r="J631" i="3" l="1"/>
  <c r="L631" i="3" s="1"/>
  <c r="I631" i="3"/>
  <c r="W631" i="3" s="1"/>
  <c r="AE632" i="3"/>
  <c r="P632" i="3"/>
  <c r="Q632" i="3" s="1"/>
  <c r="R632" i="3" s="1"/>
  <c r="S632" i="3" s="1"/>
  <c r="AA632" i="3"/>
  <c r="Z632" i="3"/>
  <c r="AC632" i="3"/>
  <c r="AD632" i="3"/>
  <c r="U631" i="3" l="1"/>
  <c r="Y630" i="3"/>
  <c r="T632" i="3"/>
  <c r="AH632" i="3" s="1"/>
  <c r="AG632" i="3" l="1"/>
  <c r="D632" i="3"/>
  <c r="E632" i="3"/>
  <c r="H632" i="3" s="1"/>
  <c r="K632" i="3" l="1"/>
  <c r="F632" i="3"/>
  <c r="G632" i="3"/>
  <c r="V632" i="3" l="1"/>
  <c r="A633" i="3"/>
  <c r="B633" i="3" s="1"/>
  <c r="I632" i="3"/>
  <c r="J632" i="3"/>
  <c r="M632" i="3"/>
  <c r="N632" i="3" s="1"/>
  <c r="W632" i="3" l="1"/>
  <c r="L632" i="3"/>
  <c r="Z633" i="3"/>
  <c r="AC633" i="3"/>
  <c r="AE633" i="3"/>
  <c r="AA633" i="3"/>
  <c r="P633" i="3"/>
  <c r="Q633" i="3" s="1"/>
  <c r="R633" i="3" s="1"/>
  <c r="S633" i="3" s="1"/>
  <c r="AD633" i="3"/>
  <c r="T633" i="3" l="1"/>
  <c r="AH633" i="3" s="1"/>
  <c r="U632" i="3"/>
  <c r="Y631" i="3"/>
  <c r="D633" i="3" l="1"/>
  <c r="G633" i="3" s="1"/>
  <c r="AG633" i="3"/>
  <c r="E633" i="3"/>
  <c r="H633" i="3" s="1"/>
  <c r="K633" i="3" s="1"/>
  <c r="F633" i="3" l="1"/>
  <c r="V633" i="3"/>
  <c r="A634" i="3"/>
  <c r="B634" i="3" s="1"/>
  <c r="I633" i="3"/>
  <c r="J633" i="3"/>
  <c r="M633" i="3"/>
  <c r="N633" i="3" s="1"/>
  <c r="AC634" i="3" l="1"/>
  <c r="P634" i="3"/>
  <c r="Q634" i="3" s="1"/>
  <c r="R634" i="3" s="1"/>
  <c r="S634" i="3" s="1"/>
  <c r="AE634" i="3"/>
  <c r="Z634" i="3"/>
  <c r="AA634" i="3"/>
  <c r="AD634" i="3"/>
  <c r="L633" i="3"/>
  <c r="W633" i="3"/>
  <c r="T634" i="3" l="1"/>
  <c r="AG634" i="3" s="1"/>
  <c r="U633" i="3"/>
  <c r="Y632" i="3"/>
  <c r="AH634" i="3" l="1"/>
  <c r="E634" i="3"/>
  <c r="H634" i="3" s="1"/>
  <c r="K634" i="3" s="1"/>
  <c r="D634" i="3"/>
  <c r="F634" i="3" l="1"/>
  <c r="G634" i="3"/>
  <c r="I634" i="3" s="1"/>
  <c r="V634" i="3"/>
  <c r="A635" i="3"/>
  <c r="B635" i="3" s="1"/>
  <c r="M634" i="3" l="1"/>
  <c r="N634" i="3" s="1"/>
  <c r="J634" i="3"/>
  <c r="W634" i="3"/>
  <c r="Z635" i="3"/>
  <c r="AA635" i="3"/>
  <c r="AD635" i="3"/>
  <c r="AE635" i="3"/>
  <c r="AC635" i="3"/>
  <c r="P635" i="3"/>
  <c r="Q635" i="3" s="1"/>
  <c r="R635" i="3" s="1"/>
  <c r="S635" i="3" s="1"/>
  <c r="L634" i="3"/>
  <c r="T635" i="3" l="1"/>
  <c r="AG635" i="3" s="1"/>
  <c r="U634" i="3"/>
  <c r="AH635" i="3"/>
  <c r="Y633" i="3"/>
  <c r="E635" i="3" l="1"/>
  <c r="H635" i="3" s="1"/>
  <c r="K635" i="3" s="1"/>
  <c r="D635" i="3"/>
  <c r="F635" i="3" l="1"/>
  <c r="G635" i="3"/>
  <c r="I635" i="3" s="1"/>
  <c r="V635" i="3"/>
  <c r="A636" i="3"/>
  <c r="B636" i="3" s="1"/>
  <c r="M635" i="3" l="1"/>
  <c r="N635" i="3" s="1"/>
  <c r="J635" i="3"/>
  <c r="W635" i="3"/>
  <c r="P636" i="3"/>
  <c r="Q636" i="3" s="1"/>
  <c r="R636" i="3" s="1"/>
  <c r="S636" i="3" s="1"/>
  <c r="AC636" i="3"/>
  <c r="AE636" i="3"/>
  <c r="AD636" i="3"/>
  <c r="Z636" i="3"/>
  <c r="AA636" i="3"/>
  <c r="L635" i="3"/>
  <c r="U635" i="3" l="1"/>
  <c r="Y634" i="3"/>
  <c r="T636" i="3"/>
  <c r="AH636" i="3" s="1"/>
  <c r="AG636" i="3" l="1"/>
  <c r="D636" i="3"/>
  <c r="E636" i="3"/>
  <c r="H636" i="3" s="1"/>
  <c r="K636" i="3" l="1"/>
  <c r="F636" i="3"/>
  <c r="G636" i="3"/>
  <c r="V636" i="3" l="1"/>
  <c r="A637" i="3"/>
  <c r="B637" i="3" s="1"/>
  <c r="I636" i="3"/>
  <c r="J636" i="3"/>
  <c r="M636" i="3"/>
  <c r="N636" i="3" s="1"/>
  <c r="W636" i="3" l="1"/>
  <c r="AE637" i="3"/>
  <c r="AD637" i="3"/>
  <c r="AA637" i="3"/>
  <c r="AC637" i="3"/>
  <c r="P637" i="3"/>
  <c r="Q637" i="3" s="1"/>
  <c r="R637" i="3" s="1"/>
  <c r="S637" i="3" s="1"/>
  <c r="Z637" i="3"/>
  <c r="L636" i="3"/>
  <c r="T637" i="3" l="1"/>
  <c r="AH637" i="3" s="1"/>
  <c r="U636" i="3"/>
  <c r="Y635" i="3"/>
  <c r="D637" i="3" l="1"/>
  <c r="G637" i="3" s="1"/>
  <c r="AG637" i="3"/>
  <c r="E637" i="3"/>
  <c r="H637" i="3" s="1"/>
  <c r="K637" i="3" s="1"/>
  <c r="F637" i="3" l="1"/>
  <c r="I637" i="3"/>
  <c r="J637" i="3"/>
  <c r="M637" i="3"/>
  <c r="N637" i="3" s="1"/>
  <c r="V637" i="3"/>
  <c r="A638" i="3"/>
  <c r="B638" i="3" s="1"/>
  <c r="W637" i="3" l="1"/>
  <c r="L637" i="3"/>
  <c r="AC638" i="3"/>
  <c r="AD638" i="3"/>
  <c r="AE638" i="3"/>
  <c r="Z638" i="3"/>
  <c r="P638" i="3"/>
  <c r="Q638" i="3" s="1"/>
  <c r="R638" i="3" s="1"/>
  <c r="S638" i="3" s="1"/>
  <c r="AA638" i="3"/>
  <c r="T638" i="3" l="1"/>
  <c r="AG638" i="3" s="1"/>
  <c r="U637" i="3"/>
  <c r="Y636" i="3"/>
  <c r="D638" i="3" l="1"/>
  <c r="G638" i="3" s="1"/>
  <c r="AH638" i="3"/>
  <c r="E638" i="3"/>
  <c r="H638" i="3" s="1"/>
  <c r="K638" i="3" s="1"/>
  <c r="F638" i="3" l="1"/>
  <c r="I638" i="3"/>
  <c r="J638" i="3"/>
  <c r="M638" i="3"/>
  <c r="N638" i="3" s="1"/>
  <c r="V638" i="3"/>
  <c r="A639" i="3"/>
  <c r="B639" i="3" s="1"/>
  <c r="W638" i="3" l="1"/>
  <c r="P639" i="3"/>
  <c r="Q639" i="3" s="1"/>
  <c r="R639" i="3" s="1"/>
  <c r="S639" i="3" s="1"/>
  <c r="Z639" i="3"/>
  <c r="AD639" i="3"/>
  <c r="AA639" i="3"/>
  <c r="AC639" i="3"/>
  <c r="AE639" i="3"/>
  <c r="L638" i="3"/>
  <c r="U638" i="3" l="1"/>
  <c r="Y637" i="3"/>
  <c r="T639" i="3"/>
  <c r="D639" i="3" s="1"/>
  <c r="G639" i="3" l="1"/>
  <c r="AG639" i="3"/>
  <c r="E639" i="3"/>
  <c r="H639" i="3" s="1"/>
  <c r="AH639" i="3"/>
  <c r="K639" i="3" l="1"/>
  <c r="I639" i="3"/>
  <c r="J639" i="3"/>
  <c r="M639" i="3"/>
  <c r="N639" i="3" s="1"/>
  <c r="F639" i="3"/>
  <c r="V639" i="3" l="1"/>
  <c r="W639" i="3" s="1"/>
  <c r="A640" i="3"/>
  <c r="B640" i="3" s="1"/>
  <c r="L639" i="3"/>
  <c r="P640" i="3" l="1"/>
  <c r="Q640" i="3" s="1"/>
  <c r="R640" i="3" s="1"/>
  <c r="S640" i="3" s="1"/>
  <c r="Z640" i="3"/>
  <c r="AA640" i="3"/>
  <c r="AD640" i="3"/>
  <c r="AE640" i="3"/>
  <c r="AC640" i="3"/>
  <c r="U639" i="3"/>
  <c r="Y638" i="3"/>
  <c r="T640" i="3" l="1"/>
  <c r="D640" i="3" s="1"/>
  <c r="G640" i="3" l="1"/>
  <c r="AG640" i="3"/>
  <c r="E640" i="3"/>
  <c r="H640" i="3" s="1"/>
  <c r="AH640" i="3"/>
  <c r="K640" i="3" l="1"/>
  <c r="I640" i="3"/>
  <c r="J640" i="3"/>
  <c r="M640" i="3"/>
  <c r="N640" i="3" s="1"/>
  <c r="F640" i="3"/>
  <c r="V640" i="3" l="1"/>
  <c r="W640" i="3" s="1"/>
  <c r="A641" i="3"/>
  <c r="B641" i="3" s="1"/>
  <c r="L640" i="3"/>
  <c r="AA641" i="3" l="1"/>
  <c r="AD641" i="3"/>
  <c r="P641" i="3"/>
  <c r="Q641" i="3" s="1"/>
  <c r="R641" i="3" s="1"/>
  <c r="S641" i="3" s="1"/>
  <c r="AE641" i="3"/>
  <c r="Z641" i="3"/>
  <c r="AC641" i="3"/>
  <c r="U640" i="3"/>
  <c r="Y639" i="3"/>
  <c r="T641" i="3" l="1"/>
  <c r="D641" i="3" s="1"/>
  <c r="AG641" i="3" l="1"/>
  <c r="AH641" i="3"/>
  <c r="G641" i="3"/>
  <c r="E641" i="3"/>
  <c r="H641" i="3" s="1"/>
  <c r="K641" i="3" l="1"/>
  <c r="I641" i="3"/>
  <c r="J641" i="3"/>
  <c r="M641" i="3"/>
  <c r="N641" i="3" s="1"/>
  <c r="F641" i="3"/>
  <c r="V641" i="3" l="1"/>
  <c r="W641" i="3" s="1"/>
  <c r="A642" i="3"/>
  <c r="B642" i="3" s="1"/>
  <c r="L641" i="3"/>
  <c r="AC642" i="3" l="1"/>
  <c r="P642" i="3"/>
  <c r="Q642" i="3" s="1"/>
  <c r="R642" i="3" s="1"/>
  <c r="S642" i="3" s="1"/>
  <c r="AE642" i="3"/>
  <c r="AD642" i="3"/>
  <c r="Z642" i="3"/>
  <c r="AA642" i="3"/>
  <c r="U641" i="3"/>
  <c r="Y640" i="3"/>
  <c r="T642" i="3" l="1"/>
  <c r="E642" i="3" s="1"/>
  <c r="H642" i="3" s="1"/>
  <c r="AG642" i="3" l="1"/>
  <c r="D642" i="3"/>
  <c r="F642" i="3" s="1"/>
  <c r="AH642" i="3"/>
  <c r="K642" i="3"/>
  <c r="G642" i="3" l="1"/>
  <c r="I642" i="3" s="1"/>
  <c r="V642" i="3"/>
  <c r="A643" i="3"/>
  <c r="B643" i="3" s="1"/>
  <c r="M642" i="3" l="1"/>
  <c r="N642" i="3" s="1"/>
  <c r="J642" i="3"/>
  <c r="L642" i="3" s="1"/>
  <c r="W642" i="3"/>
  <c r="AD643" i="3"/>
  <c r="AC643" i="3"/>
  <c r="AE643" i="3"/>
  <c r="P643" i="3"/>
  <c r="Q643" i="3" s="1"/>
  <c r="R643" i="3" s="1"/>
  <c r="S643" i="3" s="1"/>
  <c r="Z643" i="3"/>
  <c r="AA643" i="3"/>
  <c r="T643" i="3" l="1"/>
  <c r="AG643" i="3" s="1"/>
  <c r="U642" i="3"/>
  <c r="Y641" i="3"/>
  <c r="E643" i="3" l="1"/>
  <c r="H643" i="3" s="1"/>
  <c r="K643" i="3" s="1"/>
  <c r="AH643" i="3"/>
  <c r="D643" i="3"/>
  <c r="F643" i="3" l="1"/>
  <c r="G643" i="3"/>
  <c r="V643" i="3"/>
  <c r="A644" i="3"/>
  <c r="B644" i="3" s="1"/>
  <c r="AE644" i="3" l="1"/>
  <c r="AA644" i="3"/>
  <c r="P644" i="3"/>
  <c r="Q644" i="3" s="1"/>
  <c r="R644" i="3" s="1"/>
  <c r="S644" i="3" s="1"/>
  <c r="AC644" i="3"/>
  <c r="AD644" i="3"/>
  <c r="Z644" i="3"/>
  <c r="I643" i="3"/>
  <c r="W643" i="3" s="1"/>
  <c r="J643" i="3"/>
  <c r="M643" i="3"/>
  <c r="N643" i="3" s="1"/>
  <c r="L643" i="3" l="1"/>
  <c r="T644" i="3"/>
  <c r="AH644" i="3" l="1"/>
  <c r="AG644" i="3"/>
  <c r="U643" i="3"/>
  <c r="E644" i="3" s="1"/>
  <c r="H644" i="3" s="1"/>
  <c r="Y642" i="3"/>
  <c r="D644" i="3" l="1"/>
  <c r="F644" i="3" s="1"/>
  <c r="K644" i="3"/>
  <c r="G644" i="3" l="1"/>
  <c r="I644" i="3" s="1"/>
  <c r="V644" i="3"/>
  <c r="A645" i="3"/>
  <c r="B645" i="3" s="1"/>
  <c r="M644" i="3" l="1"/>
  <c r="N644" i="3" s="1"/>
  <c r="J644" i="3"/>
  <c r="L644" i="3" s="1"/>
  <c r="W644" i="3"/>
  <c r="AE645" i="3"/>
  <c r="AA645" i="3"/>
  <c r="AC645" i="3"/>
  <c r="Z645" i="3"/>
  <c r="P645" i="3"/>
  <c r="Q645" i="3" s="1"/>
  <c r="R645" i="3" s="1"/>
  <c r="S645" i="3" s="1"/>
  <c r="AD645" i="3"/>
  <c r="T645" i="3" l="1"/>
  <c r="U644" i="3"/>
  <c r="Y643" i="3"/>
  <c r="D645" i="3" l="1"/>
  <c r="E645" i="3"/>
  <c r="H645" i="3" s="1"/>
  <c r="K645" i="3" s="1"/>
  <c r="AH645" i="3"/>
  <c r="AG645" i="3"/>
  <c r="G645" i="3"/>
  <c r="F645" i="3" l="1"/>
  <c r="V645" i="3"/>
  <c r="A646" i="3"/>
  <c r="B646" i="3" s="1"/>
  <c r="I645" i="3"/>
  <c r="J645" i="3"/>
  <c r="M645" i="3"/>
  <c r="N645" i="3" s="1"/>
  <c r="L645" i="3" l="1"/>
  <c r="AC646" i="3"/>
  <c r="P646" i="3"/>
  <c r="Q646" i="3" s="1"/>
  <c r="R646" i="3" s="1"/>
  <c r="S646" i="3" s="1"/>
  <c r="AE646" i="3"/>
  <c r="Z646" i="3"/>
  <c r="AD646" i="3"/>
  <c r="AA646" i="3"/>
  <c r="W645" i="3"/>
  <c r="T646" i="3" l="1"/>
  <c r="U645" i="3"/>
  <c r="Y644" i="3"/>
  <c r="E646" i="3" l="1"/>
  <c r="H646" i="3" s="1"/>
  <c r="K646" i="3" s="1"/>
  <c r="AG646" i="3"/>
  <c r="AH646" i="3"/>
  <c r="D646" i="3"/>
  <c r="F646" i="3" s="1"/>
  <c r="G646" i="3" l="1"/>
  <c r="I646" i="3" s="1"/>
  <c r="V646" i="3"/>
  <c r="A647" i="3"/>
  <c r="B647" i="3" s="1"/>
  <c r="J646" i="3" l="1"/>
  <c r="L646" i="3" s="1"/>
  <c r="M646" i="3"/>
  <c r="N646" i="3" s="1"/>
  <c r="W646" i="3"/>
  <c r="P647" i="3"/>
  <c r="Q647" i="3" s="1"/>
  <c r="R647" i="3" s="1"/>
  <c r="S647" i="3" s="1"/>
  <c r="AE647" i="3"/>
  <c r="AC647" i="3"/>
  <c r="Z647" i="3"/>
  <c r="AA647" i="3"/>
  <c r="AD647" i="3"/>
  <c r="T647" i="3" l="1"/>
  <c r="AH647" i="3" s="1"/>
  <c r="U646" i="3"/>
  <c r="D647" i="3"/>
  <c r="AG647" i="3"/>
  <c r="Y645" i="3"/>
  <c r="E647" i="3" l="1"/>
  <c r="H647" i="3" s="1"/>
  <c r="K647" i="3" s="1"/>
  <c r="G647" i="3"/>
  <c r="F647" i="3" l="1"/>
  <c r="V647" i="3"/>
  <c r="A648" i="3"/>
  <c r="B648" i="3" s="1"/>
  <c r="I647" i="3"/>
  <c r="J647" i="3"/>
  <c r="M647" i="3"/>
  <c r="N647" i="3" s="1"/>
  <c r="L647" i="3" l="1"/>
  <c r="P648" i="3"/>
  <c r="Q648" i="3" s="1"/>
  <c r="R648" i="3" s="1"/>
  <c r="S648" i="3" s="1"/>
  <c r="Z648" i="3"/>
  <c r="AC648" i="3"/>
  <c r="AD648" i="3"/>
  <c r="AA648" i="3"/>
  <c r="AE648" i="3"/>
  <c r="W647" i="3"/>
  <c r="T648" i="3" l="1"/>
  <c r="AH648" i="3" s="1"/>
  <c r="U647" i="3"/>
  <c r="AG648" i="3"/>
  <c r="Y646" i="3"/>
  <c r="E648" i="3" l="1"/>
  <c r="H648" i="3" s="1"/>
  <c r="K648" i="3" s="1"/>
  <c r="D648" i="3"/>
  <c r="F648" i="3" l="1"/>
  <c r="G648" i="3"/>
  <c r="V648" i="3"/>
  <c r="A649" i="3"/>
  <c r="B649" i="3" s="1"/>
  <c r="I648" i="3" l="1"/>
  <c r="W648" i="3" s="1"/>
  <c r="J648" i="3"/>
  <c r="M648" i="3"/>
  <c r="N648" i="3" s="1"/>
  <c r="AE649" i="3"/>
  <c r="AD649" i="3"/>
  <c r="AA649" i="3"/>
  <c r="AC649" i="3"/>
  <c r="Z649" i="3"/>
  <c r="P649" i="3"/>
  <c r="Q649" i="3" s="1"/>
  <c r="R649" i="3" s="1"/>
  <c r="S649" i="3" s="1"/>
  <c r="L648" i="3" l="1"/>
  <c r="T649" i="3"/>
  <c r="U648" i="3" l="1"/>
  <c r="D649" i="3" s="1"/>
  <c r="AG649" i="3"/>
  <c r="AH649" i="3"/>
  <c r="Y647" i="3"/>
  <c r="E649" i="3" l="1"/>
  <c r="H649" i="3" s="1"/>
  <c r="K649" i="3" s="1"/>
  <c r="G649" i="3"/>
  <c r="F649" i="3" l="1"/>
  <c r="V649" i="3"/>
  <c r="A650" i="3"/>
  <c r="B650" i="3" s="1"/>
  <c r="I649" i="3"/>
  <c r="J649" i="3"/>
  <c r="M649" i="3"/>
  <c r="N649" i="3" s="1"/>
  <c r="L649" i="3" l="1"/>
  <c r="AC650" i="3"/>
  <c r="P650" i="3"/>
  <c r="Q650" i="3" s="1"/>
  <c r="R650" i="3" s="1"/>
  <c r="S650" i="3" s="1"/>
  <c r="AA650" i="3"/>
  <c r="AD650" i="3"/>
  <c r="AE650" i="3"/>
  <c r="Z650" i="3"/>
  <c r="W649" i="3"/>
  <c r="T650" i="3" l="1"/>
  <c r="AH650" i="3" s="1"/>
  <c r="U649" i="3"/>
  <c r="Y648" i="3"/>
  <c r="E650" i="3" l="1"/>
  <c r="H650" i="3" s="1"/>
  <c r="K650" i="3" s="1"/>
  <c r="D650" i="3"/>
  <c r="G650" i="3" s="1"/>
  <c r="AG650" i="3"/>
  <c r="F650" i="3" l="1"/>
  <c r="I650" i="3"/>
  <c r="J650" i="3"/>
  <c r="M650" i="3"/>
  <c r="N650" i="3" s="1"/>
  <c r="V650" i="3"/>
  <c r="A651" i="3"/>
  <c r="B651" i="3" s="1"/>
  <c r="W650" i="3" l="1"/>
  <c r="L650" i="3"/>
  <c r="Z651" i="3"/>
  <c r="AE651" i="3"/>
  <c r="AD651" i="3"/>
  <c r="AC651" i="3"/>
  <c r="AA651" i="3"/>
  <c r="P651" i="3"/>
  <c r="Q651" i="3" s="1"/>
  <c r="R651" i="3" s="1"/>
  <c r="S651" i="3" s="1"/>
  <c r="T651" i="3" l="1"/>
  <c r="AG651" i="3" s="1"/>
  <c r="U650" i="3"/>
  <c r="D651" i="3" s="1"/>
  <c r="Y649" i="3"/>
  <c r="AH651" i="3" l="1"/>
  <c r="E651" i="3"/>
  <c r="H651" i="3" s="1"/>
  <c r="K651" i="3" s="1"/>
  <c r="G651" i="3"/>
  <c r="F651" i="3" l="1"/>
  <c r="I651" i="3"/>
  <c r="J651" i="3"/>
  <c r="M651" i="3"/>
  <c r="N651" i="3" s="1"/>
  <c r="V651" i="3"/>
  <c r="A652" i="3"/>
  <c r="B652" i="3" s="1"/>
  <c r="W651" i="3" l="1"/>
  <c r="L651" i="3"/>
  <c r="AD652" i="3"/>
  <c r="Z652" i="3"/>
  <c r="P652" i="3"/>
  <c r="Q652" i="3" s="1"/>
  <c r="R652" i="3" s="1"/>
  <c r="S652" i="3" s="1"/>
  <c r="AA652" i="3"/>
  <c r="AC652" i="3"/>
  <c r="AE652" i="3"/>
  <c r="T652" i="3" l="1"/>
  <c r="AG652" i="3" s="1"/>
  <c r="U651" i="3"/>
  <c r="Y650" i="3"/>
  <c r="D652" i="3" l="1"/>
  <c r="G652" i="3" s="1"/>
  <c r="AH652" i="3"/>
  <c r="E652" i="3"/>
  <c r="H652" i="3" s="1"/>
  <c r="K652" i="3" s="1"/>
  <c r="F652" i="3" l="1"/>
  <c r="I652" i="3"/>
  <c r="J652" i="3"/>
  <c r="M652" i="3"/>
  <c r="N652" i="3" s="1"/>
  <c r="V652" i="3"/>
  <c r="A653" i="3"/>
  <c r="B653" i="3" s="1"/>
  <c r="W652" i="3" l="1"/>
  <c r="AA653" i="3"/>
  <c r="P653" i="3"/>
  <c r="Q653" i="3" s="1"/>
  <c r="R653" i="3" s="1"/>
  <c r="S653" i="3" s="1"/>
  <c r="Z653" i="3"/>
  <c r="AE653" i="3"/>
  <c r="AD653" i="3"/>
  <c r="AC653" i="3"/>
  <c r="L652" i="3"/>
  <c r="T653" i="3" l="1"/>
  <c r="AH653" i="3" s="1"/>
  <c r="U652" i="3"/>
  <c r="Y651" i="3"/>
  <c r="D653" i="3" l="1"/>
  <c r="G653" i="3" s="1"/>
  <c r="AG653" i="3"/>
  <c r="E653" i="3"/>
  <c r="H653" i="3" s="1"/>
  <c r="K653" i="3" l="1"/>
  <c r="I653" i="3"/>
  <c r="J653" i="3"/>
  <c r="M653" i="3"/>
  <c r="N653" i="3" s="1"/>
  <c r="F653" i="3"/>
  <c r="L653" i="3" l="1"/>
  <c r="V653" i="3"/>
  <c r="W653" i="3" s="1"/>
  <c r="A654" i="3"/>
  <c r="B654" i="3" s="1"/>
  <c r="AA654" i="3" l="1"/>
  <c r="AE654" i="3"/>
  <c r="P654" i="3"/>
  <c r="Q654" i="3" s="1"/>
  <c r="R654" i="3" s="1"/>
  <c r="S654" i="3" s="1"/>
  <c r="AD654" i="3"/>
  <c r="AC654" i="3"/>
  <c r="Z654" i="3"/>
  <c r="U653" i="3"/>
  <c r="Y652" i="3"/>
  <c r="T654" i="3" l="1"/>
  <c r="AH654" i="3" l="1"/>
  <c r="AG654" i="3"/>
  <c r="D654" i="3"/>
  <c r="E654" i="3"/>
  <c r="H654" i="3" s="1"/>
  <c r="K654" i="3" l="1"/>
  <c r="F654" i="3"/>
  <c r="G654" i="3"/>
  <c r="V654" i="3" l="1"/>
  <c r="A655" i="3"/>
  <c r="B655" i="3" s="1"/>
  <c r="I654" i="3"/>
  <c r="J654" i="3"/>
  <c r="M654" i="3"/>
  <c r="N654" i="3" s="1"/>
  <c r="W654" i="3" l="1"/>
  <c r="Z655" i="3"/>
  <c r="AD655" i="3"/>
  <c r="P655" i="3"/>
  <c r="Q655" i="3" s="1"/>
  <c r="R655" i="3" s="1"/>
  <c r="S655" i="3" s="1"/>
  <c r="AA655" i="3"/>
  <c r="AE655" i="3"/>
  <c r="AC655" i="3"/>
  <c r="L654" i="3"/>
  <c r="T655" i="3" l="1"/>
  <c r="AH655" i="3" s="1"/>
  <c r="U654" i="3"/>
  <c r="Y653" i="3"/>
  <c r="D655" i="3" l="1"/>
  <c r="G655" i="3" s="1"/>
  <c r="AG655" i="3"/>
  <c r="E655" i="3"/>
  <c r="H655" i="3" s="1"/>
  <c r="K655" i="3" l="1"/>
  <c r="I655" i="3"/>
  <c r="J655" i="3"/>
  <c r="M655" i="3"/>
  <c r="N655" i="3" s="1"/>
  <c r="F655" i="3"/>
  <c r="V655" i="3" l="1"/>
  <c r="W655" i="3" s="1"/>
  <c r="A656" i="3"/>
  <c r="B656" i="3" s="1"/>
  <c r="L655" i="3"/>
  <c r="AA656" i="3" l="1"/>
  <c r="AD656" i="3"/>
  <c r="P656" i="3"/>
  <c r="Q656" i="3" s="1"/>
  <c r="R656" i="3" s="1"/>
  <c r="S656" i="3" s="1"/>
  <c r="Z656" i="3"/>
  <c r="AC656" i="3"/>
  <c r="AE656" i="3"/>
  <c r="U655" i="3"/>
  <c r="Y654" i="3"/>
  <c r="T656" i="3" l="1"/>
  <c r="D656" i="3" s="1"/>
  <c r="E656" i="3" l="1"/>
  <c r="H656" i="3" s="1"/>
  <c r="K656" i="3" s="1"/>
  <c r="AH656" i="3"/>
  <c r="AG656" i="3"/>
  <c r="G656" i="3"/>
  <c r="F656" i="3" l="1"/>
  <c r="V656" i="3"/>
  <c r="A657" i="3"/>
  <c r="B657" i="3" s="1"/>
  <c r="I656" i="3"/>
  <c r="J656" i="3"/>
  <c r="M656" i="3"/>
  <c r="N656" i="3" s="1"/>
  <c r="Z657" i="3" l="1"/>
  <c r="AE657" i="3"/>
  <c r="AA657" i="3"/>
  <c r="AC657" i="3"/>
  <c r="AD657" i="3"/>
  <c r="P657" i="3"/>
  <c r="Q657" i="3" s="1"/>
  <c r="R657" i="3" s="1"/>
  <c r="S657" i="3" s="1"/>
  <c r="L656" i="3"/>
  <c r="W656" i="3"/>
  <c r="T657" i="3" l="1"/>
  <c r="AG657" i="3" s="1"/>
  <c r="U656" i="3"/>
  <c r="Y655" i="3"/>
  <c r="AH657" i="3" l="1"/>
  <c r="E657" i="3"/>
  <c r="H657" i="3" s="1"/>
  <c r="K657" i="3" s="1"/>
  <c r="D657" i="3"/>
  <c r="F657" i="3" l="1"/>
  <c r="G657" i="3"/>
  <c r="V657" i="3"/>
  <c r="A658" i="3"/>
  <c r="B658" i="3" s="1"/>
  <c r="Z658" i="3" l="1"/>
  <c r="AE658" i="3"/>
  <c r="AA658" i="3"/>
  <c r="AD658" i="3"/>
  <c r="P658" i="3"/>
  <c r="Q658" i="3" s="1"/>
  <c r="R658" i="3" s="1"/>
  <c r="S658" i="3" s="1"/>
  <c r="AC658" i="3"/>
  <c r="I657" i="3"/>
  <c r="W657" i="3" s="1"/>
  <c r="J657" i="3"/>
  <c r="M657" i="3"/>
  <c r="N657" i="3" s="1"/>
  <c r="L657" i="3" l="1"/>
  <c r="T658" i="3"/>
  <c r="U657" i="3" l="1"/>
  <c r="E658" i="3" s="1"/>
  <c r="H658" i="3" s="1"/>
  <c r="AG658" i="3"/>
  <c r="AH658" i="3"/>
  <c r="Y656" i="3"/>
  <c r="D658" i="3" l="1"/>
  <c r="F658" i="3" s="1"/>
  <c r="K658" i="3"/>
  <c r="G658" i="3" l="1"/>
  <c r="I658" i="3" s="1"/>
  <c r="V658" i="3"/>
  <c r="A659" i="3"/>
  <c r="B659" i="3" s="1"/>
  <c r="M658" i="3" l="1"/>
  <c r="N658" i="3" s="1"/>
  <c r="J658" i="3"/>
  <c r="L658" i="3" s="1"/>
  <c r="W658" i="3"/>
  <c r="AE659" i="3"/>
  <c r="Z659" i="3"/>
  <c r="AA659" i="3"/>
  <c r="P659" i="3"/>
  <c r="Q659" i="3" s="1"/>
  <c r="R659" i="3" s="1"/>
  <c r="S659" i="3" s="1"/>
  <c r="AC659" i="3"/>
  <c r="AD659" i="3"/>
  <c r="T659" i="3" l="1"/>
  <c r="AG659" i="3" s="1"/>
  <c r="U658" i="3"/>
  <c r="Y657" i="3"/>
  <c r="AH659" i="3" l="1"/>
  <c r="E659" i="3"/>
  <c r="H659" i="3" s="1"/>
  <c r="K659" i="3" s="1"/>
  <c r="D659" i="3"/>
  <c r="F659" i="3" l="1"/>
  <c r="G659" i="3"/>
  <c r="I659" i="3" s="1"/>
  <c r="V659" i="3"/>
  <c r="A660" i="3"/>
  <c r="B660" i="3" s="1"/>
  <c r="M659" i="3" l="1"/>
  <c r="N659" i="3" s="1"/>
  <c r="J659" i="3"/>
  <c r="L659" i="3" s="1"/>
  <c r="W659" i="3"/>
  <c r="AA660" i="3"/>
  <c r="AC660" i="3"/>
  <c r="AD660" i="3"/>
  <c r="P660" i="3"/>
  <c r="Q660" i="3" s="1"/>
  <c r="R660" i="3" s="1"/>
  <c r="S660" i="3" s="1"/>
  <c r="Z660" i="3"/>
  <c r="AE660" i="3"/>
  <c r="T660" i="3" l="1"/>
  <c r="AG660" i="3" s="1"/>
  <c r="U659" i="3"/>
  <c r="Y658" i="3"/>
  <c r="D660" i="3" l="1"/>
  <c r="G660" i="3" s="1"/>
  <c r="E660" i="3"/>
  <c r="H660" i="3" s="1"/>
  <c r="K660" i="3" s="1"/>
  <c r="AH660" i="3"/>
  <c r="F660" i="3" l="1"/>
  <c r="I660" i="3"/>
  <c r="J660" i="3"/>
  <c r="M660" i="3"/>
  <c r="N660" i="3" s="1"/>
  <c r="V660" i="3"/>
  <c r="A661" i="3"/>
  <c r="B661" i="3" s="1"/>
  <c r="W660" i="3" l="1"/>
  <c r="P661" i="3"/>
  <c r="Q661" i="3" s="1"/>
  <c r="R661" i="3" s="1"/>
  <c r="S661" i="3" s="1"/>
  <c r="AE661" i="3"/>
  <c r="AA661" i="3"/>
  <c r="Z661" i="3"/>
  <c r="AC661" i="3"/>
  <c r="AD661" i="3"/>
  <c r="L660" i="3"/>
  <c r="U660" i="3" l="1"/>
  <c r="Y659" i="3"/>
  <c r="T661" i="3"/>
  <c r="AG661" i="3" s="1"/>
  <c r="E661" i="3" l="1"/>
  <c r="H661" i="3" s="1"/>
  <c r="K661" i="3" s="1"/>
  <c r="D661" i="3"/>
  <c r="AH661" i="3"/>
  <c r="F661" i="3" l="1"/>
  <c r="G661" i="3"/>
  <c r="I661" i="3" s="1"/>
  <c r="V661" i="3"/>
  <c r="A662" i="3"/>
  <c r="B662" i="3" s="1"/>
  <c r="M661" i="3" l="1"/>
  <c r="N661" i="3" s="1"/>
  <c r="J661" i="3"/>
  <c r="L661" i="3" s="1"/>
  <c r="AE662" i="3"/>
  <c r="Z662" i="3"/>
  <c r="AD662" i="3"/>
  <c r="AC662" i="3"/>
  <c r="AA662" i="3"/>
  <c r="P662" i="3"/>
  <c r="Q662" i="3" s="1"/>
  <c r="R662" i="3" s="1"/>
  <c r="S662" i="3" s="1"/>
  <c r="W661" i="3"/>
  <c r="T662" i="3" l="1"/>
  <c r="AG662" i="3" s="1"/>
  <c r="U661" i="3"/>
  <c r="Y660" i="3"/>
  <c r="AH662" i="3" l="1"/>
  <c r="E662" i="3"/>
  <c r="H662" i="3" s="1"/>
  <c r="K662" i="3" s="1"/>
  <c r="D662" i="3"/>
  <c r="F662" i="3" l="1"/>
  <c r="G662" i="3"/>
  <c r="V662" i="3"/>
  <c r="A663" i="3"/>
  <c r="B663" i="3" s="1"/>
  <c r="AE663" i="3" l="1"/>
  <c r="AD663" i="3"/>
  <c r="P663" i="3"/>
  <c r="Q663" i="3" s="1"/>
  <c r="R663" i="3" s="1"/>
  <c r="S663" i="3" s="1"/>
  <c r="AA663" i="3"/>
  <c r="Z663" i="3"/>
  <c r="AC663" i="3"/>
  <c r="I662" i="3"/>
  <c r="W662" i="3" s="1"/>
  <c r="J662" i="3"/>
  <c r="M662" i="3"/>
  <c r="N662" i="3" s="1"/>
  <c r="L662" i="3" l="1"/>
  <c r="T663" i="3"/>
  <c r="AG663" i="3" l="1"/>
  <c r="U662" i="3"/>
  <c r="E663" i="3" s="1"/>
  <c r="H663" i="3" s="1"/>
  <c r="AH663" i="3"/>
  <c r="Y661" i="3"/>
  <c r="D663" i="3" l="1"/>
  <c r="G663" i="3" s="1"/>
  <c r="K663" i="3"/>
  <c r="F663" i="3" l="1"/>
  <c r="V663" i="3"/>
  <c r="A664" i="3"/>
  <c r="B664" i="3" s="1"/>
  <c r="I663" i="3"/>
  <c r="J663" i="3"/>
  <c r="M663" i="3"/>
  <c r="N663" i="3" s="1"/>
  <c r="L663" i="3" l="1"/>
  <c r="AD664" i="3"/>
  <c r="AC664" i="3"/>
  <c r="Z664" i="3"/>
  <c r="AE664" i="3"/>
  <c r="P664" i="3"/>
  <c r="Q664" i="3" s="1"/>
  <c r="R664" i="3" s="1"/>
  <c r="S664" i="3" s="1"/>
  <c r="AA664" i="3"/>
  <c r="W663" i="3"/>
  <c r="T664" i="3" l="1"/>
  <c r="AG664" i="3" s="1"/>
  <c r="U663" i="3"/>
  <c r="Y662" i="3"/>
  <c r="AH664" i="3" l="1"/>
  <c r="E664" i="3"/>
  <c r="H664" i="3" s="1"/>
  <c r="K664" i="3" s="1"/>
  <c r="D664" i="3"/>
  <c r="F664" i="3" l="1"/>
  <c r="G664" i="3"/>
  <c r="M664" i="3" s="1"/>
  <c r="N664" i="3" s="1"/>
  <c r="V664" i="3"/>
  <c r="A665" i="3"/>
  <c r="B665" i="3" s="1"/>
  <c r="J664" i="3" l="1"/>
  <c r="L664" i="3" s="1"/>
  <c r="I664" i="3"/>
  <c r="W664" i="3" s="1"/>
  <c r="AE665" i="3"/>
  <c r="AC665" i="3"/>
  <c r="AA665" i="3"/>
  <c r="P665" i="3"/>
  <c r="Q665" i="3" s="1"/>
  <c r="R665" i="3" s="1"/>
  <c r="S665" i="3" s="1"/>
  <c r="AD665" i="3"/>
  <c r="Z665" i="3"/>
  <c r="T665" i="3" l="1"/>
  <c r="AG665" i="3" s="1"/>
  <c r="U664" i="3"/>
  <c r="Y663" i="3"/>
  <c r="AH665" i="3" l="1"/>
  <c r="D665" i="3"/>
  <c r="G665" i="3" s="1"/>
  <c r="E665" i="3"/>
  <c r="H665" i="3" s="1"/>
  <c r="K665" i="3" l="1"/>
  <c r="I665" i="3"/>
  <c r="J665" i="3"/>
  <c r="M665" i="3"/>
  <c r="N665" i="3" s="1"/>
  <c r="F665" i="3"/>
  <c r="V665" i="3" l="1"/>
  <c r="W665" i="3" s="1"/>
  <c r="A666" i="3"/>
  <c r="B666" i="3" s="1"/>
  <c r="L665" i="3"/>
  <c r="Z666" i="3" l="1"/>
  <c r="P666" i="3"/>
  <c r="Q666" i="3" s="1"/>
  <c r="R666" i="3" s="1"/>
  <c r="S666" i="3" s="1"/>
  <c r="AA666" i="3"/>
  <c r="AC666" i="3"/>
  <c r="AD666" i="3"/>
  <c r="AE666" i="3"/>
  <c r="U665" i="3"/>
  <c r="Y664" i="3"/>
  <c r="T666" i="3" l="1"/>
  <c r="AH666" i="3" s="1"/>
  <c r="AG666" i="3" l="1"/>
  <c r="E666" i="3"/>
  <c r="H666" i="3" s="1"/>
  <c r="K666" i="3" s="1"/>
  <c r="D666" i="3"/>
  <c r="F666" i="3" l="1"/>
  <c r="G666" i="3"/>
  <c r="I666" i="3" s="1"/>
  <c r="V666" i="3"/>
  <c r="A667" i="3"/>
  <c r="B667" i="3" s="1"/>
  <c r="M666" i="3" l="1"/>
  <c r="N666" i="3" s="1"/>
  <c r="J666" i="3"/>
  <c r="AE667" i="3"/>
  <c r="P667" i="3"/>
  <c r="Q667" i="3" s="1"/>
  <c r="R667" i="3" s="1"/>
  <c r="S667" i="3" s="1"/>
  <c r="AC667" i="3"/>
  <c r="AA667" i="3"/>
  <c r="AD667" i="3"/>
  <c r="Z667" i="3"/>
  <c r="L666" i="3"/>
  <c r="W666" i="3"/>
  <c r="T667" i="3" l="1"/>
  <c r="U666" i="3"/>
  <c r="Y665" i="3"/>
  <c r="E667" i="3" l="1"/>
  <c r="H667" i="3" s="1"/>
  <c r="K667" i="3" s="1"/>
  <c r="D667" i="3"/>
  <c r="AH667" i="3"/>
  <c r="AG667" i="3"/>
  <c r="F667" i="3" l="1"/>
  <c r="G667" i="3"/>
  <c r="J667" i="3" s="1"/>
  <c r="V667" i="3"/>
  <c r="A668" i="3"/>
  <c r="B668" i="3" s="1"/>
  <c r="M667" i="3" l="1"/>
  <c r="N667" i="3" s="1"/>
  <c r="I667" i="3"/>
  <c r="W667" i="3" s="1"/>
  <c r="AA668" i="3"/>
  <c r="P668" i="3"/>
  <c r="Q668" i="3" s="1"/>
  <c r="R668" i="3" s="1"/>
  <c r="S668" i="3" s="1"/>
  <c r="AD668" i="3"/>
  <c r="Z668" i="3"/>
  <c r="AC668" i="3"/>
  <c r="AE668" i="3"/>
  <c r="L667" i="3"/>
  <c r="U667" i="3" l="1"/>
  <c r="Y666" i="3"/>
  <c r="T668" i="3"/>
  <c r="D668" i="3" s="1"/>
  <c r="E668" i="3" l="1"/>
  <c r="H668" i="3" s="1"/>
  <c r="K668" i="3" s="1"/>
  <c r="AH668" i="3"/>
  <c r="G668" i="3"/>
  <c r="AG668" i="3"/>
  <c r="F668" i="3" l="1"/>
  <c r="I668" i="3"/>
  <c r="J668" i="3"/>
  <c r="M668" i="3"/>
  <c r="N668" i="3" s="1"/>
  <c r="V668" i="3"/>
  <c r="A669" i="3"/>
  <c r="B669" i="3" s="1"/>
  <c r="W668" i="3" l="1"/>
  <c r="AA669" i="3"/>
  <c r="AD669" i="3"/>
  <c r="AC669" i="3"/>
  <c r="P669" i="3"/>
  <c r="Q669" i="3" s="1"/>
  <c r="R669" i="3" s="1"/>
  <c r="S669" i="3" s="1"/>
  <c r="AE669" i="3"/>
  <c r="Z669" i="3"/>
  <c r="L668" i="3"/>
  <c r="U668" i="3" l="1"/>
  <c r="Y667" i="3"/>
  <c r="T669" i="3"/>
  <c r="AH669" i="3" s="1"/>
  <c r="E669" i="3" l="1"/>
  <c r="H669" i="3" s="1"/>
  <c r="K669" i="3" s="1"/>
  <c r="AG669" i="3"/>
  <c r="D669" i="3"/>
  <c r="V669" i="3" l="1"/>
  <c r="A670" i="3"/>
  <c r="B670" i="3" s="1"/>
  <c r="F669" i="3"/>
  <c r="G669" i="3"/>
  <c r="AD670" i="3" l="1"/>
  <c r="AC670" i="3"/>
  <c r="P670" i="3"/>
  <c r="Q670" i="3" s="1"/>
  <c r="R670" i="3" s="1"/>
  <c r="S670" i="3" s="1"/>
  <c r="AE670" i="3"/>
  <c r="AA670" i="3"/>
  <c r="Z670" i="3"/>
  <c r="I669" i="3"/>
  <c r="W669" i="3" s="1"/>
  <c r="J669" i="3"/>
  <c r="M669" i="3"/>
  <c r="N669" i="3" s="1"/>
  <c r="T670" i="3" l="1"/>
  <c r="L669" i="3"/>
  <c r="AH670" i="3" l="1"/>
  <c r="AG670" i="3"/>
  <c r="U669" i="3"/>
  <c r="E670" i="3" s="1"/>
  <c r="H670" i="3" s="1"/>
  <c r="D670" i="3"/>
  <c r="Y668" i="3"/>
  <c r="K670" i="3" l="1"/>
  <c r="F670" i="3"/>
  <c r="G670" i="3"/>
  <c r="V670" i="3" l="1"/>
  <c r="A671" i="3"/>
  <c r="B671" i="3" s="1"/>
  <c r="I670" i="3"/>
  <c r="J670" i="3"/>
  <c r="M670" i="3"/>
  <c r="N670" i="3" s="1"/>
  <c r="AC671" i="3" l="1"/>
  <c r="AE671" i="3"/>
  <c r="AA671" i="3"/>
  <c r="Z671" i="3"/>
  <c r="AD671" i="3"/>
  <c r="P671" i="3"/>
  <c r="Q671" i="3" s="1"/>
  <c r="R671" i="3" s="1"/>
  <c r="S671" i="3" s="1"/>
  <c r="L670" i="3"/>
  <c r="W670" i="3"/>
  <c r="T671" i="3" l="1"/>
  <c r="AH671" i="3" s="1"/>
  <c r="U670" i="3"/>
  <c r="Y669" i="3"/>
  <c r="AG671" i="3" l="1"/>
  <c r="D671" i="3"/>
  <c r="G671" i="3" s="1"/>
  <c r="E671" i="3"/>
  <c r="H671" i="3" s="1"/>
  <c r="K671" i="3" s="1"/>
  <c r="F671" i="3" l="1"/>
  <c r="I671" i="3"/>
  <c r="J671" i="3"/>
  <c r="M671" i="3"/>
  <c r="N671" i="3" s="1"/>
  <c r="V671" i="3"/>
  <c r="A672" i="3"/>
  <c r="B672" i="3" s="1"/>
  <c r="W671" i="3" l="1"/>
  <c r="L671" i="3"/>
  <c r="AE672" i="3"/>
  <c r="P672" i="3"/>
  <c r="Q672" i="3" s="1"/>
  <c r="R672" i="3" s="1"/>
  <c r="S672" i="3" s="1"/>
  <c r="AD672" i="3"/>
  <c r="Z672" i="3"/>
  <c r="AA672" i="3"/>
  <c r="AC672" i="3"/>
  <c r="T672" i="3" l="1"/>
  <c r="AH672" i="3" s="1"/>
  <c r="U671" i="3"/>
  <c r="Y670" i="3"/>
  <c r="D672" i="3" l="1"/>
  <c r="G672" i="3" s="1"/>
  <c r="AG672" i="3"/>
  <c r="E672" i="3"/>
  <c r="H672" i="3" s="1"/>
  <c r="K672" i="3" s="1"/>
  <c r="F672" i="3" l="1"/>
  <c r="I672" i="3"/>
  <c r="J672" i="3"/>
  <c r="M672" i="3"/>
  <c r="N672" i="3" s="1"/>
  <c r="V672" i="3"/>
  <c r="A673" i="3"/>
  <c r="B673" i="3" s="1"/>
  <c r="W672" i="3" l="1"/>
  <c r="AD673" i="3"/>
  <c r="AE673" i="3"/>
  <c r="P673" i="3"/>
  <c r="Q673" i="3" s="1"/>
  <c r="R673" i="3" s="1"/>
  <c r="S673" i="3" s="1"/>
  <c r="AC673" i="3"/>
  <c r="AA673" i="3"/>
  <c r="Z673" i="3"/>
  <c r="L672" i="3"/>
  <c r="T673" i="3" l="1"/>
  <c r="U672" i="3"/>
  <c r="AG673" i="3"/>
  <c r="Y671" i="3"/>
  <c r="E673" i="3" l="1"/>
  <c r="H673" i="3" s="1"/>
  <c r="K673" i="3" s="1"/>
  <c r="AH673" i="3"/>
  <c r="D673" i="3"/>
  <c r="G673" i="3" s="1"/>
  <c r="F673" i="3" l="1"/>
  <c r="V673" i="3"/>
  <c r="A674" i="3"/>
  <c r="B674" i="3" s="1"/>
  <c r="I673" i="3"/>
  <c r="J673" i="3"/>
  <c r="M673" i="3"/>
  <c r="N673" i="3" s="1"/>
  <c r="L673" i="3" l="1"/>
  <c r="Z674" i="3"/>
  <c r="AE674" i="3"/>
  <c r="P674" i="3"/>
  <c r="Q674" i="3" s="1"/>
  <c r="R674" i="3" s="1"/>
  <c r="S674" i="3" s="1"/>
  <c r="AA674" i="3"/>
  <c r="AC674" i="3"/>
  <c r="AD674" i="3"/>
  <c r="W673" i="3"/>
  <c r="T674" i="3" l="1"/>
  <c r="AH674" i="3" s="1"/>
  <c r="U673" i="3"/>
  <c r="Y672" i="3"/>
  <c r="E674" i="3" l="1"/>
  <c r="H674" i="3" s="1"/>
  <c r="K674" i="3" s="1"/>
  <c r="D674" i="3"/>
  <c r="AG674" i="3"/>
  <c r="F674" i="3" l="1"/>
  <c r="G674" i="3"/>
  <c r="I674" i="3" s="1"/>
  <c r="V674" i="3"/>
  <c r="A675" i="3"/>
  <c r="B675" i="3" s="1"/>
  <c r="M674" i="3" l="1"/>
  <c r="N674" i="3" s="1"/>
  <c r="J674" i="3"/>
  <c r="W674" i="3"/>
  <c r="AC675" i="3"/>
  <c r="P675" i="3"/>
  <c r="Q675" i="3" s="1"/>
  <c r="R675" i="3" s="1"/>
  <c r="S675" i="3" s="1"/>
  <c r="AA675" i="3"/>
  <c r="AE675" i="3"/>
  <c r="Z675" i="3"/>
  <c r="AD675" i="3"/>
  <c r="L674" i="3"/>
  <c r="T675" i="3" l="1"/>
  <c r="AG675" i="3" s="1"/>
  <c r="U674" i="3"/>
  <c r="E675" i="3"/>
  <c r="H675" i="3" s="1"/>
  <c r="D675" i="3"/>
  <c r="AH675" i="3"/>
  <c r="Y673" i="3"/>
  <c r="F675" i="3" l="1"/>
  <c r="G675" i="3"/>
  <c r="K675" i="3"/>
  <c r="V675" i="3" l="1"/>
  <c r="A676" i="3"/>
  <c r="B676" i="3" s="1"/>
  <c r="I675" i="3"/>
  <c r="J675" i="3"/>
  <c r="M675" i="3"/>
  <c r="N675" i="3" s="1"/>
  <c r="W675" i="3" l="1"/>
  <c r="AA676" i="3"/>
  <c r="AE676" i="3"/>
  <c r="AD676" i="3"/>
  <c r="AC676" i="3"/>
  <c r="P676" i="3"/>
  <c r="Q676" i="3" s="1"/>
  <c r="R676" i="3" s="1"/>
  <c r="S676" i="3" s="1"/>
  <c r="Z676" i="3"/>
  <c r="L675" i="3"/>
  <c r="T676" i="3" l="1"/>
  <c r="AG676" i="3" s="1"/>
  <c r="U675" i="3"/>
  <c r="Y674" i="3"/>
  <c r="E676" i="3" l="1"/>
  <c r="H676" i="3" s="1"/>
  <c r="K676" i="3" s="1"/>
  <c r="AH676" i="3"/>
  <c r="D676" i="3"/>
  <c r="F676" i="3" s="1"/>
  <c r="G676" i="3" l="1"/>
  <c r="M676" i="3" s="1"/>
  <c r="N676" i="3" s="1"/>
  <c r="V676" i="3"/>
  <c r="A677" i="3"/>
  <c r="B677" i="3" s="1"/>
  <c r="J676" i="3" l="1"/>
  <c r="L676" i="3" s="1"/>
  <c r="I676" i="3"/>
  <c r="W676" i="3"/>
  <c r="AD677" i="3"/>
  <c r="P677" i="3"/>
  <c r="Q677" i="3" s="1"/>
  <c r="R677" i="3" s="1"/>
  <c r="S677" i="3" s="1"/>
  <c r="Z677" i="3"/>
  <c r="AE677" i="3"/>
  <c r="AC677" i="3"/>
  <c r="AA677" i="3"/>
  <c r="U676" i="3" l="1"/>
  <c r="Y675" i="3"/>
  <c r="T677" i="3"/>
  <c r="E677" i="3" l="1"/>
  <c r="H677" i="3" s="1"/>
  <c r="K677" i="3" s="1"/>
  <c r="D677" i="3"/>
  <c r="AH677" i="3"/>
  <c r="AG677" i="3"/>
  <c r="F677" i="3" l="1"/>
  <c r="G677" i="3"/>
  <c r="V677" i="3"/>
  <c r="A678" i="3"/>
  <c r="B678" i="3" s="1"/>
  <c r="AA678" i="3" l="1"/>
  <c r="P678" i="3"/>
  <c r="Q678" i="3" s="1"/>
  <c r="R678" i="3" s="1"/>
  <c r="S678" i="3" s="1"/>
  <c r="AC678" i="3"/>
  <c r="Z678" i="3"/>
  <c r="AD678" i="3"/>
  <c r="AE678" i="3"/>
  <c r="I677" i="3"/>
  <c r="W677" i="3" s="1"/>
  <c r="J677" i="3"/>
  <c r="M677" i="3"/>
  <c r="N677" i="3" s="1"/>
  <c r="T678" i="3" l="1"/>
  <c r="L677" i="3"/>
  <c r="AH678" i="3" l="1"/>
  <c r="AG678" i="3"/>
  <c r="U677" i="3"/>
  <c r="D678" i="3" s="1"/>
  <c r="Y676" i="3"/>
  <c r="G678" i="3" l="1"/>
  <c r="E678" i="3"/>
  <c r="H678" i="3" s="1"/>
  <c r="K678" i="3" l="1"/>
  <c r="I678" i="3"/>
  <c r="J678" i="3"/>
  <c r="M678" i="3"/>
  <c r="N678" i="3" s="1"/>
  <c r="F678" i="3"/>
  <c r="L678" i="3" l="1"/>
  <c r="V678" i="3"/>
  <c r="W678" i="3" s="1"/>
  <c r="A679" i="3"/>
  <c r="B679" i="3" s="1"/>
  <c r="Z679" i="3" l="1"/>
  <c r="AD679" i="3"/>
  <c r="AA679" i="3"/>
  <c r="P679" i="3"/>
  <c r="Q679" i="3" s="1"/>
  <c r="R679" i="3" s="1"/>
  <c r="S679" i="3" s="1"/>
  <c r="AC679" i="3"/>
  <c r="AE679" i="3"/>
  <c r="U678" i="3"/>
  <c r="Y677" i="3"/>
  <c r="T679" i="3" l="1"/>
  <c r="AG679" i="3" s="1"/>
  <c r="AH679" i="3" l="1"/>
  <c r="D679" i="3"/>
  <c r="E679" i="3"/>
  <c r="H679" i="3" s="1"/>
  <c r="K679" i="3" l="1"/>
  <c r="F679" i="3"/>
  <c r="G679" i="3"/>
  <c r="V679" i="3" l="1"/>
  <c r="A680" i="3"/>
  <c r="B680" i="3" s="1"/>
  <c r="I679" i="3"/>
  <c r="J679" i="3"/>
  <c r="M679" i="3"/>
  <c r="N679" i="3" s="1"/>
  <c r="W679" i="3" l="1"/>
  <c r="P680" i="3"/>
  <c r="Q680" i="3" s="1"/>
  <c r="R680" i="3" s="1"/>
  <c r="S680" i="3" s="1"/>
  <c r="AD680" i="3"/>
  <c r="Z680" i="3"/>
  <c r="AC680" i="3"/>
  <c r="AE680" i="3"/>
  <c r="AA680" i="3"/>
  <c r="L679" i="3"/>
  <c r="U679" i="3" l="1"/>
  <c r="Y678" i="3"/>
  <c r="T680" i="3"/>
  <c r="E680" i="3" l="1"/>
  <c r="H680" i="3" s="1"/>
  <c r="K680" i="3" s="1"/>
  <c r="AG680" i="3"/>
  <c r="AH680" i="3"/>
  <c r="D680" i="3"/>
  <c r="V680" i="3" l="1"/>
  <c r="A681" i="3"/>
  <c r="B681" i="3" s="1"/>
  <c r="F680" i="3"/>
  <c r="G680" i="3"/>
  <c r="P681" i="3" l="1"/>
  <c r="Q681" i="3" s="1"/>
  <c r="R681" i="3" s="1"/>
  <c r="S681" i="3" s="1"/>
  <c r="AE681" i="3"/>
  <c r="AD681" i="3"/>
  <c r="Z681" i="3"/>
  <c r="AC681" i="3"/>
  <c r="AA681" i="3"/>
  <c r="I680" i="3"/>
  <c r="W680" i="3" s="1"/>
  <c r="J680" i="3"/>
  <c r="M680" i="3"/>
  <c r="N680" i="3" s="1"/>
  <c r="L680" i="3" l="1"/>
  <c r="T681" i="3"/>
  <c r="AH681" i="3" l="1"/>
  <c r="AG681" i="3"/>
  <c r="U680" i="3"/>
  <c r="D681" i="3" s="1"/>
  <c r="Y679" i="3"/>
  <c r="E681" i="3" l="1"/>
  <c r="H681" i="3" s="1"/>
  <c r="K681" i="3" s="1"/>
  <c r="G681" i="3"/>
  <c r="F681" i="3" l="1"/>
  <c r="I681" i="3"/>
  <c r="J681" i="3"/>
  <c r="M681" i="3"/>
  <c r="N681" i="3" s="1"/>
  <c r="V681" i="3"/>
  <c r="A682" i="3"/>
  <c r="B682" i="3" s="1"/>
  <c r="W681" i="3" l="1"/>
  <c r="L681" i="3"/>
  <c r="AC682" i="3"/>
  <c r="Z682" i="3"/>
  <c r="P682" i="3"/>
  <c r="Q682" i="3" s="1"/>
  <c r="R682" i="3" s="1"/>
  <c r="S682" i="3" s="1"/>
  <c r="AE682" i="3"/>
  <c r="AD682" i="3"/>
  <c r="AA682" i="3"/>
  <c r="T682" i="3" l="1"/>
  <c r="U681" i="3"/>
  <c r="Y680" i="3"/>
  <c r="D682" i="3" l="1"/>
  <c r="G682" i="3" s="1"/>
  <c r="E682" i="3"/>
  <c r="H682" i="3" s="1"/>
  <c r="K682" i="3" s="1"/>
  <c r="AH682" i="3"/>
  <c r="AG682" i="3"/>
  <c r="F682" i="3" l="1"/>
  <c r="I682" i="3"/>
  <c r="J682" i="3"/>
  <c r="M682" i="3"/>
  <c r="N682" i="3" s="1"/>
  <c r="V682" i="3"/>
  <c r="A683" i="3"/>
  <c r="B683" i="3" s="1"/>
  <c r="W682" i="3" l="1"/>
  <c r="L682" i="3"/>
  <c r="AC683" i="3"/>
  <c r="AD683" i="3"/>
  <c r="AE683" i="3"/>
  <c r="P683" i="3"/>
  <c r="Q683" i="3" s="1"/>
  <c r="R683" i="3" s="1"/>
  <c r="S683" i="3" s="1"/>
  <c r="AA683" i="3"/>
  <c r="Z683" i="3"/>
  <c r="T683" i="3" l="1"/>
  <c r="AH683" i="3" s="1"/>
  <c r="U682" i="3"/>
  <c r="Y681" i="3"/>
  <c r="AG683" i="3" l="1"/>
  <c r="E683" i="3"/>
  <c r="H683" i="3" s="1"/>
  <c r="K683" i="3" s="1"/>
  <c r="D683" i="3"/>
  <c r="F683" i="3" l="1"/>
  <c r="G683" i="3"/>
  <c r="V683" i="3"/>
  <c r="A684" i="3"/>
  <c r="B684" i="3" s="1"/>
  <c r="AA684" i="3" l="1"/>
  <c r="AD684" i="3"/>
  <c r="AC684" i="3"/>
  <c r="P684" i="3"/>
  <c r="Q684" i="3" s="1"/>
  <c r="R684" i="3" s="1"/>
  <c r="S684" i="3" s="1"/>
  <c r="AE684" i="3"/>
  <c r="Z684" i="3"/>
  <c r="I683" i="3"/>
  <c r="W683" i="3" s="1"/>
  <c r="J683" i="3"/>
  <c r="M683" i="3"/>
  <c r="N683" i="3" s="1"/>
  <c r="L683" i="3" l="1"/>
  <c r="T684" i="3"/>
  <c r="U683" i="3" l="1"/>
  <c r="D684" i="3" s="1"/>
  <c r="AG684" i="3"/>
  <c r="AH684" i="3"/>
  <c r="Y682" i="3"/>
  <c r="E684" i="3" l="1"/>
  <c r="H684" i="3" s="1"/>
  <c r="K684" i="3" s="1"/>
  <c r="G684" i="3"/>
  <c r="F684" i="3" l="1"/>
  <c r="I684" i="3"/>
  <c r="J684" i="3"/>
  <c r="M684" i="3"/>
  <c r="N684" i="3" s="1"/>
  <c r="V684" i="3"/>
  <c r="A685" i="3"/>
  <c r="B685" i="3" s="1"/>
  <c r="W684" i="3" l="1"/>
  <c r="AA685" i="3"/>
  <c r="AE685" i="3"/>
  <c r="AD685" i="3"/>
  <c r="AC685" i="3"/>
  <c r="P685" i="3"/>
  <c r="Q685" i="3" s="1"/>
  <c r="R685" i="3" s="1"/>
  <c r="S685" i="3" s="1"/>
  <c r="Z685" i="3"/>
  <c r="L684" i="3"/>
  <c r="T685" i="3" l="1"/>
  <c r="AH685" i="3" s="1"/>
  <c r="U684" i="3"/>
  <c r="Y683" i="3"/>
  <c r="D685" i="3" l="1"/>
  <c r="G685" i="3" s="1"/>
  <c r="AG685" i="3"/>
  <c r="E685" i="3"/>
  <c r="H685" i="3" s="1"/>
  <c r="K685" i="3" s="1"/>
  <c r="F685" i="3" l="1"/>
  <c r="I685" i="3"/>
  <c r="J685" i="3"/>
  <c r="M685" i="3"/>
  <c r="N685" i="3" s="1"/>
  <c r="V685" i="3"/>
  <c r="A686" i="3"/>
  <c r="B686" i="3" s="1"/>
  <c r="W685" i="3" l="1"/>
  <c r="L685" i="3"/>
  <c r="AE686" i="3"/>
  <c r="AD686" i="3"/>
  <c r="P686" i="3"/>
  <c r="Q686" i="3" s="1"/>
  <c r="R686" i="3" s="1"/>
  <c r="S686" i="3" s="1"/>
  <c r="Z686" i="3"/>
  <c r="AC686" i="3"/>
  <c r="AA686" i="3"/>
  <c r="T686" i="3" l="1"/>
  <c r="AH686" i="3" s="1"/>
  <c r="U685" i="3"/>
  <c r="AG686" i="3"/>
  <c r="Y684" i="3"/>
  <c r="E686" i="3" l="1"/>
  <c r="H686" i="3" s="1"/>
  <c r="K686" i="3" s="1"/>
  <c r="D686" i="3"/>
  <c r="F686" i="3" l="1"/>
  <c r="G686" i="3"/>
  <c r="I686" i="3" s="1"/>
  <c r="V686" i="3"/>
  <c r="A687" i="3"/>
  <c r="B687" i="3" s="1"/>
  <c r="M686" i="3" l="1"/>
  <c r="N686" i="3" s="1"/>
  <c r="J686" i="3"/>
  <c r="W686" i="3"/>
  <c r="AC687" i="3"/>
  <c r="AA687" i="3"/>
  <c r="P687" i="3"/>
  <c r="Q687" i="3" s="1"/>
  <c r="R687" i="3" s="1"/>
  <c r="S687" i="3" s="1"/>
  <c r="AE687" i="3"/>
  <c r="AD687" i="3"/>
  <c r="Z687" i="3"/>
  <c r="L686" i="3"/>
  <c r="T687" i="3" l="1"/>
  <c r="AG687" i="3" s="1"/>
  <c r="U686" i="3"/>
  <c r="Y685" i="3"/>
  <c r="E687" i="3" l="1"/>
  <c r="H687" i="3" s="1"/>
  <c r="K687" i="3" s="1"/>
  <c r="D687" i="3"/>
  <c r="G687" i="3" s="1"/>
  <c r="AH687" i="3"/>
  <c r="F687" i="3" l="1"/>
  <c r="V687" i="3"/>
  <c r="A688" i="3"/>
  <c r="B688" i="3" s="1"/>
  <c r="I687" i="3"/>
  <c r="J687" i="3"/>
  <c r="M687" i="3"/>
  <c r="N687" i="3" s="1"/>
  <c r="P688" i="3" l="1"/>
  <c r="Q688" i="3" s="1"/>
  <c r="R688" i="3" s="1"/>
  <c r="S688" i="3" s="1"/>
  <c r="AE688" i="3"/>
  <c r="AD688" i="3"/>
  <c r="AA688" i="3"/>
  <c r="AC688" i="3"/>
  <c r="Z688" i="3"/>
  <c r="L687" i="3"/>
  <c r="W687" i="3"/>
  <c r="U687" i="3" l="1"/>
  <c r="Y686" i="3"/>
  <c r="T688" i="3"/>
  <c r="AH688" i="3" s="1"/>
  <c r="E688" i="3" l="1"/>
  <c r="H688" i="3" s="1"/>
  <c r="K688" i="3" s="1"/>
  <c r="AG688" i="3"/>
  <c r="D688" i="3"/>
  <c r="V688" i="3" l="1"/>
  <c r="A689" i="3"/>
  <c r="B689" i="3" s="1"/>
  <c r="F688" i="3"/>
  <c r="G688" i="3"/>
  <c r="Z689" i="3" l="1"/>
  <c r="AC689" i="3"/>
  <c r="P689" i="3"/>
  <c r="Q689" i="3" s="1"/>
  <c r="R689" i="3" s="1"/>
  <c r="S689" i="3" s="1"/>
  <c r="AD689" i="3"/>
  <c r="AE689" i="3"/>
  <c r="AA689" i="3"/>
  <c r="I688" i="3"/>
  <c r="W688" i="3" s="1"/>
  <c r="J688" i="3"/>
  <c r="M688" i="3"/>
  <c r="N688" i="3" s="1"/>
  <c r="T689" i="3" l="1"/>
  <c r="L688" i="3"/>
  <c r="AG689" i="3" l="1"/>
  <c r="AH689" i="3"/>
  <c r="U688" i="3"/>
  <c r="D689" i="3" s="1"/>
  <c r="E689" i="3"/>
  <c r="H689" i="3" s="1"/>
  <c r="Y687" i="3"/>
  <c r="F689" i="3" l="1"/>
  <c r="G689" i="3"/>
  <c r="K689" i="3"/>
  <c r="I689" i="3" l="1"/>
  <c r="J689" i="3"/>
  <c r="M689" i="3"/>
  <c r="N689" i="3" s="1"/>
  <c r="V689" i="3"/>
  <c r="A690" i="3"/>
  <c r="B690" i="3" s="1"/>
  <c r="W689" i="3" l="1"/>
  <c r="L689" i="3"/>
  <c r="Z690" i="3"/>
  <c r="AA690" i="3"/>
  <c r="AE690" i="3"/>
  <c r="P690" i="3"/>
  <c r="Q690" i="3" s="1"/>
  <c r="R690" i="3" s="1"/>
  <c r="S690" i="3" s="1"/>
  <c r="AD690" i="3"/>
  <c r="AC690" i="3"/>
  <c r="T690" i="3" l="1"/>
  <c r="U689" i="3"/>
  <c r="D690" i="3" s="1"/>
  <c r="AH690" i="3"/>
  <c r="AG690" i="3"/>
  <c r="Y688" i="3"/>
  <c r="E690" i="3" l="1"/>
  <c r="H690" i="3" s="1"/>
  <c r="K690" i="3" s="1"/>
  <c r="G690" i="3"/>
  <c r="F690" i="3" l="1"/>
  <c r="I690" i="3"/>
  <c r="J690" i="3"/>
  <c r="M690" i="3"/>
  <c r="N690" i="3" s="1"/>
  <c r="V690" i="3"/>
  <c r="A691" i="3"/>
  <c r="B691" i="3" s="1"/>
  <c r="W690" i="3" l="1"/>
  <c r="L690" i="3"/>
  <c r="P691" i="3"/>
  <c r="Q691" i="3" s="1"/>
  <c r="R691" i="3" s="1"/>
  <c r="S691" i="3" s="1"/>
  <c r="AD691" i="3"/>
  <c r="AA691" i="3"/>
  <c r="AC691" i="3"/>
  <c r="AE691" i="3"/>
  <c r="Z691" i="3"/>
  <c r="T691" i="3" l="1"/>
  <c r="AH691" i="3" s="1"/>
  <c r="U690" i="3"/>
  <c r="Y689" i="3"/>
  <c r="AG691" i="3" l="1"/>
  <c r="E691" i="3"/>
  <c r="H691" i="3" s="1"/>
  <c r="K691" i="3" s="1"/>
  <c r="D691" i="3"/>
  <c r="F691" i="3" s="1"/>
  <c r="G691" i="3" l="1"/>
  <c r="I691" i="3" s="1"/>
  <c r="V691" i="3"/>
  <c r="A692" i="3"/>
  <c r="B692" i="3" s="1"/>
  <c r="M691" i="3" l="1"/>
  <c r="N691" i="3" s="1"/>
  <c r="J691" i="3"/>
  <c r="L691" i="3" s="1"/>
  <c r="W691" i="3"/>
  <c r="AA692" i="3"/>
  <c r="P692" i="3"/>
  <c r="Q692" i="3" s="1"/>
  <c r="R692" i="3" s="1"/>
  <c r="S692" i="3" s="1"/>
  <c r="AC692" i="3"/>
  <c r="Z692" i="3"/>
  <c r="AD692" i="3"/>
  <c r="AE692" i="3"/>
  <c r="T692" i="3" l="1"/>
  <c r="AH692" i="3" s="1"/>
  <c r="U691" i="3"/>
  <c r="D692" i="3" s="1"/>
  <c r="Y690" i="3"/>
  <c r="AG692" i="3" l="1"/>
  <c r="G692" i="3"/>
  <c r="E692" i="3"/>
  <c r="H692" i="3" s="1"/>
  <c r="K692" i="3" l="1"/>
  <c r="I692" i="3"/>
  <c r="J692" i="3"/>
  <c r="M692" i="3"/>
  <c r="N692" i="3" s="1"/>
  <c r="F692" i="3"/>
  <c r="L692" i="3" l="1"/>
  <c r="V692" i="3"/>
  <c r="W692" i="3" s="1"/>
  <c r="A693" i="3"/>
  <c r="B693" i="3" s="1"/>
  <c r="P693" i="3" l="1"/>
  <c r="Q693" i="3" s="1"/>
  <c r="R693" i="3" s="1"/>
  <c r="S693" i="3" s="1"/>
  <c r="AA693" i="3"/>
  <c r="AC693" i="3"/>
  <c r="AD693" i="3"/>
  <c r="AE693" i="3"/>
  <c r="Z693" i="3"/>
  <c r="U692" i="3"/>
  <c r="Y691" i="3"/>
  <c r="T693" i="3" l="1"/>
  <c r="AG693" i="3" l="1"/>
  <c r="D693" i="3"/>
  <c r="AH693" i="3"/>
  <c r="E693" i="3"/>
  <c r="H693" i="3" s="1"/>
  <c r="F693" i="3" l="1"/>
  <c r="G693" i="3"/>
  <c r="K693" i="3"/>
  <c r="I693" i="3" l="1"/>
  <c r="J693" i="3"/>
  <c r="M693" i="3"/>
  <c r="N693" i="3" s="1"/>
  <c r="V693" i="3"/>
  <c r="A694" i="3"/>
  <c r="B694" i="3" s="1"/>
  <c r="W693" i="3" l="1"/>
  <c r="L693" i="3"/>
  <c r="AC694" i="3"/>
  <c r="Z694" i="3"/>
  <c r="AE694" i="3"/>
  <c r="AA694" i="3"/>
  <c r="AD694" i="3"/>
  <c r="P694" i="3"/>
  <c r="Q694" i="3" s="1"/>
  <c r="R694" i="3" s="1"/>
  <c r="S694" i="3" s="1"/>
  <c r="T694" i="3" l="1"/>
  <c r="AH694" i="3" s="1"/>
  <c r="U693" i="3"/>
  <c r="Y692" i="3"/>
  <c r="AG694" i="3" l="1"/>
  <c r="D694" i="3"/>
  <c r="E694" i="3"/>
  <c r="H694" i="3" s="1"/>
  <c r="K694" i="3" s="1"/>
  <c r="F694" i="3" l="1"/>
  <c r="G694" i="3"/>
  <c r="I694" i="3" s="1"/>
  <c r="V694" i="3"/>
  <c r="A695" i="3"/>
  <c r="B695" i="3" s="1"/>
  <c r="M694" i="3" l="1"/>
  <c r="N694" i="3" s="1"/>
  <c r="J694" i="3"/>
  <c r="AC695" i="3"/>
  <c r="AA695" i="3"/>
  <c r="P695" i="3"/>
  <c r="Q695" i="3" s="1"/>
  <c r="R695" i="3" s="1"/>
  <c r="S695" i="3" s="1"/>
  <c r="AD695" i="3"/>
  <c r="Z695" i="3"/>
  <c r="AE695" i="3"/>
  <c r="W694" i="3"/>
  <c r="L694" i="3"/>
  <c r="T695" i="3" l="1"/>
  <c r="AG695" i="3" s="1"/>
  <c r="U694" i="3"/>
  <c r="Y693" i="3"/>
  <c r="E695" i="3" l="1"/>
  <c r="H695" i="3" s="1"/>
  <c r="K695" i="3" s="1"/>
  <c r="AH695" i="3"/>
  <c r="D695" i="3"/>
  <c r="F695" i="3" s="1"/>
  <c r="G695" i="3" l="1"/>
  <c r="M695" i="3" s="1"/>
  <c r="N695" i="3" s="1"/>
  <c r="V695" i="3"/>
  <c r="A696" i="3"/>
  <c r="B696" i="3" s="1"/>
  <c r="I695" i="3" l="1"/>
  <c r="J695" i="3"/>
  <c r="W695" i="3"/>
  <c r="AA696" i="3"/>
  <c r="P696" i="3"/>
  <c r="Q696" i="3" s="1"/>
  <c r="R696" i="3" s="1"/>
  <c r="S696" i="3" s="1"/>
  <c r="AE696" i="3"/>
  <c r="AC696" i="3"/>
  <c r="Z696" i="3"/>
  <c r="AD696" i="3"/>
  <c r="L695" i="3"/>
  <c r="T696" i="3" l="1"/>
  <c r="AG696" i="3" s="1"/>
  <c r="U695" i="3"/>
  <c r="Y694" i="3"/>
  <c r="AH696" i="3" l="1"/>
  <c r="E696" i="3"/>
  <c r="H696" i="3" s="1"/>
  <c r="K696" i="3" s="1"/>
  <c r="D696" i="3"/>
  <c r="F696" i="3" s="1"/>
  <c r="G696" i="3" l="1"/>
  <c r="I696" i="3" s="1"/>
  <c r="V696" i="3"/>
  <c r="A697" i="3"/>
  <c r="B697" i="3" s="1"/>
  <c r="M696" i="3" l="1"/>
  <c r="N696" i="3" s="1"/>
  <c r="J696" i="3"/>
  <c r="W696" i="3"/>
  <c r="AC697" i="3"/>
  <c r="Z697" i="3"/>
  <c r="AD697" i="3"/>
  <c r="AE697" i="3"/>
  <c r="P697" i="3"/>
  <c r="Q697" i="3" s="1"/>
  <c r="R697" i="3" s="1"/>
  <c r="S697" i="3" s="1"/>
  <c r="AA697" i="3"/>
  <c r="L696" i="3"/>
  <c r="T697" i="3" l="1"/>
  <c r="AH697" i="3" s="1"/>
  <c r="U696" i="3"/>
  <c r="Y695" i="3"/>
  <c r="AG697" i="3" l="1"/>
  <c r="D697" i="3"/>
  <c r="G697" i="3" s="1"/>
  <c r="E697" i="3"/>
  <c r="H697" i="3" s="1"/>
  <c r="K697" i="3" l="1"/>
  <c r="I697" i="3"/>
  <c r="J697" i="3"/>
  <c r="M697" i="3"/>
  <c r="N697" i="3" s="1"/>
  <c r="F697" i="3"/>
  <c r="V697" i="3" l="1"/>
  <c r="W697" i="3" s="1"/>
  <c r="A698" i="3"/>
  <c r="B698" i="3" s="1"/>
  <c r="L697" i="3"/>
  <c r="AD698" i="3" l="1"/>
  <c r="AC698" i="3"/>
  <c r="P698" i="3"/>
  <c r="Q698" i="3" s="1"/>
  <c r="R698" i="3" s="1"/>
  <c r="S698" i="3" s="1"/>
  <c r="AE698" i="3"/>
  <c r="AA698" i="3"/>
  <c r="Z698" i="3"/>
  <c r="U697" i="3"/>
  <c r="Y696" i="3"/>
  <c r="T698" i="3" l="1"/>
  <c r="D698" i="3" s="1"/>
  <c r="E698" i="3" l="1"/>
  <c r="H698" i="3" s="1"/>
  <c r="K698" i="3" s="1"/>
  <c r="AG698" i="3"/>
  <c r="AH698" i="3"/>
  <c r="G698" i="3"/>
  <c r="F698" i="3" l="1"/>
  <c r="V698" i="3"/>
  <c r="A699" i="3"/>
  <c r="B699" i="3" s="1"/>
  <c r="I698" i="3"/>
  <c r="J698" i="3"/>
  <c r="M698" i="3"/>
  <c r="N698" i="3" s="1"/>
  <c r="AC699" i="3" l="1"/>
  <c r="AD699" i="3"/>
  <c r="AE699" i="3"/>
  <c r="Z699" i="3"/>
  <c r="P699" i="3"/>
  <c r="Q699" i="3" s="1"/>
  <c r="R699" i="3" s="1"/>
  <c r="S699" i="3" s="1"/>
  <c r="AA699" i="3"/>
  <c r="W698" i="3"/>
  <c r="L698" i="3"/>
  <c r="T699" i="3" l="1"/>
  <c r="AH699" i="3" s="1"/>
  <c r="U698" i="3"/>
  <c r="Y697" i="3"/>
  <c r="AG699" i="3" l="1"/>
  <c r="D699" i="3"/>
  <c r="G699" i="3" s="1"/>
  <c r="E699" i="3"/>
  <c r="H699" i="3" s="1"/>
  <c r="K699" i="3" s="1"/>
  <c r="F699" i="3" l="1"/>
  <c r="I699" i="3"/>
  <c r="J699" i="3"/>
  <c r="M699" i="3"/>
  <c r="N699" i="3" s="1"/>
  <c r="V699" i="3"/>
  <c r="A700" i="3"/>
  <c r="B700" i="3" s="1"/>
  <c r="W699" i="3" l="1"/>
  <c r="Z700" i="3"/>
  <c r="AC700" i="3"/>
  <c r="AA700" i="3"/>
  <c r="P700" i="3"/>
  <c r="Q700" i="3" s="1"/>
  <c r="R700" i="3" s="1"/>
  <c r="S700" i="3" s="1"/>
  <c r="AE700" i="3"/>
  <c r="AD700" i="3"/>
  <c r="L699" i="3"/>
  <c r="T700" i="3" l="1"/>
  <c r="AH700" i="3" s="1"/>
  <c r="U699" i="3"/>
  <c r="Y698" i="3"/>
  <c r="AG700" i="3" l="1"/>
  <c r="D700" i="3"/>
  <c r="G700" i="3" s="1"/>
  <c r="E700" i="3"/>
  <c r="H700" i="3" s="1"/>
  <c r="K700" i="3" s="1"/>
  <c r="F700" i="3" l="1"/>
  <c r="V700" i="3"/>
  <c r="A701" i="3"/>
  <c r="B701" i="3" s="1"/>
  <c r="I700" i="3"/>
  <c r="J700" i="3"/>
  <c r="M700" i="3"/>
  <c r="N700" i="3" s="1"/>
  <c r="AD701" i="3" l="1"/>
  <c r="Z701" i="3"/>
  <c r="P701" i="3"/>
  <c r="Q701" i="3" s="1"/>
  <c r="R701" i="3" s="1"/>
  <c r="S701" i="3" s="1"/>
  <c r="AA701" i="3"/>
  <c r="AC701" i="3"/>
  <c r="AE701" i="3"/>
  <c r="L700" i="3"/>
  <c r="W700" i="3"/>
  <c r="T701" i="3" l="1"/>
  <c r="AH701" i="3" s="1"/>
  <c r="U700" i="3"/>
  <c r="Y699" i="3"/>
  <c r="E701" i="3" l="1"/>
  <c r="H701" i="3" s="1"/>
  <c r="K701" i="3" s="1"/>
  <c r="D701" i="3"/>
  <c r="G701" i="3" s="1"/>
  <c r="AG701" i="3"/>
  <c r="F701" i="3" l="1"/>
  <c r="I701" i="3"/>
  <c r="J701" i="3"/>
  <c r="M701" i="3"/>
  <c r="N701" i="3" s="1"/>
  <c r="V701" i="3"/>
  <c r="A702" i="3"/>
  <c r="B702" i="3" s="1"/>
  <c r="W701" i="3" l="1"/>
  <c r="AA702" i="3"/>
  <c r="AC702" i="3"/>
  <c r="AD702" i="3"/>
  <c r="Z702" i="3"/>
  <c r="P702" i="3"/>
  <c r="Q702" i="3" s="1"/>
  <c r="R702" i="3" s="1"/>
  <c r="S702" i="3" s="1"/>
  <c r="AE702" i="3"/>
  <c r="L701" i="3"/>
  <c r="T702" i="3" l="1"/>
  <c r="AG702" i="3" s="1"/>
  <c r="U701" i="3"/>
  <c r="AH702" i="3"/>
  <c r="Y700" i="3"/>
  <c r="D702" i="3" l="1"/>
  <c r="G702" i="3" s="1"/>
  <c r="E702" i="3"/>
  <c r="H702" i="3" s="1"/>
  <c r="K702" i="3" s="1"/>
  <c r="F702" i="3" l="1"/>
  <c r="I702" i="3"/>
  <c r="J702" i="3"/>
  <c r="M702" i="3"/>
  <c r="N702" i="3" s="1"/>
  <c r="V702" i="3"/>
  <c r="A703" i="3"/>
  <c r="B703" i="3" s="1"/>
  <c r="W702" i="3" l="1"/>
  <c r="AC703" i="3"/>
  <c r="AD703" i="3"/>
  <c r="Z703" i="3"/>
  <c r="P703" i="3"/>
  <c r="Q703" i="3" s="1"/>
  <c r="R703" i="3" s="1"/>
  <c r="S703" i="3" s="1"/>
  <c r="AA703" i="3"/>
  <c r="AE703" i="3"/>
  <c r="L702" i="3"/>
  <c r="T703" i="3" l="1"/>
  <c r="AG703" i="3" s="1"/>
  <c r="U702" i="3"/>
  <c r="Y701" i="3"/>
  <c r="E703" i="3" l="1"/>
  <c r="H703" i="3" s="1"/>
  <c r="K703" i="3" s="1"/>
  <c r="AH703" i="3"/>
  <c r="D703" i="3"/>
  <c r="F703" i="3" s="1"/>
  <c r="G703" i="3" l="1"/>
  <c r="M703" i="3" s="1"/>
  <c r="N703" i="3" s="1"/>
  <c r="V703" i="3"/>
  <c r="A704" i="3"/>
  <c r="B704" i="3" s="1"/>
  <c r="J703" i="3"/>
  <c r="I703" i="3" l="1"/>
  <c r="W703" i="3" s="1"/>
  <c r="L703" i="3"/>
  <c r="AC704" i="3"/>
  <c r="Z704" i="3"/>
  <c r="AE704" i="3"/>
  <c r="AD704" i="3"/>
  <c r="AA704" i="3"/>
  <c r="P704" i="3"/>
  <c r="Q704" i="3" s="1"/>
  <c r="R704" i="3" s="1"/>
  <c r="S704" i="3" s="1"/>
  <c r="T704" i="3" l="1"/>
  <c r="AG704" i="3" s="1"/>
  <c r="U703" i="3"/>
  <c r="Y702" i="3"/>
  <c r="AH704" i="3" l="1"/>
  <c r="E704" i="3"/>
  <c r="H704" i="3" s="1"/>
  <c r="K704" i="3" s="1"/>
  <c r="D704" i="3"/>
  <c r="F704" i="3" l="1"/>
  <c r="G704" i="3"/>
  <c r="I704" i="3" s="1"/>
  <c r="V704" i="3"/>
  <c r="A705" i="3"/>
  <c r="B705" i="3" s="1"/>
  <c r="M704" i="3" l="1"/>
  <c r="N704" i="3" s="1"/>
  <c r="J704" i="3"/>
  <c r="W704" i="3"/>
  <c r="L704" i="3"/>
  <c r="Z705" i="3"/>
  <c r="AE705" i="3"/>
  <c r="AD705" i="3"/>
  <c r="AA705" i="3"/>
  <c r="AC705" i="3"/>
  <c r="P705" i="3"/>
  <c r="Q705" i="3" s="1"/>
  <c r="R705" i="3" s="1"/>
  <c r="S705" i="3" s="1"/>
  <c r="T705" i="3" l="1"/>
  <c r="AH705" i="3" s="1"/>
  <c r="U704" i="3"/>
  <c r="Y703" i="3"/>
  <c r="AG705" i="3" l="1"/>
  <c r="D705" i="3"/>
  <c r="G705" i="3" s="1"/>
  <c r="E705" i="3"/>
  <c r="H705" i="3" s="1"/>
  <c r="K705" i="3" l="1"/>
  <c r="I705" i="3"/>
  <c r="J705" i="3"/>
  <c r="M705" i="3"/>
  <c r="N705" i="3" s="1"/>
  <c r="F705" i="3"/>
  <c r="V705" i="3" l="1"/>
  <c r="W705" i="3" s="1"/>
  <c r="A706" i="3"/>
  <c r="B706" i="3" s="1"/>
  <c r="L705" i="3"/>
  <c r="AE706" i="3" l="1"/>
  <c r="AA706" i="3"/>
  <c r="AD706" i="3"/>
  <c r="AC706" i="3"/>
  <c r="P706" i="3"/>
  <c r="Q706" i="3" s="1"/>
  <c r="R706" i="3" s="1"/>
  <c r="S706" i="3" s="1"/>
  <c r="Z706" i="3"/>
  <c r="U705" i="3"/>
  <c r="Y704" i="3"/>
  <c r="T706" i="3" l="1"/>
  <c r="D706" i="3" s="1"/>
  <c r="G706" i="3" l="1"/>
  <c r="E706" i="3"/>
  <c r="H706" i="3" s="1"/>
  <c r="AG706" i="3"/>
  <c r="AH706" i="3"/>
  <c r="K706" i="3" l="1"/>
  <c r="I706" i="3"/>
  <c r="J706" i="3"/>
  <c r="M706" i="3"/>
  <c r="N706" i="3" s="1"/>
  <c r="F706" i="3"/>
  <c r="V706" i="3" l="1"/>
  <c r="W706" i="3" s="1"/>
  <c r="A707" i="3"/>
  <c r="B707" i="3" s="1"/>
  <c r="L706" i="3"/>
  <c r="AE707" i="3" l="1"/>
  <c r="P707" i="3"/>
  <c r="Q707" i="3" s="1"/>
  <c r="R707" i="3" s="1"/>
  <c r="S707" i="3" s="1"/>
  <c r="AC707" i="3"/>
  <c r="AD707" i="3"/>
  <c r="AA707" i="3"/>
  <c r="Z707" i="3"/>
  <c r="U706" i="3"/>
  <c r="Y705" i="3"/>
  <c r="T707" i="3" l="1"/>
  <c r="D707" i="3" s="1"/>
  <c r="AG707" i="3" l="1"/>
  <c r="E707" i="3"/>
  <c r="H707" i="3" s="1"/>
  <c r="K707" i="3" s="1"/>
  <c r="G707" i="3"/>
  <c r="AH707" i="3"/>
  <c r="F707" i="3" l="1"/>
  <c r="V707" i="3"/>
  <c r="A708" i="3"/>
  <c r="B708" i="3" s="1"/>
  <c r="I707" i="3"/>
  <c r="J707" i="3"/>
  <c r="M707" i="3"/>
  <c r="N707" i="3" s="1"/>
  <c r="L707" i="3" l="1"/>
  <c r="W707" i="3"/>
  <c r="AA708" i="3"/>
  <c r="P708" i="3"/>
  <c r="Q708" i="3" s="1"/>
  <c r="R708" i="3" s="1"/>
  <c r="S708" i="3" s="1"/>
  <c r="Z708" i="3"/>
  <c r="AE708" i="3"/>
  <c r="AD708" i="3"/>
  <c r="AC708" i="3"/>
  <c r="U707" i="3" l="1"/>
  <c r="Y706" i="3"/>
  <c r="T708" i="3"/>
  <c r="D708" i="3" s="1"/>
  <c r="G708" i="3" l="1"/>
  <c r="AH708" i="3"/>
  <c r="AG708" i="3"/>
  <c r="E708" i="3"/>
  <c r="H708" i="3" s="1"/>
  <c r="I708" i="3" l="1"/>
  <c r="J708" i="3"/>
  <c r="M708" i="3"/>
  <c r="N708" i="3" s="1"/>
  <c r="K708" i="3"/>
  <c r="F708" i="3"/>
  <c r="V708" i="3" l="1"/>
  <c r="W708" i="3" s="1"/>
  <c r="A709" i="3"/>
  <c r="B709" i="3" s="1"/>
  <c r="L708" i="3"/>
  <c r="P709" i="3" l="1"/>
  <c r="Q709" i="3" s="1"/>
  <c r="R709" i="3" s="1"/>
  <c r="S709" i="3" s="1"/>
  <c r="AA709" i="3"/>
  <c r="AC709" i="3"/>
  <c r="Z709" i="3"/>
  <c r="AE709" i="3"/>
  <c r="AD709" i="3"/>
  <c r="U708" i="3"/>
  <c r="Y707" i="3"/>
  <c r="T709" i="3" l="1"/>
  <c r="E709" i="3" s="1"/>
  <c r="H709" i="3" s="1"/>
  <c r="K709" i="3" l="1"/>
  <c r="AG709" i="3"/>
  <c r="D709" i="3"/>
  <c r="AH709" i="3"/>
  <c r="V709" i="3" l="1"/>
  <c r="A710" i="3"/>
  <c r="B710" i="3" s="1"/>
  <c r="F709" i="3"/>
  <c r="G709" i="3"/>
  <c r="I709" i="3" l="1"/>
  <c r="W709" i="3" s="1"/>
  <c r="J709" i="3"/>
  <c r="M709" i="3"/>
  <c r="N709" i="3" s="1"/>
  <c r="AD710" i="3"/>
  <c r="P710" i="3"/>
  <c r="Q710" i="3" s="1"/>
  <c r="R710" i="3" s="1"/>
  <c r="S710" i="3" s="1"/>
  <c r="AC710" i="3"/>
  <c r="AE710" i="3"/>
  <c r="Z710" i="3"/>
  <c r="AA710" i="3"/>
  <c r="T710" i="3" l="1"/>
  <c r="L709" i="3"/>
  <c r="U709" i="3" l="1"/>
  <c r="E710" i="3" s="1"/>
  <c r="H710" i="3" s="1"/>
  <c r="AG710" i="3"/>
  <c r="AH710" i="3"/>
  <c r="Y708" i="3"/>
  <c r="D710" i="3" l="1"/>
  <c r="G710" i="3" s="1"/>
  <c r="K710" i="3"/>
  <c r="F710" i="3" l="1"/>
  <c r="V710" i="3"/>
  <c r="A711" i="3"/>
  <c r="B711" i="3" s="1"/>
  <c r="I710" i="3"/>
  <c r="J710" i="3"/>
  <c r="M710" i="3"/>
  <c r="N710" i="3" s="1"/>
  <c r="AA711" i="3" l="1"/>
  <c r="Z711" i="3"/>
  <c r="P711" i="3"/>
  <c r="Q711" i="3" s="1"/>
  <c r="R711" i="3" s="1"/>
  <c r="S711" i="3" s="1"/>
  <c r="AC711" i="3"/>
  <c r="AE711" i="3"/>
  <c r="AD711" i="3"/>
  <c r="L710" i="3"/>
  <c r="W710" i="3"/>
  <c r="T711" i="3" l="1"/>
  <c r="AG711" i="3" s="1"/>
  <c r="AH711" i="3"/>
  <c r="U710" i="3"/>
  <c r="D711" i="3" s="1"/>
  <c r="Y709" i="3"/>
  <c r="E711" i="3" l="1"/>
  <c r="H711" i="3" s="1"/>
  <c r="K711" i="3" s="1"/>
  <c r="G711" i="3"/>
  <c r="F711" i="3" l="1"/>
  <c r="I711" i="3"/>
  <c r="J711" i="3"/>
  <c r="M711" i="3"/>
  <c r="N711" i="3" s="1"/>
  <c r="V711" i="3"/>
  <c r="A712" i="3"/>
  <c r="B712" i="3" s="1"/>
  <c r="W711" i="3" l="1"/>
  <c r="AA712" i="3"/>
  <c r="P712" i="3"/>
  <c r="Q712" i="3" s="1"/>
  <c r="R712" i="3" s="1"/>
  <c r="S712" i="3" s="1"/>
  <c r="AC712" i="3"/>
  <c r="Z712" i="3"/>
  <c r="AD712" i="3"/>
  <c r="AE712" i="3"/>
  <c r="L711" i="3"/>
  <c r="T712" i="3" l="1"/>
  <c r="AH712" i="3" s="1"/>
  <c r="U711" i="3"/>
  <c r="Y710" i="3"/>
  <c r="E712" i="3" l="1"/>
  <c r="H712" i="3" s="1"/>
  <c r="K712" i="3" s="1"/>
  <c r="AG712" i="3"/>
  <c r="D712" i="3"/>
  <c r="F712" i="3" l="1"/>
  <c r="G712" i="3"/>
  <c r="I712" i="3" s="1"/>
  <c r="V712" i="3"/>
  <c r="A713" i="3"/>
  <c r="B713" i="3" s="1"/>
  <c r="M712" i="3" l="1"/>
  <c r="N712" i="3" s="1"/>
  <c r="J712" i="3"/>
  <c r="L712" i="3" s="1"/>
  <c r="W712" i="3"/>
  <c r="AA713" i="3"/>
  <c r="Z713" i="3"/>
  <c r="P713" i="3"/>
  <c r="Q713" i="3" s="1"/>
  <c r="R713" i="3" s="1"/>
  <c r="S713" i="3" s="1"/>
  <c r="AE713" i="3"/>
  <c r="AC713" i="3"/>
  <c r="AD713" i="3"/>
  <c r="T713" i="3" l="1"/>
  <c r="AH713" i="3" s="1"/>
  <c r="U712" i="3"/>
  <c r="Y711" i="3"/>
  <c r="E713" i="3" l="1"/>
  <c r="H713" i="3" s="1"/>
  <c r="K713" i="3" s="1"/>
  <c r="D713" i="3"/>
  <c r="G713" i="3" s="1"/>
  <c r="AG713" i="3"/>
  <c r="F713" i="3" l="1"/>
  <c r="V713" i="3"/>
  <c r="A714" i="3"/>
  <c r="B714" i="3" s="1"/>
  <c r="I713" i="3"/>
  <c r="J713" i="3"/>
  <c r="M713" i="3"/>
  <c r="N713" i="3" s="1"/>
  <c r="W713" i="3" l="1"/>
  <c r="AA714" i="3"/>
  <c r="AD714" i="3"/>
  <c r="Z714" i="3"/>
  <c r="P714" i="3"/>
  <c r="Q714" i="3" s="1"/>
  <c r="R714" i="3" s="1"/>
  <c r="S714" i="3" s="1"/>
  <c r="AC714" i="3"/>
  <c r="AE714" i="3"/>
  <c r="L713" i="3"/>
  <c r="T714" i="3" l="1"/>
  <c r="AH714" i="3" s="1"/>
  <c r="U713" i="3"/>
  <c r="Y712" i="3"/>
  <c r="AG714" i="3" l="1"/>
  <c r="D714" i="3"/>
  <c r="G714" i="3" s="1"/>
  <c r="E714" i="3"/>
  <c r="H714" i="3" s="1"/>
  <c r="K714" i="3" s="1"/>
  <c r="F714" i="3" l="1"/>
  <c r="V714" i="3"/>
  <c r="A715" i="3"/>
  <c r="B715" i="3" s="1"/>
  <c r="I714" i="3"/>
  <c r="J714" i="3"/>
  <c r="M714" i="3"/>
  <c r="N714" i="3" s="1"/>
  <c r="P715" i="3" l="1"/>
  <c r="Q715" i="3" s="1"/>
  <c r="R715" i="3" s="1"/>
  <c r="S715" i="3" s="1"/>
  <c r="AA715" i="3"/>
  <c r="Z715" i="3"/>
  <c r="AC715" i="3"/>
  <c r="AD715" i="3"/>
  <c r="AE715" i="3"/>
  <c r="L714" i="3"/>
  <c r="W714" i="3"/>
  <c r="U714" i="3" l="1"/>
  <c r="Y713" i="3"/>
  <c r="T715" i="3"/>
  <c r="E715" i="3" s="1"/>
  <c r="H715" i="3" s="1"/>
  <c r="K715" i="3" l="1"/>
  <c r="AH715" i="3"/>
  <c r="D715" i="3"/>
  <c r="AG715" i="3"/>
  <c r="V715" i="3" l="1"/>
  <c r="A716" i="3"/>
  <c r="B716" i="3" s="1"/>
  <c r="F715" i="3"/>
  <c r="G715" i="3"/>
  <c r="AD716" i="3" l="1"/>
  <c r="AC716" i="3"/>
  <c r="AE716" i="3"/>
  <c r="Z716" i="3"/>
  <c r="P716" i="3"/>
  <c r="Q716" i="3" s="1"/>
  <c r="R716" i="3" s="1"/>
  <c r="S716" i="3" s="1"/>
  <c r="AA716" i="3"/>
  <c r="I715" i="3"/>
  <c r="W715" i="3" s="1"/>
  <c r="J715" i="3"/>
  <c r="M715" i="3"/>
  <c r="N715" i="3" s="1"/>
  <c r="T716" i="3" l="1"/>
  <c r="L715" i="3"/>
  <c r="AG716" i="3" l="1"/>
  <c r="U715" i="3"/>
  <c r="E716" i="3" s="1"/>
  <c r="H716" i="3" s="1"/>
  <c r="D716" i="3"/>
  <c r="AH716" i="3"/>
  <c r="Y714" i="3"/>
  <c r="F716" i="3" l="1"/>
  <c r="G716" i="3"/>
  <c r="K716" i="3"/>
  <c r="I716" i="3" l="1"/>
  <c r="J716" i="3"/>
  <c r="M716" i="3"/>
  <c r="N716" i="3" s="1"/>
  <c r="V716" i="3"/>
  <c r="W716" i="3" s="1"/>
  <c r="A717" i="3"/>
  <c r="B717" i="3" s="1"/>
  <c r="L716" i="3" l="1"/>
  <c r="AE717" i="3"/>
  <c r="Z717" i="3"/>
  <c r="AC717" i="3"/>
  <c r="P717" i="3"/>
  <c r="Q717" i="3" s="1"/>
  <c r="R717" i="3" s="1"/>
  <c r="S717" i="3" s="1"/>
  <c r="AD717" i="3"/>
  <c r="AA717" i="3"/>
  <c r="T717" i="3" l="1"/>
  <c r="U716" i="3"/>
  <c r="AH717" i="3"/>
  <c r="AG717" i="3"/>
  <c r="Y715" i="3"/>
  <c r="D717" i="3" l="1"/>
  <c r="G717" i="3" s="1"/>
  <c r="E717" i="3"/>
  <c r="H717" i="3" s="1"/>
  <c r="K717" i="3" s="1"/>
  <c r="F717" i="3" l="1"/>
  <c r="I717" i="3"/>
  <c r="J717" i="3"/>
  <c r="M717" i="3"/>
  <c r="N717" i="3" s="1"/>
  <c r="V717" i="3"/>
  <c r="A718" i="3"/>
  <c r="B718" i="3" s="1"/>
  <c r="W717" i="3" l="1"/>
  <c r="Z718" i="3"/>
  <c r="P718" i="3"/>
  <c r="Q718" i="3" s="1"/>
  <c r="R718" i="3" s="1"/>
  <c r="S718" i="3" s="1"/>
  <c r="AC718" i="3"/>
  <c r="AD718" i="3"/>
  <c r="AE718" i="3"/>
  <c r="AA718" i="3"/>
  <c r="L717" i="3"/>
  <c r="T718" i="3" l="1"/>
  <c r="AH718" i="3" s="1"/>
  <c r="U717" i="3"/>
  <c r="Y716" i="3"/>
  <c r="E718" i="3" l="1"/>
  <c r="H718" i="3" s="1"/>
  <c r="K718" i="3" s="1"/>
  <c r="AG718" i="3"/>
  <c r="D718" i="3"/>
  <c r="F718" i="3" l="1"/>
  <c r="G718" i="3"/>
  <c r="I718" i="3" s="1"/>
  <c r="V718" i="3"/>
  <c r="A719" i="3"/>
  <c r="B719" i="3" s="1"/>
  <c r="M718" i="3" l="1"/>
  <c r="N718" i="3" s="1"/>
  <c r="J718" i="3"/>
  <c r="L718" i="3" s="1"/>
  <c r="W718" i="3"/>
  <c r="AD719" i="3"/>
  <c r="AC719" i="3"/>
  <c r="AE719" i="3"/>
  <c r="AA719" i="3"/>
  <c r="P719" i="3"/>
  <c r="Q719" i="3" s="1"/>
  <c r="R719" i="3" s="1"/>
  <c r="S719" i="3" s="1"/>
  <c r="Z719" i="3"/>
  <c r="T719" i="3" l="1"/>
  <c r="AG719" i="3" s="1"/>
  <c r="U718" i="3"/>
  <c r="Y717" i="3"/>
  <c r="E719" i="3" l="1"/>
  <c r="H719" i="3" s="1"/>
  <c r="K719" i="3" s="1"/>
  <c r="AH719" i="3"/>
  <c r="D719" i="3"/>
  <c r="F719" i="3" s="1"/>
  <c r="G719" i="3" l="1"/>
  <c r="M719" i="3" s="1"/>
  <c r="N719" i="3" s="1"/>
  <c r="V719" i="3"/>
  <c r="A720" i="3"/>
  <c r="B720" i="3" s="1"/>
  <c r="I719" i="3"/>
  <c r="J719" i="3"/>
  <c r="W719" i="3" l="1"/>
  <c r="AE720" i="3"/>
  <c r="AA720" i="3"/>
  <c r="P720" i="3"/>
  <c r="Q720" i="3" s="1"/>
  <c r="R720" i="3" s="1"/>
  <c r="S720" i="3" s="1"/>
  <c r="AD720" i="3"/>
  <c r="AC720" i="3"/>
  <c r="Z720" i="3"/>
  <c r="L719" i="3"/>
  <c r="U719" i="3" l="1"/>
  <c r="Y718" i="3"/>
  <c r="T720" i="3"/>
  <c r="E720" i="3" s="1"/>
  <c r="H720" i="3" s="1"/>
  <c r="AG720" i="3" l="1"/>
  <c r="K720" i="3"/>
  <c r="D720" i="3"/>
  <c r="AH720" i="3"/>
  <c r="F720" i="3" l="1"/>
  <c r="G720" i="3"/>
  <c r="V720" i="3"/>
  <c r="A721" i="3"/>
  <c r="B721" i="3" s="1"/>
  <c r="AD721" i="3" l="1"/>
  <c r="AE721" i="3"/>
  <c r="P721" i="3"/>
  <c r="Q721" i="3" s="1"/>
  <c r="R721" i="3" s="1"/>
  <c r="S721" i="3" s="1"/>
  <c r="AC721" i="3"/>
  <c r="Z721" i="3"/>
  <c r="AA721" i="3"/>
  <c r="I720" i="3"/>
  <c r="W720" i="3" s="1"/>
  <c r="J720" i="3"/>
  <c r="M720" i="3"/>
  <c r="N720" i="3" s="1"/>
  <c r="T721" i="3" l="1"/>
  <c r="L720" i="3"/>
  <c r="U720" i="3" l="1"/>
  <c r="E721" i="3" s="1"/>
  <c r="H721" i="3" s="1"/>
  <c r="AG721" i="3"/>
  <c r="AH721" i="3"/>
  <c r="Y719" i="3"/>
  <c r="D721" i="3" l="1"/>
  <c r="F721" i="3" s="1"/>
  <c r="K721" i="3"/>
  <c r="G721" i="3" l="1"/>
  <c r="I721" i="3" s="1"/>
  <c r="V721" i="3"/>
  <c r="A722" i="3"/>
  <c r="B722" i="3" s="1"/>
  <c r="M721" i="3" l="1"/>
  <c r="N721" i="3" s="1"/>
  <c r="J721" i="3"/>
  <c r="L721" i="3" s="1"/>
  <c r="W721" i="3"/>
  <c r="Z722" i="3"/>
  <c r="AA722" i="3"/>
  <c r="P722" i="3"/>
  <c r="Q722" i="3" s="1"/>
  <c r="R722" i="3" s="1"/>
  <c r="S722" i="3" s="1"/>
  <c r="AE722" i="3"/>
  <c r="AC722" i="3"/>
  <c r="AD722" i="3"/>
  <c r="T722" i="3" l="1"/>
  <c r="AH722" i="3" s="1"/>
  <c r="U721" i="3"/>
  <c r="Y720" i="3"/>
  <c r="AG722" i="3" l="1"/>
  <c r="D722" i="3"/>
  <c r="G722" i="3" s="1"/>
  <c r="E722" i="3"/>
  <c r="H722" i="3" s="1"/>
  <c r="K722" i="3" s="1"/>
  <c r="F722" i="3" l="1"/>
  <c r="V722" i="3"/>
  <c r="A723" i="3"/>
  <c r="B723" i="3" s="1"/>
  <c r="I722" i="3"/>
  <c r="J722" i="3"/>
  <c r="M722" i="3"/>
  <c r="N722" i="3" s="1"/>
  <c r="AC723" i="3" l="1"/>
  <c r="P723" i="3"/>
  <c r="Q723" i="3" s="1"/>
  <c r="R723" i="3" s="1"/>
  <c r="S723" i="3" s="1"/>
  <c r="Z723" i="3"/>
  <c r="AA723" i="3"/>
  <c r="AE723" i="3"/>
  <c r="AD723" i="3"/>
  <c r="L722" i="3"/>
  <c r="W722" i="3"/>
  <c r="T723" i="3" l="1"/>
  <c r="AH723" i="3" s="1"/>
  <c r="U722" i="3"/>
  <c r="Y721" i="3"/>
  <c r="E723" i="3" l="1"/>
  <c r="H723" i="3" s="1"/>
  <c r="K723" i="3" s="1"/>
  <c r="AG723" i="3"/>
  <c r="D723" i="3"/>
  <c r="F723" i="3" l="1"/>
  <c r="G723" i="3"/>
  <c r="V723" i="3"/>
  <c r="A724" i="3"/>
  <c r="B724" i="3" s="1"/>
  <c r="Z724" i="3" l="1"/>
  <c r="AE724" i="3"/>
  <c r="P724" i="3"/>
  <c r="Q724" i="3" s="1"/>
  <c r="R724" i="3" s="1"/>
  <c r="S724" i="3" s="1"/>
  <c r="AD724" i="3"/>
  <c r="AC724" i="3"/>
  <c r="AA724" i="3"/>
  <c r="I723" i="3"/>
  <c r="W723" i="3" s="1"/>
  <c r="J723" i="3"/>
  <c r="M723" i="3"/>
  <c r="N723" i="3" s="1"/>
  <c r="L723" i="3" l="1"/>
  <c r="T724" i="3"/>
  <c r="U723" i="3" l="1"/>
  <c r="E724" i="3" s="1"/>
  <c r="H724" i="3" s="1"/>
  <c r="AH724" i="3"/>
  <c r="AG724" i="3"/>
  <c r="Y722" i="3"/>
  <c r="D724" i="3" l="1"/>
  <c r="F724" i="3" s="1"/>
  <c r="K724" i="3"/>
  <c r="G724" i="3" l="1"/>
  <c r="V724" i="3"/>
  <c r="A725" i="3"/>
  <c r="B725" i="3" s="1"/>
  <c r="I724" i="3"/>
  <c r="J724" i="3"/>
  <c r="M724" i="3"/>
  <c r="N724" i="3" s="1"/>
  <c r="L724" i="3" l="1"/>
  <c r="Z725" i="3"/>
  <c r="P725" i="3"/>
  <c r="Q725" i="3" s="1"/>
  <c r="R725" i="3" s="1"/>
  <c r="S725" i="3" s="1"/>
  <c r="AD725" i="3"/>
  <c r="AC725" i="3"/>
  <c r="AA725" i="3"/>
  <c r="AE725" i="3"/>
  <c r="W724" i="3"/>
  <c r="T725" i="3" l="1"/>
  <c r="AG725" i="3" s="1"/>
  <c r="U724" i="3"/>
  <c r="D725" i="3" s="1"/>
  <c r="Y723" i="3"/>
  <c r="AH725" i="3" l="1"/>
  <c r="E725" i="3"/>
  <c r="H725" i="3" s="1"/>
  <c r="K725" i="3" s="1"/>
  <c r="G725" i="3"/>
  <c r="F725" i="3" l="1"/>
  <c r="I725" i="3"/>
  <c r="J725" i="3"/>
  <c r="M725" i="3"/>
  <c r="N725" i="3" s="1"/>
  <c r="V725" i="3"/>
  <c r="A726" i="3"/>
  <c r="B726" i="3" s="1"/>
  <c r="W725" i="3" l="1"/>
  <c r="P726" i="3"/>
  <c r="Q726" i="3" s="1"/>
  <c r="R726" i="3" s="1"/>
  <c r="S726" i="3" s="1"/>
  <c r="AE726" i="3"/>
  <c r="AD726" i="3"/>
  <c r="AA726" i="3"/>
  <c r="Z726" i="3"/>
  <c r="AC726" i="3"/>
  <c r="L725" i="3"/>
  <c r="U725" i="3" l="1"/>
  <c r="Y724" i="3"/>
  <c r="T726" i="3"/>
  <c r="E726" i="3" l="1"/>
  <c r="H726" i="3" s="1"/>
  <c r="K726" i="3" s="1"/>
  <c r="D726" i="3"/>
  <c r="AH726" i="3"/>
  <c r="AG726" i="3"/>
  <c r="F726" i="3" l="1"/>
  <c r="G726" i="3"/>
  <c r="V726" i="3"/>
  <c r="A727" i="3"/>
  <c r="B727" i="3" s="1"/>
  <c r="AD727" i="3" l="1"/>
  <c r="P727" i="3"/>
  <c r="Q727" i="3" s="1"/>
  <c r="R727" i="3" s="1"/>
  <c r="S727" i="3" s="1"/>
  <c r="Z727" i="3"/>
  <c r="AE727" i="3"/>
  <c r="AA727" i="3"/>
  <c r="AC727" i="3"/>
  <c r="I726" i="3"/>
  <c r="W726" i="3" s="1"/>
  <c r="J726" i="3"/>
  <c r="M726" i="3"/>
  <c r="N726" i="3" s="1"/>
  <c r="L726" i="3" l="1"/>
  <c r="T727" i="3"/>
  <c r="AH727" i="3" l="1"/>
  <c r="U726" i="3"/>
  <c r="E727" i="3"/>
  <c r="H727" i="3" s="1"/>
  <c r="D727" i="3"/>
  <c r="AG727" i="3"/>
  <c r="Y725" i="3"/>
  <c r="F727" i="3" l="1"/>
  <c r="G727" i="3"/>
  <c r="K727" i="3"/>
  <c r="I727" i="3" l="1"/>
  <c r="J727" i="3"/>
  <c r="M727" i="3"/>
  <c r="N727" i="3" s="1"/>
  <c r="V727" i="3"/>
  <c r="W727" i="3" s="1"/>
  <c r="A728" i="3"/>
  <c r="B728" i="3" s="1"/>
  <c r="AD728" i="3" l="1"/>
  <c r="Z728" i="3"/>
  <c r="P728" i="3"/>
  <c r="Q728" i="3" s="1"/>
  <c r="R728" i="3" s="1"/>
  <c r="S728" i="3" s="1"/>
  <c r="AC728" i="3"/>
  <c r="AA728" i="3"/>
  <c r="AE728" i="3"/>
  <c r="L727" i="3"/>
  <c r="T728" i="3" l="1"/>
  <c r="AG728" i="3" s="1"/>
  <c r="U727" i="3"/>
  <c r="Y726" i="3"/>
  <c r="AH728" i="3" l="1"/>
  <c r="D728" i="3"/>
  <c r="G728" i="3" s="1"/>
  <c r="E728" i="3"/>
  <c r="H728" i="3" s="1"/>
  <c r="K728" i="3" s="1"/>
  <c r="F728" i="3" l="1"/>
  <c r="I728" i="3"/>
  <c r="J728" i="3"/>
  <c r="M728" i="3"/>
  <c r="N728" i="3" s="1"/>
  <c r="V728" i="3"/>
  <c r="A729" i="3"/>
  <c r="B729" i="3" s="1"/>
  <c r="W728" i="3" l="1"/>
  <c r="L728" i="3"/>
  <c r="Z729" i="3"/>
  <c r="AA729" i="3"/>
  <c r="AC729" i="3"/>
  <c r="P729" i="3"/>
  <c r="Q729" i="3" s="1"/>
  <c r="R729" i="3" s="1"/>
  <c r="S729" i="3" s="1"/>
  <c r="AD729" i="3"/>
  <c r="AE729" i="3"/>
  <c r="T729" i="3" l="1"/>
  <c r="AH729" i="3" s="1"/>
  <c r="U728" i="3"/>
  <c r="D729" i="3" s="1"/>
  <c r="AG729" i="3"/>
  <c r="Y727" i="3"/>
  <c r="E729" i="3" l="1"/>
  <c r="H729" i="3" s="1"/>
  <c r="K729" i="3" s="1"/>
  <c r="G729" i="3"/>
  <c r="F729" i="3" l="1"/>
  <c r="V729" i="3"/>
  <c r="A730" i="3"/>
  <c r="B730" i="3" s="1"/>
  <c r="I729" i="3"/>
  <c r="J729" i="3"/>
  <c r="M729" i="3"/>
  <c r="N729" i="3" s="1"/>
  <c r="W729" i="3" l="1"/>
  <c r="P730" i="3"/>
  <c r="Q730" i="3" s="1"/>
  <c r="R730" i="3" s="1"/>
  <c r="S730" i="3" s="1"/>
  <c r="AC730" i="3"/>
  <c r="AA730" i="3"/>
  <c r="Z730" i="3"/>
  <c r="AD730" i="3"/>
  <c r="AE730" i="3"/>
  <c r="L729" i="3"/>
  <c r="U729" i="3" l="1"/>
  <c r="Y728" i="3"/>
  <c r="T730" i="3"/>
  <c r="AG730" i="3" s="1"/>
  <c r="E730" i="3" l="1"/>
  <c r="H730" i="3" s="1"/>
  <c r="D730" i="3"/>
  <c r="AH730" i="3"/>
  <c r="F730" i="3" l="1"/>
  <c r="G730" i="3"/>
  <c r="K730" i="3"/>
  <c r="I730" i="3" l="1"/>
  <c r="J730" i="3"/>
  <c r="M730" i="3"/>
  <c r="N730" i="3" s="1"/>
  <c r="V730" i="3"/>
  <c r="W730" i="3" s="1"/>
  <c r="A731" i="3"/>
  <c r="B731" i="3" s="1"/>
  <c r="AD731" i="3" l="1"/>
  <c r="AA731" i="3"/>
  <c r="AE731" i="3"/>
  <c r="P731" i="3"/>
  <c r="Q731" i="3" s="1"/>
  <c r="R731" i="3" s="1"/>
  <c r="S731" i="3" s="1"/>
  <c r="Z731" i="3"/>
  <c r="AC731" i="3"/>
  <c r="L730" i="3"/>
  <c r="U730" i="3" l="1"/>
  <c r="Y729" i="3"/>
  <c r="T731" i="3"/>
  <c r="AG731" i="3" s="1"/>
  <c r="AH731" i="3" l="1"/>
  <c r="E731" i="3"/>
  <c r="H731" i="3" s="1"/>
  <c r="K731" i="3" s="1"/>
  <c r="D731" i="3"/>
  <c r="F731" i="3" l="1"/>
  <c r="G731" i="3"/>
  <c r="I731" i="3" s="1"/>
  <c r="V731" i="3"/>
  <c r="A732" i="3"/>
  <c r="B732" i="3" s="1"/>
  <c r="M731" i="3" l="1"/>
  <c r="N731" i="3" s="1"/>
  <c r="J731" i="3"/>
  <c r="L731" i="3" s="1"/>
  <c r="Z732" i="3"/>
  <c r="P732" i="3"/>
  <c r="Q732" i="3" s="1"/>
  <c r="R732" i="3" s="1"/>
  <c r="S732" i="3" s="1"/>
  <c r="AE732" i="3"/>
  <c r="AD732" i="3"/>
  <c r="AA732" i="3"/>
  <c r="AC732" i="3"/>
  <c r="W731" i="3"/>
  <c r="U731" i="3" l="1"/>
  <c r="Y730" i="3"/>
  <c r="T732" i="3"/>
  <c r="AH732" i="3" s="1"/>
  <c r="AG732" i="3" l="1"/>
  <c r="D732" i="3"/>
  <c r="E732" i="3"/>
  <c r="H732" i="3" s="1"/>
  <c r="K732" i="3" l="1"/>
  <c r="F732" i="3"/>
  <c r="G732" i="3"/>
  <c r="V732" i="3" l="1"/>
  <c r="A733" i="3"/>
  <c r="B733" i="3" s="1"/>
  <c r="I732" i="3"/>
  <c r="J732" i="3"/>
  <c r="M732" i="3"/>
  <c r="N732" i="3" s="1"/>
  <c r="Z733" i="3" l="1"/>
  <c r="P733" i="3"/>
  <c r="Q733" i="3" s="1"/>
  <c r="R733" i="3" s="1"/>
  <c r="S733" i="3" s="1"/>
  <c r="AD733" i="3"/>
  <c r="AE733" i="3"/>
  <c r="AC733" i="3"/>
  <c r="AA733" i="3"/>
  <c r="L732" i="3"/>
  <c r="W732" i="3"/>
  <c r="T733" i="3" l="1"/>
  <c r="AG733" i="3" s="1"/>
  <c r="U732" i="3"/>
  <c r="Y731" i="3"/>
  <c r="AH733" i="3" l="1"/>
  <c r="E733" i="3"/>
  <c r="H733" i="3" s="1"/>
  <c r="K733" i="3" s="1"/>
  <c r="D733" i="3"/>
  <c r="F733" i="3" l="1"/>
  <c r="G733" i="3"/>
  <c r="J733" i="3" s="1"/>
  <c r="V733" i="3"/>
  <c r="A734" i="3"/>
  <c r="B734" i="3" s="1"/>
  <c r="I733" i="3" l="1"/>
  <c r="M733" i="3"/>
  <c r="N733" i="3" s="1"/>
  <c r="W733" i="3"/>
  <c r="L733" i="3"/>
  <c r="AC734" i="3"/>
  <c r="P734" i="3"/>
  <c r="Q734" i="3" s="1"/>
  <c r="R734" i="3" s="1"/>
  <c r="S734" i="3" s="1"/>
  <c r="AA734" i="3"/>
  <c r="Z734" i="3"/>
  <c r="AD734" i="3"/>
  <c r="AE734" i="3"/>
  <c r="T734" i="3" l="1"/>
  <c r="U733" i="3"/>
  <c r="AH734" i="3"/>
  <c r="Y732" i="3"/>
  <c r="D734" i="3" l="1"/>
  <c r="G734" i="3" s="1"/>
  <c r="AG734" i="3"/>
  <c r="E734" i="3"/>
  <c r="H734" i="3" s="1"/>
  <c r="K734" i="3" s="1"/>
  <c r="F734" i="3" l="1"/>
  <c r="V734" i="3"/>
  <c r="A735" i="3"/>
  <c r="B735" i="3" s="1"/>
  <c r="I734" i="3"/>
  <c r="J734" i="3"/>
  <c r="M734" i="3"/>
  <c r="N734" i="3" s="1"/>
  <c r="Z735" i="3" l="1"/>
  <c r="AD735" i="3"/>
  <c r="AA735" i="3"/>
  <c r="AC735" i="3"/>
  <c r="P735" i="3"/>
  <c r="Q735" i="3" s="1"/>
  <c r="R735" i="3" s="1"/>
  <c r="S735" i="3" s="1"/>
  <c r="AE735" i="3"/>
  <c r="L734" i="3"/>
  <c r="W734" i="3"/>
  <c r="T735" i="3" l="1"/>
  <c r="AG735" i="3" s="1"/>
  <c r="U734" i="3"/>
  <c r="Y733" i="3"/>
  <c r="D735" i="3" l="1"/>
  <c r="G735" i="3" s="1"/>
  <c r="AH735" i="3"/>
  <c r="E735" i="3"/>
  <c r="H735" i="3" s="1"/>
  <c r="K735" i="3" s="1"/>
  <c r="F735" i="3" l="1"/>
  <c r="I735" i="3"/>
  <c r="J735" i="3"/>
  <c r="M735" i="3"/>
  <c r="N735" i="3" s="1"/>
  <c r="V735" i="3"/>
  <c r="A736" i="3"/>
  <c r="B736" i="3" s="1"/>
  <c r="W735" i="3" l="1"/>
  <c r="Z736" i="3"/>
  <c r="AC736" i="3"/>
  <c r="AA736" i="3"/>
  <c r="P736" i="3"/>
  <c r="Q736" i="3" s="1"/>
  <c r="R736" i="3" s="1"/>
  <c r="S736" i="3" s="1"/>
  <c r="AD736" i="3"/>
  <c r="AE736" i="3"/>
  <c r="L735" i="3"/>
  <c r="T736" i="3" l="1"/>
  <c r="AH736" i="3" s="1"/>
  <c r="U735" i="3"/>
  <c r="Y734" i="3"/>
  <c r="D736" i="3" l="1"/>
  <c r="G736" i="3" s="1"/>
  <c r="AG736" i="3"/>
  <c r="E736" i="3"/>
  <c r="H736" i="3" s="1"/>
  <c r="K736" i="3" l="1"/>
  <c r="I736" i="3"/>
  <c r="J736" i="3"/>
  <c r="M736" i="3"/>
  <c r="N736" i="3" s="1"/>
  <c r="F736" i="3"/>
  <c r="V736" i="3" l="1"/>
  <c r="W736" i="3" s="1"/>
  <c r="A737" i="3"/>
  <c r="B737" i="3" s="1"/>
  <c r="L736" i="3"/>
  <c r="AA737" i="3" l="1"/>
  <c r="AC737" i="3"/>
  <c r="AE737" i="3"/>
  <c r="AD737" i="3"/>
  <c r="P737" i="3"/>
  <c r="Q737" i="3" s="1"/>
  <c r="R737" i="3" s="1"/>
  <c r="S737" i="3" s="1"/>
  <c r="Z737" i="3"/>
  <c r="U736" i="3"/>
  <c r="Y735" i="3"/>
  <c r="T737" i="3" l="1"/>
  <c r="E737" i="3" s="1"/>
  <c r="H737" i="3" s="1"/>
  <c r="AH737" i="3" l="1"/>
  <c r="D737" i="3"/>
  <c r="F737" i="3" s="1"/>
  <c r="K737" i="3"/>
  <c r="AG737" i="3"/>
  <c r="G737" i="3" l="1"/>
  <c r="M737" i="3" s="1"/>
  <c r="N737" i="3" s="1"/>
  <c r="V737" i="3"/>
  <c r="A738" i="3"/>
  <c r="B738" i="3" s="1"/>
  <c r="I737" i="3"/>
  <c r="J737" i="3"/>
  <c r="L737" i="3" l="1"/>
  <c r="AE738" i="3"/>
  <c r="P738" i="3"/>
  <c r="Q738" i="3" s="1"/>
  <c r="R738" i="3" s="1"/>
  <c r="S738" i="3" s="1"/>
  <c r="Z738" i="3"/>
  <c r="AC738" i="3"/>
  <c r="AA738" i="3"/>
  <c r="AD738" i="3"/>
  <c r="W737" i="3"/>
  <c r="T738" i="3" l="1"/>
  <c r="U737" i="3"/>
  <c r="AH738" i="3"/>
  <c r="AG738" i="3"/>
  <c r="Y736" i="3"/>
  <c r="D738" i="3" l="1"/>
  <c r="G738" i="3" s="1"/>
  <c r="E738" i="3"/>
  <c r="H738" i="3" s="1"/>
  <c r="K738" i="3" s="1"/>
  <c r="F738" i="3" l="1"/>
  <c r="I738" i="3"/>
  <c r="J738" i="3"/>
  <c r="M738" i="3"/>
  <c r="N738" i="3" s="1"/>
  <c r="V738" i="3"/>
  <c r="A739" i="3"/>
  <c r="B739" i="3" s="1"/>
  <c r="W738" i="3" l="1"/>
  <c r="AE739" i="3"/>
  <c r="Z739" i="3"/>
  <c r="AD739" i="3"/>
  <c r="P739" i="3"/>
  <c r="Q739" i="3" s="1"/>
  <c r="R739" i="3" s="1"/>
  <c r="S739" i="3" s="1"/>
  <c r="AA739" i="3"/>
  <c r="AC739" i="3"/>
  <c r="L738" i="3"/>
  <c r="U738" i="3" l="1"/>
  <c r="Y737" i="3"/>
  <c r="T739" i="3"/>
  <c r="AH739" i="3" s="1"/>
  <c r="D739" i="3" l="1"/>
  <c r="E739" i="3"/>
  <c r="H739" i="3" s="1"/>
  <c r="AG739" i="3"/>
  <c r="K739" i="3" l="1"/>
  <c r="F739" i="3"/>
  <c r="G739" i="3"/>
  <c r="V739" i="3" l="1"/>
  <c r="A740" i="3"/>
  <c r="B740" i="3" s="1"/>
  <c r="I739" i="3"/>
  <c r="J739" i="3"/>
  <c r="M739" i="3"/>
  <c r="N739" i="3" s="1"/>
  <c r="W739" i="3" l="1"/>
  <c r="AC740" i="3"/>
  <c r="AE740" i="3"/>
  <c r="AA740" i="3"/>
  <c r="P740" i="3"/>
  <c r="Q740" i="3" s="1"/>
  <c r="R740" i="3" s="1"/>
  <c r="S740" i="3" s="1"/>
  <c r="Z740" i="3"/>
  <c r="AD740" i="3"/>
  <c r="L739" i="3"/>
  <c r="T740" i="3" l="1"/>
  <c r="AH740" i="3" s="1"/>
  <c r="U739" i="3"/>
  <c r="Y738" i="3"/>
  <c r="E740" i="3" l="1"/>
  <c r="H740" i="3" s="1"/>
  <c r="K740" i="3" s="1"/>
  <c r="AG740" i="3"/>
  <c r="D740" i="3"/>
  <c r="F740" i="3" l="1"/>
  <c r="G740" i="3"/>
  <c r="V740" i="3"/>
  <c r="A741" i="3"/>
  <c r="B741" i="3" s="1"/>
  <c r="AC741" i="3" l="1"/>
  <c r="P741" i="3"/>
  <c r="Q741" i="3" s="1"/>
  <c r="R741" i="3" s="1"/>
  <c r="S741" i="3" s="1"/>
  <c r="Z741" i="3"/>
  <c r="AD741" i="3"/>
  <c r="AE741" i="3"/>
  <c r="AA741" i="3"/>
  <c r="I740" i="3"/>
  <c r="W740" i="3" s="1"/>
  <c r="J740" i="3"/>
  <c r="M740" i="3"/>
  <c r="N740" i="3" s="1"/>
  <c r="L740" i="3" l="1"/>
  <c r="T741" i="3"/>
  <c r="AG741" i="3" l="1"/>
  <c r="AH741" i="3"/>
  <c r="U740" i="3"/>
  <c r="E741" i="3" s="1"/>
  <c r="H741" i="3" s="1"/>
  <c r="Y739" i="3"/>
  <c r="K741" i="3" l="1"/>
  <c r="D741" i="3"/>
  <c r="F741" i="3" l="1"/>
  <c r="G741" i="3"/>
  <c r="V741" i="3"/>
  <c r="A742" i="3"/>
  <c r="B742" i="3" s="1"/>
  <c r="AE742" i="3" l="1"/>
  <c r="AD742" i="3"/>
  <c r="AC742" i="3"/>
  <c r="P742" i="3"/>
  <c r="Q742" i="3" s="1"/>
  <c r="R742" i="3" s="1"/>
  <c r="S742" i="3" s="1"/>
  <c r="Z742" i="3"/>
  <c r="AA742" i="3"/>
  <c r="I741" i="3"/>
  <c r="W741" i="3" s="1"/>
  <c r="J741" i="3"/>
  <c r="M741" i="3"/>
  <c r="N741" i="3" s="1"/>
  <c r="L741" i="3" l="1"/>
  <c r="T742" i="3"/>
  <c r="AH742" i="3" l="1"/>
  <c r="U741" i="3"/>
  <c r="E742" i="3" s="1"/>
  <c r="H742" i="3" s="1"/>
  <c r="AG742" i="3"/>
  <c r="Y740" i="3"/>
  <c r="D742" i="3" l="1"/>
  <c r="F742" i="3" s="1"/>
  <c r="K742" i="3"/>
  <c r="G742" i="3" l="1"/>
  <c r="I742" i="3" s="1"/>
  <c r="V742" i="3"/>
  <c r="A743" i="3"/>
  <c r="B743" i="3" s="1"/>
  <c r="M742" i="3" l="1"/>
  <c r="N742" i="3" s="1"/>
  <c r="J742" i="3"/>
  <c r="L742" i="3" s="1"/>
  <c r="W742" i="3"/>
  <c r="AA743" i="3"/>
  <c r="Z743" i="3"/>
  <c r="AE743" i="3"/>
  <c r="P743" i="3"/>
  <c r="Q743" i="3" s="1"/>
  <c r="R743" i="3" s="1"/>
  <c r="S743" i="3" s="1"/>
  <c r="AC743" i="3"/>
  <c r="AD743" i="3"/>
  <c r="T743" i="3" l="1"/>
  <c r="AH743" i="3" s="1"/>
  <c r="U742" i="3"/>
  <c r="Y741" i="3"/>
  <c r="E743" i="3" l="1"/>
  <c r="H743" i="3" s="1"/>
  <c r="K743" i="3" s="1"/>
  <c r="AG743" i="3"/>
  <c r="D743" i="3"/>
  <c r="V743" i="3" l="1"/>
  <c r="A744" i="3"/>
  <c r="B744" i="3" s="1"/>
  <c r="F743" i="3"/>
  <c r="G743" i="3"/>
  <c r="P744" i="3" l="1"/>
  <c r="Q744" i="3" s="1"/>
  <c r="R744" i="3" s="1"/>
  <c r="S744" i="3" s="1"/>
  <c r="AC744" i="3"/>
  <c r="Z744" i="3"/>
  <c r="AD744" i="3"/>
  <c r="AA744" i="3"/>
  <c r="AE744" i="3"/>
  <c r="I743" i="3"/>
  <c r="W743" i="3" s="1"/>
  <c r="J743" i="3"/>
  <c r="M743" i="3"/>
  <c r="N743" i="3" s="1"/>
  <c r="L743" i="3" l="1"/>
  <c r="T744" i="3"/>
  <c r="U743" i="3" l="1"/>
  <c r="E744" i="3" s="1"/>
  <c r="H744" i="3" s="1"/>
  <c r="AG744" i="3"/>
  <c r="AH744" i="3"/>
  <c r="Y742" i="3"/>
  <c r="D744" i="3" l="1"/>
  <c r="F744" i="3" s="1"/>
  <c r="K744" i="3"/>
  <c r="G744" i="3" l="1"/>
  <c r="I744" i="3" s="1"/>
  <c r="V744" i="3"/>
  <c r="A745" i="3"/>
  <c r="B745" i="3" s="1"/>
  <c r="M744" i="3" l="1"/>
  <c r="N744" i="3" s="1"/>
  <c r="J744" i="3"/>
  <c r="W744" i="3"/>
  <c r="AE745" i="3"/>
  <c r="AA745" i="3"/>
  <c r="P745" i="3"/>
  <c r="Q745" i="3" s="1"/>
  <c r="R745" i="3" s="1"/>
  <c r="S745" i="3" s="1"/>
  <c r="AD745" i="3"/>
  <c r="Z745" i="3"/>
  <c r="AC745" i="3"/>
  <c r="L744" i="3"/>
  <c r="T745" i="3" l="1"/>
  <c r="AG745" i="3" s="1"/>
  <c r="U744" i="3"/>
  <c r="Y743" i="3"/>
  <c r="AH745" i="3" l="1"/>
  <c r="E745" i="3"/>
  <c r="H745" i="3" s="1"/>
  <c r="K745" i="3" s="1"/>
  <c r="D745" i="3"/>
  <c r="G745" i="3" s="1"/>
  <c r="F745" i="3" l="1"/>
  <c r="V745" i="3"/>
  <c r="A746" i="3"/>
  <c r="B746" i="3" s="1"/>
  <c r="I745" i="3"/>
  <c r="J745" i="3"/>
  <c r="M745" i="3"/>
  <c r="N745" i="3" s="1"/>
  <c r="W745" i="3" l="1"/>
  <c r="L745" i="3"/>
  <c r="P746" i="3"/>
  <c r="Q746" i="3" s="1"/>
  <c r="R746" i="3" s="1"/>
  <c r="S746" i="3" s="1"/>
  <c r="Z746" i="3"/>
  <c r="AA746" i="3"/>
  <c r="AE746" i="3"/>
  <c r="AD746" i="3"/>
  <c r="AC746" i="3"/>
  <c r="T746" i="3" l="1"/>
  <c r="AH746" i="3" s="1"/>
  <c r="U745" i="3"/>
  <c r="D746" i="3" s="1"/>
  <c r="Y744" i="3"/>
  <c r="AG746" i="3" l="1"/>
  <c r="E746" i="3"/>
  <c r="H746" i="3" s="1"/>
  <c r="K746" i="3" s="1"/>
  <c r="G746" i="3"/>
  <c r="F746" i="3" l="1"/>
  <c r="I746" i="3"/>
  <c r="J746" i="3"/>
  <c r="M746" i="3"/>
  <c r="N746" i="3" s="1"/>
  <c r="V746" i="3"/>
  <c r="A747" i="3"/>
  <c r="B747" i="3" s="1"/>
  <c r="W746" i="3" l="1"/>
  <c r="L746" i="3"/>
  <c r="AD747" i="3"/>
  <c r="P747" i="3"/>
  <c r="Q747" i="3" s="1"/>
  <c r="R747" i="3" s="1"/>
  <c r="S747" i="3" s="1"/>
  <c r="AA747" i="3"/>
  <c r="Z747" i="3"/>
  <c r="AE747" i="3"/>
  <c r="AC747" i="3"/>
  <c r="U746" i="3" l="1"/>
  <c r="Y745" i="3"/>
  <c r="T747" i="3"/>
  <c r="D747" i="3" l="1"/>
  <c r="G747" i="3" s="1"/>
  <c r="E747" i="3"/>
  <c r="H747" i="3" s="1"/>
  <c r="K747" i="3" s="1"/>
  <c r="AG747" i="3"/>
  <c r="AH747" i="3"/>
  <c r="F747" i="3" l="1"/>
  <c r="I747" i="3"/>
  <c r="J747" i="3"/>
  <c r="M747" i="3"/>
  <c r="N747" i="3" s="1"/>
  <c r="V747" i="3"/>
  <c r="A748" i="3"/>
  <c r="B748" i="3" s="1"/>
  <c r="W747" i="3" l="1"/>
  <c r="L747" i="3"/>
  <c r="P748" i="3"/>
  <c r="Q748" i="3" s="1"/>
  <c r="R748" i="3" s="1"/>
  <c r="S748" i="3" s="1"/>
  <c r="AA748" i="3"/>
  <c r="Z748" i="3"/>
  <c r="AD748" i="3"/>
  <c r="AC748" i="3"/>
  <c r="AE748" i="3"/>
  <c r="T748" i="3" l="1"/>
  <c r="AG748" i="3" s="1"/>
  <c r="U747" i="3"/>
  <c r="AH748" i="3"/>
  <c r="Y746" i="3"/>
  <c r="D748" i="3" l="1"/>
  <c r="G748" i="3" s="1"/>
  <c r="E748" i="3"/>
  <c r="H748" i="3" s="1"/>
  <c r="K748" i="3" s="1"/>
  <c r="F748" i="3" l="1"/>
  <c r="I748" i="3"/>
  <c r="J748" i="3"/>
  <c r="M748" i="3"/>
  <c r="N748" i="3" s="1"/>
  <c r="V748" i="3"/>
  <c r="A749" i="3"/>
  <c r="B749" i="3" s="1"/>
  <c r="W748" i="3" l="1"/>
  <c r="AD749" i="3"/>
  <c r="Z749" i="3"/>
  <c r="AC749" i="3"/>
  <c r="AE749" i="3"/>
  <c r="P749" i="3"/>
  <c r="Q749" i="3" s="1"/>
  <c r="R749" i="3" s="1"/>
  <c r="S749" i="3" s="1"/>
  <c r="AA749" i="3"/>
  <c r="L748" i="3"/>
  <c r="T749" i="3" l="1"/>
  <c r="AH749" i="3" s="1"/>
  <c r="U748" i="3"/>
  <c r="Y747" i="3"/>
  <c r="AG749" i="3" l="1"/>
  <c r="E749" i="3"/>
  <c r="H749" i="3" s="1"/>
  <c r="K749" i="3" s="1"/>
  <c r="D749" i="3"/>
  <c r="F749" i="3" l="1"/>
  <c r="G749" i="3"/>
  <c r="V749" i="3"/>
  <c r="A750" i="3"/>
  <c r="B750" i="3" s="1"/>
  <c r="AC750" i="3" l="1"/>
  <c r="AA750" i="3"/>
  <c r="P750" i="3"/>
  <c r="Q750" i="3" s="1"/>
  <c r="R750" i="3" s="1"/>
  <c r="S750" i="3" s="1"/>
  <c r="AE750" i="3"/>
  <c r="AD750" i="3"/>
  <c r="Z750" i="3"/>
  <c r="I749" i="3"/>
  <c r="W749" i="3" s="1"/>
  <c r="J749" i="3"/>
  <c r="M749" i="3"/>
  <c r="N749" i="3" s="1"/>
  <c r="T750" i="3" l="1"/>
  <c r="L749" i="3"/>
  <c r="U749" i="3" l="1"/>
  <c r="E750" i="3" s="1"/>
  <c r="H750" i="3" s="1"/>
  <c r="AH750" i="3"/>
  <c r="AG750" i="3"/>
  <c r="Y748" i="3"/>
  <c r="D750" i="3" l="1"/>
  <c r="F750" i="3" s="1"/>
  <c r="K750" i="3"/>
  <c r="G750" i="3" l="1"/>
  <c r="I750" i="3" s="1"/>
  <c r="V750" i="3"/>
  <c r="A751" i="3"/>
  <c r="B751" i="3" s="1"/>
  <c r="J750" i="3" l="1"/>
  <c r="M750" i="3"/>
  <c r="N750" i="3" s="1"/>
  <c r="W750" i="3"/>
  <c r="L750" i="3"/>
  <c r="AC751" i="3"/>
  <c r="P751" i="3"/>
  <c r="Q751" i="3" s="1"/>
  <c r="R751" i="3" s="1"/>
  <c r="S751" i="3" s="1"/>
  <c r="AA751" i="3"/>
  <c r="AD751" i="3"/>
  <c r="AE751" i="3"/>
  <c r="Z751" i="3"/>
  <c r="T751" i="3" l="1"/>
  <c r="U750" i="3"/>
  <c r="Y749" i="3"/>
  <c r="E751" i="3" l="1"/>
  <c r="H751" i="3" s="1"/>
  <c r="K751" i="3" s="1"/>
  <c r="D751" i="3"/>
  <c r="AH751" i="3"/>
  <c r="AG751" i="3"/>
  <c r="F751" i="3" l="1"/>
  <c r="G751" i="3"/>
  <c r="I751" i="3" s="1"/>
  <c r="V751" i="3"/>
  <c r="A752" i="3"/>
  <c r="B752" i="3" s="1"/>
  <c r="M751" i="3" l="1"/>
  <c r="N751" i="3" s="1"/>
  <c r="W751" i="3"/>
  <c r="J751" i="3"/>
  <c r="L751" i="3" s="1"/>
  <c r="AE752" i="3"/>
  <c r="AD752" i="3"/>
  <c r="AA752" i="3"/>
  <c r="Z752" i="3"/>
  <c r="AC752" i="3"/>
  <c r="P752" i="3"/>
  <c r="Q752" i="3" s="1"/>
  <c r="R752" i="3" s="1"/>
  <c r="S752" i="3" s="1"/>
  <c r="T752" i="3" l="1"/>
  <c r="AG752" i="3" s="1"/>
  <c r="U751" i="3"/>
  <c r="Y750" i="3"/>
  <c r="D752" i="3" l="1"/>
  <c r="G752" i="3" s="1"/>
  <c r="AH752" i="3"/>
  <c r="E752" i="3"/>
  <c r="H752" i="3" s="1"/>
  <c r="K752" i="3" s="1"/>
  <c r="F752" i="3" l="1"/>
  <c r="V752" i="3"/>
  <c r="A753" i="3"/>
  <c r="B753" i="3" s="1"/>
  <c r="I752" i="3"/>
  <c r="J752" i="3"/>
  <c r="M752" i="3"/>
  <c r="N752" i="3" s="1"/>
  <c r="Z753" i="3" l="1"/>
  <c r="P753" i="3"/>
  <c r="Q753" i="3" s="1"/>
  <c r="R753" i="3" s="1"/>
  <c r="S753" i="3" s="1"/>
  <c r="AE753" i="3"/>
  <c r="AA753" i="3"/>
  <c r="AC753" i="3"/>
  <c r="AD753" i="3"/>
  <c r="L752" i="3"/>
  <c r="W752" i="3"/>
  <c r="T753" i="3" l="1"/>
  <c r="AG753" i="3" s="1"/>
  <c r="U752" i="3"/>
  <c r="Y751" i="3"/>
  <c r="D753" i="3" l="1"/>
  <c r="G753" i="3" s="1"/>
  <c r="E753" i="3"/>
  <c r="H753" i="3" s="1"/>
  <c r="K753" i="3" s="1"/>
  <c r="AH753" i="3"/>
  <c r="F753" i="3" l="1"/>
  <c r="I753" i="3"/>
  <c r="J753" i="3"/>
  <c r="M753" i="3"/>
  <c r="N753" i="3" s="1"/>
  <c r="V753" i="3"/>
  <c r="A754" i="3"/>
  <c r="B754" i="3" s="1"/>
  <c r="W753" i="3" l="1"/>
  <c r="AD754" i="3"/>
  <c r="AC754" i="3"/>
  <c r="P754" i="3"/>
  <c r="Q754" i="3" s="1"/>
  <c r="R754" i="3" s="1"/>
  <c r="S754" i="3" s="1"/>
  <c r="Z754" i="3"/>
  <c r="AA754" i="3"/>
  <c r="AE754" i="3"/>
  <c r="L753" i="3"/>
  <c r="U753" i="3" l="1"/>
  <c r="Y752" i="3"/>
  <c r="T754" i="3"/>
  <c r="E754" i="3" s="1"/>
  <c r="H754" i="3" s="1"/>
  <c r="K754" i="3" l="1"/>
  <c r="D754" i="3"/>
  <c r="AH754" i="3"/>
  <c r="AG754" i="3"/>
  <c r="F754" i="3" l="1"/>
  <c r="G754" i="3"/>
  <c r="V754" i="3"/>
  <c r="A755" i="3"/>
  <c r="B755" i="3" s="1"/>
  <c r="AC755" i="3" l="1"/>
  <c r="AD755" i="3"/>
  <c r="AE755" i="3"/>
  <c r="AA755" i="3"/>
  <c r="P755" i="3"/>
  <c r="Q755" i="3" s="1"/>
  <c r="R755" i="3" s="1"/>
  <c r="S755" i="3" s="1"/>
  <c r="Z755" i="3"/>
  <c r="I754" i="3"/>
  <c r="W754" i="3" s="1"/>
  <c r="J754" i="3"/>
  <c r="M754" i="3"/>
  <c r="N754" i="3" s="1"/>
  <c r="T755" i="3" l="1"/>
  <c r="L754" i="3"/>
  <c r="AH755" i="3" l="1"/>
  <c r="AG755" i="3"/>
  <c r="U754" i="3"/>
  <c r="E755" i="3" s="1"/>
  <c r="H755" i="3" s="1"/>
  <c r="Y753" i="3"/>
  <c r="D755" i="3" l="1"/>
  <c r="G755" i="3" s="1"/>
  <c r="K755" i="3"/>
  <c r="F755" i="3" l="1"/>
  <c r="V755" i="3"/>
  <c r="A756" i="3"/>
  <c r="B756" i="3" s="1"/>
  <c r="I755" i="3"/>
  <c r="J755" i="3"/>
  <c r="M755" i="3"/>
  <c r="N755" i="3" s="1"/>
  <c r="L755" i="3" l="1"/>
  <c r="AC756" i="3"/>
  <c r="P756" i="3"/>
  <c r="Q756" i="3" s="1"/>
  <c r="R756" i="3" s="1"/>
  <c r="S756" i="3" s="1"/>
  <c r="AD756" i="3"/>
  <c r="AA756" i="3"/>
  <c r="Z756" i="3"/>
  <c r="AE756" i="3"/>
  <c r="W755" i="3"/>
  <c r="T756" i="3" l="1"/>
  <c r="AH756" i="3" s="1"/>
  <c r="U755" i="3"/>
  <c r="Y754" i="3"/>
  <c r="AG756" i="3" l="1"/>
  <c r="D756" i="3"/>
  <c r="G756" i="3" s="1"/>
  <c r="E756" i="3"/>
  <c r="H756" i="3" s="1"/>
  <c r="K756" i="3" s="1"/>
  <c r="F756" i="3" l="1"/>
  <c r="V756" i="3"/>
  <c r="A757" i="3"/>
  <c r="B757" i="3" s="1"/>
  <c r="I756" i="3"/>
  <c r="J756" i="3"/>
  <c r="M756" i="3"/>
  <c r="N756" i="3" s="1"/>
  <c r="W756" i="3" l="1"/>
  <c r="AA757" i="3"/>
  <c r="AE757" i="3"/>
  <c r="P757" i="3"/>
  <c r="Q757" i="3" s="1"/>
  <c r="R757" i="3" s="1"/>
  <c r="S757" i="3" s="1"/>
  <c r="AD757" i="3"/>
  <c r="Z757" i="3"/>
  <c r="AC757" i="3"/>
  <c r="L756" i="3"/>
  <c r="T757" i="3" l="1"/>
  <c r="AG757" i="3" s="1"/>
  <c r="U756" i="3"/>
  <c r="AH757" i="3"/>
  <c r="Y755" i="3"/>
  <c r="E757" i="3" l="1"/>
  <c r="H757" i="3" s="1"/>
  <c r="K757" i="3" s="1"/>
  <c r="D757" i="3"/>
  <c r="F757" i="3" l="1"/>
  <c r="G757" i="3"/>
  <c r="V757" i="3"/>
  <c r="A758" i="3"/>
  <c r="B758" i="3" s="1"/>
  <c r="P758" i="3" l="1"/>
  <c r="Q758" i="3" s="1"/>
  <c r="R758" i="3" s="1"/>
  <c r="S758" i="3" s="1"/>
  <c r="AE758" i="3"/>
  <c r="AC758" i="3"/>
  <c r="AD758" i="3"/>
  <c r="Z758" i="3"/>
  <c r="AA758" i="3"/>
  <c r="I757" i="3"/>
  <c r="W757" i="3" s="1"/>
  <c r="J757" i="3"/>
  <c r="M757" i="3"/>
  <c r="N757" i="3" s="1"/>
  <c r="L757" i="3" l="1"/>
  <c r="T758" i="3"/>
  <c r="AH758" i="3" l="1"/>
  <c r="AG758" i="3"/>
  <c r="U757" i="3"/>
  <c r="D758" i="3" s="1"/>
  <c r="Y756" i="3"/>
  <c r="E758" i="3" l="1"/>
  <c r="H758" i="3" s="1"/>
  <c r="K758" i="3" s="1"/>
  <c r="G758" i="3"/>
  <c r="F758" i="3" l="1"/>
  <c r="V758" i="3"/>
  <c r="A759" i="3"/>
  <c r="B759" i="3" s="1"/>
  <c r="I758" i="3"/>
  <c r="J758" i="3"/>
  <c r="M758" i="3"/>
  <c r="N758" i="3" s="1"/>
  <c r="P759" i="3" l="1"/>
  <c r="Q759" i="3" s="1"/>
  <c r="R759" i="3" s="1"/>
  <c r="S759" i="3" s="1"/>
  <c r="AC759" i="3"/>
  <c r="AA759" i="3"/>
  <c r="Z759" i="3"/>
  <c r="AD759" i="3"/>
  <c r="AE759" i="3"/>
  <c r="L758" i="3"/>
  <c r="W758" i="3"/>
  <c r="U758" i="3" l="1"/>
  <c r="Y757" i="3"/>
  <c r="T759" i="3"/>
  <c r="AG759" i="3" s="1"/>
  <c r="AH759" i="3" l="1"/>
  <c r="D759" i="3"/>
  <c r="G759" i="3" s="1"/>
  <c r="E759" i="3"/>
  <c r="H759" i="3" s="1"/>
  <c r="K759" i="3" l="1"/>
  <c r="I759" i="3"/>
  <c r="J759" i="3"/>
  <c r="M759" i="3"/>
  <c r="N759" i="3" s="1"/>
  <c r="F759" i="3"/>
  <c r="V759" i="3" l="1"/>
  <c r="W759" i="3" s="1"/>
  <c r="A760" i="3"/>
  <c r="B760" i="3" s="1"/>
  <c r="L759" i="3"/>
  <c r="AD760" i="3" l="1"/>
  <c r="P760" i="3"/>
  <c r="Q760" i="3" s="1"/>
  <c r="R760" i="3" s="1"/>
  <c r="S760" i="3" s="1"/>
  <c r="AA760" i="3"/>
  <c r="AC760" i="3"/>
  <c r="AE760" i="3"/>
  <c r="Z760" i="3"/>
  <c r="U759" i="3"/>
  <c r="Y758" i="3"/>
  <c r="T760" i="3" l="1"/>
  <c r="AG760" i="3" l="1"/>
  <c r="E760" i="3"/>
  <c r="H760" i="3" s="1"/>
  <c r="D760" i="3"/>
  <c r="AH760" i="3"/>
  <c r="F760" i="3" l="1"/>
  <c r="G760" i="3"/>
  <c r="K760" i="3"/>
  <c r="I760" i="3" l="1"/>
  <c r="J760" i="3"/>
  <c r="M760" i="3"/>
  <c r="N760" i="3" s="1"/>
  <c r="V760" i="3"/>
  <c r="W760" i="3" s="1"/>
  <c r="A761" i="3"/>
  <c r="B761" i="3" s="1"/>
  <c r="Z761" i="3" l="1"/>
  <c r="P761" i="3"/>
  <c r="Q761" i="3" s="1"/>
  <c r="R761" i="3" s="1"/>
  <c r="S761" i="3" s="1"/>
  <c r="AC761" i="3"/>
  <c r="AE761" i="3"/>
  <c r="AD761" i="3"/>
  <c r="AA761" i="3"/>
  <c r="L760" i="3"/>
  <c r="T761" i="3" l="1"/>
  <c r="AH761" i="3" s="1"/>
  <c r="U760" i="3"/>
  <c r="Y759" i="3"/>
  <c r="E761" i="3" l="1"/>
  <c r="H761" i="3" s="1"/>
  <c r="K761" i="3" s="1"/>
  <c r="D761" i="3"/>
  <c r="AG761" i="3"/>
  <c r="F761" i="3" l="1"/>
  <c r="G761" i="3"/>
  <c r="I761" i="3" s="1"/>
  <c r="V761" i="3"/>
  <c r="A762" i="3"/>
  <c r="B762" i="3" s="1"/>
  <c r="J761" i="3" l="1"/>
  <c r="L761" i="3" s="1"/>
  <c r="M761" i="3"/>
  <c r="N761" i="3" s="1"/>
  <c r="W761" i="3"/>
  <c r="AA762" i="3"/>
  <c r="AE762" i="3"/>
  <c r="P762" i="3"/>
  <c r="Q762" i="3" s="1"/>
  <c r="R762" i="3" s="1"/>
  <c r="S762" i="3" s="1"/>
  <c r="AC762" i="3"/>
  <c r="Z762" i="3"/>
  <c r="AD762" i="3"/>
  <c r="T762" i="3" l="1"/>
  <c r="AG762" i="3" s="1"/>
  <c r="U761" i="3"/>
  <c r="Y760" i="3"/>
  <c r="AH762" i="3" l="1"/>
  <c r="D762" i="3"/>
  <c r="G762" i="3" s="1"/>
  <c r="E762" i="3"/>
  <c r="H762" i="3" s="1"/>
  <c r="K762" i="3" s="1"/>
  <c r="F762" i="3" l="1"/>
  <c r="V762" i="3"/>
  <c r="A763" i="3"/>
  <c r="B763" i="3" s="1"/>
  <c r="I762" i="3"/>
  <c r="J762" i="3"/>
  <c r="M762" i="3"/>
  <c r="N762" i="3" s="1"/>
  <c r="L762" i="3" l="1"/>
  <c r="AC763" i="3"/>
  <c r="AD763" i="3"/>
  <c r="P763" i="3"/>
  <c r="Q763" i="3" s="1"/>
  <c r="R763" i="3" s="1"/>
  <c r="S763" i="3" s="1"/>
  <c r="AE763" i="3"/>
  <c r="Z763" i="3"/>
  <c r="AA763" i="3"/>
  <c r="W762" i="3"/>
  <c r="T763" i="3" l="1"/>
  <c r="AH763" i="3" s="1"/>
  <c r="U762" i="3"/>
  <c r="Y761" i="3"/>
  <c r="AG763" i="3" l="1"/>
  <c r="E763" i="3"/>
  <c r="H763" i="3" s="1"/>
  <c r="K763" i="3" s="1"/>
  <c r="D763" i="3"/>
  <c r="F763" i="3" l="1"/>
  <c r="G763" i="3"/>
  <c r="J763" i="3" s="1"/>
  <c r="V763" i="3"/>
  <c r="A764" i="3"/>
  <c r="B764" i="3" s="1"/>
  <c r="M763" i="3" l="1"/>
  <c r="N763" i="3" s="1"/>
  <c r="I763" i="3"/>
  <c r="W763" i="3" s="1"/>
  <c r="AA764" i="3"/>
  <c r="AC764" i="3"/>
  <c r="AD764" i="3"/>
  <c r="P764" i="3"/>
  <c r="Q764" i="3" s="1"/>
  <c r="R764" i="3" s="1"/>
  <c r="S764" i="3" s="1"/>
  <c r="AE764" i="3"/>
  <c r="Z764" i="3"/>
  <c r="L763" i="3"/>
  <c r="T764" i="3" l="1"/>
  <c r="AH764" i="3" s="1"/>
  <c r="U763" i="3"/>
  <c r="E764" i="3" s="1"/>
  <c r="H764" i="3" s="1"/>
  <c r="AG764" i="3"/>
  <c r="Y762" i="3"/>
  <c r="D764" i="3" l="1"/>
  <c r="F764" i="3" s="1"/>
  <c r="K764" i="3"/>
  <c r="G764" i="3" l="1"/>
  <c r="V764" i="3"/>
  <c r="A765" i="3"/>
  <c r="B765" i="3" s="1"/>
  <c r="I764" i="3"/>
  <c r="J764" i="3"/>
  <c r="M764" i="3"/>
  <c r="N764" i="3" s="1"/>
  <c r="L764" i="3" l="1"/>
  <c r="AD765" i="3"/>
  <c r="AE765" i="3"/>
  <c r="AA765" i="3"/>
  <c r="P765" i="3"/>
  <c r="Q765" i="3" s="1"/>
  <c r="R765" i="3" s="1"/>
  <c r="S765" i="3" s="1"/>
  <c r="Z765" i="3"/>
  <c r="AC765" i="3"/>
  <c r="W764" i="3"/>
  <c r="T765" i="3" l="1"/>
  <c r="AH765" i="3" s="1"/>
  <c r="U764" i="3"/>
  <c r="Y763" i="3"/>
  <c r="E765" i="3" l="1"/>
  <c r="H765" i="3" s="1"/>
  <c r="K765" i="3" s="1"/>
  <c r="AG765" i="3"/>
  <c r="D765" i="3"/>
  <c r="G765" i="3" s="1"/>
  <c r="F765" i="3" l="1"/>
  <c r="V765" i="3"/>
  <c r="A766" i="3"/>
  <c r="B766" i="3" s="1"/>
  <c r="I765" i="3"/>
  <c r="J765" i="3"/>
  <c r="M765" i="3"/>
  <c r="N765" i="3" s="1"/>
  <c r="AD766" i="3" l="1"/>
  <c r="AA766" i="3"/>
  <c r="P766" i="3"/>
  <c r="Q766" i="3" s="1"/>
  <c r="R766" i="3" s="1"/>
  <c r="S766" i="3" s="1"/>
  <c r="AC766" i="3"/>
  <c r="Z766" i="3"/>
  <c r="AE766" i="3"/>
  <c r="L765" i="3"/>
  <c r="W765" i="3"/>
  <c r="T766" i="3" l="1"/>
  <c r="AH766" i="3" s="1"/>
  <c r="U765" i="3"/>
  <c r="AG766" i="3"/>
  <c r="Y764" i="3"/>
  <c r="E766" i="3" l="1"/>
  <c r="H766" i="3" s="1"/>
  <c r="K766" i="3" s="1"/>
  <c r="D766" i="3"/>
  <c r="G766" i="3" s="1"/>
  <c r="F766" i="3" l="1"/>
  <c r="V766" i="3"/>
  <c r="A767" i="3"/>
  <c r="B767" i="3" s="1"/>
  <c r="I766" i="3"/>
  <c r="J766" i="3"/>
  <c r="M766" i="3"/>
  <c r="N766" i="3" s="1"/>
  <c r="P767" i="3" l="1"/>
  <c r="Q767" i="3" s="1"/>
  <c r="R767" i="3" s="1"/>
  <c r="S767" i="3" s="1"/>
  <c r="AC767" i="3"/>
  <c r="AE767" i="3"/>
  <c r="AD767" i="3"/>
  <c r="Z767" i="3"/>
  <c r="AA767" i="3"/>
  <c r="L766" i="3"/>
  <c r="W766" i="3"/>
  <c r="U766" i="3" l="1"/>
  <c r="Y765" i="3"/>
  <c r="T767" i="3"/>
  <c r="D767" i="3" l="1"/>
  <c r="G767" i="3" s="1"/>
  <c r="AH767" i="3"/>
  <c r="E767" i="3"/>
  <c r="H767" i="3" s="1"/>
  <c r="AG767" i="3"/>
  <c r="I767" i="3" l="1"/>
  <c r="J767" i="3"/>
  <c r="M767" i="3"/>
  <c r="N767" i="3" s="1"/>
  <c r="K767" i="3"/>
  <c r="F767" i="3"/>
  <c r="V767" i="3" l="1"/>
  <c r="W767" i="3" s="1"/>
  <c r="A768" i="3"/>
  <c r="B768" i="3" s="1"/>
  <c r="L767" i="3"/>
  <c r="AE768" i="3" l="1"/>
  <c r="AD768" i="3"/>
  <c r="AC768" i="3"/>
  <c r="AA768" i="3"/>
  <c r="Z768" i="3"/>
  <c r="P768" i="3"/>
  <c r="Q768" i="3" s="1"/>
  <c r="R768" i="3" s="1"/>
  <c r="S768" i="3" s="1"/>
  <c r="U767" i="3"/>
  <c r="Y766" i="3"/>
  <c r="T768" i="3" l="1"/>
  <c r="AH768" i="3" s="1"/>
  <c r="E768" i="3" l="1"/>
  <c r="H768" i="3" s="1"/>
  <c r="K768" i="3" s="1"/>
  <c r="AG768" i="3"/>
  <c r="D768" i="3"/>
  <c r="F768" i="3" l="1"/>
  <c r="G768" i="3"/>
  <c r="M768" i="3" s="1"/>
  <c r="N768" i="3" s="1"/>
  <c r="V768" i="3"/>
  <c r="A769" i="3"/>
  <c r="B769" i="3" s="1"/>
  <c r="J768" i="3" l="1"/>
  <c r="L768" i="3" s="1"/>
  <c r="I768" i="3"/>
  <c r="W768" i="3" s="1"/>
  <c r="AE769" i="3"/>
  <c r="AA769" i="3"/>
  <c r="Z769" i="3"/>
  <c r="P769" i="3"/>
  <c r="Q769" i="3" s="1"/>
  <c r="R769" i="3" s="1"/>
  <c r="S769" i="3" s="1"/>
  <c r="AD769" i="3"/>
  <c r="AC769" i="3"/>
  <c r="T769" i="3" l="1"/>
  <c r="AH769" i="3" s="1"/>
  <c r="U768" i="3"/>
  <c r="E769" i="3" s="1"/>
  <c r="H769" i="3" s="1"/>
  <c r="AG769" i="3"/>
  <c r="Y767" i="3"/>
  <c r="K769" i="3" l="1"/>
  <c r="D769" i="3"/>
  <c r="V769" i="3" l="1"/>
  <c r="A770" i="3"/>
  <c r="B770" i="3" s="1"/>
  <c r="F769" i="3"/>
  <c r="G769" i="3"/>
  <c r="I769" i="3" l="1"/>
  <c r="W769" i="3" s="1"/>
  <c r="J769" i="3"/>
  <c r="M769" i="3"/>
  <c r="N769" i="3" s="1"/>
  <c r="AC770" i="3"/>
  <c r="AA770" i="3"/>
  <c r="Z770" i="3"/>
  <c r="AD770" i="3"/>
  <c r="AE770" i="3"/>
  <c r="P770" i="3"/>
  <c r="Q770" i="3" s="1"/>
  <c r="R770" i="3" s="1"/>
  <c r="S770" i="3" s="1"/>
  <c r="L769" i="3" l="1"/>
  <c r="T770" i="3"/>
  <c r="AG770" i="3" l="1"/>
  <c r="AH770" i="3"/>
  <c r="U769" i="3"/>
  <c r="D770" i="3" s="1"/>
  <c r="Y768" i="3"/>
  <c r="E770" i="3" l="1"/>
  <c r="H770" i="3" s="1"/>
  <c r="K770" i="3" s="1"/>
  <c r="G770" i="3"/>
  <c r="F770" i="3" l="1"/>
  <c r="I770" i="3"/>
  <c r="J770" i="3"/>
  <c r="M770" i="3"/>
  <c r="N770" i="3" s="1"/>
  <c r="V770" i="3"/>
  <c r="A771" i="3"/>
  <c r="B771" i="3" s="1"/>
  <c r="W770" i="3" l="1"/>
  <c r="L770" i="3"/>
  <c r="AD771" i="3"/>
  <c r="P771" i="3"/>
  <c r="Q771" i="3" s="1"/>
  <c r="R771" i="3" s="1"/>
  <c r="S771" i="3" s="1"/>
  <c r="AA771" i="3"/>
  <c r="AC771" i="3"/>
  <c r="AE771" i="3"/>
  <c r="Z771" i="3"/>
  <c r="T771" i="3" l="1"/>
  <c r="AH771" i="3" s="1"/>
  <c r="U770" i="3"/>
  <c r="Y769" i="3"/>
  <c r="D771" i="3" l="1"/>
  <c r="G771" i="3" s="1"/>
  <c r="AG771" i="3"/>
  <c r="E771" i="3"/>
  <c r="H771" i="3" s="1"/>
  <c r="K771" i="3" s="1"/>
  <c r="F771" i="3" l="1"/>
  <c r="I771" i="3"/>
  <c r="J771" i="3"/>
  <c r="M771" i="3"/>
  <c r="N771" i="3" s="1"/>
  <c r="V771" i="3"/>
  <c r="A772" i="3"/>
  <c r="B772" i="3" s="1"/>
  <c r="AD772" i="3" l="1"/>
  <c r="P772" i="3"/>
  <c r="Q772" i="3" s="1"/>
  <c r="R772" i="3" s="1"/>
  <c r="S772" i="3" s="1"/>
  <c r="Z772" i="3"/>
  <c r="AA772" i="3"/>
  <c r="AE772" i="3"/>
  <c r="AC772" i="3"/>
  <c r="L771" i="3"/>
  <c r="W771" i="3"/>
  <c r="U771" i="3" l="1"/>
  <c r="Y770" i="3"/>
  <c r="T772" i="3"/>
  <c r="AG772" i="3" s="1"/>
  <c r="AH772" i="3" l="1"/>
  <c r="E772" i="3"/>
  <c r="H772" i="3" s="1"/>
  <c r="K772" i="3" s="1"/>
  <c r="D772" i="3"/>
  <c r="F772" i="3" l="1"/>
  <c r="G772" i="3"/>
  <c r="I772" i="3" s="1"/>
  <c r="V772" i="3"/>
  <c r="A773" i="3"/>
  <c r="B773" i="3" s="1"/>
  <c r="M772" i="3" l="1"/>
  <c r="N772" i="3" s="1"/>
  <c r="J772" i="3"/>
  <c r="W772" i="3"/>
  <c r="AE773" i="3"/>
  <c r="P773" i="3"/>
  <c r="Q773" i="3" s="1"/>
  <c r="R773" i="3" s="1"/>
  <c r="S773" i="3" s="1"/>
  <c r="AC773" i="3"/>
  <c r="Z773" i="3"/>
  <c r="AA773" i="3"/>
  <c r="AD773" i="3"/>
  <c r="L772" i="3"/>
  <c r="T773" i="3" l="1"/>
  <c r="AH773" i="3" s="1"/>
  <c r="U772" i="3"/>
  <c r="AG773" i="3"/>
  <c r="Y771" i="3"/>
  <c r="E773" i="3" l="1"/>
  <c r="H773" i="3" s="1"/>
  <c r="K773" i="3" s="1"/>
  <c r="D773" i="3"/>
  <c r="F773" i="3" l="1"/>
  <c r="G773" i="3"/>
  <c r="V773" i="3"/>
  <c r="A774" i="3"/>
  <c r="B774" i="3" s="1"/>
  <c r="AA774" i="3" l="1"/>
  <c r="AD774" i="3"/>
  <c r="Z774" i="3"/>
  <c r="P774" i="3"/>
  <c r="Q774" i="3" s="1"/>
  <c r="R774" i="3" s="1"/>
  <c r="S774" i="3" s="1"/>
  <c r="AE774" i="3"/>
  <c r="AC774" i="3"/>
  <c r="I773" i="3"/>
  <c r="W773" i="3" s="1"/>
  <c r="J773" i="3"/>
  <c r="M773" i="3"/>
  <c r="N773" i="3" s="1"/>
  <c r="L773" i="3" l="1"/>
  <c r="T774" i="3"/>
  <c r="AG774" i="3" l="1"/>
  <c r="AH774" i="3"/>
  <c r="U773" i="3"/>
  <c r="E774" i="3" s="1"/>
  <c r="H774" i="3" s="1"/>
  <c r="Y772" i="3"/>
  <c r="D774" i="3" l="1"/>
  <c r="F774" i="3" s="1"/>
  <c r="K774" i="3"/>
  <c r="G774" i="3" l="1"/>
  <c r="V774" i="3"/>
  <c r="A775" i="3"/>
  <c r="B775" i="3" s="1"/>
  <c r="I774" i="3"/>
  <c r="J774" i="3"/>
  <c r="M774" i="3"/>
  <c r="N774" i="3" s="1"/>
  <c r="W774" i="3" l="1"/>
  <c r="P775" i="3"/>
  <c r="Q775" i="3" s="1"/>
  <c r="R775" i="3" s="1"/>
  <c r="S775" i="3" s="1"/>
  <c r="AC775" i="3"/>
  <c r="Z775" i="3"/>
  <c r="AE775" i="3"/>
  <c r="AA775" i="3"/>
  <c r="AD775" i="3"/>
  <c r="L774" i="3"/>
  <c r="U774" i="3" l="1"/>
  <c r="Y773" i="3"/>
  <c r="T775" i="3"/>
  <c r="D775" i="3" s="1"/>
  <c r="G775" i="3" l="1"/>
  <c r="AH775" i="3"/>
  <c r="AG775" i="3"/>
  <c r="E775" i="3"/>
  <c r="H775" i="3" s="1"/>
  <c r="I775" i="3" l="1"/>
  <c r="J775" i="3"/>
  <c r="M775" i="3"/>
  <c r="N775" i="3" s="1"/>
  <c r="K775" i="3"/>
  <c r="F775" i="3"/>
  <c r="L775" i="3" l="1"/>
  <c r="V775" i="3"/>
  <c r="W775" i="3" s="1"/>
  <c r="A776" i="3"/>
  <c r="B776" i="3" s="1"/>
  <c r="AE776" i="3" l="1"/>
  <c r="AC776" i="3"/>
  <c r="AD776" i="3"/>
  <c r="AA776" i="3"/>
  <c r="P776" i="3"/>
  <c r="Q776" i="3" s="1"/>
  <c r="R776" i="3" s="1"/>
  <c r="S776" i="3" s="1"/>
  <c r="Z776" i="3"/>
  <c r="U775" i="3"/>
  <c r="Y774" i="3"/>
  <c r="T776" i="3" l="1"/>
  <c r="AH776" i="3" s="1"/>
  <c r="AG776" i="3" l="1"/>
  <c r="E776" i="3"/>
  <c r="H776" i="3" s="1"/>
  <c r="K776" i="3" s="1"/>
  <c r="D776" i="3"/>
  <c r="F776" i="3" l="1"/>
  <c r="G776" i="3"/>
  <c r="I776" i="3" s="1"/>
  <c r="V776" i="3"/>
  <c r="A777" i="3"/>
  <c r="B777" i="3" s="1"/>
  <c r="M776" i="3" l="1"/>
  <c r="N776" i="3" s="1"/>
  <c r="J776" i="3"/>
  <c r="L776" i="3" s="1"/>
  <c r="W776" i="3"/>
  <c r="AE777" i="3"/>
  <c r="AD777" i="3"/>
  <c r="AC777" i="3"/>
  <c r="AA777" i="3"/>
  <c r="P777" i="3"/>
  <c r="Q777" i="3" s="1"/>
  <c r="R777" i="3" s="1"/>
  <c r="S777" i="3" s="1"/>
  <c r="Z777" i="3"/>
  <c r="T777" i="3" l="1"/>
  <c r="AH777" i="3" s="1"/>
  <c r="U776" i="3"/>
  <c r="Y775" i="3"/>
  <c r="D777" i="3" l="1"/>
  <c r="G777" i="3" s="1"/>
  <c r="E777" i="3"/>
  <c r="H777" i="3" s="1"/>
  <c r="K777" i="3" s="1"/>
  <c r="AG777" i="3"/>
  <c r="F777" i="3" l="1"/>
  <c r="I777" i="3"/>
  <c r="J777" i="3"/>
  <c r="M777" i="3"/>
  <c r="N777" i="3" s="1"/>
  <c r="V777" i="3"/>
  <c r="A778" i="3"/>
  <c r="B778" i="3" s="1"/>
  <c r="W777" i="3" l="1"/>
  <c r="L777" i="3"/>
  <c r="AA778" i="3"/>
  <c r="AE778" i="3"/>
  <c r="AC778" i="3"/>
  <c r="P778" i="3"/>
  <c r="Q778" i="3" s="1"/>
  <c r="R778" i="3" s="1"/>
  <c r="S778" i="3" s="1"/>
  <c r="Z778" i="3"/>
  <c r="AD778" i="3"/>
  <c r="T778" i="3" l="1"/>
  <c r="AH778" i="3" s="1"/>
  <c r="U777" i="3"/>
  <c r="Y776" i="3"/>
  <c r="E778" i="3" l="1"/>
  <c r="H778" i="3" s="1"/>
  <c r="K778" i="3" s="1"/>
  <c r="AG778" i="3"/>
  <c r="D778" i="3"/>
  <c r="F778" i="3" l="1"/>
  <c r="G778" i="3"/>
  <c r="M778" i="3" s="1"/>
  <c r="N778" i="3" s="1"/>
  <c r="V778" i="3"/>
  <c r="A779" i="3"/>
  <c r="B779" i="3" s="1"/>
  <c r="J778" i="3" l="1"/>
  <c r="I778" i="3"/>
  <c r="W778" i="3" s="1"/>
  <c r="P779" i="3"/>
  <c r="Q779" i="3" s="1"/>
  <c r="R779" i="3" s="1"/>
  <c r="S779" i="3" s="1"/>
  <c r="AC779" i="3"/>
  <c r="Z779" i="3"/>
  <c r="AD779" i="3"/>
  <c r="AE779" i="3"/>
  <c r="AA779" i="3"/>
  <c r="L778" i="3"/>
  <c r="U778" i="3" l="1"/>
  <c r="Y777" i="3"/>
  <c r="T779" i="3"/>
  <c r="AH779" i="3" s="1"/>
  <c r="AG779" i="3" l="1"/>
  <c r="D779" i="3"/>
  <c r="E779" i="3"/>
  <c r="H779" i="3" s="1"/>
  <c r="F779" i="3" l="1"/>
  <c r="G779" i="3"/>
  <c r="K779" i="3"/>
  <c r="I779" i="3" l="1"/>
  <c r="J779" i="3"/>
  <c r="M779" i="3"/>
  <c r="N779" i="3" s="1"/>
  <c r="V779" i="3"/>
  <c r="W779" i="3" s="1"/>
  <c r="A780" i="3"/>
  <c r="B780" i="3" s="1"/>
  <c r="L779" i="3" l="1"/>
  <c r="AD780" i="3"/>
  <c r="P780" i="3"/>
  <c r="Q780" i="3" s="1"/>
  <c r="R780" i="3" s="1"/>
  <c r="S780" i="3" s="1"/>
  <c r="AC780" i="3"/>
  <c r="Z780" i="3"/>
  <c r="AA780" i="3"/>
  <c r="AE780" i="3"/>
  <c r="T780" i="3" l="1"/>
  <c r="AG780" i="3" s="1"/>
  <c r="U779" i="3"/>
  <c r="Y778" i="3"/>
  <c r="D780" i="3" l="1"/>
  <c r="G780" i="3" s="1"/>
  <c r="AH780" i="3"/>
  <c r="E780" i="3"/>
  <c r="H780" i="3" s="1"/>
  <c r="K780" i="3" s="1"/>
  <c r="F780" i="3" l="1"/>
  <c r="I780" i="3"/>
  <c r="J780" i="3"/>
  <c r="M780" i="3"/>
  <c r="N780" i="3" s="1"/>
  <c r="V780" i="3"/>
  <c r="A781" i="3"/>
  <c r="B781" i="3" s="1"/>
  <c r="W780" i="3" l="1"/>
  <c r="AD781" i="3"/>
  <c r="P781" i="3"/>
  <c r="Q781" i="3" s="1"/>
  <c r="R781" i="3" s="1"/>
  <c r="S781" i="3" s="1"/>
  <c r="AA781" i="3"/>
  <c r="Z781" i="3"/>
  <c r="AE781" i="3"/>
  <c r="AC781" i="3"/>
  <c r="L780" i="3"/>
  <c r="T781" i="3" l="1"/>
  <c r="U780" i="3"/>
  <c r="Y779" i="3"/>
  <c r="E781" i="3" l="1"/>
  <c r="H781" i="3" s="1"/>
  <c r="K781" i="3" s="1"/>
  <c r="D781" i="3"/>
  <c r="AH781" i="3"/>
  <c r="AG781" i="3"/>
  <c r="F781" i="3" l="1"/>
  <c r="G781" i="3"/>
  <c r="M781" i="3" s="1"/>
  <c r="N781" i="3" s="1"/>
  <c r="V781" i="3"/>
  <c r="A782" i="3"/>
  <c r="B782" i="3" s="1"/>
  <c r="I781" i="3" l="1"/>
  <c r="W781" i="3" s="1"/>
  <c r="J781" i="3"/>
  <c r="L781" i="3"/>
  <c r="AE782" i="3"/>
  <c r="Z782" i="3"/>
  <c r="AA782" i="3"/>
  <c r="AD782" i="3"/>
  <c r="P782" i="3"/>
  <c r="Q782" i="3" s="1"/>
  <c r="R782" i="3" s="1"/>
  <c r="S782" i="3" s="1"/>
  <c r="AC782" i="3"/>
  <c r="U781" i="3" l="1"/>
  <c r="Y780" i="3"/>
  <c r="T782" i="3"/>
  <c r="E782" i="3" l="1"/>
  <c r="H782" i="3" s="1"/>
  <c r="K782" i="3" s="1"/>
  <c r="D782" i="3"/>
  <c r="G782" i="3" s="1"/>
  <c r="AH782" i="3"/>
  <c r="AG782" i="3"/>
  <c r="F782" i="3" l="1"/>
  <c r="I782" i="3"/>
  <c r="J782" i="3"/>
  <c r="M782" i="3"/>
  <c r="N782" i="3" s="1"/>
  <c r="V782" i="3"/>
  <c r="A783" i="3"/>
  <c r="B783" i="3" s="1"/>
  <c r="W782" i="3" l="1"/>
  <c r="Z783" i="3"/>
  <c r="AD783" i="3"/>
  <c r="AC783" i="3"/>
  <c r="AA783" i="3"/>
  <c r="P783" i="3"/>
  <c r="Q783" i="3" s="1"/>
  <c r="R783" i="3" s="1"/>
  <c r="S783" i="3" s="1"/>
  <c r="AE783" i="3"/>
  <c r="L782" i="3"/>
  <c r="T783" i="3" l="1"/>
  <c r="AH783" i="3" s="1"/>
  <c r="U782" i="3"/>
  <c r="E783" i="3" s="1"/>
  <c r="H783" i="3" s="1"/>
  <c r="Y781" i="3"/>
  <c r="D783" i="3" l="1"/>
  <c r="F783" i="3" s="1"/>
  <c r="AG783" i="3"/>
  <c r="K783" i="3"/>
  <c r="G783" i="3" l="1"/>
  <c r="M783" i="3" s="1"/>
  <c r="N783" i="3" s="1"/>
  <c r="V783" i="3"/>
  <c r="A784" i="3"/>
  <c r="B784" i="3" s="1"/>
  <c r="J783" i="3"/>
  <c r="I783" i="3" l="1"/>
  <c r="AC784" i="3"/>
  <c r="P784" i="3"/>
  <c r="Q784" i="3" s="1"/>
  <c r="R784" i="3" s="1"/>
  <c r="S784" i="3" s="1"/>
  <c r="AD784" i="3"/>
  <c r="Z784" i="3"/>
  <c r="AE784" i="3"/>
  <c r="AA784" i="3"/>
  <c r="L783" i="3"/>
  <c r="W783" i="3"/>
  <c r="T784" i="3" l="1"/>
  <c r="AG784" i="3" s="1"/>
  <c r="U783" i="3"/>
  <c r="Y782" i="3"/>
  <c r="AH784" i="3" l="1"/>
  <c r="D784" i="3"/>
  <c r="G784" i="3" s="1"/>
  <c r="E784" i="3"/>
  <c r="H784" i="3" s="1"/>
  <c r="K784" i="3" s="1"/>
  <c r="F784" i="3" l="1"/>
  <c r="V784" i="3"/>
  <c r="A785" i="3"/>
  <c r="B785" i="3" s="1"/>
  <c r="I784" i="3"/>
  <c r="J784" i="3"/>
  <c r="M784" i="3"/>
  <c r="N784" i="3" s="1"/>
  <c r="P785" i="3" l="1"/>
  <c r="Q785" i="3" s="1"/>
  <c r="R785" i="3" s="1"/>
  <c r="S785" i="3" s="1"/>
  <c r="AC785" i="3"/>
  <c r="Z785" i="3"/>
  <c r="AA785" i="3"/>
  <c r="AD785" i="3"/>
  <c r="AE785" i="3"/>
  <c r="L784" i="3"/>
  <c r="W784" i="3"/>
  <c r="U784" i="3" l="1"/>
  <c r="Y783" i="3"/>
  <c r="T785" i="3"/>
  <c r="D785" i="3" s="1"/>
  <c r="G785" i="3" l="1"/>
  <c r="E785" i="3"/>
  <c r="H785" i="3" s="1"/>
  <c r="AG785" i="3"/>
  <c r="AH785" i="3"/>
  <c r="K785" i="3" l="1"/>
  <c r="I785" i="3"/>
  <c r="J785" i="3"/>
  <c r="M785" i="3"/>
  <c r="N785" i="3" s="1"/>
  <c r="F785" i="3"/>
  <c r="V785" i="3" l="1"/>
  <c r="W785" i="3" s="1"/>
  <c r="A786" i="3"/>
  <c r="B786" i="3" s="1"/>
  <c r="L785" i="3"/>
  <c r="P786" i="3" l="1"/>
  <c r="Q786" i="3" s="1"/>
  <c r="R786" i="3" s="1"/>
  <c r="S786" i="3" s="1"/>
  <c r="AC786" i="3"/>
  <c r="AD786" i="3"/>
  <c r="AA786" i="3"/>
  <c r="AE786" i="3"/>
  <c r="Z786" i="3"/>
  <c r="U785" i="3"/>
  <c r="Y784" i="3"/>
  <c r="T786" i="3" l="1"/>
  <c r="AH786" i="3" s="1"/>
  <c r="AG786" i="3" l="1"/>
  <c r="D786" i="3"/>
  <c r="E786" i="3"/>
  <c r="H786" i="3" s="1"/>
  <c r="K786" i="3" l="1"/>
  <c r="F786" i="3"/>
  <c r="G786" i="3"/>
  <c r="V786" i="3" l="1"/>
  <c r="A787" i="3"/>
  <c r="B787" i="3" s="1"/>
  <c r="I786" i="3"/>
  <c r="J786" i="3"/>
  <c r="M786" i="3"/>
  <c r="N786" i="3" s="1"/>
  <c r="AE787" i="3" l="1"/>
  <c r="AA787" i="3"/>
  <c r="AC787" i="3"/>
  <c r="AD787" i="3"/>
  <c r="P787" i="3"/>
  <c r="Q787" i="3" s="1"/>
  <c r="R787" i="3" s="1"/>
  <c r="S787" i="3" s="1"/>
  <c r="Z787" i="3"/>
  <c r="L786" i="3"/>
  <c r="W786" i="3"/>
  <c r="T787" i="3" l="1"/>
  <c r="AH787" i="3"/>
  <c r="AG787" i="3"/>
  <c r="U786" i="3"/>
  <c r="E787" i="3" s="1"/>
  <c r="H787" i="3" s="1"/>
  <c r="Y785" i="3"/>
  <c r="K787" i="3" l="1"/>
  <c r="D787" i="3"/>
  <c r="F787" i="3" l="1"/>
  <c r="G787" i="3"/>
  <c r="V787" i="3"/>
  <c r="A788" i="3"/>
  <c r="B788" i="3" s="1"/>
  <c r="AC788" i="3" l="1"/>
  <c r="P788" i="3"/>
  <c r="Q788" i="3" s="1"/>
  <c r="R788" i="3" s="1"/>
  <c r="S788" i="3" s="1"/>
  <c r="AE788" i="3"/>
  <c r="AA788" i="3"/>
  <c r="Z788" i="3"/>
  <c r="AD788" i="3"/>
  <c r="I787" i="3"/>
  <c r="W787" i="3" s="1"/>
  <c r="J787" i="3"/>
  <c r="M787" i="3"/>
  <c r="N787" i="3" s="1"/>
  <c r="L787" i="3" l="1"/>
  <c r="T788" i="3"/>
  <c r="U787" i="3" l="1"/>
  <c r="E788" i="3" s="1"/>
  <c r="H788" i="3" s="1"/>
  <c r="D788" i="3"/>
  <c r="AH788" i="3"/>
  <c r="AG788" i="3"/>
  <c r="Y786" i="3"/>
  <c r="F788" i="3" l="1"/>
  <c r="G788" i="3"/>
  <c r="K788" i="3"/>
  <c r="I788" i="3" l="1"/>
  <c r="J788" i="3"/>
  <c r="M788" i="3"/>
  <c r="N788" i="3" s="1"/>
  <c r="V788" i="3"/>
  <c r="W788" i="3" s="1"/>
  <c r="A789" i="3"/>
  <c r="B789" i="3" s="1"/>
  <c r="L788" i="3" l="1"/>
  <c r="Z789" i="3"/>
  <c r="P789" i="3"/>
  <c r="Q789" i="3" s="1"/>
  <c r="R789" i="3" s="1"/>
  <c r="S789" i="3" s="1"/>
  <c r="AE789" i="3"/>
  <c r="AA789" i="3"/>
  <c r="AC789" i="3"/>
  <c r="AD789" i="3"/>
  <c r="T789" i="3" l="1"/>
  <c r="AH789" i="3" s="1"/>
  <c r="U788" i="3"/>
  <c r="Y787" i="3"/>
  <c r="E789" i="3" l="1"/>
  <c r="H789" i="3" s="1"/>
  <c r="K789" i="3" s="1"/>
  <c r="AG789" i="3"/>
  <c r="D789" i="3"/>
  <c r="F789" i="3" l="1"/>
  <c r="G789" i="3"/>
  <c r="I789" i="3" s="1"/>
  <c r="V789" i="3"/>
  <c r="A790" i="3"/>
  <c r="B790" i="3" s="1"/>
  <c r="W789" i="3" l="1"/>
  <c r="M789" i="3"/>
  <c r="N789" i="3" s="1"/>
  <c r="J789" i="3"/>
  <c r="L789" i="3" s="1"/>
  <c r="Z790" i="3"/>
  <c r="AA790" i="3"/>
  <c r="P790" i="3"/>
  <c r="Q790" i="3" s="1"/>
  <c r="R790" i="3" s="1"/>
  <c r="S790" i="3" s="1"/>
  <c r="AE790" i="3"/>
  <c r="AD790" i="3"/>
  <c r="AC790" i="3"/>
  <c r="U789" i="3" l="1"/>
  <c r="Y788" i="3"/>
  <c r="T790" i="3"/>
  <c r="E790" i="3" s="1"/>
  <c r="H790" i="3" s="1"/>
  <c r="AH790" i="3" l="1"/>
  <c r="D790" i="3"/>
  <c r="F790" i="3" s="1"/>
  <c r="AG790" i="3"/>
  <c r="K790" i="3"/>
  <c r="G790" i="3" l="1"/>
  <c r="M790" i="3" s="1"/>
  <c r="N790" i="3" s="1"/>
  <c r="V790" i="3"/>
  <c r="A791" i="3"/>
  <c r="B791" i="3" s="1"/>
  <c r="J790" i="3" l="1"/>
  <c r="I790" i="3"/>
  <c r="W790" i="3"/>
  <c r="AA791" i="3"/>
  <c r="AE791" i="3"/>
  <c r="AD791" i="3"/>
  <c r="AC791" i="3"/>
  <c r="P791" i="3"/>
  <c r="Q791" i="3" s="1"/>
  <c r="R791" i="3" s="1"/>
  <c r="S791" i="3" s="1"/>
  <c r="Z791" i="3"/>
  <c r="L790" i="3"/>
  <c r="T791" i="3" l="1"/>
  <c r="AG791" i="3" s="1"/>
  <c r="U790" i="3"/>
  <c r="Y789" i="3"/>
  <c r="AH791" i="3" l="1"/>
  <c r="D791" i="3"/>
  <c r="G791" i="3" s="1"/>
  <c r="E791" i="3"/>
  <c r="H791" i="3" s="1"/>
  <c r="K791" i="3" l="1"/>
  <c r="I791" i="3"/>
  <c r="J791" i="3"/>
  <c r="M791" i="3"/>
  <c r="N791" i="3" s="1"/>
  <c r="F791" i="3"/>
  <c r="V791" i="3" l="1"/>
  <c r="W791" i="3" s="1"/>
  <c r="A792" i="3"/>
  <c r="B792" i="3" s="1"/>
  <c r="L791" i="3"/>
  <c r="AA792" i="3" l="1"/>
  <c r="AC792" i="3"/>
  <c r="AD792" i="3"/>
  <c r="AE792" i="3"/>
  <c r="P792" i="3"/>
  <c r="Q792" i="3" s="1"/>
  <c r="R792" i="3" s="1"/>
  <c r="S792" i="3" s="1"/>
  <c r="Z792" i="3"/>
  <c r="U791" i="3"/>
  <c r="Y790" i="3"/>
  <c r="T792" i="3" l="1"/>
  <c r="AH792" i="3" s="1"/>
  <c r="E792" i="3" l="1"/>
  <c r="H792" i="3" s="1"/>
  <c r="K792" i="3" s="1"/>
  <c r="AG792" i="3"/>
  <c r="D792" i="3"/>
  <c r="V792" i="3" l="1"/>
  <c r="A793" i="3"/>
  <c r="B793" i="3" s="1"/>
  <c r="F792" i="3"/>
  <c r="G792" i="3"/>
  <c r="I792" i="3" l="1"/>
  <c r="W792" i="3" s="1"/>
  <c r="J792" i="3"/>
  <c r="M792" i="3"/>
  <c r="N792" i="3" s="1"/>
  <c r="AC793" i="3"/>
  <c r="AE793" i="3"/>
  <c r="P793" i="3"/>
  <c r="Q793" i="3" s="1"/>
  <c r="R793" i="3" s="1"/>
  <c r="S793" i="3" s="1"/>
  <c r="AD793" i="3"/>
  <c r="AA793" i="3"/>
  <c r="Z793" i="3"/>
  <c r="L792" i="3" l="1"/>
  <c r="T793" i="3"/>
  <c r="AH793" i="3" l="1"/>
  <c r="AG793" i="3"/>
  <c r="U792" i="3"/>
  <c r="E793" i="3" s="1"/>
  <c r="H793" i="3" s="1"/>
  <c r="Y791" i="3"/>
  <c r="D793" i="3" l="1"/>
  <c r="F793" i="3" s="1"/>
  <c r="K793" i="3"/>
  <c r="G793" i="3" l="1"/>
  <c r="M793" i="3" s="1"/>
  <c r="N793" i="3" s="1"/>
  <c r="V793" i="3"/>
  <c r="A794" i="3"/>
  <c r="B794" i="3" s="1"/>
  <c r="I793" i="3" l="1"/>
  <c r="J793" i="3"/>
  <c r="L793" i="3" s="1"/>
  <c r="P794" i="3"/>
  <c r="Q794" i="3" s="1"/>
  <c r="R794" i="3" s="1"/>
  <c r="S794" i="3" s="1"/>
  <c r="Z794" i="3"/>
  <c r="AE794" i="3"/>
  <c r="AC794" i="3"/>
  <c r="AD794" i="3"/>
  <c r="AA794" i="3"/>
  <c r="W793" i="3"/>
  <c r="U793" i="3" l="1"/>
  <c r="Y792" i="3"/>
  <c r="T794" i="3"/>
  <c r="E794" i="3" l="1"/>
  <c r="H794" i="3" s="1"/>
  <c r="K794" i="3" s="1"/>
  <c r="AG794" i="3"/>
  <c r="D794" i="3"/>
  <c r="AH794" i="3"/>
  <c r="V794" i="3" l="1"/>
  <c r="A795" i="3"/>
  <c r="B795" i="3" s="1"/>
  <c r="F794" i="3"/>
  <c r="G794" i="3"/>
  <c r="P795" i="3" l="1"/>
  <c r="Q795" i="3" s="1"/>
  <c r="R795" i="3" s="1"/>
  <c r="S795" i="3" s="1"/>
  <c r="AC795" i="3"/>
  <c r="AE795" i="3"/>
  <c r="AD795" i="3"/>
  <c r="Z795" i="3"/>
  <c r="AA795" i="3"/>
  <c r="I794" i="3"/>
  <c r="W794" i="3" s="1"/>
  <c r="J794" i="3"/>
  <c r="M794" i="3"/>
  <c r="N794" i="3" s="1"/>
  <c r="T795" i="3" l="1"/>
  <c r="L794" i="3"/>
  <c r="U794" i="3" l="1"/>
  <c r="D795" i="3" s="1"/>
  <c r="AH795" i="3"/>
  <c r="AG795" i="3"/>
  <c r="E795" i="3"/>
  <c r="H795" i="3" s="1"/>
  <c r="Y793" i="3"/>
  <c r="K795" i="3" l="1"/>
  <c r="F795" i="3"/>
  <c r="G795" i="3"/>
  <c r="V795" i="3" l="1"/>
  <c r="A796" i="3"/>
  <c r="B796" i="3" s="1"/>
  <c r="I795" i="3"/>
  <c r="J795" i="3"/>
  <c r="M795" i="3"/>
  <c r="N795" i="3" s="1"/>
  <c r="W795" i="3" l="1"/>
  <c r="AE796" i="3"/>
  <c r="AD796" i="3"/>
  <c r="Z796" i="3"/>
  <c r="AA796" i="3"/>
  <c r="P796" i="3"/>
  <c r="Q796" i="3" s="1"/>
  <c r="R796" i="3" s="1"/>
  <c r="S796" i="3" s="1"/>
  <c r="AC796" i="3"/>
  <c r="L795" i="3"/>
  <c r="T796" i="3" l="1"/>
  <c r="AG796" i="3" s="1"/>
  <c r="U795" i="3"/>
  <c r="Y794" i="3"/>
  <c r="AH796" i="3" l="1"/>
  <c r="D796" i="3"/>
  <c r="E796" i="3"/>
  <c r="H796" i="3" s="1"/>
  <c r="K796" i="3" s="1"/>
  <c r="F796" i="3" l="1"/>
  <c r="G796" i="3"/>
  <c r="I796" i="3" s="1"/>
  <c r="V796" i="3"/>
  <c r="A797" i="3"/>
  <c r="B797" i="3" s="1"/>
  <c r="M796" i="3" l="1"/>
  <c r="N796" i="3" s="1"/>
  <c r="J796" i="3"/>
  <c r="W796" i="3"/>
  <c r="AC797" i="3"/>
  <c r="AA797" i="3"/>
  <c r="P797" i="3"/>
  <c r="Q797" i="3" s="1"/>
  <c r="R797" i="3" s="1"/>
  <c r="S797" i="3" s="1"/>
  <c r="AE797" i="3"/>
  <c r="AD797" i="3"/>
  <c r="Z797" i="3"/>
  <c r="L796" i="3"/>
  <c r="T797" i="3" l="1"/>
  <c r="AG797" i="3" s="1"/>
  <c r="U796" i="3"/>
  <c r="Y795" i="3"/>
  <c r="D797" i="3" l="1"/>
  <c r="G797" i="3" s="1"/>
  <c r="AH797" i="3"/>
  <c r="E797" i="3"/>
  <c r="H797" i="3" s="1"/>
  <c r="K797" i="3" s="1"/>
  <c r="F797" i="3" l="1"/>
  <c r="I797" i="3"/>
  <c r="J797" i="3"/>
  <c r="M797" i="3"/>
  <c r="N797" i="3" s="1"/>
  <c r="V797" i="3"/>
  <c r="A798" i="3"/>
  <c r="B798" i="3" s="1"/>
  <c r="W797" i="3" l="1"/>
  <c r="Z798" i="3"/>
  <c r="AE798" i="3"/>
  <c r="AA798" i="3"/>
  <c r="AD798" i="3"/>
  <c r="P798" i="3"/>
  <c r="Q798" i="3" s="1"/>
  <c r="R798" i="3" s="1"/>
  <c r="S798" i="3" s="1"/>
  <c r="AC798" i="3"/>
  <c r="L797" i="3"/>
  <c r="T798" i="3" l="1"/>
  <c r="AH798" i="3" s="1"/>
  <c r="U797" i="3"/>
  <c r="Y796" i="3"/>
  <c r="D798" i="3" l="1"/>
  <c r="G798" i="3" s="1"/>
  <c r="AG798" i="3"/>
  <c r="E798" i="3"/>
  <c r="H798" i="3" s="1"/>
  <c r="K798" i="3" s="1"/>
  <c r="F798" i="3" l="1"/>
  <c r="V798" i="3"/>
  <c r="A799" i="3"/>
  <c r="B799" i="3" s="1"/>
  <c r="I798" i="3"/>
  <c r="J798" i="3"/>
  <c r="M798" i="3"/>
  <c r="N798" i="3" s="1"/>
  <c r="W798" i="3" l="1"/>
  <c r="L798" i="3"/>
  <c r="AE799" i="3"/>
  <c r="AA799" i="3"/>
  <c r="Z799" i="3"/>
  <c r="AC799" i="3"/>
  <c r="P799" i="3"/>
  <c r="Q799" i="3" s="1"/>
  <c r="R799" i="3" s="1"/>
  <c r="S799" i="3" s="1"/>
  <c r="AD799" i="3"/>
  <c r="T799" i="3" l="1"/>
  <c r="AH799" i="3" s="1"/>
  <c r="U798" i="3"/>
  <c r="Y797" i="3"/>
  <c r="AG799" i="3" l="1"/>
  <c r="D799" i="3"/>
  <c r="G799" i="3" s="1"/>
  <c r="E799" i="3"/>
  <c r="H799" i="3" s="1"/>
  <c r="K799" i="3" s="1"/>
  <c r="F799" i="3" l="1"/>
  <c r="V799" i="3"/>
  <c r="A800" i="3"/>
  <c r="B800" i="3" s="1"/>
  <c r="I799" i="3"/>
  <c r="J799" i="3"/>
  <c r="M799" i="3"/>
  <c r="N799" i="3" s="1"/>
  <c r="Z800" i="3" l="1"/>
  <c r="P800" i="3"/>
  <c r="Q800" i="3" s="1"/>
  <c r="R800" i="3" s="1"/>
  <c r="S800" i="3" s="1"/>
  <c r="AD800" i="3"/>
  <c r="AA800" i="3"/>
  <c r="AC800" i="3"/>
  <c r="AE800" i="3"/>
  <c r="L799" i="3"/>
  <c r="W799" i="3"/>
  <c r="T800" i="3" l="1"/>
  <c r="AG800" i="3" s="1"/>
  <c r="U799" i="3"/>
  <c r="Y798" i="3"/>
  <c r="AH800" i="3" l="1"/>
  <c r="E800" i="3"/>
  <c r="H800" i="3" s="1"/>
  <c r="K800" i="3" s="1"/>
  <c r="D800" i="3"/>
  <c r="F800" i="3" l="1"/>
  <c r="G800" i="3"/>
  <c r="V800" i="3"/>
  <c r="A801" i="3"/>
  <c r="B801" i="3" s="1"/>
  <c r="P801" i="3" l="1"/>
  <c r="Q801" i="3" s="1"/>
  <c r="R801" i="3" s="1"/>
  <c r="S801" i="3" s="1"/>
  <c r="AD801" i="3"/>
  <c r="AA801" i="3"/>
  <c r="AE801" i="3"/>
  <c r="AC801" i="3"/>
  <c r="Z801" i="3"/>
  <c r="I800" i="3"/>
  <c r="W800" i="3" s="1"/>
  <c r="J800" i="3"/>
  <c r="M800" i="3"/>
  <c r="N800" i="3" s="1"/>
  <c r="L800" i="3" l="1"/>
  <c r="T801" i="3"/>
  <c r="AH801" i="3" l="1"/>
  <c r="U800" i="3"/>
  <c r="D801" i="3" s="1"/>
  <c r="AG801" i="3"/>
  <c r="Y799" i="3"/>
  <c r="G801" i="3" l="1"/>
  <c r="E801" i="3"/>
  <c r="H801" i="3" s="1"/>
  <c r="K801" i="3" l="1"/>
  <c r="I801" i="3"/>
  <c r="J801" i="3"/>
  <c r="M801" i="3"/>
  <c r="N801" i="3" s="1"/>
  <c r="F801" i="3"/>
  <c r="V801" i="3" l="1"/>
  <c r="W801" i="3" s="1"/>
  <c r="A802" i="3"/>
  <c r="B802" i="3" s="1"/>
  <c r="L801" i="3"/>
  <c r="P802" i="3" l="1"/>
  <c r="Q802" i="3" s="1"/>
  <c r="R802" i="3" s="1"/>
  <c r="S802" i="3" s="1"/>
  <c r="Z802" i="3"/>
  <c r="AD802" i="3"/>
  <c r="AA802" i="3"/>
  <c r="AE802" i="3"/>
  <c r="AC802" i="3"/>
  <c r="U801" i="3"/>
  <c r="Y800" i="3"/>
  <c r="T802" i="3" l="1"/>
  <c r="E802" i="3" s="1"/>
  <c r="H802" i="3" s="1"/>
  <c r="AH802" i="3" l="1"/>
  <c r="AG802" i="3"/>
  <c r="K802" i="3"/>
  <c r="D802" i="3"/>
  <c r="F802" i="3" l="1"/>
  <c r="G802" i="3"/>
  <c r="V802" i="3"/>
  <c r="A803" i="3"/>
  <c r="B803" i="3" s="1"/>
  <c r="Z803" i="3" l="1"/>
  <c r="AD803" i="3"/>
  <c r="AE803" i="3"/>
  <c r="AA803" i="3"/>
  <c r="P803" i="3"/>
  <c r="Q803" i="3" s="1"/>
  <c r="R803" i="3" s="1"/>
  <c r="S803" i="3" s="1"/>
  <c r="AC803" i="3"/>
  <c r="I802" i="3"/>
  <c r="W802" i="3" s="1"/>
  <c r="J802" i="3"/>
  <c r="M802" i="3"/>
  <c r="N802" i="3" s="1"/>
  <c r="T803" i="3" l="1"/>
  <c r="L802" i="3"/>
  <c r="AG803" i="3" l="1"/>
  <c r="AH803" i="3"/>
  <c r="U802" i="3"/>
  <c r="D803" i="3" s="1"/>
  <c r="Y801" i="3"/>
  <c r="E803" i="3" l="1"/>
  <c r="H803" i="3" s="1"/>
  <c r="K803" i="3" s="1"/>
  <c r="G803" i="3"/>
  <c r="F803" i="3" l="1"/>
  <c r="I803" i="3"/>
  <c r="J803" i="3"/>
  <c r="M803" i="3"/>
  <c r="N803" i="3" s="1"/>
  <c r="V803" i="3"/>
  <c r="A804" i="3"/>
  <c r="B804" i="3" s="1"/>
  <c r="W803" i="3" l="1"/>
  <c r="L803" i="3"/>
  <c r="AA804" i="3"/>
  <c r="AC804" i="3"/>
  <c r="AE804" i="3"/>
  <c r="Z804" i="3"/>
  <c r="P804" i="3"/>
  <c r="Q804" i="3" s="1"/>
  <c r="R804" i="3" s="1"/>
  <c r="S804" i="3" s="1"/>
  <c r="AD804" i="3"/>
  <c r="U803" i="3" l="1"/>
  <c r="Y802" i="3"/>
  <c r="T804" i="3"/>
  <c r="AG804" i="3" s="1"/>
  <c r="E804" i="3" l="1"/>
  <c r="H804" i="3" s="1"/>
  <c r="K804" i="3" s="1"/>
  <c r="AH804" i="3"/>
  <c r="D804" i="3"/>
  <c r="F804" i="3" l="1"/>
  <c r="G804" i="3"/>
  <c r="V804" i="3"/>
  <c r="A805" i="3"/>
  <c r="B805" i="3" s="1"/>
  <c r="AA805" i="3" l="1"/>
  <c r="Z805" i="3"/>
  <c r="AD805" i="3"/>
  <c r="P805" i="3"/>
  <c r="Q805" i="3" s="1"/>
  <c r="R805" i="3" s="1"/>
  <c r="S805" i="3" s="1"/>
  <c r="AE805" i="3"/>
  <c r="AC805" i="3"/>
  <c r="I804" i="3"/>
  <c r="W804" i="3" s="1"/>
  <c r="J804" i="3"/>
  <c r="M804" i="3"/>
  <c r="N804" i="3" s="1"/>
  <c r="L804" i="3" l="1"/>
  <c r="T805" i="3"/>
  <c r="AG805" i="3" l="1"/>
  <c r="U804" i="3"/>
  <c r="E805" i="3" s="1"/>
  <c r="H805" i="3" s="1"/>
  <c r="AH805" i="3"/>
  <c r="Y803" i="3"/>
  <c r="D805" i="3" l="1"/>
  <c r="F805" i="3" s="1"/>
  <c r="K805" i="3"/>
  <c r="G805" i="3" l="1"/>
  <c r="I805" i="3" s="1"/>
  <c r="V805" i="3"/>
  <c r="A806" i="3"/>
  <c r="B806" i="3" s="1"/>
  <c r="M805" i="3" l="1"/>
  <c r="N805" i="3" s="1"/>
  <c r="J805" i="3"/>
  <c r="W805" i="3"/>
  <c r="AE806" i="3"/>
  <c r="P806" i="3"/>
  <c r="Q806" i="3" s="1"/>
  <c r="R806" i="3" s="1"/>
  <c r="S806" i="3" s="1"/>
  <c r="AD806" i="3"/>
  <c r="AA806" i="3"/>
  <c r="Z806" i="3"/>
  <c r="AC806" i="3"/>
  <c r="L805" i="3"/>
  <c r="T806" i="3" l="1"/>
  <c r="AG806" i="3" s="1"/>
  <c r="U805" i="3"/>
  <c r="Y804" i="3"/>
  <c r="AH806" i="3" l="1"/>
  <c r="E806" i="3"/>
  <c r="H806" i="3" s="1"/>
  <c r="K806" i="3" s="1"/>
  <c r="D806" i="3"/>
  <c r="G806" i="3" s="1"/>
  <c r="F806" i="3" l="1"/>
  <c r="I806" i="3"/>
  <c r="J806" i="3"/>
  <c r="M806" i="3"/>
  <c r="N806" i="3" s="1"/>
  <c r="V806" i="3"/>
  <c r="A807" i="3"/>
  <c r="B807" i="3" s="1"/>
  <c r="W806" i="3" l="1"/>
  <c r="AE807" i="3"/>
  <c r="Z807" i="3"/>
  <c r="P807" i="3"/>
  <c r="Q807" i="3" s="1"/>
  <c r="R807" i="3" s="1"/>
  <c r="S807" i="3" s="1"/>
  <c r="AD807" i="3"/>
  <c r="AA807" i="3"/>
  <c r="AC807" i="3"/>
  <c r="L806" i="3"/>
  <c r="T807" i="3" l="1"/>
  <c r="AG807" i="3" s="1"/>
  <c r="U806" i="3"/>
  <c r="Y805" i="3"/>
  <c r="AH807" i="3" l="1"/>
  <c r="D807" i="3"/>
  <c r="G807" i="3" s="1"/>
  <c r="E807" i="3"/>
  <c r="H807" i="3" s="1"/>
  <c r="K807" i="3" s="1"/>
  <c r="F807" i="3" l="1"/>
  <c r="I807" i="3"/>
  <c r="J807" i="3"/>
  <c r="M807" i="3"/>
  <c r="N807" i="3" s="1"/>
  <c r="V807" i="3"/>
  <c r="A808" i="3"/>
  <c r="B808" i="3" s="1"/>
  <c r="W807" i="3" l="1"/>
  <c r="AA808" i="3"/>
  <c r="AE808" i="3"/>
  <c r="AC808" i="3"/>
  <c r="Z808" i="3"/>
  <c r="P808" i="3"/>
  <c r="Q808" i="3" s="1"/>
  <c r="R808" i="3" s="1"/>
  <c r="S808" i="3" s="1"/>
  <c r="AD808" i="3"/>
  <c r="L807" i="3"/>
  <c r="T808" i="3" l="1"/>
  <c r="AH808" i="3" s="1"/>
  <c r="U807" i="3"/>
  <c r="Y806" i="3"/>
  <c r="AG808" i="3" l="1"/>
  <c r="D808" i="3"/>
  <c r="G808" i="3" s="1"/>
  <c r="E808" i="3"/>
  <c r="H808" i="3" s="1"/>
  <c r="K808" i="3" s="1"/>
  <c r="F808" i="3" l="1"/>
  <c r="V808" i="3"/>
  <c r="A809" i="3"/>
  <c r="B809" i="3" s="1"/>
  <c r="I808" i="3"/>
  <c r="J808" i="3"/>
  <c r="M808" i="3"/>
  <c r="N808" i="3" s="1"/>
  <c r="W808" i="3" l="1"/>
  <c r="P809" i="3"/>
  <c r="Q809" i="3" s="1"/>
  <c r="R809" i="3" s="1"/>
  <c r="S809" i="3" s="1"/>
  <c r="AA809" i="3"/>
  <c r="AD809" i="3"/>
  <c r="Z809" i="3"/>
  <c r="AE809" i="3"/>
  <c r="AC809" i="3"/>
  <c r="L808" i="3"/>
  <c r="U808" i="3" l="1"/>
  <c r="Y807" i="3"/>
  <c r="T809" i="3"/>
  <c r="AG809" i="3" s="1"/>
  <c r="D809" i="3" l="1"/>
  <c r="G809" i="3" s="1"/>
  <c r="AH809" i="3"/>
  <c r="E809" i="3"/>
  <c r="H809" i="3" s="1"/>
  <c r="I809" i="3" l="1"/>
  <c r="J809" i="3"/>
  <c r="M809" i="3"/>
  <c r="N809" i="3" s="1"/>
  <c r="K809" i="3"/>
  <c r="F809" i="3"/>
  <c r="V809" i="3" l="1"/>
  <c r="W809" i="3" s="1"/>
  <c r="A810" i="3"/>
  <c r="B810" i="3" s="1"/>
  <c r="L809" i="3"/>
  <c r="AA810" i="3" l="1"/>
  <c r="AD810" i="3"/>
  <c r="Z810" i="3"/>
  <c r="AC810" i="3"/>
  <c r="AE810" i="3"/>
  <c r="P810" i="3"/>
  <c r="Q810" i="3" s="1"/>
  <c r="R810" i="3" s="1"/>
  <c r="S810" i="3" s="1"/>
  <c r="U809" i="3"/>
  <c r="Y808" i="3"/>
  <c r="T810" i="3" l="1"/>
  <c r="AG810" i="3" s="1"/>
  <c r="E810" i="3"/>
  <c r="H810" i="3" s="1"/>
  <c r="AH810" i="3" l="1"/>
  <c r="D810" i="3"/>
  <c r="F810" i="3" s="1"/>
  <c r="K810" i="3"/>
  <c r="G810" i="3" l="1"/>
  <c r="I810" i="3" s="1"/>
  <c r="V810" i="3"/>
  <c r="A811" i="3"/>
  <c r="B811" i="3" s="1"/>
  <c r="J810" i="3" l="1"/>
  <c r="M810" i="3"/>
  <c r="N810" i="3" s="1"/>
  <c r="W810" i="3"/>
  <c r="P811" i="3"/>
  <c r="Q811" i="3" s="1"/>
  <c r="R811" i="3" s="1"/>
  <c r="S811" i="3" s="1"/>
  <c r="AA811" i="3"/>
  <c r="AC811" i="3"/>
  <c r="Z811" i="3"/>
  <c r="AE811" i="3"/>
  <c r="AD811" i="3"/>
  <c r="L810" i="3"/>
  <c r="U810" i="3" l="1"/>
  <c r="Y809" i="3"/>
  <c r="T811" i="3"/>
  <c r="AH811" i="3" s="1"/>
  <c r="D811" i="3" l="1"/>
  <c r="G811" i="3" s="1"/>
  <c r="AG811" i="3"/>
  <c r="E811" i="3"/>
  <c r="H811" i="3" s="1"/>
  <c r="K811" i="3" l="1"/>
  <c r="I811" i="3"/>
  <c r="J811" i="3"/>
  <c r="M811" i="3"/>
  <c r="N811" i="3" s="1"/>
  <c r="F811" i="3"/>
  <c r="V811" i="3" l="1"/>
  <c r="W811" i="3" s="1"/>
  <c r="A812" i="3"/>
  <c r="B812" i="3" s="1"/>
  <c r="L811" i="3"/>
  <c r="AE812" i="3" l="1"/>
  <c r="AA812" i="3"/>
  <c r="Z812" i="3"/>
  <c r="AD812" i="3"/>
  <c r="P812" i="3"/>
  <c r="Q812" i="3" s="1"/>
  <c r="R812" i="3" s="1"/>
  <c r="S812" i="3" s="1"/>
  <c r="AC812" i="3"/>
  <c r="U811" i="3"/>
  <c r="Y810" i="3"/>
  <c r="T812" i="3" l="1"/>
  <c r="D812" i="3" s="1"/>
  <c r="AH812" i="3"/>
  <c r="E812" i="3" l="1"/>
  <c r="H812" i="3" s="1"/>
  <c r="K812" i="3" s="1"/>
  <c r="AG812" i="3"/>
  <c r="G812" i="3"/>
  <c r="F812" i="3" l="1"/>
  <c r="V812" i="3"/>
  <c r="A813" i="3"/>
  <c r="B813" i="3" s="1"/>
  <c r="I812" i="3"/>
  <c r="J812" i="3"/>
  <c r="M812" i="3"/>
  <c r="N812" i="3" s="1"/>
  <c r="AC813" i="3" l="1"/>
  <c r="Z813" i="3"/>
  <c r="AE813" i="3"/>
  <c r="AD813" i="3"/>
  <c r="P813" i="3"/>
  <c r="Q813" i="3" s="1"/>
  <c r="R813" i="3" s="1"/>
  <c r="S813" i="3" s="1"/>
  <c r="AA813" i="3"/>
  <c r="W812" i="3"/>
  <c r="L812" i="3"/>
  <c r="T813" i="3" l="1"/>
  <c r="AG813" i="3" s="1"/>
  <c r="U812" i="3"/>
  <c r="Y811" i="3"/>
  <c r="D813" i="3" l="1"/>
  <c r="G813" i="3" s="1"/>
  <c r="AH813" i="3"/>
  <c r="E813" i="3"/>
  <c r="H813" i="3" s="1"/>
  <c r="K813" i="3" l="1"/>
  <c r="I813" i="3"/>
  <c r="J813" i="3"/>
  <c r="M813" i="3"/>
  <c r="N813" i="3" s="1"/>
  <c r="F813" i="3"/>
  <c r="V813" i="3" l="1"/>
  <c r="W813" i="3" s="1"/>
  <c r="A814" i="3"/>
  <c r="B814" i="3" s="1"/>
  <c r="L813" i="3"/>
  <c r="AD814" i="3" l="1"/>
  <c r="AA814" i="3"/>
  <c r="P814" i="3"/>
  <c r="Q814" i="3" s="1"/>
  <c r="R814" i="3" s="1"/>
  <c r="S814" i="3" s="1"/>
  <c r="AC814" i="3"/>
  <c r="Z814" i="3"/>
  <c r="AE814" i="3"/>
  <c r="U813" i="3"/>
  <c r="Y812" i="3"/>
  <c r="T814" i="3" l="1"/>
  <c r="D814" i="3" s="1"/>
  <c r="E814" i="3" l="1"/>
  <c r="H814" i="3" s="1"/>
  <c r="K814" i="3" s="1"/>
  <c r="AH814" i="3"/>
  <c r="G814" i="3"/>
  <c r="AG814" i="3"/>
  <c r="F814" i="3" l="1"/>
  <c r="V814" i="3"/>
  <c r="A815" i="3"/>
  <c r="B815" i="3" s="1"/>
  <c r="I814" i="3"/>
  <c r="J814" i="3"/>
  <c r="M814" i="3"/>
  <c r="N814" i="3" s="1"/>
  <c r="AD815" i="3" l="1"/>
  <c r="Z815" i="3"/>
  <c r="AA815" i="3"/>
  <c r="P815" i="3"/>
  <c r="Q815" i="3" s="1"/>
  <c r="R815" i="3" s="1"/>
  <c r="S815" i="3" s="1"/>
  <c r="AC815" i="3"/>
  <c r="AE815" i="3"/>
  <c r="L814" i="3"/>
  <c r="W814" i="3"/>
  <c r="T815" i="3" l="1"/>
  <c r="AG815" i="3" s="1"/>
  <c r="U814" i="3"/>
  <c r="AH815" i="3"/>
  <c r="Y813" i="3"/>
  <c r="E815" i="3" l="1"/>
  <c r="H815" i="3" s="1"/>
  <c r="K815" i="3" s="1"/>
  <c r="D815" i="3"/>
  <c r="F815" i="3" l="1"/>
  <c r="G815" i="3"/>
  <c r="I815" i="3" s="1"/>
  <c r="V815" i="3"/>
  <c r="A816" i="3"/>
  <c r="B816" i="3" s="1"/>
  <c r="M815" i="3" l="1"/>
  <c r="N815" i="3" s="1"/>
  <c r="J815" i="3"/>
  <c r="W815" i="3"/>
  <c r="Z816" i="3"/>
  <c r="P816" i="3"/>
  <c r="Q816" i="3" s="1"/>
  <c r="R816" i="3" s="1"/>
  <c r="S816" i="3" s="1"/>
  <c r="AD816" i="3"/>
  <c r="AC816" i="3"/>
  <c r="AA816" i="3"/>
  <c r="AE816" i="3"/>
  <c r="L815" i="3"/>
  <c r="T816" i="3" l="1"/>
  <c r="AH816" i="3" s="1"/>
  <c r="U815" i="3"/>
  <c r="Y814" i="3"/>
  <c r="E816" i="3" l="1"/>
  <c r="H816" i="3" s="1"/>
  <c r="K816" i="3" s="1"/>
  <c r="AG816" i="3"/>
  <c r="D816" i="3"/>
  <c r="G816" i="3" s="1"/>
  <c r="F816" i="3" l="1"/>
  <c r="V816" i="3"/>
  <c r="A817" i="3"/>
  <c r="B817" i="3" s="1"/>
  <c r="I816" i="3"/>
  <c r="J816" i="3"/>
  <c r="M816" i="3"/>
  <c r="N816" i="3" s="1"/>
  <c r="W816" i="3" l="1"/>
  <c r="AE817" i="3"/>
  <c r="P817" i="3"/>
  <c r="Q817" i="3" s="1"/>
  <c r="R817" i="3" s="1"/>
  <c r="S817" i="3" s="1"/>
  <c r="Z817" i="3"/>
  <c r="AD817" i="3"/>
  <c r="AA817" i="3"/>
  <c r="AC817" i="3"/>
  <c r="L816" i="3"/>
  <c r="T817" i="3" l="1"/>
  <c r="AH817" i="3" s="1"/>
  <c r="U816" i="3"/>
  <c r="Y815" i="3"/>
  <c r="E817" i="3" l="1"/>
  <c r="H817" i="3" s="1"/>
  <c r="K817" i="3" s="1"/>
  <c r="AG817" i="3"/>
  <c r="D817" i="3"/>
  <c r="F817" i="3" l="1"/>
  <c r="G817" i="3"/>
  <c r="I817" i="3" s="1"/>
  <c r="V817" i="3"/>
  <c r="A818" i="3"/>
  <c r="B818" i="3" s="1"/>
  <c r="M817" i="3" l="1"/>
  <c r="N817" i="3" s="1"/>
  <c r="J817" i="3"/>
  <c r="W817" i="3"/>
  <c r="P818" i="3"/>
  <c r="Q818" i="3" s="1"/>
  <c r="R818" i="3" s="1"/>
  <c r="S818" i="3" s="1"/>
  <c r="AA818" i="3"/>
  <c r="AE818" i="3"/>
  <c r="AC818" i="3"/>
  <c r="Z818" i="3"/>
  <c r="AD818" i="3"/>
  <c r="L817" i="3"/>
  <c r="U817" i="3" l="1"/>
  <c r="Y816" i="3"/>
  <c r="T818" i="3"/>
  <c r="E818" i="3" l="1"/>
  <c r="H818" i="3" s="1"/>
  <c r="K818" i="3" s="1"/>
  <c r="AH818" i="3"/>
  <c r="AG818" i="3"/>
  <c r="D818" i="3"/>
  <c r="V818" i="3" l="1"/>
  <c r="A819" i="3"/>
  <c r="B819" i="3" s="1"/>
  <c r="F818" i="3"/>
  <c r="G818" i="3"/>
  <c r="I818" i="3" l="1"/>
  <c r="W818" i="3" s="1"/>
  <c r="J818" i="3"/>
  <c r="M818" i="3"/>
  <c r="N818" i="3" s="1"/>
  <c r="AE819" i="3"/>
  <c r="AA819" i="3"/>
  <c r="AC819" i="3"/>
  <c r="P819" i="3"/>
  <c r="Q819" i="3" s="1"/>
  <c r="R819" i="3" s="1"/>
  <c r="S819" i="3" s="1"/>
  <c r="Z819" i="3"/>
  <c r="AD819" i="3"/>
  <c r="L818" i="3" l="1"/>
  <c r="T819" i="3"/>
  <c r="AH819" i="3" l="1"/>
  <c r="AG819" i="3"/>
  <c r="U818" i="3"/>
  <c r="D819" i="3" s="1"/>
  <c r="Y817" i="3"/>
  <c r="G819" i="3" l="1"/>
  <c r="E819" i="3"/>
  <c r="H819" i="3" s="1"/>
  <c r="K819" i="3" l="1"/>
  <c r="I819" i="3"/>
  <c r="J819" i="3"/>
  <c r="M819" i="3"/>
  <c r="N819" i="3" s="1"/>
  <c r="F819" i="3"/>
  <c r="V819" i="3" l="1"/>
  <c r="W819" i="3" s="1"/>
  <c r="A820" i="3"/>
  <c r="B820" i="3" s="1"/>
  <c r="L819" i="3"/>
  <c r="P820" i="3" l="1"/>
  <c r="Q820" i="3" s="1"/>
  <c r="R820" i="3" s="1"/>
  <c r="S820" i="3" s="1"/>
  <c r="AE820" i="3"/>
  <c r="Z820" i="3"/>
  <c r="AA820" i="3"/>
  <c r="AC820" i="3"/>
  <c r="AD820" i="3"/>
  <c r="U819" i="3"/>
  <c r="Y818" i="3"/>
  <c r="T820" i="3" l="1"/>
  <c r="AH820" i="3" l="1"/>
  <c r="E820" i="3"/>
  <c r="H820" i="3" s="1"/>
  <c r="AG820" i="3"/>
  <c r="D820" i="3"/>
  <c r="K820" i="3" l="1"/>
  <c r="F820" i="3"/>
  <c r="G820" i="3"/>
  <c r="V820" i="3" l="1"/>
  <c r="A821" i="3"/>
  <c r="B821" i="3" s="1"/>
  <c r="I820" i="3"/>
  <c r="J820" i="3"/>
  <c r="M820" i="3"/>
  <c r="N820" i="3" s="1"/>
  <c r="AA821" i="3" l="1"/>
  <c r="AE821" i="3"/>
  <c r="P821" i="3"/>
  <c r="Q821" i="3" s="1"/>
  <c r="R821" i="3" s="1"/>
  <c r="S821" i="3" s="1"/>
  <c r="Z821" i="3"/>
  <c r="AC821" i="3"/>
  <c r="AD821" i="3"/>
  <c r="L820" i="3"/>
  <c r="W820" i="3"/>
  <c r="T821" i="3" l="1"/>
  <c r="AG821" i="3" s="1"/>
  <c r="U820" i="3"/>
  <c r="Y819" i="3"/>
  <c r="AH821" i="3" l="1"/>
  <c r="D821" i="3"/>
  <c r="G821" i="3" s="1"/>
  <c r="E821" i="3"/>
  <c r="H821" i="3" s="1"/>
  <c r="K821" i="3" s="1"/>
  <c r="F821" i="3" l="1"/>
  <c r="V821" i="3"/>
  <c r="A822" i="3"/>
  <c r="B822" i="3" s="1"/>
  <c r="I821" i="3"/>
  <c r="J821" i="3"/>
  <c r="M821" i="3"/>
  <c r="N821" i="3" s="1"/>
  <c r="W821" i="3" l="1"/>
  <c r="AC822" i="3"/>
  <c r="P822" i="3"/>
  <c r="Q822" i="3" s="1"/>
  <c r="R822" i="3" s="1"/>
  <c r="S822" i="3" s="1"/>
  <c r="AD822" i="3"/>
  <c r="AA822" i="3"/>
  <c r="AE822" i="3"/>
  <c r="Z822" i="3"/>
  <c r="L821" i="3"/>
  <c r="T822" i="3" l="1"/>
  <c r="AH822" i="3"/>
  <c r="AG822" i="3"/>
  <c r="U821" i="3"/>
  <c r="D822" i="3" s="1"/>
  <c r="Y820" i="3"/>
  <c r="E822" i="3" l="1"/>
  <c r="H822" i="3" s="1"/>
  <c r="K822" i="3" s="1"/>
  <c r="G822" i="3"/>
  <c r="F822" i="3" l="1"/>
  <c r="I822" i="3"/>
  <c r="J822" i="3"/>
  <c r="M822" i="3"/>
  <c r="N822" i="3" s="1"/>
  <c r="V822" i="3"/>
  <c r="A823" i="3"/>
  <c r="B823" i="3" s="1"/>
  <c r="W822" i="3" l="1"/>
  <c r="AD823" i="3"/>
  <c r="AE823" i="3"/>
  <c r="AC823" i="3"/>
  <c r="AA823" i="3"/>
  <c r="P823" i="3"/>
  <c r="Q823" i="3" s="1"/>
  <c r="R823" i="3" s="1"/>
  <c r="S823" i="3" s="1"/>
  <c r="Z823" i="3"/>
  <c r="L822" i="3"/>
  <c r="T823" i="3" l="1"/>
  <c r="U822" i="3"/>
  <c r="Y821" i="3"/>
  <c r="E823" i="3" l="1"/>
  <c r="H823" i="3" s="1"/>
  <c r="K823" i="3" s="1"/>
  <c r="AG823" i="3"/>
  <c r="D823" i="3"/>
  <c r="AH823" i="3"/>
  <c r="V823" i="3" l="1"/>
  <c r="A824" i="3"/>
  <c r="B824" i="3" s="1"/>
  <c r="F823" i="3"/>
  <c r="G823" i="3"/>
  <c r="I823" i="3" l="1"/>
  <c r="J823" i="3"/>
  <c r="M823" i="3"/>
  <c r="N823" i="3" s="1"/>
  <c r="AE824" i="3"/>
  <c r="P824" i="3"/>
  <c r="Q824" i="3" s="1"/>
  <c r="R824" i="3" s="1"/>
  <c r="S824" i="3" s="1"/>
  <c r="AA824" i="3"/>
  <c r="AC824" i="3"/>
  <c r="AD824" i="3"/>
  <c r="Z824" i="3"/>
  <c r="W823" i="3"/>
  <c r="T824" i="3" l="1"/>
  <c r="L823" i="3"/>
  <c r="AG824" i="3" l="1"/>
  <c r="AH824" i="3"/>
  <c r="U823" i="3"/>
  <c r="D824" i="3" s="1"/>
  <c r="Y822" i="3"/>
  <c r="E824" i="3" l="1"/>
  <c r="H824" i="3" s="1"/>
  <c r="K824" i="3" s="1"/>
  <c r="G824" i="3"/>
  <c r="F824" i="3" l="1"/>
  <c r="I824" i="3"/>
  <c r="J824" i="3"/>
  <c r="M824" i="3"/>
  <c r="N824" i="3" s="1"/>
  <c r="V824" i="3"/>
  <c r="A825" i="3"/>
  <c r="B825" i="3" s="1"/>
  <c r="W824" i="3" l="1"/>
  <c r="L824" i="3"/>
  <c r="AD825" i="3"/>
  <c r="AA825" i="3"/>
  <c r="P825" i="3"/>
  <c r="Q825" i="3" s="1"/>
  <c r="R825" i="3" s="1"/>
  <c r="S825" i="3" s="1"/>
  <c r="AC825" i="3"/>
  <c r="AE825" i="3"/>
  <c r="Z825" i="3"/>
  <c r="T825" i="3" l="1"/>
  <c r="AG825" i="3" s="1"/>
  <c r="U824" i="3"/>
  <c r="Y823" i="3"/>
  <c r="AH825" i="3" l="1"/>
  <c r="D825" i="3"/>
  <c r="G825" i="3" s="1"/>
  <c r="E825" i="3"/>
  <c r="H825" i="3" s="1"/>
  <c r="K825" i="3" l="1"/>
  <c r="I825" i="3"/>
  <c r="J825" i="3"/>
  <c r="M825" i="3"/>
  <c r="N825" i="3" s="1"/>
  <c r="F825" i="3"/>
  <c r="V825" i="3" l="1"/>
  <c r="W825" i="3" s="1"/>
  <c r="A826" i="3"/>
  <c r="B826" i="3" s="1"/>
  <c r="L825" i="3"/>
  <c r="AA826" i="3" l="1"/>
  <c r="AC826" i="3"/>
  <c r="AD826" i="3"/>
  <c r="P826" i="3"/>
  <c r="Q826" i="3" s="1"/>
  <c r="R826" i="3" s="1"/>
  <c r="S826" i="3" s="1"/>
  <c r="AE826" i="3"/>
  <c r="Z826" i="3"/>
  <c r="U825" i="3"/>
  <c r="Y824" i="3"/>
  <c r="T826" i="3" l="1"/>
  <c r="E826" i="3" s="1"/>
  <c r="H826" i="3" s="1"/>
  <c r="AH826" i="3" l="1"/>
  <c r="AG826" i="3"/>
  <c r="K826" i="3"/>
  <c r="D826" i="3"/>
  <c r="F826" i="3" l="1"/>
  <c r="G826" i="3"/>
  <c r="V826" i="3"/>
  <c r="A827" i="3"/>
  <c r="B827" i="3" s="1"/>
  <c r="AA827" i="3" l="1"/>
  <c r="Z827" i="3"/>
  <c r="AD827" i="3"/>
  <c r="AE827" i="3"/>
  <c r="AC827" i="3"/>
  <c r="P827" i="3"/>
  <c r="Q827" i="3" s="1"/>
  <c r="R827" i="3" s="1"/>
  <c r="S827" i="3" s="1"/>
  <c r="I826" i="3"/>
  <c r="W826" i="3" s="1"/>
  <c r="J826" i="3"/>
  <c r="M826" i="3"/>
  <c r="N826" i="3" s="1"/>
  <c r="T827" i="3" l="1"/>
  <c r="L826" i="3"/>
  <c r="U826" i="3" l="1"/>
  <c r="E827" i="3" s="1"/>
  <c r="H827" i="3" s="1"/>
  <c r="AH827" i="3"/>
  <c r="AG827" i="3"/>
  <c r="Y825" i="3"/>
  <c r="D827" i="3" l="1"/>
  <c r="F827" i="3" s="1"/>
  <c r="K827" i="3"/>
  <c r="G827" i="3" l="1"/>
  <c r="M827" i="3" s="1"/>
  <c r="N827" i="3" s="1"/>
  <c r="V827" i="3"/>
  <c r="A828" i="3"/>
  <c r="B828" i="3" s="1"/>
  <c r="J827" i="3" l="1"/>
  <c r="L827" i="3" s="1"/>
  <c r="I827" i="3"/>
  <c r="W827" i="3" s="1"/>
  <c r="AD828" i="3"/>
  <c r="AC828" i="3"/>
  <c r="AA828" i="3"/>
  <c r="AE828" i="3"/>
  <c r="Z828" i="3"/>
  <c r="P828" i="3"/>
  <c r="Q828" i="3" s="1"/>
  <c r="R828" i="3" s="1"/>
  <c r="S828" i="3" s="1"/>
  <c r="T828" i="3" l="1"/>
  <c r="U827" i="3"/>
  <c r="E828" i="3" s="1"/>
  <c r="H828" i="3" s="1"/>
  <c r="AG828" i="3"/>
  <c r="AH828" i="3"/>
  <c r="Y826" i="3"/>
  <c r="D828" i="3" l="1"/>
  <c r="F828" i="3" s="1"/>
  <c r="K828" i="3"/>
  <c r="G828" i="3" l="1"/>
  <c r="I828" i="3" s="1"/>
  <c r="V828" i="3"/>
  <c r="A829" i="3"/>
  <c r="B829" i="3" s="1"/>
  <c r="M828" i="3" l="1"/>
  <c r="N828" i="3" s="1"/>
  <c r="J828" i="3"/>
  <c r="L828" i="3" s="1"/>
  <c r="W828" i="3"/>
  <c r="AC829" i="3"/>
  <c r="AE829" i="3"/>
  <c r="AA829" i="3"/>
  <c r="AD829" i="3"/>
  <c r="P829" i="3"/>
  <c r="Q829" i="3" s="1"/>
  <c r="R829" i="3" s="1"/>
  <c r="S829" i="3" s="1"/>
  <c r="Z829" i="3"/>
  <c r="T829" i="3" l="1"/>
  <c r="AH829" i="3" s="1"/>
  <c r="U828" i="3"/>
  <c r="Y827" i="3"/>
  <c r="AG829" i="3" l="1"/>
  <c r="E829" i="3"/>
  <c r="H829" i="3" s="1"/>
  <c r="K829" i="3" s="1"/>
  <c r="D829" i="3"/>
  <c r="F829" i="3" l="1"/>
  <c r="G829" i="3"/>
  <c r="I829" i="3" s="1"/>
  <c r="V829" i="3"/>
  <c r="A830" i="3"/>
  <c r="B830" i="3" s="1"/>
  <c r="M829" i="3" l="1"/>
  <c r="N829" i="3" s="1"/>
  <c r="J829" i="3"/>
  <c r="W829" i="3"/>
  <c r="P830" i="3"/>
  <c r="Q830" i="3" s="1"/>
  <c r="R830" i="3" s="1"/>
  <c r="S830" i="3" s="1"/>
  <c r="AA830" i="3"/>
  <c r="AE830" i="3"/>
  <c r="AC830" i="3"/>
  <c r="Z830" i="3"/>
  <c r="AD830" i="3"/>
  <c r="L829" i="3"/>
  <c r="U829" i="3" l="1"/>
  <c r="Y828" i="3"/>
  <c r="T830" i="3"/>
  <c r="AH830" i="3" s="1"/>
  <c r="D830" i="3" l="1"/>
  <c r="AG830" i="3"/>
  <c r="E830" i="3"/>
  <c r="H830" i="3" s="1"/>
  <c r="K830" i="3" l="1"/>
  <c r="F830" i="3"/>
  <c r="G830" i="3"/>
  <c r="V830" i="3" l="1"/>
  <c r="A831" i="3"/>
  <c r="B831" i="3" s="1"/>
  <c r="I830" i="3"/>
  <c r="J830" i="3"/>
  <c r="M830" i="3"/>
  <c r="N830" i="3" s="1"/>
  <c r="W830" i="3" l="1"/>
  <c r="AE831" i="3"/>
  <c r="AD831" i="3"/>
  <c r="Z831" i="3"/>
  <c r="AC831" i="3"/>
  <c r="P831" i="3"/>
  <c r="Q831" i="3" s="1"/>
  <c r="R831" i="3" s="1"/>
  <c r="S831" i="3" s="1"/>
  <c r="AA831" i="3"/>
  <c r="L830" i="3"/>
  <c r="U830" i="3" l="1"/>
  <c r="Y829" i="3"/>
  <c r="T831" i="3"/>
  <c r="AG831" i="3" s="1"/>
  <c r="E831" i="3" l="1"/>
  <c r="H831" i="3" s="1"/>
  <c r="K831" i="3" s="1"/>
  <c r="D831" i="3"/>
  <c r="AH831" i="3"/>
  <c r="F831" i="3" l="1"/>
  <c r="G831" i="3"/>
  <c r="V831" i="3"/>
  <c r="A832" i="3"/>
  <c r="B832" i="3" s="1"/>
  <c r="P832" i="3" l="1"/>
  <c r="Q832" i="3" s="1"/>
  <c r="R832" i="3" s="1"/>
  <c r="S832" i="3" s="1"/>
  <c r="AD832" i="3"/>
  <c r="AE832" i="3"/>
  <c r="Z832" i="3"/>
  <c r="AC832" i="3"/>
  <c r="AA832" i="3"/>
  <c r="I831" i="3"/>
  <c r="W831" i="3" s="1"/>
  <c r="J831" i="3"/>
  <c r="M831" i="3"/>
  <c r="N831" i="3" s="1"/>
  <c r="L831" i="3" l="1"/>
  <c r="T832" i="3"/>
  <c r="U831" i="3" l="1"/>
  <c r="D832" i="3" s="1"/>
  <c r="AH832" i="3"/>
  <c r="AG832" i="3"/>
  <c r="Y830" i="3"/>
  <c r="E832" i="3" l="1"/>
  <c r="H832" i="3" s="1"/>
  <c r="K832" i="3" s="1"/>
  <c r="G832" i="3"/>
  <c r="F832" i="3" l="1"/>
  <c r="V832" i="3"/>
  <c r="A833" i="3"/>
  <c r="B833" i="3" s="1"/>
  <c r="I832" i="3"/>
  <c r="J832" i="3"/>
  <c r="M832" i="3"/>
  <c r="N832" i="3" s="1"/>
  <c r="Z833" i="3" l="1"/>
  <c r="AD833" i="3"/>
  <c r="AC833" i="3"/>
  <c r="AE833" i="3"/>
  <c r="P833" i="3"/>
  <c r="Q833" i="3" s="1"/>
  <c r="R833" i="3" s="1"/>
  <c r="S833" i="3" s="1"/>
  <c r="AA833" i="3"/>
  <c r="L832" i="3"/>
  <c r="W832" i="3"/>
  <c r="T833" i="3" l="1"/>
  <c r="AG833" i="3" s="1"/>
  <c r="U832" i="3"/>
  <c r="E833" i="3" s="1"/>
  <c r="H833" i="3" s="1"/>
  <c r="Y831" i="3"/>
  <c r="AH833" i="3" l="1"/>
  <c r="D833" i="3"/>
  <c r="G833" i="3" s="1"/>
  <c r="K833" i="3"/>
  <c r="F833" i="3" l="1"/>
  <c r="I833" i="3"/>
  <c r="J833" i="3"/>
  <c r="M833" i="3"/>
  <c r="N833" i="3" s="1"/>
  <c r="V833" i="3"/>
  <c r="A834" i="3"/>
  <c r="B834" i="3" s="1"/>
  <c r="W833" i="3" l="1"/>
  <c r="P834" i="3"/>
  <c r="Q834" i="3" s="1"/>
  <c r="R834" i="3" s="1"/>
  <c r="S834" i="3" s="1"/>
  <c r="Z834" i="3"/>
  <c r="AA834" i="3"/>
  <c r="AD834" i="3"/>
  <c r="AC834" i="3"/>
  <c r="AE834" i="3"/>
  <c r="L833" i="3"/>
  <c r="U833" i="3" l="1"/>
  <c r="Y832" i="3"/>
  <c r="T834" i="3"/>
  <c r="AG834" i="3" s="1"/>
  <c r="D834" i="3" l="1"/>
  <c r="E834" i="3"/>
  <c r="H834" i="3" s="1"/>
  <c r="AH834" i="3"/>
  <c r="K834" i="3" l="1"/>
  <c r="F834" i="3"/>
  <c r="G834" i="3"/>
  <c r="V834" i="3" l="1"/>
  <c r="A835" i="3"/>
  <c r="B835" i="3" s="1"/>
  <c r="I834" i="3"/>
  <c r="J834" i="3"/>
  <c r="M834" i="3"/>
  <c r="N834" i="3" s="1"/>
  <c r="W834" i="3" l="1"/>
  <c r="P835" i="3"/>
  <c r="Q835" i="3" s="1"/>
  <c r="R835" i="3" s="1"/>
  <c r="S835" i="3" s="1"/>
  <c r="Z835" i="3"/>
  <c r="AD835" i="3"/>
  <c r="AE835" i="3"/>
  <c r="AC835" i="3"/>
  <c r="AA835" i="3"/>
  <c r="L834" i="3"/>
  <c r="U834" i="3" l="1"/>
  <c r="Y833" i="3"/>
  <c r="T835" i="3"/>
  <c r="E835" i="3" s="1"/>
  <c r="H835" i="3" s="1"/>
  <c r="D835" i="3" l="1"/>
  <c r="F835" i="3" s="1"/>
  <c r="AH835" i="3"/>
  <c r="K835" i="3"/>
  <c r="AG835" i="3"/>
  <c r="G835" i="3" l="1"/>
  <c r="M835" i="3" s="1"/>
  <c r="N835" i="3" s="1"/>
  <c r="V835" i="3"/>
  <c r="A836" i="3"/>
  <c r="B836" i="3" s="1"/>
  <c r="J835" i="3"/>
  <c r="I835" i="3" l="1"/>
  <c r="W835" i="3"/>
  <c r="AC836" i="3"/>
  <c r="Z836" i="3"/>
  <c r="P836" i="3"/>
  <c r="Q836" i="3" s="1"/>
  <c r="R836" i="3" s="1"/>
  <c r="S836" i="3" s="1"/>
  <c r="AA836" i="3"/>
  <c r="AE836" i="3"/>
  <c r="AD836" i="3"/>
  <c r="L835" i="3"/>
  <c r="T836" i="3" l="1"/>
  <c r="AG836" i="3" s="1"/>
  <c r="U835" i="3"/>
  <c r="E836" i="3" s="1"/>
  <c r="H836" i="3" s="1"/>
  <c r="AH836" i="3"/>
  <c r="Y834" i="3"/>
  <c r="D836" i="3" l="1"/>
  <c r="G836" i="3" s="1"/>
  <c r="K836" i="3"/>
  <c r="F836" i="3" l="1"/>
  <c r="V836" i="3"/>
  <c r="A837" i="3"/>
  <c r="B837" i="3" s="1"/>
  <c r="I836" i="3"/>
  <c r="J836" i="3"/>
  <c r="M836" i="3"/>
  <c r="N836" i="3" s="1"/>
  <c r="W836" i="3" l="1"/>
  <c r="AC837" i="3"/>
  <c r="AE837" i="3"/>
  <c r="Z837" i="3"/>
  <c r="AA837" i="3"/>
  <c r="P837" i="3"/>
  <c r="Q837" i="3" s="1"/>
  <c r="R837" i="3" s="1"/>
  <c r="S837" i="3" s="1"/>
  <c r="AD837" i="3"/>
  <c r="L836" i="3"/>
  <c r="T837" i="3" l="1"/>
  <c r="AG837" i="3" s="1"/>
  <c r="U836" i="3"/>
  <c r="Y835" i="3"/>
  <c r="D837" i="3" l="1"/>
  <c r="G837" i="3" s="1"/>
  <c r="AH837" i="3"/>
  <c r="E837" i="3"/>
  <c r="H837" i="3" s="1"/>
  <c r="K837" i="3" s="1"/>
  <c r="F837" i="3" l="1"/>
  <c r="I837" i="3"/>
  <c r="J837" i="3"/>
  <c r="M837" i="3"/>
  <c r="N837" i="3" s="1"/>
  <c r="V837" i="3"/>
  <c r="A838" i="3"/>
  <c r="B838" i="3" s="1"/>
  <c r="W837" i="3" l="1"/>
  <c r="L837" i="3"/>
  <c r="AE838" i="3"/>
  <c r="P838" i="3"/>
  <c r="Q838" i="3" s="1"/>
  <c r="R838" i="3" s="1"/>
  <c r="S838" i="3" s="1"/>
  <c r="AD838" i="3"/>
  <c r="AA838" i="3"/>
  <c r="AC838" i="3"/>
  <c r="Z838" i="3"/>
  <c r="T838" i="3" l="1"/>
  <c r="U837" i="3"/>
  <c r="D838" i="3" s="1"/>
  <c r="AH838" i="3"/>
  <c r="AG838" i="3"/>
  <c r="Y836" i="3"/>
  <c r="E838" i="3" l="1"/>
  <c r="H838" i="3" s="1"/>
  <c r="K838" i="3" s="1"/>
  <c r="G838" i="3"/>
  <c r="F838" i="3" l="1"/>
  <c r="I838" i="3"/>
  <c r="J838" i="3"/>
  <c r="M838" i="3"/>
  <c r="N838" i="3" s="1"/>
  <c r="V838" i="3"/>
  <c r="A839" i="3"/>
  <c r="B839" i="3" s="1"/>
  <c r="W838" i="3" l="1"/>
  <c r="L838" i="3"/>
  <c r="AE839" i="3"/>
  <c r="Z839" i="3"/>
  <c r="AD839" i="3"/>
  <c r="P839" i="3"/>
  <c r="Q839" i="3" s="1"/>
  <c r="R839" i="3" s="1"/>
  <c r="S839" i="3" s="1"/>
  <c r="AA839" i="3"/>
  <c r="AC839" i="3"/>
  <c r="T839" i="3" l="1"/>
  <c r="U838" i="3"/>
  <c r="Y837" i="3"/>
  <c r="D839" i="3" l="1"/>
  <c r="G839" i="3" s="1"/>
  <c r="AG839" i="3"/>
  <c r="AH839" i="3"/>
  <c r="E839" i="3"/>
  <c r="H839" i="3" s="1"/>
  <c r="K839" i="3" s="1"/>
  <c r="F839" i="3" l="1"/>
  <c r="I839" i="3"/>
  <c r="J839" i="3"/>
  <c r="M839" i="3"/>
  <c r="N839" i="3" s="1"/>
  <c r="V839" i="3"/>
  <c r="A840" i="3"/>
  <c r="B840" i="3" s="1"/>
  <c r="W839" i="3" l="1"/>
  <c r="L839" i="3"/>
  <c r="P840" i="3"/>
  <c r="Q840" i="3" s="1"/>
  <c r="R840" i="3" s="1"/>
  <c r="S840" i="3" s="1"/>
  <c r="Z840" i="3"/>
  <c r="AA840" i="3"/>
  <c r="AC840" i="3"/>
  <c r="AE840" i="3"/>
  <c r="AD840" i="3"/>
  <c r="T840" i="3" l="1"/>
  <c r="AG840" i="3" s="1"/>
  <c r="U839" i="3"/>
  <c r="Y838" i="3"/>
  <c r="AH840" i="3" l="1"/>
  <c r="E840" i="3"/>
  <c r="H840" i="3" s="1"/>
  <c r="K840" i="3" s="1"/>
  <c r="D840" i="3"/>
  <c r="F840" i="3" l="1"/>
  <c r="G840" i="3"/>
  <c r="I840" i="3" s="1"/>
  <c r="V840" i="3"/>
  <c r="A841" i="3"/>
  <c r="B841" i="3" s="1"/>
  <c r="M840" i="3" l="1"/>
  <c r="N840" i="3" s="1"/>
  <c r="J840" i="3"/>
  <c r="L840" i="3" s="1"/>
  <c r="W840" i="3"/>
  <c r="AC841" i="3"/>
  <c r="Z841" i="3"/>
  <c r="P841" i="3"/>
  <c r="Q841" i="3" s="1"/>
  <c r="R841" i="3" s="1"/>
  <c r="S841" i="3" s="1"/>
  <c r="AE841" i="3"/>
  <c r="AA841" i="3"/>
  <c r="AD841" i="3"/>
  <c r="T841" i="3" l="1"/>
  <c r="AG841" i="3" s="1"/>
  <c r="U840" i="3"/>
  <c r="Y839" i="3"/>
  <c r="E841" i="3" l="1"/>
  <c r="H841" i="3" s="1"/>
  <c r="K841" i="3" s="1"/>
  <c r="AH841" i="3"/>
  <c r="D841" i="3"/>
  <c r="G841" i="3" s="1"/>
  <c r="F841" i="3" l="1"/>
  <c r="V841" i="3"/>
  <c r="A842" i="3"/>
  <c r="B842" i="3" s="1"/>
  <c r="I841" i="3"/>
  <c r="J841" i="3"/>
  <c r="M841" i="3"/>
  <c r="N841" i="3" s="1"/>
  <c r="W841" i="3" l="1"/>
  <c r="AC842" i="3"/>
  <c r="AA842" i="3"/>
  <c r="AE842" i="3"/>
  <c r="Z842" i="3"/>
  <c r="P842" i="3"/>
  <c r="Q842" i="3" s="1"/>
  <c r="R842" i="3" s="1"/>
  <c r="S842" i="3" s="1"/>
  <c r="AD842" i="3"/>
  <c r="L841" i="3"/>
  <c r="T842" i="3" l="1"/>
  <c r="U841" i="3"/>
  <c r="AG842" i="3"/>
  <c r="E842" i="3"/>
  <c r="H842" i="3" s="1"/>
  <c r="AH842" i="3"/>
  <c r="Y840" i="3"/>
  <c r="D842" i="3" l="1"/>
  <c r="F842" i="3" s="1"/>
  <c r="K842" i="3"/>
  <c r="G842" i="3" l="1"/>
  <c r="I842" i="3" s="1"/>
  <c r="J842" i="3"/>
  <c r="V842" i="3"/>
  <c r="A843" i="3"/>
  <c r="B843" i="3" s="1"/>
  <c r="M842" i="3" l="1"/>
  <c r="N842" i="3" s="1"/>
  <c r="W842" i="3"/>
  <c r="AD843" i="3"/>
  <c r="Z843" i="3"/>
  <c r="AA843" i="3"/>
  <c r="AC843" i="3"/>
  <c r="AE843" i="3"/>
  <c r="P843" i="3"/>
  <c r="Q843" i="3" s="1"/>
  <c r="R843" i="3" s="1"/>
  <c r="S843" i="3" s="1"/>
  <c r="L842" i="3"/>
  <c r="T843" i="3" l="1"/>
  <c r="U842" i="3"/>
  <c r="D843" i="3"/>
  <c r="AG843" i="3"/>
  <c r="AH843" i="3"/>
  <c r="Y841" i="3"/>
  <c r="E843" i="3" l="1"/>
  <c r="H843" i="3" s="1"/>
  <c r="K843" i="3" s="1"/>
  <c r="G843" i="3"/>
  <c r="F843" i="3" l="1"/>
  <c r="V843" i="3"/>
  <c r="A844" i="3"/>
  <c r="B844" i="3" s="1"/>
  <c r="I843" i="3"/>
  <c r="J843" i="3"/>
  <c r="M843" i="3"/>
  <c r="N843" i="3" s="1"/>
  <c r="AA844" i="3" l="1"/>
  <c r="Z844" i="3"/>
  <c r="P844" i="3"/>
  <c r="Q844" i="3" s="1"/>
  <c r="R844" i="3" s="1"/>
  <c r="S844" i="3" s="1"/>
  <c r="AC844" i="3"/>
  <c r="AE844" i="3"/>
  <c r="AD844" i="3"/>
  <c r="L843" i="3"/>
  <c r="W843" i="3"/>
  <c r="T844" i="3" l="1"/>
  <c r="AG844" i="3" s="1"/>
  <c r="U843" i="3"/>
  <c r="Y842" i="3"/>
  <c r="E844" i="3" l="1"/>
  <c r="H844" i="3" s="1"/>
  <c r="K844" i="3" s="1"/>
  <c r="AH844" i="3"/>
  <c r="D844" i="3"/>
  <c r="F844" i="3" l="1"/>
  <c r="G844" i="3"/>
  <c r="I844" i="3" s="1"/>
  <c r="V844" i="3"/>
  <c r="A845" i="3"/>
  <c r="B845" i="3" s="1"/>
  <c r="J844" i="3" l="1"/>
  <c r="M844" i="3"/>
  <c r="N844" i="3" s="1"/>
  <c r="W844" i="3"/>
  <c r="AE845" i="3"/>
  <c r="P845" i="3"/>
  <c r="Q845" i="3" s="1"/>
  <c r="R845" i="3" s="1"/>
  <c r="S845" i="3" s="1"/>
  <c r="Z845" i="3"/>
  <c r="AC845" i="3"/>
  <c r="AA845" i="3"/>
  <c r="AD845" i="3"/>
  <c r="L844" i="3"/>
  <c r="T845" i="3" l="1"/>
  <c r="AH845" i="3" s="1"/>
  <c r="U844" i="3"/>
  <c r="Y843" i="3"/>
  <c r="D845" i="3" l="1"/>
  <c r="G845" i="3" s="1"/>
  <c r="E845" i="3"/>
  <c r="H845" i="3" s="1"/>
  <c r="AG845" i="3"/>
  <c r="K845" i="3" l="1"/>
  <c r="I845" i="3"/>
  <c r="J845" i="3"/>
  <c r="M845" i="3"/>
  <c r="N845" i="3" s="1"/>
  <c r="F845" i="3"/>
  <c r="L845" i="3" l="1"/>
  <c r="V845" i="3"/>
  <c r="W845" i="3" s="1"/>
  <c r="A846" i="3"/>
  <c r="B846" i="3" s="1"/>
  <c r="P846" i="3" l="1"/>
  <c r="Q846" i="3" s="1"/>
  <c r="R846" i="3" s="1"/>
  <c r="S846" i="3" s="1"/>
  <c r="AC846" i="3"/>
  <c r="Z846" i="3"/>
  <c r="AE846" i="3"/>
  <c r="AA846" i="3"/>
  <c r="AD846" i="3"/>
  <c r="U845" i="3"/>
  <c r="Y844" i="3"/>
  <c r="T846" i="3" l="1"/>
  <c r="AH846" i="3" l="1"/>
  <c r="D846" i="3"/>
  <c r="AG846" i="3"/>
  <c r="E846" i="3"/>
  <c r="H846" i="3" s="1"/>
  <c r="K846" i="3" l="1"/>
  <c r="F846" i="3"/>
  <c r="G846" i="3"/>
  <c r="V846" i="3" l="1"/>
  <c r="A847" i="3"/>
  <c r="B847" i="3" s="1"/>
  <c r="I846" i="3"/>
  <c r="J846" i="3"/>
  <c r="M846" i="3"/>
  <c r="N846" i="3" s="1"/>
  <c r="W846" i="3" l="1"/>
  <c r="AD847" i="3"/>
  <c r="AC847" i="3"/>
  <c r="P847" i="3"/>
  <c r="Q847" i="3" s="1"/>
  <c r="R847" i="3" s="1"/>
  <c r="S847" i="3" s="1"/>
  <c r="Z847" i="3"/>
  <c r="AE847" i="3"/>
  <c r="AA847" i="3"/>
  <c r="L846" i="3"/>
  <c r="T847" i="3" l="1"/>
  <c r="AH847" i="3" s="1"/>
  <c r="U846" i="3"/>
  <c r="Y845" i="3"/>
  <c r="AG847" i="3" l="1"/>
  <c r="E847" i="3"/>
  <c r="H847" i="3" s="1"/>
  <c r="K847" i="3" s="1"/>
  <c r="D847" i="3"/>
  <c r="F847" i="3" s="1"/>
  <c r="G847" i="3" l="1"/>
  <c r="M847" i="3" s="1"/>
  <c r="N847" i="3" s="1"/>
  <c r="V847" i="3"/>
  <c r="A848" i="3"/>
  <c r="B848" i="3" s="1"/>
  <c r="J847" i="3"/>
  <c r="I847" i="3" l="1"/>
  <c r="AD848" i="3"/>
  <c r="AC848" i="3"/>
  <c r="AA848" i="3"/>
  <c r="AE848" i="3"/>
  <c r="Z848" i="3"/>
  <c r="P848" i="3"/>
  <c r="Q848" i="3" s="1"/>
  <c r="R848" i="3" s="1"/>
  <c r="S848" i="3" s="1"/>
  <c r="L847" i="3"/>
  <c r="W847" i="3"/>
  <c r="T848" i="3" l="1"/>
  <c r="U847" i="3"/>
  <c r="AG848" i="3"/>
  <c r="AH848" i="3"/>
  <c r="Y846" i="3"/>
  <c r="E848" i="3" l="1"/>
  <c r="H848" i="3" s="1"/>
  <c r="K848" i="3" s="1"/>
  <c r="D848" i="3"/>
  <c r="F848" i="3" l="1"/>
  <c r="G848" i="3"/>
  <c r="I848" i="3" s="1"/>
  <c r="V848" i="3"/>
  <c r="A849" i="3"/>
  <c r="B849" i="3" s="1"/>
  <c r="M848" i="3" l="1"/>
  <c r="N848" i="3" s="1"/>
  <c r="J848" i="3"/>
  <c r="W848" i="3"/>
  <c r="AE849" i="3"/>
  <c r="AC849" i="3"/>
  <c r="AD849" i="3"/>
  <c r="Z849" i="3"/>
  <c r="P849" i="3"/>
  <c r="Q849" i="3" s="1"/>
  <c r="R849" i="3" s="1"/>
  <c r="S849" i="3" s="1"/>
  <c r="AA849" i="3"/>
  <c r="L848" i="3"/>
  <c r="T849" i="3" l="1"/>
  <c r="AG849" i="3" s="1"/>
  <c r="U848" i="3"/>
  <c r="Y847" i="3"/>
  <c r="D849" i="3" l="1"/>
  <c r="G849" i="3" s="1"/>
  <c r="AH849" i="3"/>
  <c r="E849" i="3"/>
  <c r="H849" i="3" s="1"/>
  <c r="K849" i="3" s="1"/>
  <c r="F849" i="3" l="1"/>
  <c r="I849" i="3"/>
  <c r="J849" i="3"/>
  <c r="M849" i="3"/>
  <c r="N849" i="3" s="1"/>
  <c r="V849" i="3"/>
  <c r="A850" i="3"/>
  <c r="B850" i="3" s="1"/>
  <c r="W849" i="3" l="1"/>
  <c r="AC850" i="3"/>
  <c r="Z850" i="3"/>
  <c r="AA850" i="3"/>
  <c r="AE850" i="3"/>
  <c r="P850" i="3"/>
  <c r="Q850" i="3" s="1"/>
  <c r="R850" i="3" s="1"/>
  <c r="S850" i="3" s="1"/>
  <c r="AD850" i="3"/>
  <c r="L849" i="3"/>
  <c r="T850" i="3" l="1"/>
  <c r="AH850" i="3" s="1"/>
  <c r="U849" i="3"/>
  <c r="E850" i="3" s="1"/>
  <c r="H850" i="3" s="1"/>
  <c r="Y848" i="3"/>
  <c r="AG850" i="3" l="1"/>
  <c r="D850" i="3"/>
  <c r="F850" i="3" s="1"/>
  <c r="K850" i="3"/>
  <c r="G850" i="3" l="1"/>
  <c r="I850" i="3" s="1"/>
  <c r="V850" i="3"/>
  <c r="A851" i="3"/>
  <c r="B851" i="3" s="1"/>
  <c r="M850" i="3" l="1"/>
  <c r="N850" i="3" s="1"/>
  <c r="J850" i="3"/>
  <c r="L850" i="3" s="1"/>
  <c r="W850" i="3"/>
  <c r="AE851" i="3"/>
  <c r="P851" i="3"/>
  <c r="Q851" i="3" s="1"/>
  <c r="R851" i="3" s="1"/>
  <c r="S851" i="3" s="1"/>
  <c r="AC851" i="3"/>
  <c r="Z851" i="3"/>
  <c r="AD851" i="3"/>
  <c r="AA851" i="3"/>
  <c r="U850" i="3" l="1"/>
  <c r="Y849" i="3"/>
  <c r="T851" i="3"/>
  <c r="D851" i="3" l="1"/>
  <c r="G851" i="3" s="1"/>
  <c r="AH851" i="3"/>
  <c r="AG851" i="3"/>
  <c r="E851" i="3"/>
  <c r="H851" i="3" s="1"/>
  <c r="I851" i="3" l="1"/>
  <c r="J851" i="3"/>
  <c r="M851" i="3"/>
  <c r="N851" i="3" s="1"/>
  <c r="K851" i="3"/>
  <c r="F851" i="3"/>
  <c r="V851" i="3" l="1"/>
  <c r="W851" i="3" s="1"/>
  <c r="A852" i="3"/>
  <c r="B852" i="3" s="1"/>
  <c r="L851" i="3"/>
  <c r="Z852" i="3" l="1"/>
  <c r="AE852" i="3"/>
  <c r="AC852" i="3"/>
  <c r="P852" i="3"/>
  <c r="Q852" i="3" s="1"/>
  <c r="R852" i="3" s="1"/>
  <c r="S852" i="3" s="1"/>
  <c r="AA852" i="3"/>
  <c r="AD852" i="3"/>
  <c r="U851" i="3"/>
  <c r="Y850" i="3"/>
  <c r="T852" i="3" l="1"/>
  <c r="E852" i="3" s="1"/>
  <c r="H852" i="3" s="1"/>
  <c r="AG852" i="3" l="1"/>
  <c r="AH852" i="3"/>
  <c r="K852" i="3"/>
  <c r="D852" i="3"/>
  <c r="F852" i="3" l="1"/>
  <c r="G852" i="3"/>
  <c r="V852" i="3"/>
  <c r="A853" i="3"/>
  <c r="B853" i="3" s="1"/>
  <c r="AE853" i="3" l="1"/>
  <c r="AD853" i="3"/>
  <c r="P853" i="3"/>
  <c r="Q853" i="3" s="1"/>
  <c r="R853" i="3" s="1"/>
  <c r="S853" i="3" s="1"/>
  <c r="Z853" i="3"/>
  <c r="AA853" i="3"/>
  <c r="AC853" i="3"/>
  <c r="I852" i="3"/>
  <c r="W852" i="3" s="1"/>
  <c r="J852" i="3"/>
  <c r="M852" i="3"/>
  <c r="N852" i="3" s="1"/>
  <c r="L852" i="3" l="1"/>
  <c r="T853" i="3"/>
  <c r="AH853" i="3" l="1"/>
  <c r="AG853" i="3"/>
  <c r="U852" i="3"/>
  <c r="D853" i="3" s="1"/>
  <c r="Y851" i="3"/>
  <c r="E853" i="3" l="1"/>
  <c r="H853" i="3" s="1"/>
  <c r="K853" i="3" s="1"/>
  <c r="G853" i="3"/>
  <c r="F853" i="3" l="1"/>
  <c r="I853" i="3"/>
  <c r="J853" i="3"/>
  <c r="M853" i="3"/>
  <c r="N853" i="3" s="1"/>
  <c r="V853" i="3"/>
  <c r="A854" i="3"/>
  <c r="B854" i="3" s="1"/>
  <c r="W853" i="3" l="1"/>
  <c r="Z854" i="3"/>
  <c r="AC854" i="3"/>
  <c r="AD854" i="3"/>
  <c r="AE854" i="3"/>
  <c r="AA854" i="3"/>
  <c r="P854" i="3"/>
  <c r="Q854" i="3" s="1"/>
  <c r="R854" i="3" s="1"/>
  <c r="S854" i="3" s="1"/>
  <c r="L853" i="3"/>
  <c r="T854" i="3" l="1"/>
  <c r="AH854" i="3" s="1"/>
  <c r="U853" i="3"/>
  <c r="Y852" i="3"/>
  <c r="AG854" i="3" l="1"/>
  <c r="E854" i="3"/>
  <c r="H854" i="3" s="1"/>
  <c r="K854" i="3" s="1"/>
  <c r="D854" i="3"/>
  <c r="F854" i="3" l="1"/>
  <c r="G854" i="3"/>
  <c r="V854" i="3"/>
  <c r="A855" i="3"/>
  <c r="B855" i="3" s="1"/>
  <c r="AA855" i="3" l="1"/>
  <c r="Z855" i="3"/>
  <c r="P855" i="3"/>
  <c r="Q855" i="3" s="1"/>
  <c r="R855" i="3" s="1"/>
  <c r="S855" i="3" s="1"/>
  <c r="AD855" i="3"/>
  <c r="AC855" i="3"/>
  <c r="AE855" i="3"/>
  <c r="I854" i="3"/>
  <c r="W854" i="3" s="1"/>
  <c r="J854" i="3"/>
  <c r="M854" i="3"/>
  <c r="N854" i="3" s="1"/>
  <c r="T855" i="3" l="1"/>
  <c r="L854" i="3"/>
  <c r="AG855" i="3" l="1"/>
  <c r="AH855" i="3"/>
  <c r="U854" i="3"/>
  <c r="E855" i="3" s="1"/>
  <c r="H855" i="3" s="1"/>
  <c r="Y853" i="3"/>
  <c r="K855" i="3" l="1"/>
  <c r="D855" i="3"/>
  <c r="F855" i="3" l="1"/>
  <c r="G855" i="3"/>
  <c r="V855" i="3"/>
  <c r="A856" i="3"/>
  <c r="B856" i="3" s="1"/>
  <c r="AA856" i="3" l="1"/>
  <c r="Z856" i="3"/>
  <c r="P856" i="3"/>
  <c r="Q856" i="3" s="1"/>
  <c r="R856" i="3" s="1"/>
  <c r="S856" i="3" s="1"/>
  <c r="AC856" i="3"/>
  <c r="AE856" i="3"/>
  <c r="AD856" i="3"/>
  <c r="I855" i="3"/>
  <c r="W855" i="3" s="1"/>
  <c r="J855" i="3"/>
  <c r="M855" i="3"/>
  <c r="N855" i="3" s="1"/>
  <c r="T856" i="3" l="1"/>
  <c r="L855" i="3"/>
  <c r="U855" i="3" l="1"/>
  <c r="E856" i="3" s="1"/>
  <c r="H856" i="3" s="1"/>
  <c r="AG856" i="3"/>
  <c r="AH856" i="3"/>
  <c r="Y854" i="3"/>
  <c r="D856" i="3" l="1"/>
  <c r="G856" i="3" s="1"/>
  <c r="K856" i="3"/>
  <c r="F856" i="3" l="1"/>
  <c r="V856" i="3"/>
  <c r="A857" i="3"/>
  <c r="B857" i="3" s="1"/>
  <c r="I856" i="3"/>
  <c r="J856" i="3"/>
  <c r="M856" i="3"/>
  <c r="N856" i="3" s="1"/>
  <c r="W856" i="3" l="1"/>
  <c r="P857" i="3"/>
  <c r="Q857" i="3" s="1"/>
  <c r="R857" i="3" s="1"/>
  <c r="S857" i="3" s="1"/>
  <c r="Z857" i="3"/>
  <c r="AE857" i="3"/>
  <c r="AA857" i="3"/>
  <c r="AD857" i="3"/>
  <c r="AC857" i="3"/>
  <c r="L856" i="3"/>
  <c r="U856" i="3" l="1"/>
  <c r="Y855" i="3"/>
  <c r="T857" i="3"/>
  <c r="AG857" i="3" s="1"/>
  <c r="AH857" i="3" l="1"/>
  <c r="D857" i="3"/>
  <c r="E857" i="3"/>
  <c r="H857" i="3" s="1"/>
  <c r="K857" i="3" l="1"/>
  <c r="F857" i="3"/>
  <c r="G857" i="3"/>
  <c r="V857" i="3" l="1"/>
  <c r="A858" i="3"/>
  <c r="B858" i="3" s="1"/>
  <c r="I857" i="3"/>
  <c r="J857" i="3"/>
  <c r="M857" i="3"/>
  <c r="N857" i="3" s="1"/>
  <c r="L857" i="3" l="1"/>
  <c r="AD858" i="3"/>
  <c r="P858" i="3"/>
  <c r="Q858" i="3" s="1"/>
  <c r="R858" i="3" s="1"/>
  <c r="S858" i="3" s="1"/>
  <c r="AA858" i="3"/>
  <c r="AC858" i="3"/>
  <c r="Z858" i="3"/>
  <c r="AE858" i="3"/>
  <c r="W857" i="3"/>
  <c r="T858" i="3" l="1"/>
  <c r="U857" i="3"/>
  <c r="AH858" i="3"/>
  <c r="AG858" i="3"/>
  <c r="Y856" i="3"/>
  <c r="D858" i="3" l="1"/>
  <c r="G858" i="3" s="1"/>
  <c r="E858" i="3"/>
  <c r="H858" i="3" s="1"/>
  <c r="K858" i="3" s="1"/>
  <c r="F858" i="3" l="1"/>
  <c r="I858" i="3"/>
  <c r="J858" i="3"/>
  <c r="M858" i="3"/>
  <c r="N858" i="3" s="1"/>
  <c r="V858" i="3"/>
  <c r="A859" i="3"/>
  <c r="B859" i="3" s="1"/>
  <c r="W858" i="3" l="1"/>
  <c r="L858" i="3"/>
  <c r="P859" i="3"/>
  <c r="Q859" i="3" s="1"/>
  <c r="R859" i="3" s="1"/>
  <c r="S859" i="3" s="1"/>
  <c r="Z859" i="3"/>
  <c r="AA859" i="3"/>
  <c r="AD859" i="3"/>
  <c r="AE859" i="3"/>
  <c r="AC859" i="3"/>
  <c r="T859" i="3" l="1"/>
  <c r="AH859" i="3" s="1"/>
  <c r="U858" i="3"/>
  <c r="Y857" i="3"/>
  <c r="AG859" i="3" l="1"/>
  <c r="D859" i="3"/>
  <c r="G859" i="3" s="1"/>
  <c r="E859" i="3"/>
  <c r="H859" i="3" s="1"/>
  <c r="K859" i="3" l="1"/>
  <c r="I859" i="3"/>
  <c r="J859" i="3"/>
  <c r="M859" i="3"/>
  <c r="N859" i="3" s="1"/>
  <c r="F859" i="3"/>
  <c r="V859" i="3" l="1"/>
  <c r="W859" i="3" s="1"/>
  <c r="A860" i="3"/>
  <c r="B860" i="3" s="1"/>
  <c r="L859" i="3"/>
  <c r="Z860" i="3" l="1"/>
  <c r="AE860" i="3"/>
  <c r="AC860" i="3"/>
  <c r="AA860" i="3"/>
  <c r="P860" i="3"/>
  <c r="Q860" i="3" s="1"/>
  <c r="R860" i="3" s="1"/>
  <c r="S860" i="3" s="1"/>
  <c r="AD860" i="3"/>
  <c r="U859" i="3"/>
  <c r="Y858" i="3"/>
  <c r="T860" i="3" l="1"/>
  <c r="E860" i="3" s="1"/>
  <c r="H860" i="3" s="1"/>
  <c r="K860" i="3" l="1"/>
  <c r="AH860" i="3"/>
  <c r="AG860" i="3"/>
  <c r="D860" i="3"/>
  <c r="F860" i="3" l="1"/>
  <c r="G860" i="3"/>
  <c r="V860" i="3"/>
  <c r="A861" i="3"/>
  <c r="B861" i="3" s="1"/>
  <c r="AC861" i="3" l="1"/>
  <c r="Z861" i="3"/>
  <c r="AA861" i="3"/>
  <c r="P861" i="3"/>
  <c r="Q861" i="3" s="1"/>
  <c r="R861" i="3" s="1"/>
  <c r="S861" i="3" s="1"/>
  <c r="AE861" i="3"/>
  <c r="AD861" i="3"/>
  <c r="I860" i="3"/>
  <c r="W860" i="3" s="1"/>
  <c r="J860" i="3"/>
  <c r="M860" i="3"/>
  <c r="N860" i="3" s="1"/>
  <c r="L860" i="3" l="1"/>
  <c r="T861" i="3"/>
  <c r="U860" i="3" l="1"/>
  <c r="E861" i="3" s="1"/>
  <c r="H861" i="3" s="1"/>
  <c r="AH861" i="3"/>
  <c r="D861" i="3"/>
  <c r="AG861" i="3"/>
  <c r="Y859" i="3"/>
  <c r="K861" i="3" l="1"/>
  <c r="F861" i="3"/>
  <c r="G861" i="3"/>
  <c r="V861" i="3" l="1"/>
  <c r="A862" i="3"/>
  <c r="B862" i="3" s="1"/>
  <c r="I861" i="3"/>
  <c r="J861" i="3"/>
  <c r="M861" i="3"/>
  <c r="N861" i="3" s="1"/>
  <c r="W861" i="3" l="1"/>
  <c r="Z862" i="3"/>
  <c r="AE862" i="3"/>
  <c r="AA862" i="3"/>
  <c r="AC862" i="3"/>
  <c r="P862" i="3"/>
  <c r="Q862" i="3" s="1"/>
  <c r="R862" i="3" s="1"/>
  <c r="S862" i="3" s="1"/>
  <c r="AD862" i="3"/>
  <c r="L861" i="3"/>
  <c r="T862" i="3" l="1"/>
  <c r="U861" i="3"/>
  <c r="AH862" i="3"/>
  <c r="Y860" i="3"/>
  <c r="E862" i="3" l="1"/>
  <c r="H862" i="3" s="1"/>
  <c r="K862" i="3" s="1"/>
  <c r="D862" i="3"/>
  <c r="G862" i="3" s="1"/>
  <c r="AG862" i="3"/>
  <c r="F862" i="3" l="1"/>
  <c r="V862" i="3"/>
  <c r="A863" i="3"/>
  <c r="B863" i="3" s="1"/>
  <c r="I862" i="3"/>
  <c r="J862" i="3"/>
  <c r="M862" i="3"/>
  <c r="N862" i="3" s="1"/>
  <c r="W862" i="3" l="1"/>
  <c r="L862" i="3"/>
  <c r="Z863" i="3"/>
  <c r="AA863" i="3"/>
  <c r="AD863" i="3"/>
  <c r="P863" i="3"/>
  <c r="Q863" i="3" s="1"/>
  <c r="R863" i="3" s="1"/>
  <c r="S863" i="3" s="1"/>
  <c r="AE863" i="3"/>
  <c r="AC863" i="3"/>
  <c r="T863" i="3" l="1"/>
  <c r="AH863" i="3" s="1"/>
  <c r="U862" i="3"/>
  <c r="E863" i="3" s="1"/>
  <c r="H863" i="3" s="1"/>
  <c r="Y861" i="3"/>
  <c r="AG863" i="3" l="1"/>
  <c r="D863" i="3"/>
  <c r="F863" i="3" s="1"/>
  <c r="K863" i="3"/>
  <c r="G863" i="3" l="1"/>
  <c r="I863" i="3" s="1"/>
  <c r="V863" i="3"/>
  <c r="A864" i="3"/>
  <c r="B864" i="3" s="1"/>
  <c r="M863" i="3" l="1"/>
  <c r="N863" i="3" s="1"/>
  <c r="J863" i="3"/>
  <c r="L863" i="3" s="1"/>
  <c r="W863" i="3"/>
  <c r="AD864" i="3"/>
  <c r="P864" i="3"/>
  <c r="Q864" i="3" s="1"/>
  <c r="R864" i="3" s="1"/>
  <c r="S864" i="3" s="1"/>
  <c r="AC864" i="3"/>
  <c r="AA864" i="3"/>
  <c r="Z864" i="3"/>
  <c r="AE864" i="3"/>
  <c r="T864" i="3" l="1"/>
  <c r="AG864" i="3" s="1"/>
  <c r="U863" i="3"/>
  <c r="Y862" i="3"/>
  <c r="D864" i="3" l="1"/>
  <c r="G864" i="3" s="1"/>
  <c r="AH864" i="3"/>
  <c r="E864" i="3"/>
  <c r="H864" i="3" s="1"/>
  <c r="K864" i="3" l="1"/>
  <c r="I864" i="3"/>
  <c r="J864" i="3"/>
  <c r="M864" i="3"/>
  <c r="N864" i="3" s="1"/>
  <c r="F864" i="3"/>
  <c r="V864" i="3" l="1"/>
  <c r="W864" i="3" s="1"/>
  <c r="A865" i="3"/>
  <c r="B865" i="3" s="1"/>
  <c r="L864" i="3"/>
  <c r="Z865" i="3" l="1"/>
  <c r="AA865" i="3"/>
  <c r="P865" i="3"/>
  <c r="Q865" i="3" s="1"/>
  <c r="R865" i="3" s="1"/>
  <c r="S865" i="3" s="1"/>
  <c r="AE865" i="3"/>
  <c r="AC865" i="3"/>
  <c r="AD865" i="3"/>
  <c r="U864" i="3"/>
  <c r="Y863" i="3"/>
  <c r="T865" i="3" l="1"/>
  <c r="AG865" i="3" l="1"/>
  <c r="E865" i="3"/>
  <c r="H865" i="3" s="1"/>
  <c r="D865" i="3"/>
  <c r="AH865" i="3"/>
  <c r="K865" i="3" l="1"/>
  <c r="F865" i="3"/>
  <c r="G865" i="3"/>
  <c r="V865" i="3" l="1"/>
  <c r="A866" i="3"/>
  <c r="B866" i="3" s="1"/>
  <c r="I865" i="3"/>
  <c r="J865" i="3"/>
  <c r="M865" i="3"/>
  <c r="N865" i="3" s="1"/>
  <c r="L865" i="3" l="1"/>
  <c r="AD866" i="3"/>
  <c r="AC866" i="3"/>
  <c r="AA866" i="3"/>
  <c r="Z866" i="3"/>
  <c r="P866" i="3"/>
  <c r="Q866" i="3" s="1"/>
  <c r="R866" i="3" s="1"/>
  <c r="S866" i="3" s="1"/>
  <c r="AE866" i="3"/>
  <c r="W865" i="3"/>
  <c r="T866" i="3" l="1"/>
  <c r="AG866" i="3"/>
  <c r="AH866" i="3"/>
  <c r="U865" i="3"/>
  <c r="E866" i="3" s="1"/>
  <c r="H866" i="3" s="1"/>
  <c r="Y864" i="3"/>
  <c r="D866" i="3" l="1"/>
  <c r="F866" i="3" s="1"/>
  <c r="K866" i="3"/>
  <c r="G866" i="3" l="1"/>
  <c r="I866" i="3" s="1"/>
  <c r="V866" i="3"/>
  <c r="A867" i="3"/>
  <c r="B867" i="3" s="1"/>
  <c r="J866" i="3"/>
  <c r="M866" i="3"/>
  <c r="N866" i="3" s="1"/>
  <c r="L866" i="3" l="1"/>
  <c r="Z867" i="3"/>
  <c r="AA867" i="3"/>
  <c r="AC867" i="3"/>
  <c r="AD867" i="3"/>
  <c r="AE867" i="3"/>
  <c r="P867" i="3"/>
  <c r="Q867" i="3" s="1"/>
  <c r="R867" i="3" s="1"/>
  <c r="S867" i="3" s="1"/>
  <c r="W866" i="3"/>
  <c r="T867" i="3" l="1"/>
  <c r="AH867" i="3" s="1"/>
  <c r="U866" i="3"/>
  <c r="Y865" i="3"/>
  <c r="AG867" i="3" l="1"/>
  <c r="E867" i="3"/>
  <c r="H867" i="3" s="1"/>
  <c r="D867" i="3"/>
  <c r="F867" i="3" l="1"/>
  <c r="G867" i="3"/>
  <c r="K867" i="3"/>
  <c r="I867" i="3" l="1"/>
  <c r="J867" i="3"/>
  <c r="M867" i="3"/>
  <c r="N867" i="3" s="1"/>
  <c r="V867" i="3"/>
  <c r="W867" i="3" s="1"/>
  <c r="A868" i="3"/>
  <c r="B868" i="3" s="1"/>
  <c r="L867" i="3" l="1"/>
  <c r="AD868" i="3"/>
  <c r="AE868" i="3"/>
  <c r="P868" i="3"/>
  <c r="Q868" i="3" s="1"/>
  <c r="R868" i="3" s="1"/>
  <c r="S868" i="3" s="1"/>
  <c r="AC868" i="3"/>
  <c r="Z868" i="3"/>
  <c r="AA868" i="3"/>
  <c r="T868" i="3" l="1"/>
  <c r="AG868" i="3" s="1"/>
  <c r="U867" i="3"/>
  <c r="Y866" i="3"/>
  <c r="D868" i="3" l="1"/>
  <c r="G868" i="3" s="1"/>
  <c r="AH868" i="3"/>
  <c r="E868" i="3"/>
  <c r="H868" i="3" s="1"/>
  <c r="K868" i="3" s="1"/>
  <c r="F868" i="3" l="1"/>
  <c r="I868" i="3"/>
  <c r="J868" i="3"/>
  <c r="M868" i="3"/>
  <c r="N868" i="3" s="1"/>
  <c r="V868" i="3"/>
  <c r="A869" i="3"/>
  <c r="B869" i="3" s="1"/>
  <c r="W868" i="3" l="1"/>
  <c r="AD869" i="3"/>
  <c r="P869" i="3"/>
  <c r="Q869" i="3" s="1"/>
  <c r="R869" i="3" s="1"/>
  <c r="S869" i="3" s="1"/>
  <c r="Z869" i="3"/>
  <c r="AE869" i="3"/>
  <c r="AC869" i="3"/>
  <c r="AA869" i="3"/>
  <c r="L868" i="3"/>
  <c r="T869" i="3" l="1"/>
  <c r="AH869" i="3" s="1"/>
  <c r="U868" i="3"/>
  <c r="Y867" i="3"/>
  <c r="D869" i="3" l="1"/>
  <c r="G869" i="3" s="1"/>
  <c r="AG869" i="3"/>
  <c r="E869" i="3"/>
  <c r="H869" i="3" s="1"/>
  <c r="K869" i="3" l="1"/>
  <c r="I869" i="3"/>
  <c r="J869" i="3"/>
  <c r="M869" i="3"/>
  <c r="N869" i="3" s="1"/>
  <c r="F869" i="3"/>
  <c r="V869" i="3" l="1"/>
  <c r="W869" i="3" s="1"/>
  <c r="A870" i="3"/>
  <c r="B870" i="3" s="1"/>
  <c r="L869" i="3"/>
  <c r="P870" i="3" l="1"/>
  <c r="Q870" i="3" s="1"/>
  <c r="R870" i="3" s="1"/>
  <c r="S870" i="3" s="1"/>
  <c r="AD870" i="3"/>
  <c r="AE870" i="3"/>
  <c r="AC870" i="3"/>
  <c r="AA870" i="3"/>
  <c r="Z870" i="3"/>
  <c r="U869" i="3"/>
  <c r="Y868" i="3"/>
  <c r="T870" i="3" l="1"/>
  <c r="E870" i="3" s="1"/>
  <c r="H870" i="3" s="1"/>
  <c r="K870" i="3" l="1"/>
  <c r="AG870" i="3"/>
  <c r="D870" i="3"/>
  <c r="AH870" i="3"/>
  <c r="V870" i="3" l="1"/>
  <c r="A871" i="3"/>
  <c r="B871" i="3" s="1"/>
  <c r="F870" i="3"/>
  <c r="G870" i="3"/>
  <c r="AD871" i="3" l="1"/>
  <c r="AA871" i="3"/>
  <c r="P871" i="3"/>
  <c r="Q871" i="3" s="1"/>
  <c r="R871" i="3" s="1"/>
  <c r="S871" i="3" s="1"/>
  <c r="AE871" i="3"/>
  <c r="AC871" i="3"/>
  <c r="Z871" i="3"/>
  <c r="I870" i="3"/>
  <c r="W870" i="3" s="1"/>
  <c r="J870" i="3"/>
  <c r="M870" i="3"/>
  <c r="N870" i="3" s="1"/>
  <c r="L870" i="3" l="1"/>
  <c r="T871" i="3"/>
  <c r="AH871" i="3" l="1"/>
  <c r="AG871" i="3"/>
  <c r="U870" i="3"/>
  <c r="E871" i="3" s="1"/>
  <c r="H871" i="3" s="1"/>
  <c r="Y869" i="3"/>
  <c r="K871" i="3" l="1"/>
  <c r="D871" i="3"/>
  <c r="V871" i="3" l="1"/>
  <c r="A872" i="3"/>
  <c r="B872" i="3" s="1"/>
  <c r="F871" i="3"/>
  <c r="G871" i="3"/>
  <c r="P872" i="3" l="1"/>
  <c r="Q872" i="3" s="1"/>
  <c r="R872" i="3" s="1"/>
  <c r="S872" i="3" s="1"/>
  <c r="AE872" i="3"/>
  <c r="AC872" i="3"/>
  <c r="Z872" i="3"/>
  <c r="AA872" i="3"/>
  <c r="AD872" i="3"/>
  <c r="I871" i="3"/>
  <c r="W871" i="3" s="1"/>
  <c r="J871" i="3"/>
  <c r="M871" i="3"/>
  <c r="N871" i="3" s="1"/>
  <c r="T872" i="3" l="1"/>
  <c r="L871" i="3"/>
  <c r="AG872" i="3" l="1"/>
  <c r="U871" i="3"/>
  <c r="E872" i="3" s="1"/>
  <c r="H872" i="3" s="1"/>
  <c r="AH872" i="3"/>
  <c r="Y870" i="3"/>
  <c r="K872" i="3" l="1"/>
  <c r="D872" i="3"/>
  <c r="F872" i="3" l="1"/>
  <c r="G872" i="3"/>
  <c r="V872" i="3"/>
  <c r="A873" i="3"/>
  <c r="B873" i="3" s="1"/>
  <c r="P873" i="3" l="1"/>
  <c r="Q873" i="3" s="1"/>
  <c r="R873" i="3" s="1"/>
  <c r="S873" i="3" s="1"/>
  <c r="AC873" i="3"/>
  <c r="AA873" i="3"/>
  <c r="AE873" i="3"/>
  <c r="AD873" i="3"/>
  <c r="Z873" i="3"/>
  <c r="I872" i="3"/>
  <c r="W872" i="3" s="1"/>
  <c r="J872" i="3"/>
  <c r="M872" i="3"/>
  <c r="N872" i="3" s="1"/>
  <c r="L872" i="3" l="1"/>
  <c r="T873" i="3"/>
  <c r="AH873" i="3" l="1"/>
  <c r="AG873" i="3"/>
  <c r="U872" i="3"/>
  <c r="D873" i="3" s="1"/>
  <c r="Y871" i="3"/>
  <c r="E873" i="3" l="1"/>
  <c r="H873" i="3" s="1"/>
  <c r="K873" i="3" s="1"/>
  <c r="G873" i="3"/>
  <c r="F873" i="3" l="1"/>
  <c r="V873" i="3"/>
  <c r="A874" i="3"/>
  <c r="B874" i="3" s="1"/>
  <c r="I873" i="3"/>
  <c r="J873" i="3"/>
  <c r="M873" i="3"/>
  <c r="N873" i="3" s="1"/>
  <c r="AA874" i="3" l="1"/>
  <c r="AC874" i="3"/>
  <c r="AE874" i="3"/>
  <c r="AD874" i="3"/>
  <c r="Z874" i="3"/>
  <c r="P874" i="3"/>
  <c r="Q874" i="3" s="1"/>
  <c r="R874" i="3" s="1"/>
  <c r="S874" i="3" s="1"/>
  <c r="L873" i="3"/>
  <c r="W873" i="3"/>
  <c r="T874" i="3" l="1"/>
  <c r="AG874" i="3" s="1"/>
  <c r="U873" i="3"/>
  <c r="D874" i="3" s="1"/>
  <c r="Y872" i="3"/>
  <c r="AH874" i="3" l="1"/>
  <c r="E874" i="3"/>
  <c r="H874" i="3" s="1"/>
  <c r="K874" i="3" s="1"/>
  <c r="G874" i="3"/>
  <c r="F874" i="3" l="1"/>
  <c r="V874" i="3"/>
  <c r="A875" i="3"/>
  <c r="B875" i="3" s="1"/>
  <c r="I874" i="3"/>
  <c r="J874" i="3"/>
  <c r="M874" i="3"/>
  <c r="N874" i="3" s="1"/>
  <c r="W874" i="3" l="1"/>
  <c r="L874" i="3"/>
  <c r="AA875" i="3"/>
  <c r="Z875" i="3"/>
  <c r="AE875" i="3"/>
  <c r="P875" i="3"/>
  <c r="Q875" i="3" s="1"/>
  <c r="R875" i="3" s="1"/>
  <c r="S875" i="3" s="1"/>
  <c r="AD875" i="3"/>
  <c r="AC875" i="3"/>
  <c r="T875" i="3" l="1"/>
  <c r="AH875" i="3" s="1"/>
  <c r="U874" i="3"/>
  <c r="E875" i="3" s="1"/>
  <c r="H875" i="3" s="1"/>
  <c r="AG875" i="3"/>
  <c r="Y873" i="3"/>
  <c r="D875" i="3" l="1"/>
  <c r="F875" i="3" s="1"/>
  <c r="K875" i="3"/>
  <c r="G875" i="3" l="1"/>
  <c r="V875" i="3"/>
  <c r="A876" i="3"/>
  <c r="B876" i="3" s="1"/>
  <c r="I875" i="3"/>
  <c r="J875" i="3"/>
  <c r="M875" i="3"/>
  <c r="N875" i="3" s="1"/>
  <c r="AD876" i="3" l="1"/>
  <c r="Z876" i="3"/>
  <c r="AA876" i="3"/>
  <c r="AE876" i="3"/>
  <c r="P876" i="3"/>
  <c r="Q876" i="3" s="1"/>
  <c r="R876" i="3" s="1"/>
  <c r="S876" i="3" s="1"/>
  <c r="AC876" i="3"/>
  <c r="L875" i="3"/>
  <c r="W875" i="3"/>
  <c r="T876" i="3" l="1"/>
  <c r="AH876" i="3" s="1"/>
  <c r="U875" i="3"/>
  <c r="Y874" i="3"/>
  <c r="E876" i="3" l="1"/>
  <c r="H876" i="3" s="1"/>
  <c r="K876" i="3" s="1"/>
  <c r="AG876" i="3"/>
  <c r="D876" i="3"/>
  <c r="F876" i="3" l="1"/>
  <c r="G876" i="3"/>
  <c r="J876" i="3" s="1"/>
  <c r="V876" i="3"/>
  <c r="A877" i="3"/>
  <c r="B877" i="3" s="1"/>
  <c r="I876" i="3" l="1"/>
  <c r="W876" i="3" s="1"/>
  <c r="M876" i="3"/>
  <c r="N876" i="3" s="1"/>
  <c r="AA877" i="3"/>
  <c r="AD877" i="3"/>
  <c r="Z877" i="3"/>
  <c r="AC877" i="3"/>
  <c r="P877" i="3"/>
  <c r="Q877" i="3" s="1"/>
  <c r="R877" i="3" s="1"/>
  <c r="S877" i="3" s="1"/>
  <c r="AE877" i="3"/>
  <c r="L876" i="3"/>
  <c r="T877" i="3" l="1"/>
  <c r="AH877" i="3" s="1"/>
  <c r="U876" i="3"/>
  <c r="Y875" i="3"/>
  <c r="E877" i="3" l="1"/>
  <c r="H877" i="3" s="1"/>
  <c r="K877" i="3" s="1"/>
  <c r="AG877" i="3"/>
  <c r="D877" i="3"/>
  <c r="F877" i="3" l="1"/>
  <c r="G877" i="3"/>
  <c r="M877" i="3" s="1"/>
  <c r="N877" i="3" s="1"/>
  <c r="V877" i="3"/>
  <c r="A878" i="3"/>
  <c r="B878" i="3" s="1"/>
  <c r="J877" i="3" l="1"/>
  <c r="I877" i="3"/>
  <c r="W877" i="3" s="1"/>
  <c r="L877" i="3"/>
  <c r="Z878" i="3"/>
  <c r="AD878" i="3"/>
  <c r="AE878" i="3"/>
  <c r="AA878" i="3"/>
  <c r="P878" i="3"/>
  <c r="Q878" i="3" s="1"/>
  <c r="R878" i="3" s="1"/>
  <c r="S878" i="3" s="1"/>
  <c r="AC878" i="3"/>
  <c r="U877" i="3" l="1"/>
  <c r="Y876" i="3"/>
  <c r="T878" i="3"/>
  <c r="AH878" i="3" s="1"/>
  <c r="E878" i="3" l="1"/>
  <c r="H878" i="3" s="1"/>
  <c r="K878" i="3" s="1"/>
  <c r="AG878" i="3"/>
  <c r="D878" i="3"/>
  <c r="F878" i="3" l="1"/>
  <c r="G878" i="3"/>
  <c r="V878" i="3"/>
  <c r="A879" i="3"/>
  <c r="B879" i="3" s="1"/>
  <c r="P879" i="3" l="1"/>
  <c r="Q879" i="3" s="1"/>
  <c r="R879" i="3" s="1"/>
  <c r="S879" i="3" s="1"/>
  <c r="AD879" i="3"/>
  <c r="AC879" i="3"/>
  <c r="Z879" i="3"/>
  <c r="AE879" i="3"/>
  <c r="AA879" i="3"/>
  <c r="I878" i="3"/>
  <c r="W878" i="3" s="1"/>
  <c r="J878" i="3"/>
  <c r="M878" i="3"/>
  <c r="N878" i="3" s="1"/>
  <c r="L878" i="3" l="1"/>
  <c r="T879" i="3"/>
  <c r="AH879" i="3" l="1"/>
  <c r="AG879" i="3"/>
  <c r="U878" i="3"/>
  <c r="E879" i="3" s="1"/>
  <c r="H879" i="3" s="1"/>
  <c r="Y877" i="3"/>
  <c r="K879" i="3" l="1"/>
  <c r="D879" i="3"/>
  <c r="F879" i="3" l="1"/>
  <c r="G879" i="3"/>
  <c r="V879" i="3"/>
  <c r="A880" i="3"/>
  <c r="B880" i="3" s="1"/>
  <c r="P880" i="3" l="1"/>
  <c r="Q880" i="3" s="1"/>
  <c r="R880" i="3" s="1"/>
  <c r="S880" i="3" s="1"/>
  <c r="Z880" i="3"/>
  <c r="AD880" i="3"/>
  <c r="AA880" i="3"/>
  <c r="AC880" i="3"/>
  <c r="AE880" i="3"/>
  <c r="I879" i="3"/>
  <c r="W879" i="3" s="1"/>
  <c r="J879" i="3"/>
  <c r="M879" i="3"/>
  <c r="N879" i="3" s="1"/>
  <c r="L879" i="3" l="1"/>
  <c r="T880" i="3"/>
  <c r="AH880" i="3" l="1"/>
  <c r="U879" i="3"/>
  <c r="E880" i="3" s="1"/>
  <c r="H880" i="3" s="1"/>
  <c r="AG880" i="3"/>
  <c r="Y878" i="3"/>
  <c r="D880" i="3" l="1"/>
  <c r="G880" i="3" s="1"/>
  <c r="K880" i="3"/>
  <c r="F880" i="3" l="1"/>
  <c r="V880" i="3"/>
  <c r="A881" i="3"/>
  <c r="B881" i="3" s="1"/>
  <c r="I880" i="3"/>
  <c r="J880" i="3"/>
  <c r="M880" i="3"/>
  <c r="N880" i="3" s="1"/>
  <c r="W880" i="3" l="1"/>
  <c r="P881" i="3"/>
  <c r="Q881" i="3" s="1"/>
  <c r="R881" i="3" s="1"/>
  <c r="S881" i="3" s="1"/>
  <c r="AC881" i="3"/>
  <c r="AA881" i="3"/>
  <c r="AD881" i="3"/>
  <c r="Z881" i="3"/>
  <c r="AE881" i="3"/>
  <c r="L880" i="3"/>
  <c r="U880" i="3" l="1"/>
  <c r="Y879" i="3"/>
  <c r="T881" i="3"/>
  <c r="AH881" i="3" s="1"/>
  <c r="D881" i="3" l="1"/>
  <c r="G881" i="3" s="1"/>
  <c r="E881" i="3"/>
  <c r="H881" i="3" s="1"/>
  <c r="K881" i="3" s="1"/>
  <c r="AG881" i="3"/>
  <c r="F881" i="3" l="1"/>
  <c r="I881" i="3"/>
  <c r="J881" i="3"/>
  <c r="M881" i="3"/>
  <c r="N881" i="3" s="1"/>
  <c r="V881" i="3"/>
  <c r="A882" i="3"/>
  <c r="B882" i="3" s="1"/>
  <c r="W881" i="3" l="1"/>
  <c r="AA882" i="3"/>
  <c r="Z882" i="3"/>
  <c r="AE882" i="3"/>
  <c r="P882" i="3"/>
  <c r="Q882" i="3" s="1"/>
  <c r="R882" i="3" s="1"/>
  <c r="S882" i="3" s="1"/>
  <c r="AD882" i="3"/>
  <c r="AC882" i="3"/>
  <c r="L881" i="3"/>
  <c r="T882" i="3" l="1"/>
  <c r="U881" i="3"/>
  <c r="Y880" i="3"/>
  <c r="D882" i="3" l="1"/>
  <c r="G882" i="3" s="1"/>
  <c r="E882" i="3"/>
  <c r="H882" i="3" s="1"/>
  <c r="K882" i="3" s="1"/>
  <c r="AH882" i="3"/>
  <c r="AG882" i="3"/>
  <c r="F882" i="3" l="1"/>
  <c r="I882" i="3"/>
  <c r="J882" i="3"/>
  <c r="M882" i="3"/>
  <c r="N882" i="3" s="1"/>
  <c r="V882" i="3"/>
  <c r="A883" i="3"/>
  <c r="B883" i="3" s="1"/>
  <c r="W882" i="3" l="1"/>
  <c r="AD883" i="3"/>
  <c r="Z883" i="3"/>
  <c r="P883" i="3"/>
  <c r="Q883" i="3" s="1"/>
  <c r="R883" i="3" s="1"/>
  <c r="S883" i="3" s="1"/>
  <c r="AA883" i="3"/>
  <c r="AE883" i="3"/>
  <c r="AC883" i="3"/>
  <c r="L882" i="3"/>
  <c r="T883" i="3" l="1"/>
  <c r="AG883" i="3" s="1"/>
  <c r="U882" i="3"/>
  <c r="Y881" i="3"/>
  <c r="AH883" i="3" l="1"/>
  <c r="D883" i="3"/>
  <c r="G883" i="3" s="1"/>
  <c r="E883" i="3"/>
  <c r="H883" i="3" s="1"/>
  <c r="K883" i="3" s="1"/>
  <c r="F883" i="3" l="1"/>
  <c r="I883" i="3"/>
  <c r="J883" i="3"/>
  <c r="M883" i="3"/>
  <c r="N883" i="3" s="1"/>
  <c r="V883" i="3"/>
  <c r="A884" i="3"/>
  <c r="B884" i="3" s="1"/>
  <c r="W883" i="3" l="1"/>
  <c r="AC884" i="3"/>
  <c r="AD884" i="3"/>
  <c r="AE884" i="3"/>
  <c r="AA884" i="3"/>
  <c r="P884" i="3"/>
  <c r="Q884" i="3" s="1"/>
  <c r="R884" i="3" s="1"/>
  <c r="S884" i="3" s="1"/>
  <c r="Z884" i="3"/>
  <c r="L883" i="3"/>
  <c r="T884" i="3" l="1"/>
  <c r="U883" i="3"/>
  <c r="AH884" i="3"/>
  <c r="E884" i="3"/>
  <c r="H884" i="3" s="1"/>
  <c r="AG884" i="3"/>
  <c r="Y882" i="3"/>
  <c r="D884" i="3" l="1"/>
  <c r="F884" i="3" s="1"/>
  <c r="K884" i="3"/>
  <c r="G884" i="3" l="1"/>
  <c r="I884" i="3" s="1"/>
  <c r="V884" i="3"/>
  <c r="A885" i="3"/>
  <c r="B885" i="3" s="1"/>
  <c r="M884" i="3" l="1"/>
  <c r="N884" i="3" s="1"/>
  <c r="J884" i="3"/>
  <c r="W884" i="3"/>
  <c r="P885" i="3"/>
  <c r="Q885" i="3" s="1"/>
  <c r="R885" i="3" s="1"/>
  <c r="S885" i="3" s="1"/>
  <c r="AC885" i="3"/>
  <c r="Z885" i="3"/>
  <c r="AA885" i="3"/>
  <c r="AE885" i="3"/>
  <c r="AD885" i="3"/>
  <c r="L884" i="3"/>
  <c r="U884" i="3" l="1"/>
  <c r="Y883" i="3"/>
  <c r="T885" i="3"/>
  <c r="AG885" i="3" s="1"/>
  <c r="AH885" i="3" l="1"/>
  <c r="D885" i="3"/>
  <c r="E885" i="3"/>
  <c r="H885" i="3" s="1"/>
  <c r="K885" i="3" l="1"/>
  <c r="F885" i="3"/>
  <c r="G885" i="3"/>
  <c r="V885" i="3" l="1"/>
  <c r="A886" i="3"/>
  <c r="B886" i="3" s="1"/>
  <c r="I885" i="3"/>
  <c r="J885" i="3"/>
  <c r="M885" i="3"/>
  <c r="N885" i="3" s="1"/>
  <c r="W885" i="3" l="1"/>
  <c r="L885" i="3"/>
  <c r="AA886" i="3"/>
  <c r="AC886" i="3"/>
  <c r="Z886" i="3"/>
  <c r="AD886" i="3"/>
  <c r="AE886" i="3"/>
  <c r="P886" i="3"/>
  <c r="Q886" i="3" s="1"/>
  <c r="R886" i="3" s="1"/>
  <c r="S886" i="3" s="1"/>
  <c r="T886" i="3" l="1"/>
  <c r="AG886" i="3" s="1"/>
  <c r="U885" i="3"/>
  <c r="Y884" i="3"/>
  <c r="AH886" i="3" l="1"/>
  <c r="D886" i="3"/>
  <c r="G886" i="3" s="1"/>
  <c r="E886" i="3"/>
  <c r="H886" i="3" s="1"/>
  <c r="K886" i="3" l="1"/>
  <c r="I886" i="3"/>
  <c r="J886" i="3"/>
  <c r="M886" i="3"/>
  <c r="N886" i="3" s="1"/>
  <c r="F886" i="3"/>
  <c r="V886" i="3" l="1"/>
  <c r="W886" i="3" s="1"/>
  <c r="A887" i="3"/>
  <c r="B887" i="3" s="1"/>
  <c r="L886" i="3"/>
  <c r="AD887" i="3" l="1"/>
  <c r="P887" i="3"/>
  <c r="Q887" i="3" s="1"/>
  <c r="R887" i="3" s="1"/>
  <c r="S887" i="3" s="1"/>
  <c r="Z887" i="3"/>
  <c r="AE887" i="3"/>
  <c r="AA887" i="3"/>
  <c r="AC887" i="3"/>
  <c r="U886" i="3"/>
  <c r="Y885" i="3"/>
  <c r="T887" i="3" l="1"/>
  <c r="D887" i="3" s="1"/>
  <c r="E887" i="3" l="1"/>
  <c r="H887" i="3" s="1"/>
  <c r="K887" i="3" s="1"/>
  <c r="AG887" i="3"/>
  <c r="AH887" i="3"/>
  <c r="G887" i="3"/>
  <c r="F887" i="3" l="1"/>
  <c r="I887" i="3"/>
  <c r="J887" i="3"/>
  <c r="M887" i="3"/>
  <c r="N887" i="3" s="1"/>
  <c r="V887" i="3"/>
  <c r="A888" i="3"/>
  <c r="B888" i="3" s="1"/>
  <c r="W887" i="3" l="1"/>
  <c r="Z888" i="3"/>
  <c r="AE888" i="3"/>
  <c r="AD888" i="3"/>
  <c r="P888" i="3"/>
  <c r="Q888" i="3" s="1"/>
  <c r="R888" i="3" s="1"/>
  <c r="S888" i="3" s="1"/>
  <c r="AA888" i="3"/>
  <c r="AC888" i="3"/>
  <c r="L887" i="3"/>
  <c r="U887" i="3" l="1"/>
  <c r="Y886" i="3"/>
  <c r="T888" i="3"/>
  <c r="AG888" i="3" s="1"/>
  <c r="AH888" i="3" l="1"/>
  <c r="D888" i="3"/>
  <c r="E888" i="3"/>
  <c r="H888" i="3" s="1"/>
  <c r="K888" i="3" l="1"/>
  <c r="F888" i="3"/>
  <c r="G888" i="3"/>
  <c r="V888" i="3" l="1"/>
  <c r="A889" i="3"/>
  <c r="B889" i="3" s="1"/>
  <c r="I888" i="3"/>
  <c r="J888" i="3"/>
  <c r="M888" i="3"/>
  <c r="N888" i="3" s="1"/>
  <c r="W888" i="3" l="1"/>
  <c r="P889" i="3"/>
  <c r="Q889" i="3" s="1"/>
  <c r="R889" i="3" s="1"/>
  <c r="S889" i="3" s="1"/>
  <c r="AD889" i="3"/>
  <c r="AC889" i="3"/>
  <c r="AA889" i="3"/>
  <c r="Z889" i="3"/>
  <c r="AE889" i="3"/>
  <c r="L888" i="3"/>
  <c r="U888" i="3" l="1"/>
  <c r="Y887" i="3"/>
  <c r="T889" i="3"/>
  <c r="AG889" i="3" s="1"/>
  <c r="D889" i="3" l="1"/>
  <c r="G889" i="3" s="1"/>
  <c r="E889" i="3"/>
  <c r="H889" i="3" s="1"/>
  <c r="K889" i="3" s="1"/>
  <c r="AH889" i="3"/>
  <c r="F889" i="3" l="1"/>
  <c r="I889" i="3"/>
  <c r="J889" i="3"/>
  <c r="M889" i="3"/>
  <c r="N889" i="3" s="1"/>
  <c r="V889" i="3"/>
  <c r="A890" i="3"/>
  <c r="B890" i="3" s="1"/>
  <c r="W889" i="3" l="1"/>
  <c r="AD890" i="3"/>
  <c r="P890" i="3"/>
  <c r="Q890" i="3" s="1"/>
  <c r="R890" i="3" s="1"/>
  <c r="S890" i="3" s="1"/>
  <c r="AE890" i="3"/>
  <c r="AC890" i="3"/>
  <c r="Z890" i="3"/>
  <c r="AA890" i="3"/>
  <c r="L889" i="3"/>
  <c r="T890" i="3" l="1"/>
  <c r="AH890" i="3" s="1"/>
  <c r="U889" i="3"/>
  <c r="Y888" i="3"/>
  <c r="E890" i="3" l="1"/>
  <c r="H890" i="3" s="1"/>
  <c r="K890" i="3" s="1"/>
  <c r="AG890" i="3"/>
  <c r="D890" i="3"/>
  <c r="F890" i="3" l="1"/>
  <c r="G890" i="3"/>
  <c r="V890" i="3"/>
  <c r="A891" i="3"/>
  <c r="B891" i="3" s="1"/>
  <c r="AD891" i="3" l="1"/>
  <c r="AE891" i="3"/>
  <c r="P891" i="3"/>
  <c r="Q891" i="3" s="1"/>
  <c r="R891" i="3" s="1"/>
  <c r="S891" i="3" s="1"/>
  <c r="Z891" i="3"/>
  <c r="AC891" i="3"/>
  <c r="AA891" i="3"/>
  <c r="I890" i="3"/>
  <c r="W890" i="3" s="1"/>
  <c r="J890" i="3"/>
  <c r="M890" i="3"/>
  <c r="N890" i="3" s="1"/>
  <c r="T891" i="3" l="1"/>
  <c r="L890" i="3"/>
  <c r="U890" i="3" l="1"/>
  <c r="E891" i="3" s="1"/>
  <c r="H891" i="3" s="1"/>
  <c r="AG891" i="3"/>
  <c r="AH891" i="3"/>
  <c r="Y889" i="3"/>
  <c r="D891" i="3" l="1"/>
  <c r="G891" i="3" s="1"/>
  <c r="K891" i="3"/>
  <c r="F891" i="3" l="1"/>
  <c r="V891" i="3"/>
  <c r="A892" i="3"/>
  <c r="B892" i="3" s="1"/>
  <c r="I891" i="3"/>
  <c r="J891" i="3"/>
  <c r="M891" i="3"/>
  <c r="N891" i="3" s="1"/>
  <c r="P892" i="3" l="1"/>
  <c r="Q892" i="3" s="1"/>
  <c r="R892" i="3" s="1"/>
  <c r="S892" i="3" s="1"/>
  <c r="AD892" i="3"/>
  <c r="AA892" i="3"/>
  <c r="AC892" i="3"/>
  <c r="AE892" i="3"/>
  <c r="Z892" i="3"/>
  <c r="L891" i="3"/>
  <c r="W891" i="3"/>
  <c r="U891" i="3" l="1"/>
  <c r="Y890" i="3"/>
  <c r="T892" i="3"/>
  <c r="AG892" i="3" s="1"/>
  <c r="D892" i="3" l="1"/>
  <c r="G892" i="3" s="1"/>
  <c r="E892" i="3"/>
  <c r="H892" i="3" s="1"/>
  <c r="K892" i="3" s="1"/>
  <c r="AH892" i="3"/>
  <c r="F892" i="3" l="1"/>
  <c r="I892" i="3"/>
  <c r="J892" i="3"/>
  <c r="M892" i="3"/>
  <c r="N892" i="3" s="1"/>
  <c r="V892" i="3"/>
  <c r="A893" i="3"/>
  <c r="B893" i="3" s="1"/>
  <c r="W892" i="3" l="1"/>
  <c r="L892" i="3"/>
  <c r="AA893" i="3"/>
  <c r="Z893" i="3"/>
  <c r="AE893" i="3"/>
  <c r="AC893" i="3"/>
  <c r="P893" i="3"/>
  <c r="Q893" i="3" s="1"/>
  <c r="R893" i="3" s="1"/>
  <c r="S893" i="3" s="1"/>
  <c r="AD893" i="3"/>
  <c r="T893" i="3" l="1"/>
  <c r="AH893" i="3" s="1"/>
  <c r="U892" i="3"/>
  <c r="Y891" i="3"/>
  <c r="AG893" i="3" l="1"/>
  <c r="E893" i="3"/>
  <c r="H893" i="3" s="1"/>
  <c r="K893" i="3" s="1"/>
  <c r="D893" i="3"/>
  <c r="F893" i="3" l="1"/>
  <c r="G893" i="3"/>
  <c r="I893" i="3" s="1"/>
  <c r="V893" i="3"/>
  <c r="A894" i="3"/>
  <c r="B894" i="3" s="1"/>
  <c r="M893" i="3" l="1"/>
  <c r="N893" i="3" s="1"/>
  <c r="J893" i="3"/>
  <c r="L893" i="3" s="1"/>
  <c r="W893" i="3"/>
  <c r="AC894" i="3"/>
  <c r="AE894" i="3"/>
  <c r="AD894" i="3"/>
  <c r="Z894" i="3"/>
  <c r="P894" i="3"/>
  <c r="Q894" i="3" s="1"/>
  <c r="R894" i="3" s="1"/>
  <c r="S894" i="3" s="1"/>
  <c r="AA894" i="3"/>
  <c r="U893" i="3" l="1"/>
  <c r="Y892" i="3"/>
  <c r="T894" i="3"/>
  <c r="E894" i="3" s="1"/>
  <c r="H894" i="3" s="1"/>
  <c r="K894" i="3" l="1"/>
  <c r="AG894" i="3"/>
  <c r="AH894" i="3"/>
  <c r="D894" i="3"/>
  <c r="V894" i="3" l="1"/>
  <c r="A895" i="3"/>
  <c r="B895" i="3" s="1"/>
  <c r="F894" i="3"/>
  <c r="G894" i="3"/>
  <c r="AC895" i="3" l="1"/>
  <c r="AD895" i="3"/>
  <c r="AE895" i="3"/>
  <c r="Z895" i="3"/>
  <c r="P895" i="3"/>
  <c r="Q895" i="3" s="1"/>
  <c r="R895" i="3" s="1"/>
  <c r="S895" i="3" s="1"/>
  <c r="AA895" i="3"/>
  <c r="I894" i="3"/>
  <c r="W894" i="3" s="1"/>
  <c r="J894" i="3"/>
  <c r="M894" i="3"/>
  <c r="N894" i="3" s="1"/>
  <c r="T895" i="3" l="1"/>
  <c r="L894" i="3"/>
  <c r="AH895" i="3" l="1"/>
  <c r="U894" i="3"/>
  <c r="E895" i="3" s="1"/>
  <c r="H895" i="3" s="1"/>
  <c r="D895" i="3"/>
  <c r="AG895" i="3"/>
  <c r="Y893" i="3"/>
  <c r="K895" i="3" l="1"/>
  <c r="F895" i="3"/>
  <c r="G895" i="3"/>
  <c r="V895" i="3" l="1"/>
  <c r="A896" i="3"/>
  <c r="B896" i="3" s="1"/>
  <c r="I895" i="3"/>
  <c r="J895" i="3"/>
  <c r="M895" i="3"/>
  <c r="N895" i="3" s="1"/>
  <c r="W895" i="3" l="1"/>
  <c r="AD896" i="3"/>
  <c r="P896" i="3"/>
  <c r="Q896" i="3" s="1"/>
  <c r="R896" i="3" s="1"/>
  <c r="S896" i="3" s="1"/>
  <c r="AA896" i="3"/>
  <c r="AE896" i="3"/>
  <c r="AC896" i="3"/>
  <c r="Z896" i="3"/>
  <c r="L895" i="3"/>
  <c r="T896" i="3" l="1"/>
  <c r="AH896" i="3" s="1"/>
  <c r="U895" i="3"/>
  <c r="AG896" i="3"/>
  <c r="Y894" i="3"/>
  <c r="D896" i="3" l="1"/>
  <c r="G896" i="3" s="1"/>
  <c r="E896" i="3"/>
  <c r="H896" i="3" s="1"/>
  <c r="K896" i="3" s="1"/>
  <c r="F896" i="3" l="1"/>
  <c r="I896" i="3"/>
  <c r="J896" i="3"/>
  <c r="M896" i="3"/>
  <c r="N896" i="3" s="1"/>
  <c r="V896" i="3"/>
  <c r="A897" i="3"/>
  <c r="B897" i="3" s="1"/>
  <c r="W896" i="3" l="1"/>
  <c r="AC897" i="3"/>
  <c r="Z897" i="3"/>
  <c r="AD897" i="3"/>
  <c r="AE897" i="3"/>
  <c r="AA897" i="3"/>
  <c r="P897" i="3"/>
  <c r="Q897" i="3" s="1"/>
  <c r="R897" i="3" s="1"/>
  <c r="S897" i="3" s="1"/>
  <c r="L896" i="3"/>
  <c r="T897" i="3" l="1"/>
  <c r="AH897" i="3" s="1"/>
  <c r="U896" i="3"/>
  <c r="Y895" i="3"/>
  <c r="AG897" i="3" l="1"/>
  <c r="E897" i="3"/>
  <c r="H897" i="3" s="1"/>
  <c r="K897" i="3" s="1"/>
  <c r="D897" i="3"/>
  <c r="F897" i="3" s="1"/>
  <c r="G897" i="3" l="1"/>
  <c r="I897" i="3" s="1"/>
  <c r="V897" i="3"/>
  <c r="A898" i="3"/>
  <c r="B898" i="3" s="1"/>
  <c r="M897" i="3" l="1"/>
  <c r="N897" i="3" s="1"/>
  <c r="J897" i="3"/>
  <c r="W897" i="3"/>
  <c r="P898" i="3"/>
  <c r="Q898" i="3" s="1"/>
  <c r="R898" i="3" s="1"/>
  <c r="S898" i="3" s="1"/>
  <c r="AE898" i="3"/>
  <c r="AA898" i="3"/>
  <c r="AD898" i="3"/>
  <c r="AC898" i="3"/>
  <c r="Z898" i="3"/>
  <c r="L897" i="3"/>
  <c r="U897" i="3" l="1"/>
  <c r="Y896" i="3"/>
  <c r="T898" i="3"/>
  <c r="AG898" i="3" s="1"/>
  <c r="D898" i="3" l="1"/>
  <c r="E898" i="3"/>
  <c r="H898" i="3" s="1"/>
  <c r="AH898" i="3"/>
  <c r="K898" i="3" l="1"/>
  <c r="F898" i="3"/>
  <c r="G898" i="3"/>
  <c r="V898" i="3" l="1"/>
  <c r="A899" i="3"/>
  <c r="B899" i="3" s="1"/>
  <c r="I898" i="3"/>
  <c r="J898" i="3"/>
  <c r="M898" i="3"/>
  <c r="N898" i="3" s="1"/>
  <c r="W898" i="3" l="1"/>
  <c r="AA899" i="3"/>
  <c r="AE899" i="3"/>
  <c r="AC899" i="3"/>
  <c r="P899" i="3"/>
  <c r="Q899" i="3" s="1"/>
  <c r="R899" i="3" s="1"/>
  <c r="S899" i="3" s="1"/>
  <c r="Z899" i="3"/>
  <c r="AD899" i="3"/>
  <c r="L898" i="3"/>
  <c r="T899" i="3" l="1"/>
  <c r="AH899" i="3" s="1"/>
  <c r="U898" i="3"/>
  <c r="D899" i="3" s="1"/>
  <c r="AG899" i="3"/>
  <c r="Y897" i="3"/>
  <c r="E899" i="3" l="1"/>
  <c r="H899" i="3" s="1"/>
  <c r="K899" i="3" s="1"/>
  <c r="G899" i="3"/>
  <c r="F899" i="3" l="1"/>
  <c r="I899" i="3"/>
  <c r="J899" i="3"/>
  <c r="M899" i="3"/>
  <c r="N899" i="3" s="1"/>
  <c r="V899" i="3"/>
  <c r="A900" i="3"/>
  <c r="B900" i="3" s="1"/>
  <c r="W899" i="3" l="1"/>
  <c r="AE900" i="3"/>
  <c r="AA900" i="3"/>
  <c r="AD900" i="3"/>
  <c r="P900" i="3"/>
  <c r="Q900" i="3" s="1"/>
  <c r="R900" i="3" s="1"/>
  <c r="S900" i="3" s="1"/>
  <c r="AC900" i="3"/>
  <c r="Z900" i="3"/>
  <c r="L899" i="3"/>
  <c r="U899" i="3" l="1"/>
  <c r="Y898" i="3"/>
  <c r="T900" i="3"/>
  <c r="AH900" i="3" s="1"/>
  <c r="D900" i="3" l="1"/>
  <c r="AG900" i="3"/>
  <c r="E900" i="3"/>
  <c r="H900" i="3" s="1"/>
  <c r="K900" i="3" l="1"/>
  <c r="F900" i="3"/>
  <c r="G900" i="3"/>
  <c r="V900" i="3" l="1"/>
  <c r="A901" i="3"/>
  <c r="B901" i="3" s="1"/>
  <c r="I900" i="3"/>
  <c r="J900" i="3"/>
  <c r="M900" i="3"/>
  <c r="N900" i="3" s="1"/>
  <c r="W900" i="3" l="1"/>
  <c r="AA901" i="3"/>
  <c r="AC901" i="3"/>
  <c r="AD901" i="3"/>
  <c r="AE901" i="3"/>
  <c r="Z901" i="3"/>
  <c r="P901" i="3"/>
  <c r="Q901" i="3" s="1"/>
  <c r="R901" i="3" s="1"/>
  <c r="S901" i="3" s="1"/>
  <c r="L900" i="3"/>
  <c r="T901" i="3" l="1"/>
  <c r="AH901" i="3" s="1"/>
  <c r="U900" i="3"/>
  <c r="Y899" i="3"/>
  <c r="AG901" i="3" l="1"/>
  <c r="D901" i="3"/>
  <c r="G901" i="3" s="1"/>
  <c r="E901" i="3"/>
  <c r="H901" i="3" s="1"/>
  <c r="K901" i="3" s="1"/>
  <c r="F901" i="3" l="1"/>
  <c r="V901" i="3"/>
  <c r="A902" i="3"/>
  <c r="B902" i="3" s="1"/>
  <c r="I901" i="3"/>
  <c r="J901" i="3"/>
  <c r="M901" i="3"/>
  <c r="N901" i="3" s="1"/>
  <c r="W901" i="3" l="1"/>
  <c r="AA902" i="3"/>
  <c r="AD902" i="3"/>
  <c r="Z902" i="3"/>
  <c r="AC902" i="3"/>
  <c r="P902" i="3"/>
  <c r="Q902" i="3" s="1"/>
  <c r="R902" i="3" s="1"/>
  <c r="S902" i="3" s="1"/>
  <c r="AE902" i="3"/>
  <c r="L901" i="3"/>
  <c r="T902" i="3" l="1"/>
  <c r="U901" i="3"/>
  <c r="AH902" i="3"/>
  <c r="D902" i="3"/>
  <c r="AG902" i="3"/>
  <c r="Y900" i="3"/>
  <c r="E902" i="3" l="1"/>
  <c r="H902" i="3" s="1"/>
  <c r="K902" i="3" s="1"/>
  <c r="G902" i="3"/>
  <c r="F902" i="3" l="1"/>
  <c r="V902" i="3"/>
  <c r="A903" i="3"/>
  <c r="B903" i="3" s="1"/>
  <c r="I902" i="3"/>
  <c r="J902" i="3"/>
  <c r="M902" i="3"/>
  <c r="N902" i="3" s="1"/>
  <c r="W902" i="3" l="1"/>
  <c r="AA903" i="3"/>
  <c r="Z903" i="3"/>
  <c r="AE903" i="3"/>
  <c r="P903" i="3"/>
  <c r="Q903" i="3" s="1"/>
  <c r="R903" i="3" s="1"/>
  <c r="S903" i="3" s="1"/>
  <c r="AC903" i="3"/>
  <c r="AD903" i="3"/>
  <c r="L902" i="3"/>
  <c r="T903" i="3" l="1"/>
  <c r="AH903" i="3" s="1"/>
  <c r="U902" i="3"/>
  <c r="Y901" i="3"/>
  <c r="E903" i="3" l="1"/>
  <c r="H903" i="3" s="1"/>
  <c r="K903" i="3" s="1"/>
  <c r="AG903" i="3"/>
  <c r="D903" i="3"/>
  <c r="F903" i="3" l="1"/>
  <c r="G903" i="3"/>
  <c r="V903" i="3"/>
  <c r="A904" i="3"/>
  <c r="B904" i="3" s="1"/>
  <c r="Z904" i="3" l="1"/>
  <c r="AA904" i="3"/>
  <c r="AE904" i="3"/>
  <c r="AC904" i="3"/>
  <c r="P904" i="3"/>
  <c r="Q904" i="3" s="1"/>
  <c r="R904" i="3" s="1"/>
  <c r="S904" i="3" s="1"/>
  <c r="AD904" i="3"/>
  <c r="I903" i="3"/>
  <c r="W903" i="3" s="1"/>
  <c r="J903" i="3"/>
  <c r="M903" i="3"/>
  <c r="N903" i="3" s="1"/>
  <c r="L903" i="3" l="1"/>
  <c r="T904" i="3"/>
  <c r="U903" i="3" l="1"/>
  <c r="D904" i="3" s="1"/>
  <c r="AG904" i="3"/>
  <c r="AH904" i="3"/>
  <c r="E904" i="3"/>
  <c r="H904" i="3" s="1"/>
  <c r="Y902" i="3"/>
  <c r="F904" i="3" l="1"/>
  <c r="G904" i="3"/>
  <c r="K904" i="3"/>
  <c r="I904" i="3" l="1"/>
  <c r="J904" i="3"/>
  <c r="M904" i="3"/>
  <c r="N904" i="3" s="1"/>
  <c r="V904" i="3"/>
  <c r="W904" i="3" s="1"/>
  <c r="A905" i="3"/>
  <c r="B905" i="3" s="1"/>
  <c r="AD905" i="3" l="1"/>
  <c r="AA905" i="3"/>
  <c r="AC905" i="3"/>
  <c r="AE905" i="3"/>
  <c r="P905" i="3"/>
  <c r="Q905" i="3" s="1"/>
  <c r="R905" i="3" s="1"/>
  <c r="S905" i="3" s="1"/>
  <c r="Z905" i="3"/>
  <c r="L904" i="3"/>
  <c r="T905" i="3" l="1"/>
  <c r="AG905" i="3" s="1"/>
  <c r="U904" i="3"/>
  <c r="Y903" i="3"/>
  <c r="AH905" i="3" l="1"/>
  <c r="D905" i="3"/>
  <c r="G905" i="3" s="1"/>
  <c r="E905" i="3"/>
  <c r="H905" i="3" s="1"/>
  <c r="K905" i="3" s="1"/>
  <c r="F905" i="3" l="1"/>
  <c r="I905" i="3"/>
  <c r="J905" i="3"/>
  <c r="M905" i="3"/>
  <c r="N905" i="3" s="1"/>
  <c r="V905" i="3"/>
  <c r="A906" i="3"/>
  <c r="B906" i="3" s="1"/>
  <c r="W905" i="3" l="1"/>
  <c r="AC906" i="3"/>
  <c r="Z906" i="3"/>
  <c r="AE906" i="3"/>
  <c r="AD906" i="3"/>
  <c r="AA906" i="3"/>
  <c r="P906" i="3"/>
  <c r="Q906" i="3" s="1"/>
  <c r="R906" i="3" s="1"/>
  <c r="S906" i="3" s="1"/>
  <c r="L905" i="3"/>
  <c r="T906" i="3" l="1"/>
  <c r="U905" i="3"/>
  <c r="D906" i="3" s="1"/>
  <c r="AH906" i="3"/>
  <c r="AG906" i="3"/>
  <c r="Y904" i="3"/>
  <c r="E906" i="3" l="1"/>
  <c r="H906" i="3" s="1"/>
  <c r="K906" i="3" s="1"/>
  <c r="G906" i="3"/>
  <c r="F906" i="3" l="1"/>
  <c r="V906" i="3"/>
  <c r="A907" i="3"/>
  <c r="B907" i="3" s="1"/>
  <c r="I906" i="3"/>
  <c r="J906" i="3"/>
  <c r="M906" i="3"/>
  <c r="N906" i="3" s="1"/>
  <c r="W906" i="3" l="1"/>
  <c r="AD907" i="3"/>
  <c r="P907" i="3"/>
  <c r="Q907" i="3" s="1"/>
  <c r="R907" i="3" s="1"/>
  <c r="S907" i="3" s="1"/>
  <c r="AA907" i="3"/>
  <c r="Z907" i="3"/>
  <c r="AE907" i="3"/>
  <c r="AC907" i="3"/>
  <c r="L906" i="3"/>
  <c r="T907" i="3" l="1"/>
  <c r="AG907" i="3" s="1"/>
  <c r="U906" i="3"/>
  <c r="Y905" i="3"/>
  <c r="D907" i="3" l="1"/>
  <c r="G907" i="3" s="1"/>
  <c r="E907" i="3"/>
  <c r="H907" i="3" s="1"/>
  <c r="K907" i="3" s="1"/>
  <c r="AH907" i="3"/>
  <c r="F907" i="3" l="1"/>
  <c r="V907" i="3"/>
  <c r="A908" i="3"/>
  <c r="B908" i="3" s="1"/>
  <c r="I907" i="3"/>
  <c r="J907" i="3"/>
  <c r="M907" i="3"/>
  <c r="N907" i="3" s="1"/>
  <c r="W907" i="3" l="1"/>
  <c r="AC908" i="3"/>
  <c r="AD908" i="3"/>
  <c r="AA908" i="3"/>
  <c r="Z908" i="3"/>
  <c r="AE908" i="3"/>
  <c r="P908" i="3"/>
  <c r="Q908" i="3" s="1"/>
  <c r="R908" i="3" s="1"/>
  <c r="S908" i="3" s="1"/>
  <c r="L907" i="3"/>
  <c r="T908" i="3" l="1"/>
  <c r="AH908" i="3" s="1"/>
  <c r="U907" i="3"/>
  <c r="D908" i="3" s="1"/>
  <c r="Y906" i="3"/>
  <c r="AG908" i="3" l="1"/>
  <c r="G908" i="3"/>
  <c r="E908" i="3"/>
  <c r="H908" i="3" s="1"/>
  <c r="K908" i="3" l="1"/>
  <c r="I908" i="3"/>
  <c r="J908" i="3"/>
  <c r="M908" i="3"/>
  <c r="N908" i="3" s="1"/>
  <c r="F908" i="3"/>
  <c r="L908" i="3" l="1"/>
  <c r="V908" i="3"/>
  <c r="W908" i="3" s="1"/>
  <c r="A909" i="3"/>
  <c r="B909" i="3" s="1"/>
  <c r="P909" i="3" l="1"/>
  <c r="Q909" i="3" s="1"/>
  <c r="R909" i="3" s="1"/>
  <c r="S909" i="3" s="1"/>
  <c r="AE909" i="3"/>
  <c r="Z909" i="3"/>
  <c r="AC909" i="3"/>
  <c r="AA909" i="3"/>
  <c r="AD909" i="3"/>
  <c r="U908" i="3"/>
  <c r="Y907" i="3"/>
  <c r="T909" i="3" l="1"/>
  <c r="AG909" i="3" l="1"/>
  <c r="D909" i="3"/>
  <c r="AH909" i="3"/>
  <c r="E909" i="3"/>
  <c r="H909" i="3" s="1"/>
  <c r="F909" i="3" l="1"/>
  <c r="G909" i="3"/>
  <c r="K909" i="3"/>
  <c r="I909" i="3" l="1"/>
  <c r="J909" i="3"/>
  <c r="M909" i="3"/>
  <c r="N909" i="3" s="1"/>
  <c r="V909" i="3"/>
  <c r="W909" i="3" s="1"/>
  <c r="A910" i="3"/>
  <c r="B910" i="3" s="1"/>
  <c r="L909" i="3" l="1"/>
  <c r="AC910" i="3"/>
  <c r="P910" i="3"/>
  <c r="Q910" i="3" s="1"/>
  <c r="R910" i="3" s="1"/>
  <c r="S910" i="3" s="1"/>
  <c r="Z910" i="3"/>
  <c r="AE910" i="3"/>
  <c r="AD910" i="3"/>
  <c r="AA910" i="3"/>
  <c r="T910" i="3" l="1"/>
  <c r="AG910" i="3" s="1"/>
  <c r="U909" i="3"/>
  <c r="Y908" i="3"/>
  <c r="AH910" i="3" l="1"/>
  <c r="E910" i="3"/>
  <c r="H910" i="3" s="1"/>
  <c r="K910" i="3" s="1"/>
  <c r="D910" i="3"/>
  <c r="F910" i="3" l="1"/>
  <c r="G910" i="3"/>
  <c r="I910" i="3" s="1"/>
  <c r="V910" i="3"/>
  <c r="A911" i="3"/>
  <c r="B911" i="3" s="1"/>
  <c r="M910" i="3" l="1"/>
  <c r="N910" i="3" s="1"/>
  <c r="J910" i="3"/>
  <c r="W910" i="3"/>
  <c r="AE911" i="3"/>
  <c r="AD911" i="3"/>
  <c r="AC911" i="3"/>
  <c r="AA911" i="3"/>
  <c r="P911" i="3"/>
  <c r="Q911" i="3" s="1"/>
  <c r="R911" i="3" s="1"/>
  <c r="S911" i="3" s="1"/>
  <c r="Z911" i="3"/>
  <c r="L910" i="3"/>
  <c r="T911" i="3" l="1"/>
  <c r="AG911" i="3" s="1"/>
  <c r="U910" i="3"/>
  <c r="Y909" i="3"/>
  <c r="AH911" i="3" l="1"/>
  <c r="E911" i="3"/>
  <c r="H911" i="3" s="1"/>
  <c r="K911" i="3" s="1"/>
  <c r="D911" i="3"/>
  <c r="F911" i="3" l="1"/>
  <c r="G911" i="3"/>
  <c r="J911" i="3" s="1"/>
  <c r="V911" i="3"/>
  <c r="A912" i="3"/>
  <c r="B912" i="3" s="1"/>
  <c r="I911" i="3" l="1"/>
  <c r="M911" i="3"/>
  <c r="N911" i="3" s="1"/>
  <c r="W911" i="3"/>
  <c r="AD912" i="3"/>
  <c r="Z912" i="3"/>
  <c r="AA912" i="3"/>
  <c r="AE912" i="3"/>
  <c r="AC912" i="3"/>
  <c r="P912" i="3"/>
  <c r="Q912" i="3" s="1"/>
  <c r="R912" i="3" s="1"/>
  <c r="S912" i="3" s="1"/>
  <c r="L911" i="3"/>
  <c r="T912" i="3" l="1"/>
  <c r="AH912" i="3" s="1"/>
  <c r="AG912" i="3"/>
  <c r="U911" i="3"/>
  <c r="D912" i="3" s="1"/>
  <c r="Y910" i="3"/>
  <c r="G912" i="3" l="1"/>
  <c r="E912" i="3"/>
  <c r="H912" i="3" s="1"/>
  <c r="K912" i="3" l="1"/>
  <c r="I912" i="3"/>
  <c r="J912" i="3"/>
  <c r="M912" i="3"/>
  <c r="N912" i="3" s="1"/>
  <c r="F912" i="3"/>
  <c r="V912" i="3" l="1"/>
  <c r="W912" i="3" s="1"/>
  <c r="A913" i="3"/>
  <c r="B913" i="3" s="1"/>
  <c r="L912" i="3"/>
  <c r="AA913" i="3" l="1"/>
  <c r="AD913" i="3"/>
  <c r="Z913" i="3"/>
  <c r="AE913" i="3"/>
  <c r="P913" i="3"/>
  <c r="Q913" i="3" s="1"/>
  <c r="R913" i="3" s="1"/>
  <c r="S913" i="3" s="1"/>
  <c r="AC913" i="3"/>
  <c r="U912" i="3"/>
  <c r="Y911" i="3"/>
  <c r="T913" i="3" l="1"/>
  <c r="D913" i="3" s="1"/>
  <c r="AH913" i="3" l="1"/>
  <c r="E913" i="3"/>
  <c r="H913" i="3" s="1"/>
  <c r="K913" i="3" s="1"/>
  <c r="G913" i="3"/>
  <c r="AG913" i="3"/>
  <c r="F913" i="3" l="1"/>
  <c r="I913" i="3"/>
  <c r="J913" i="3"/>
  <c r="M913" i="3"/>
  <c r="N913" i="3" s="1"/>
  <c r="V913" i="3"/>
  <c r="A914" i="3"/>
  <c r="B914" i="3" s="1"/>
  <c r="W913" i="3" l="1"/>
  <c r="L913" i="3"/>
  <c r="AD914" i="3"/>
  <c r="P914" i="3"/>
  <c r="Q914" i="3" s="1"/>
  <c r="R914" i="3" s="1"/>
  <c r="S914" i="3" s="1"/>
  <c r="AC914" i="3"/>
  <c r="AA914" i="3"/>
  <c r="AE914" i="3"/>
  <c r="Z914" i="3"/>
  <c r="U913" i="3" l="1"/>
  <c r="Y912" i="3"/>
  <c r="T914" i="3"/>
  <c r="AG914" i="3" s="1"/>
  <c r="E914" i="3" l="1"/>
  <c r="H914" i="3" s="1"/>
  <c r="AH914" i="3"/>
  <c r="D914" i="3"/>
  <c r="F914" i="3" l="1"/>
  <c r="G914" i="3"/>
  <c r="K914" i="3"/>
  <c r="V914" i="3" l="1"/>
  <c r="A915" i="3"/>
  <c r="B915" i="3" s="1"/>
  <c r="I914" i="3"/>
  <c r="J914" i="3"/>
  <c r="M914" i="3"/>
  <c r="N914" i="3" s="1"/>
  <c r="L914" i="3" l="1"/>
  <c r="W914" i="3"/>
  <c r="P915" i="3"/>
  <c r="Q915" i="3" s="1"/>
  <c r="R915" i="3" s="1"/>
  <c r="S915" i="3" s="1"/>
  <c r="Z915" i="3"/>
  <c r="AD915" i="3"/>
  <c r="AE915" i="3"/>
  <c r="AC915" i="3"/>
  <c r="AA915" i="3"/>
  <c r="T915" i="3" l="1"/>
  <c r="U914" i="3"/>
  <c r="E915" i="3" s="1"/>
  <c r="H915" i="3" s="1"/>
  <c r="AG915" i="3"/>
  <c r="AH915" i="3"/>
  <c r="Y913" i="3"/>
  <c r="D915" i="3" l="1"/>
  <c r="G915" i="3" s="1"/>
  <c r="K915" i="3"/>
  <c r="F915" i="3" l="1"/>
  <c r="V915" i="3"/>
  <c r="A916" i="3"/>
  <c r="B916" i="3" s="1"/>
  <c r="I915" i="3"/>
  <c r="J915" i="3"/>
  <c r="M915" i="3"/>
  <c r="N915" i="3" s="1"/>
  <c r="Z916" i="3" l="1"/>
  <c r="AD916" i="3"/>
  <c r="AE916" i="3"/>
  <c r="AC916" i="3"/>
  <c r="P916" i="3"/>
  <c r="Q916" i="3" s="1"/>
  <c r="R916" i="3" s="1"/>
  <c r="S916" i="3" s="1"/>
  <c r="AA916" i="3"/>
  <c r="L915" i="3"/>
  <c r="W915" i="3"/>
  <c r="T916" i="3" l="1"/>
  <c r="AG916" i="3" s="1"/>
  <c r="U915" i="3"/>
  <c r="Y914" i="3"/>
  <c r="AH916" i="3" l="1"/>
  <c r="E916" i="3"/>
  <c r="H916" i="3" s="1"/>
  <c r="K916" i="3" s="1"/>
  <c r="D916" i="3"/>
  <c r="F916" i="3" l="1"/>
  <c r="G916" i="3"/>
  <c r="J916" i="3" s="1"/>
  <c r="V916" i="3"/>
  <c r="A917" i="3"/>
  <c r="B917" i="3" s="1"/>
  <c r="M916" i="3" l="1"/>
  <c r="N916" i="3" s="1"/>
  <c r="I916" i="3"/>
  <c r="W916" i="3" s="1"/>
  <c r="L916" i="3"/>
  <c r="P917" i="3"/>
  <c r="Q917" i="3" s="1"/>
  <c r="R917" i="3" s="1"/>
  <c r="S917" i="3" s="1"/>
  <c r="Z917" i="3"/>
  <c r="AC917" i="3"/>
  <c r="AA917" i="3"/>
  <c r="AD917" i="3"/>
  <c r="AE917" i="3"/>
  <c r="T917" i="3" l="1"/>
  <c r="AG917" i="3" s="1"/>
  <c r="U916" i="3"/>
  <c r="Y915" i="3"/>
  <c r="E917" i="3" l="1"/>
  <c r="H917" i="3" s="1"/>
  <c r="K917" i="3" s="1"/>
  <c r="AH917" i="3"/>
  <c r="D917" i="3"/>
  <c r="V917" i="3" l="1"/>
  <c r="A918" i="3"/>
  <c r="B918" i="3" s="1"/>
  <c r="F917" i="3"/>
  <c r="G917" i="3"/>
  <c r="AA918" i="3" l="1"/>
  <c r="Z918" i="3"/>
  <c r="P918" i="3"/>
  <c r="Q918" i="3" s="1"/>
  <c r="R918" i="3" s="1"/>
  <c r="S918" i="3" s="1"/>
  <c r="AC918" i="3"/>
  <c r="AE918" i="3"/>
  <c r="AD918" i="3"/>
  <c r="I917" i="3"/>
  <c r="W917" i="3" s="1"/>
  <c r="J917" i="3"/>
  <c r="M917" i="3"/>
  <c r="N917" i="3" s="1"/>
  <c r="T918" i="3" l="1"/>
  <c r="L917" i="3"/>
  <c r="U917" i="3" l="1"/>
  <c r="D918" i="3" s="1"/>
  <c r="AG918" i="3"/>
  <c r="AH918" i="3"/>
  <c r="Y916" i="3"/>
  <c r="E918" i="3" l="1"/>
  <c r="H918" i="3" s="1"/>
  <c r="K918" i="3" s="1"/>
  <c r="G918" i="3"/>
  <c r="F918" i="3" l="1"/>
  <c r="I918" i="3"/>
  <c r="J918" i="3"/>
  <c r="M918" i="3"/>
  <c r="N918" i="3" s="1"/>
  <c r="V918" i="3"/>
  <c r="A919" i="3"/>
  <c r="B919" i="3" s="1"/>
  <c r="W918" i="3" l="1"/>
  <c r="L918" i="3"/>
  <c r="AD919" i="3"/>
  <c r="AA919" i="3"/>
  <c r="Z919" i="3"/>
  <c r="AE919" i="3"/>
  <c r="P919" i="3"/>
  <c r="Q919" i="3" s="1"/>
  <c r="R919" i="3" s="1"/>
  <c r="S919" i="3" s="1"/>
  <c r="AC919" i="3"/>
  <c r="T919" i="3" l="1"/>
  <c r="AH919" i="3" s="1"/>
  <c r="U918" i="3"/>
  <c r="Y917" i="3"/>
  <c r="AG919" i="3" l="1"/>
  <c r="E919" i="3"/>
  <c r="H919" i="3" s="1"/>
  <c r="K919" i="3" s="1"/>
  <c r="D919" i="3"/>
  <c r="F919" i="3" l="1"/>
  <c r="G919" i="3"/>
  <c r="I919" i="3" s="1"/>
  <c r="V919" i="3"/>
  <c r="A920" i="3"/>
  <c r="B920" i="3" s="1"/>
  <c r="M919" i="3" l="1"/>
  <c r="N919" i="3" s="1"/>
  <c r="J919" i="3"/>
  <c r="W919" i="3"/>
  <c r="AC920" i="3"/>
  <c r="P920" i="3"/>
  <c r="Q920" i="3" s="1"/>
  <c r="R920" i="3" s="1"/>
  <c r="S920" i="3" s="1"/>
  <c r="AA920" i="3"/>
  <c r="AE920" i="3"/>
  <c r="AD920" i="3"/>
  <c r="Z920" i="3"/>
  <c r="L919" i="3"/>
  <c r="T920" i="3" l="1"/>
  <c r="AG920" i="3" s="1"/>
  <c r="U919" i="3"/>
  <c r="Y918" i="3"/>
  <c r="D920" i="3" l="1"/>
  <c r="G920" i="3" s="1"/>
  <c r="AH920" i="3"/>
  <c r="E920" i="3"/>
  <c r="H920" i="3" s="1"/>
  <c r="K920" i="3" s="1"/>
  <c r="F920" i="3" l="1"/>
  <c r="I920" i="3"/>
  <c r="J920" i="3"/>
  <c r="M920" i="3"/>
  <c r="N920" i="3" s="1"/>
  <c r="V920" i="3"/>
  <c r="A921" i="3"/>
  <c r="B921" i="3" s="1"/>
  <c r="W920" i="3" l="1"/>
  <c r="AE921" i="3"/>
  <c r="P921" i="3"/>
  <c r="Q921" i="3" s="1"/>
  <c r="R921" i="3" s="1"/>
  <c r="S921" i="3" s="1"/>
  <c r="Z921" i="3"/>
  <c r="AD921" i="3"/>
  <c r="AA921" i="3"/>
  <c r="AC921" i="3"/>
  <c r="L920" i="3"/>
  <c r="T921" i="3" l="1"/>
  <c r="AG921" i="3" s="1"/>
  <c r="U920" i="3"/>
  <c r="Y919" i="3"/>
  <c r="D921" i="3" l="1"/>
  <c r="G921" i="3" s="1"/>
  <c r="AH921" i="3"/>
  <c r="E921" i="3"/>
  <c r="H921" i="3" s="1"/>
  <c r="K921" i="3" s="1"/>
  <c r="F921" i="3" l="1"/>
  <c r="I921" i="3"/>
  <c r="J921" i="3"/>
  <c r="M921" i="3"/>
  <c r="N921" i="3" s="1"/>
  <c r="V921" i="3"/>
  <c r="A922" i="3"/>
  <c r="B922" i="3" s="1"/>
  <c r="W921" i="3" l="1"/>
  <c r="AC922" i="3"/>
  <c r="AA922" i="3"/>
  <c r="Z922" i="3"/>
  <c r="P922" i="3"/>
  <c r="Q922" i="3" s="1"/>
  <c r="R922" i="3" s="1"/>
  <c r="S922" i="3" s="1"/>
  <c r="AE922" i="3"/>
  <c r="AD922" i="3"/>
  <c r="L921" i="3"/>
  <c r="T922" i="3" l="1"/>
  <c r="AH922" i="3" s="1"/>
  <c r="U921" i="3"/>
  <c r="Y920" i="3"/>
  <c r="D922" i="3" l="1"/>
  <c r="G922" i="3" s="1"/>
  <c r="AG922" i="3"/>
  <c r="E922" i="3"/>
  <c r="H922" i="3" s="1"/>
  <c r="K922" i="3" s="1"/>
  <c r="F922" i="3" l="1"/>
  <c r="I922" i="3"/>
  <c r="J922" i="3"/>
  <c r="M922" i="3"/>
  <c r="N922" i="3" s="1"/>
  <c r="V922" i="3"/>
  <c r="A923" i="3"/>
  <c r="B923" i="3" s="1"/>
  <c r="W922" i="3" l="1"/>
  <c r="P923" i="3"/>
  <c r="Q923" i="3" s="1"/>
  <c r="R923" i="3" s="1"/>
  <c r="S923" i="3" s="1"/>
  <c r="AD923" i="3"/>
  <c r="AC923" i="3"/>
  <c r="AE923" i="3"/>
  <c r="AA923" i="3"/>
  <c r="Z923" i="3"/>
  <c r="L922" i="3"/>
  <c r="U922" i="3" l="1"/>
  <c r="Y921" i="3"/>
  <c r="T923" i="3"/>
  <c r="AG923" i="3" s="1"/>
  <c r="AH923" i="3" l="1"/>
  <c r="E923" i="3"/>
  <c r="H923" i="3" s="1"/>
  <c r="D923" i="3"/>
  <c r="F923" i="3" l="1"/>
  <c r="G923" i="3"/>
  <c r="K923" i="3"/>
  <c r="I923" i="3" l="1"/>
  <c r="J923" i="3"/>
  <c r="M923" i="3"/>
  <c r="N923" i="3" s="1"/>
  <c r="V923" i="3"/>
  <c r="A924" i="3"/>
  <c r="B924" i="3" s="1"/>
  <c r="W923" i="3" l="1"/>
  <c r="P924" i="3"/>
  <c r="Q924" i="3" s="1"/>
  <c r="R924" i="3" s="1"/>
  <c r="S924" i="3" s="1"/>
  <c r="AD924" i="3"/>
  <c r="AC924" i="3"/>
  <c r="AE924" i="3"/>
  <c r="AA924" i="3"/>
  <c r="Z924" i="3"/>
  <c r="L923" i="3"/>
  <c r="U923" i="3" l="1"/>
  <c r="Y922" i="3"/>
  <c r="T924" i="3"/>
  <c r="E924" i="3" s="1"/>
  <c r="H924" i="3" s="1"/>
  <c r="K924" i="3" l="1"/>
  <c r="AH924" i="3"/>
  <c r="D924" i="3"/>
  <c r="AG924" i="3"/>
  <c r="V924" i="3" l="1"/>
  <c r="A925" i="3"/>
  <c r="B925" i="3" s="1"/>
  <c r="F924" i="3"/>
  <c r="G924" i="3"/>
  <c r="AC925" i="3" l="1"/>
  <c r="P925" i="3"/>
  <c r="Q925" i="3" s="1"/>
  <c r="R925" i="3" s="1"/>
  <c r="S925" i="3" s="1"/>
  <c r="AD925" i="3"/>
  <c r="Z925" i="3"/>
  <c r="AE925" i="3"/>
  <c r="AA925" i="3"/>
  <c r="I924" i="3"/>
  <c r="W924" i="3" s="1"/>
  <c r="J924" i="3"/>
  <c r="M924" i="3"/>
  <c r="N924" i="3" s="1"/>
  <c r="L924" i="3" l="1"/>
  <c r="T925" i="3"/>
  <c r="AH925" i="3" l="1"/>
  <c r="U924" i="3"/>
  <c r="D925" i="3" s="1"/>
  <c r="AG925" i="3"/>
  <c r="E925" i="3"/>
  <c r="H925" i="3" s="1"/>
  <c r="Y923" i="3"/>
  <c r="K925" i="3" l="1"/>
  <c r="F925" i="3"/>
  <c r="G925" i="3"/>
  <c r="V925" i="3" l="1"/>
  <c r="A926" i="3"/>
  <c r="B926" i="3" s="1"/>
  <c r="I925" i="3"/>
  <c r="J925" i="3"/>
  <c r="M925" i="3"/>
  <c r="N925" i="3" s="1"/>
  <c r="Z926" i="3" l="1"/>
  <c r="AE926" i="3"/>
  <c r="AC926" i="3"/>
  <c r="AD926" i="3"/>
  <c r="AA926" i="3"/>
  <c r="P926" i="3"/>
  <c r="Q926" i="3" s="1"/>
  <c r="R926" i="3" s="1"/>
  <c r="S926" i="3" s="1"/>
  <c r="L925" i="3"/>
  <c r="W925" i="3"/>
  <c r="T926" i="3" l="1"/>
  <c r="U925" i="3"/>
  <c r="D926" i="3" s="1"/>
  <c r="AG926" i="3"/>
  <c r="AH926" i="3"/>
  <c r="Y924" i="3"/>
  <c r="G926" i="3" l="1"/>
  <c r="E926" i="3"/>
  <c r="H926" i="3" s="1"/>
  <c r="K926" i="3" l="1"/>
  <c r="I926" i="3"/>
  <c r="J926" i="3"/>
  <c r="M926" i="3"/>
  <c r="N926" i="3" s="1"/>
  <c r="F926" i="3"/>
  <c r="V926" i="3" l="1"/>
  <c r="W926" i="3" s="1"/>
  <c r="A927" i="3"/>
  <c r="B927" i="3" s="1"/>
  <c r="L926" i="3"/>
  <c r="P927" i="3" l="1"/>
  <c r="Q927" i="3" s="1"/>
  <c r="R927" i="3" s="1"/>
  <c r="S927" i="3" s="1"/>
  <c r="AC927" i="3"/>
  <c r="Z927" i="3"/>
  <c r="AD927" i="3"/>
  <c r="AE927" i="3"/>
  <c r="AA927" i="3"/>
  <c r="U926" i="3"/>
  <c r="Y925" i="3"/>
  <c r="T927" i="3" l="1"/>
  <c r="D927" i="3" s="1"/>
  <c r="G927" i="3" l="1"/>
  <c r="E927" i="3"/>
  <c r="H927" i="3" s="1"/>
  <c r="AG927" i="3"/>
  <c r="AH927" i="3"/>
  <c r="K927" i="3" l="1"/>
  <c r="I927" i="3"/>
  <c r="J927" i="3"/>
  <c r="M927" i="3"/>
  <c r="N927" i="3" s="1"/>
  <c r="F927" i="3"/>
  <c r="V927" i="3" l="1"/>
  <c r="W927" i="3" s="1"/>
  <c r="A928" i="3"/>
  <c r="B928" i="3" s="1"/>
  <c r="L927" i="3"/>
  <c r="Z928" i="3" l="1"/>
  <c r="AA928" i="3"/>
  <c r="AE928" i="3"/>
  <c r="AC928" i="3"/>
  <c r="P928" i="3"/>
  <c r="Q928" i="3" s="1"/>
  <c r="R928" i="3" s="1"/>
  <c r="S928" i="3" s="1"/>
  <c r="AD928" i="3"/>
  <c r="U927" i="3"/>
  <c r="Y926" i="3"/>
  <c r="T928" i="3" l="1"/>
  <c r="AG928" i="3" s="1"/>
  <c r="AH928" i="3" l="1"/>
  <c r="E928" i="3"/>
  <c r="H928" i="3" s="1"/>
  <c r="D928" i="3"/>
  <c r="F928" i="3" l="1"/>
  <c r="G928" i="3"/>
  <c r="K928" i="3"/>
  <c r="V928" i="3" l="1"/>
  <c r="A929" i="3"/>
  <c r="B929" i="3" s="1"/>
  <c r="I928" i="3"/>
  <c r="J928" i="3"/>
  <c r="M928" i="3"/>
  <c r="N928" i="3" s="1"/>
  <c r="AE929" i="3" l="1"/>
  <c r="AC929" i="3"/>
  <c r="Z929" i="3"/>
  <c r="AD929" i="3"/>
  <c r="AA929" i="3"/>
  <c r="P929" i="3"/>
  <c r="Q929" i="3" s="1"/>
  <c r="R929" i="3" s="1"/>
  <c r="S929" i="3" s="1"/>
  <c r="L928" i="3"/>
  <c r="W928" i="3"/>
  <c r="T929" i="3" l="1"/>
  <c r="AG929" i="3" s="1"/>
  <c r="U928" i="3"/>
  <c r="Y927" i="3"/>
  <c r="AH929" i="3" l="1"/>
  <c r="D929" i="3"/>
  <c r="G929" i="3" s="1"/>
  <c r="E929" i="3"/>
  <c r="H929" i="3" s="1"/>
  <c r="K929" i="3" s="1"/>
  <c r="F929" i="3" l="1"/>
  <c r="I929" i="3"/>
  <c r="J929" i="3"/>
  <c r="M929" i="3"/>
  <c r="N929" i="3" s="1"/>
  <c r="V929" i="3"/>
  <c r="A930" i="3"/>
  <c r="B930" i="3" s="1"/>
  <c r="W929" i="3" l="1"/>
  <c r="L929" i="3"/>
  <c r="P930" i="3"/>
  <c r="Q930" i="3" s="1"/>
  <c r="R930" i="3" s="1"/>
  <c r="S930" i="3" s="1"/>
  <c r="AE930" i="3"/>
  <c r="AD930" i="3"/>
  <c r="AA930" i="3"/>
  <c r="AC930" i="3"/>
  <c r="Z930" i="3"/>
  <c r="T930" i="3" l="1"/>
  <c r="AG930" i="3" s="1"/>
  <c r="U929" i="3"/>
  <c r="Y928" i="3"/>
  <c r="D930" i="3" l="1"/>
  <c r="G930" i="3" s="1"/>
  <c r="AH930" i="3"/>
  <c r="E930" i="3"/>
  <c r="H930" i="3" s="1"/>
  <c r="K930" i="3" s="1"/>
  <c r="F930" i="3" l="1"/>
  <c r="V930" i="3"/>
  <c r="A931" i="3"/>
  <c r="B931" i="3" s="1"/>
  <c r="I930" i="3"/>
  <c r="J930" i="3"/>
  <c r="M930" i="3"/>
  <c r="N930" i="3" s="1"/>
  <c r="W930" i="3" l="1"/>
  <c r="AA931" i="3"/>
  <c r="AE931" i="3"/>
  <c r="AC931" i="3"/>
  <c r="AD931" i="3"/>
  <c r="P931" i="3"/>
  <c r="Q931" i="3" s="1"/>
  <c r="R931" i="3" s="1"/>
  <c r="S931" i="3" s="1"/>
  <c r="Z931" i="3"/>
  <c r="L930" i="3"/>
  <c r="U930" i="3" l="1"/>
  <c r="Y929" i="3"/>
  <c r="T931" i="3"/>
  <c r="AH931" i="3" s="1"/>
  <c r="E931" i="3" l="1"/>
  <c r="H931" i="3" s="1"/>
  <c r="AG931" i="3"/>
  <c r="D931" i="3"/>
  <c r="F931" i="3" l="1"/>
  <c r="G931" i="3"/>
  <c r="K931" i="3"/>
  <c r="I931" i="3" l="1"/>
  <c r="J931" i="3"/>
  <c r="M931" i="3"/>
  <c r="N931" i="3" s="1"/>
  <c r="V931" i="3"/>
  <c r="W931" i="3" s="1"/>
  <c r="A932" i="3"/>
  <c r="B932" i="3" s="1"/>
  <c r="P932" i="3" l="1"/>
  <c r="Q932" i="3" s="1"/>
  <c r="R932" i="3" s="1"/>
  <c r="S932" i="3" s="1"/>
  <c r="Z932" i="3"/>
  <c r="AC932" i="3"/>
  <c r="AA932" i="3"/>
  <c r="AD932" i="3"/>
  <c r="AE932" i="3"/>
  <c r="L931" i="3"/>
  <c r="U931" i="3" l="1"/>
  <c r="Y930" i="3"/>
  <c r="T932" i="3"/>
  <c r="E932" i="3" l="1"/>
  <c r="H932" i="3" s="1"/>
  <c r="K932" i="3" s="1"/>
  <c r="AH932" i="3"/>
  <c r="AG932" i="3"/>
  <c r="D932" i="3"/>
  <c r="V932" i="3" l="1"/>
  <c r="A933" i="3"/>
  <c r="B933" i="3" s="1"/>
  <c r="F932" i="3"/>
  <c r="G932" i="3"/>
  <c r="AA933" i="3" l="1"/>
  <c r="P933" i="3"/>
  <c r="Q933" i="3" s="1"/>
  <c r="R933" i="3" s="1"/>
  <c r="S933" i="3" s="1"/>
  <c r="AD933" i="3"/>
  <c r="AE933" i="3"/>
  <c r="Z933" i="3"/>
  <c r="AC933" i="3"/>
  <c r="I932" i="3"/>
  <c r="W932" i="3" s="1"/>
  <c r="J932" i="3"/>
  <c r="M932" i="3"/>
  <c r="N932" i="3" s="1"/>
  <c r="T933" i="3" l="1"/>
  <c r="L932" i="3"/>
  <c r="AH933" i="3" l="1"/>
  <c r="AG933" i="3"/>
  <c r="U932" i="3"/>
  <c r="E933" i="3" s="1"/>
  <c r="H933" i="3" s="1"/>
  <c r="Y931" i="3"/>
  <c r="D933" i="3" l="1"/>
  <c r="F933" i="3" s="1"/>
  <c r="K933" i="3"/>
  <c r="G933" i="3" l="1"/>
  <c r="I933" i="3" s="1"/>
  <c r="V933" i="3"/>
  <c r="A934" i="3"/>
  <c r="B934" i="3" s="1"/>
  <c r="M933" i="3" l="1"/>
  <c r="N933" i="3" s="1"/>
  <c r="J933" i="3"/>
  <c r="W933" i="3"/>
  <c r="L933" i="3"/>
  <c r="AE934" i="3"/>
  <c r="P934" i="3"/>
  <c r="Q934" i="3" s="1"/>
  <c r="R934" i="3" s="1"/>
  <c r="S934" i="3" s="1"/>
  <c r="AD934" i="3"/>
  <c r="AA934" i="3"/>
  <c r="Z934" i="3"/>
  <c r="AC934" i="3"/>
  <c r="T934" i="3" l="1"/>
  <c r="U933" i="3"/>
  <c r="Y932" i="3"/>
  <c r="D934" i="3" l="1"/>
  <c r="E934" i="3"/>
  <c r="H934" i="3" s="1"/>
  <c r="K934" i="3" s="1"/>
  <c r="AG934" i="3"/>
  <c r="AH934" i="3"/>
  <c r="G934" i="3"/>
  <c r="F934" i="3" l="1"/>
  <c r="I934" i="3"/>
  <c r="J934" i="3"/>
  <c r="M934" i="3"/>
  <c r="N934" i="3" s="1"/>
  <c r="V934" i="3"/>
  <c r="A935" i="3"/>
  <c r="B935" i="3" s="1"/>
  <c r="W934" i="3" l="1"/>
  <c r="L934" i="3"/>
  <c r="AA935" i="3"/>
  <c r="Z935" i="3"/>
  <c r="AD935" i="3"/>
  <c r="P935" i="3"/>
  <c r="Q935" i="3" s="1"/>
  <c r="R935" i="3" s="1"/>
  <c r="S935" i="3" s="1"/>
  <c r="AC935" i="3"/>
  <c r="AE935" i="3"/>
  <c r="T935" i="3" l="1"/>
  <c r="AH935" i="3" s="1"/>
  <c r="U934" i="3"/>
  <c r="Y933" i="3"/>
  <c r="AG935" i="3" l="1"/>
  <c r="E935" i="3"/>
  <c r="H935" i="3" s="1"/>
  <c r="K935" i="3" s="1"/>
  <c r="D935" i="3"/>
  <c r="F935" i="3" l="1"/>
  <c r="G935" i="3"/>
  <c r="M935" i="3" s="1"/>
  <c r="N935" i="3" s="1"/>
  <c r="V935" i="3"/>
  <c r="A936" i="3"/>
  <c r="B936" i="3" s="1"/>
  <c r="J935" i="3" l="1"/>
  <c r="I935" i="3"/>
  <c r="W935" i="3" s="1"/>
  <c r="AE936" i="3"/>
  <c r="Z936" i="3"/>
  <c r="AD936" i="3"/>
  <c r="AA936" i="3"/>
  <c r="P936" i="3"/>
  <c r="Q936" i="3" s="1"/>
  <c r="R936" i="3" s="1"/>
  <c r="S936" i="3" s="1"/>
  <c r="AC936" i="3"/>
  <c r="L935" i="3"/>
  <c r="T936" i="3" l="1"/>
  <c r="U935" i="3"/>
  <c r="D936" i="3"/>
  <c r="AH936" i="3"/>
  <c r="AG936" i="3"/>
  <c r="Y934" i="3"/>
  <c r="E936" i="3" l="1"/>
  <c r="H936" i="3" s="1"/>
  <c r="K936" i="3" s="1"/>
  <c r="G936" i="3"/>
  <c r="F936" i="3" l="1"/>
  <c r="V936" i="3"/>
  <c r="A937" i="3"/>
  <c r="B937" i="3" s="1"/>
  <c r="I936" i="3"/>
  <c r="J936" i="3"/>
  <c r="M936" i="3"/>
  <c r="N936" i="3" s="1"/>
  <c r="AA937" i="3" l="1"/>
  <c r="P937" i="3"/>
  <c r="Q937" i="3" s="1"/>
  <c r="R937" i="3" s="1"/>
  <c r="S937" i="3" s="1"/>
  <c r="AE937" i="3"/>
  <c r="AD937" i="3"/>
  <c r="Z937" i="3"/>
  <c r="AC937" i="3"/>
  <c r="L936" i="3"/>
  <c r="W936" i="3"/>
  <c r="T937" i="3" l="1"/>
  <c r="U936" i="3"/>
  <c r="D937" i="3"/>
  <c r="E937" i="3"/>
  <c r="H937" i="3" s="1"/>
  <c r="AH937" i="3"/>
  <c r="AG937" i="3"/>
  <c r="Y935" i="3"/>
  <c r="K937" i="3" l="1"/>
  <c r="F937" i="3"/>
  <c r="G937" i="3"/>
  <c r="V937" i="3" l="1"/>
  <c r="A938" i="3"/>
  <c r="B938" i="3" s="1"/>
  <c r="I937" i="3"/>
  <c r="J937" i="3"/>
  <c r="M937" i="3"/>
  <c r="N937" i="3" s="1"/>
  <c r="W937" i="3" l="1"/>
  <c r="P938" i="3"/>
  <c r="Q938" i="3" s="1"/>
  <c r="R938" i="3" s="1"/>
  <c r="S938" i="3" s="1"/>
  <c r="AA938" i="3"/>
  <c r="AC938" i="3"/>
  <c r="AE938" i="3"/>
  <c r="Z938" i="3"/>
  <c r="AD938" i="3"/>
  <c r="L937" i="3"/>
  <c r="U937" i="3" l="1"/>
  <c r="Y936" i="3"/>
  <c r="T938" i="3"/>
  <c r="AG938" i="3" s="1"/>
  <c r="D938" i="3" l="1"/>
  <c r="AH938" i="3"/>
  <c r="E938" i="3"/>
  <c r="H938" i="3" s="1"/>
  <c r="K938" i="3" l="1"/>
  <c r="F938" i="3"/>
  <c r="G938" i="3"/>
  <c r="V938" i="3" l="1"/>
  <c r="A939" i="3"/>
  <c r="B939" i="3" s="1"/>
  <c r="I938" i="3"/>
  <c r="J938" i="3"/>
  <c r="M938" i="3"/>
  <c r="N938" i="3" s="1"/>
  <c r="W938" i="3" l="1"/>
  <c r="P939" i="3"/>
  <c r="Q939" i="3" s="1"/>
  <c r="R939" i="3" s="1"/>
  <c r="S939" i="3" s="1"/>
  <c r="AA939" i="3"/>
  <c r="AE939" i="3"/>
  <c r="AC939" i="3"/>
  <c r="Z939" i="3"/>
  <c r="AD939" i="3"/>
  <c r="L938" i="3"/>
  <c r="U938" i="3" l="1"/>
  <c r="Y937" i="3"/>
  <c r="T939" i="3"/>
  <c r="AG939" i="3" s="1"/>
  <c r="AH939" i="3" l="1"/>
  <c r="E939" i="3"/>
  <c r="H939" i="3" s="1"/>
  <c r="K939" i="3" s="1"/>
  <c r="D939" i="3"/>
  <c r="F939" i="3" l="1"/>
  <c r="G939" i="3"/>
  <c r="V939" i="3"/>
  <c r="A940" i="3"/>
  <c r="B940" i="3" s="1"/>
  <c r="Z940" i="3" l="1"/>
  <c r="P940" i="3"/>
  <c r="Q940" i="3" s="1"/>
  <c r="R940" i="3" s="1"/>
  <c r="S940" i="3" s="1"/>
  <c r="AE940" i="3"/>
  <c r="AD940" i="3"/>
  <c r="AA940" i="3"/>
  <c r="AC940" i="3"/>
  <c r="I939" i="3"/>
  <c r="W939" i="3" s="1"/>
  <c r="J939" i="3"/>
  <c r="M939" i="3"/>
  <c r="N939" i="3" s="1"/>
  <c r="L939" i="3" l="1"/>
  <c r="T940" i="3"/>
  <c r="U939" i="3" l="1"/>
  <c r="D940" i="3" s="1"/>
  <c r="AG940" i="3"/>
  <c r="AH940" i="3"/>
  <c r="Y938" i="3"/>
  <c r="E940" i="3" l="1"/>
  <c r="H940" i="3" s="1"/>
  <c r="K940" i="3" s="1"/>
  <c r="G940" i="3"/>
  <c r="F940" i="3" l="1"/>
  <c r="I940" i="3"/>
  <c r="J940" i="3"/>
  <c r="M940" i="3"/>
  <c r="N940" i="3" s="1"/>
  <c r="V940" i="3"/>
  <c r="A941" i="3"/>
  <c r="B941" i="3" s="1"/>
  <c r="W940" i="3" l="1"/>
  <c r="P941" i="3"/>
  <c r="Q941" i="3" s="1"/>
  <c r="R941" i="3" s="1"/>
  <c r="S941" i="3" s="1"/>
  <c r="AE941" i="3"/>
  <c r="Z941" i="3"/>
  <c r="AD941" i="3"/>
  <c r="AA941" i="3"/>
  <c r="AC941" i="3"/>
  <c r="L940" i="3"/>
  <c r="U940" i="3" l="1"/>
  <c r="Y939" i="3"/>
  <c r="T941" i="3"/>
  <c r="E941" i="3" l="1"/>
  <c r="H941" i="3" s="1"/>
  <c r="K941" i="3" s="1"/>
  <c r="AH941" i="3"/>
  <c r="AG941" i="3"/>
  <c r="D941" i="3"/>
  <c r="V941" i="3" l="1"/>
  <c r="A942" i="3"/>
  <c r="B942" i="3" s="1"/>
  <c r="F941" i="3"/>
  <c r="G941" i="3"/>
  <c r="I941" i="3" l="1"/>
  <c r="W941" i="3" s="1"/>
  <c r="J941" i="3"/>
  <c r="M941" i="3"/>
  <c r="N941" i="3" s="1"/>
  <c r="AA942" i="3"/>
  <c r="AE942" i="3"/>
  <c r="AC942" i="3"/>
  <c r="Z942" i="3"/>
  <c r="AD942" i="3"/>
  <c r="P942" i="3"/>
  <c r="Q942" i="3" s="1"/>
  <c r="R942" i="3" s="1"/>
  <c r="S942" i="3" s="1"/>
  <c r="L941" i="3" l="1"/>
  <c r="T942" i="3"/>
  <c r="AG942" i="3" l="1"/>
  <c r="AH942" i="3"/>
  <c r="U941" i="3"/>
  <c r="E942" i="3" s="1"/>
  <c r="H942" i="3" s="1"/>
  <c r="Y940" i="3"/>
  <c r="K942" i="3" l="1"/>
  <c r="D942" i="3"/>
  <c r="F942" i="3" l="1"/>
  <c r="G942" i="3"/>
  <c r="V942" i="3"/>
  <c r="A943" i="3"/>
  <c r="B943" i="3" s="1"/>
  <c r="AA943" i="3" l="1"/>
  <c r="AE943" i="3"/>
  <c r="Z943" i="3"/>
  <c r="AD943" i="3"/>
  <c r="P943" i="3"/>
  <c r="Q943" i="3" s="1"/>
  <c r="R943" i="3" s="1"/>
  <c r="S943" i="3" s="1"/>
  <c r="AC943" i="3"/>
  <c r="I942" i="3"/>
  <c r="W942" i="3" s="1"/>
  <c r="J942" i="3"/>
  <c r="M942" i="3"/>
  <c r="N942" i="3" s="1"/>
  <c r="L942" i="3" l="1"/>
  <c r="T943" i="3"/>
  <c r="U942" i="3" l="1"/>
  <c r="E943" i="3" s="1"/>
  <c r="H943" i="3" s="1"/>
  <c r="AH943" i="3"/>
  <c r="AG943" i="3"/>
  <c r="Y941" i="3"/>
  <c r="K943" i="3" l="1"/>
  <c r="D943" i="3"/>
  <c r="V943" i="3" l="1"/>
  <c r="A944" i="3"/>
  <c r="B944" i="3" s="1"/>
  <c r="F943" i="3"/>
  <c r="G943" i="3"/>
  <c r="AC944" i="3" l="1"/>
  <c r="P944" i="3"/>
  <c r="Q944" i="3" s="1"/>
  <c r="R944" i="3" s="1"/>
  <c r="S944" i="3" s="1"/>
  <c r="Z944" i="3"/>
  <c r="AD944" i="3"/>
  <c r="AA944" i="3"/>
  <c r="AE944" i="3"/>
  <c r="I943" i="3"/>
  <c r="W943" i="3" s="1"/>
  <c r="J943" i="3"/>
  <c r="M943" i="3"/>
  <c r="N943" i="3" s="1"/>
  <c r="L943" i="3" l="1"/>
  <c r="T944" i="3"/>
  <c r="AG944" i="3" l="1"/>
  <c r="U943" i="3"/>
  <c r="D944" i="3" s="1"/>
  <c r="AH944" i="3"/>
  <c r="Y942" i="3"/>
  <c r="E944" i="3" l="1"/>
  <c r="H944" i="3" s="1"/>
  <c r="K944" i="3" s="1"/>
  <c r="G944" i="3"/>
  <c r="F944" i="3" l="1"/>
  <c r="I944" i="3"/>
  <c r="J944" i="3"/>
  <c r="M944" i="3"/>
  <c r="N944" i="3" s="1"/>
  <c r="V944" i="3"/>
  <c r="A945" i="3"/>
  <c r="B945" i="3" s="1"/>
  <c r="W944" i="3" l="1"/>
  <c r="L944" i="3"/>
  <c r="AC945" i="3"/>
  <c r="AD945" i="3"/>
  <c r="AA945" i="3"/>
  <c r="P945" i="3"/>
  <c r="Q945" i="3" s="1"/>
  <c r="R945" i="3" s="1"/>
  <c r="S945" i="3" s="1"/>
  <c r="AE945" i="3"/>
  <c r="Z945" i="3"/>
  <c r="T945" i="3" l="1"/>
  <c r="AH945" i="3" s="1"/>
  <c r="U944" i="3"/>
  <c r="Y943" i="3"/>
  <c r="D945" i="3" l="1"/>
  <c r="AG945" i="3"/>
  <c r="E945" i="3"/>
  <c r="H945" i="3" s="1"/>
  <c r="K945" i="3" l="1"/>
  <c r="F945" i="3"/>
  <c r="G945" i="3"/>
  <c r="V945" i="3" l="1"/>
  <c r="A946" i="3"/>
  <c r="B946" i="3" s="1"/>
  <c r="I945" i="3"/>
  <c r="J945" i="3"/>
  <c r="M945" i="3"/>
  <c r="N945" i="3" s="1"/>
  <c r="AA946" i="3" l="1"/>
  <c r="P946" i="3"/>
  <c r="Q946" i="3" s="1"/>
  <c r="R946" i="3" s="1"/>
  <c r="S946" i="3" s="1"/>
  <c r="AE946" i="3"/>
  <c r="AC946" i="3"/>
  <c r="AD946" i="3"/>
  <c r="Z946" i="3"/>
  <c r="L945" i="3"/>
  <c r="W945" i="3"/>
  <c r="U945" i="3" l="1"/>
  <c r="Y944" i="3"/>
  <c r="T946" i="3"/>
  <c r="AH946" i="3" s="1"/>
  <c r="E946" i="3" l="1"/>
  <c r="H946" i="3" s="1"/>
  <c r="K946" i="3" s="1"/>
  <c r="AG946" i="3"/>
  <c r="D946" i="3"/>
  <c r="F946" i="3" s="1"/>
  <c r="G946" i="3" l="1"/>
  <c r="I946" i="3" s="1"/>
  <c r="V946" i="3"/>
  <c r="A947" i="3"/>
  <c r="B947" i="3" s="1"/>
  <c r="M946" i="3"/>
  <c r="N946" i="3" s="1"/>
  <c r="J946" i="3" l="1"/>
  <c r="L946" i="3" s="1"/>
  <c r="P947" i="3"/>
  <c r="Q947" i="3" s="1"/>
  <c r="R947" i="3" s="1"/>
  <c r="S947" i="3" s="1"/>
  <c r="Z947" i="3"/>
  <c r="AE947" i="3"/>
  <c r="AD947" i="3"/>
  <c r="AC947" i="3"/>
  <c r="AA947" i="3"/>
  <c r="W946" i="3"/>
  <c r="U946" i="3" l="1"/>
  <c r="Y945" i="3"/>
  <c r="T947" i="3"/>
  <c r="AH947" i="3" s="1"/>
  <c r="AG947" i="3" l="1"/>
  <c r="E947" i="3"/>
  <c r="H947" i="3" s="1"/>
  <c r="D947" i="3"/>
  <c r="F947" i="3" l="1"/>
  <c r="G947" i="3"/>
  <c r="K947" i="3"/>
  <c r="V947" i="3" l="1"/>
  <c r="A948" i="3"/>
  <c r="B948" i="3" s="1"/>
  <c r="I947" i="3"/>
  <c r="J947" i="3"/>
  <c r="M947" i="3"/>
  <c r="N947" i="3" s="1"/>
  <c r="AC948" i="3" l="1"/>
  <c r="AA948" i="3"/>
  <c r="AE948" i="3"/>
  <c r="Z948" i="3"/>
  <c r="P948" i="3"/>
  <c r="Q948" i="3" s="1"/>
  <c r="R948" i="3" s="1"/>
  <c r="S948" i="3" s="1"/>
  <c r="AD948" i="3"/>
  <c r="L947" i="3"/>
  <c r="W947" i="3"/>
  <c r="T948" i="3" l="1"/>
  <c r="AH948" i="3" s="1"/>
  <c r="U947" i="3"/>
  <c r="E948" i="3" s="1"/>
  <c r="H948" i="3" s="1"/>
  <c r="Y946" i="3"/>
  <c r="D948" i="3" l="1"/>
  <c r="F948" i="3" s="1"/>
  <c r="AG948" i="3"/>
  <c r="K948" i="3"/>
  <c r="G948" i="3" l="1"/>
  <c r="I948" i="3" s="1"/>
  <c r="V948" i="3"/>
  <c r="A949" i="3"/>
  <c r="B949" i="3" s="1"/>
  <c r="M948" i="3" l="1"/>
  <c r="N948" i="3" s="1"/>
  <c r="J948" i="3"/>
  <c r="W948" i="3"/>
  <c r="Z949" i="3"/>
  <c r="AC949" i="3"/>
  <c r="P949" i="3"/>
  <c r="Q949" i="3" s="1"/>
  <c r="R949" i="3" s="1"/>
  <c r="S949" i="3" s="1"/>
  <c r="AE949" i="3"/>
  <c r="AA949" i="3"/>
  <c r="AD949" i="3"/>
  <c r="L948" i="3"/>
  <c r="T949" i="3" l="1"/>
  <c r="AH949" i="3" s="1"/>
  <c r="U948" i="3"/>
  <c r="Y947" i="3"/>
  <c r="D949" i="3" l="1"/>
  <c r="G949" i="3" s="1"/>
  <c r="AG949" i="3"/>
  <c r="E949" i="3"/>
  <c r="H949" i="3" s="1"/>
  <c r="K949" i="3" s="1"/>
  <c r="F949" i="3" l="1"/>
  <c r="V949" i="3"/>
  <c r="A950" i="3"/>
  <c r="B950" i="3" s="1"/>
  <c r="I949" i="3"/>
  <c r="J949" i="3"/>
  <c r="M949" i="3"/>
  <c r="N949" i="3" s="1"/>
  <c r="W949" i="3" l="1"/>
  <c r="Z950" i="3"/>
  <c r="P950" i="3"/>
  <c r="Q950" i="3" s="1"/>
  <c r="R950" i="3" s="1"/>
  <c r="S950" i="3" s="1"/>
  <c r="AA950" i="3"/>
  <c r="AC950" i="3"/>
  <c r="AE950" i="3"/>
  <c r="AD950" i="3"/>
  <c r="L949" i="3"/>
  <c r="T950" i="3" l="1"/>
  <c r="AG950" i="3" s="1"/>
  <c r="U949" i="3"/>
  <c r="Y948" i="3"/>
  <c r="D950" i="3" l="1"/>
  <c r="G950" i="3" s="1"/>
  <c r="AH950" i="3"/>
  <c r="E950" i="3"/>
  <c r="H950" i="3" s="1"/>
  <c r="K950" i="3" s="1"/>
  <c r="F950" i="3" l="1"/>
  <c r="I950" i="3"/>
  <c r="J950" i="3"/>
  <c r="M950" i="3"/>
  <c r="N950" i="3" s="1"/>
  <c r="V950" i="3"/>
  <c r="A951" i="3"/>
  <c r="B951" i="3" s="1"/>
  <c r="W950" i="3" l="1"/>
  <c r="AA951" i="3"/>
  <c r="AC951" i="3"/>
  <c r="Z951" i="3"/>
  <c r="P951" i="3"/>
  <c r="Q951" i="3" s="1"/>
  <c r="R951" i="3" s="1"/>
  <c r="S951" i="3" s="1"/>
  <c r="AD951" i="3"/>
  <c r="AE951" i="3"/>
  <c r="L950" i="3"/>
  <c r="T951" i="3" l="1"/>
  <c r="AG951" i="3" s="1"/>
  <c r="U950" i="3"/>
  <c r="Y949" i="3"/>
  <c r="E951" i="3" l="1"/>
  <c r="H951" i="3" s="1"/>
  <c r="K951" i="3" s="1"/>
  <c r="AH951" i="3"/>
  <c r="D951" i="3"/>
  <c r="F951" i="3" l="1"/>
  <c r="G951" i="3"/>
  <c r="M951" i="3" s="1"/>
  <c r="N951" i="3" s="1"/>
  <c r="V951" i="3"/>
  <c r="A952" i="3"/>
  <c r="B952" i="3" s="1"/>
  <c r="J951" i="3" l="1"/>
  <c r="I951" i="3"/>
  <c r="AC952" i="3"/>
  <c r="P952" i="3"/>
  <c r="Q952" i="3" s="1"/>
  <c r="R952" i="3" s="1"/>
  <c r="S952" i="3" s="1"/>
  <c r="Z952" i="3"/>
  <c r="AE952" i="3"/>
  <c r="AD952" i="3"/>
  <c r="AA952" i="3"/>
  <c r="L951" i="3"/>
  <c r="W951" i="3"/>
  <c r="T952" i="3" l="1"/>
  <c r="AG952" i="3" s="1"/>
  <c r="U951" i="3"/>
  <c r="Y950" i="3"/>
  <c r="AH952" i="3" l="1"/>
  <c r="D952" i="3"/>
  <c r="E952" i="3"/>
  <c r="H952" i="3" s="1"/>
  <c r="K952" i="3" s="1"/>
  <c r="F952" i="3" l="1"/>
  <c r="G952" i="3"/>
  <c r="I952" i="3" s="1"/>
  <c r="V952" i="3"/>
  <c r="A953" i="3"/>
  <c r="B953" i="3" s="1"/>
  <c r="M952" i="3" l="1"/>
  <c r="N952" i="3" s="1"/>
  <c r="J952" i="3"/>
  <c r="L952" i="3" s="1"/>
  <c r="W952" i="3"/>
  <c r="P953" i="3"/>
  <c r="Q953" i="3" s="1"/>
  <c r="R953" i="3" s="1"/>
  <c r="S953" i="3" s="1"/>
  <c r="AC953" i="3"/>
  <c r="AE953" i="3"/>
  <c r="AD953" i="3"/>
  <c r="Z953" i="3"/>
  <c r="AA953" i="3"/>
  <c r="T953" i="3" l="1"/>
  <c r="AG953" i="3" s="1"/>
  <c r="U952" i="3"/>
  <c r="D953" i="3" s="1"/>
  <c r="Y951" i="3"/>
  <c r="AH953" i="3" l="1"/>
  <c r="E953" i="3"/>
  <c r="H953" i="3" s="1"/>
  <c r="K953" i="3" s="1"/>
  <c r="G953" i="3"/>
  <c r="F953" i="3" l="1"/>
  <c r="V953" i="3"/>
  <c r="A954" i="3"/>
  <c r="B954" i="3" s="1"/>
  <c r="I953" i="3"/>
  <c r="J953" i="3"/>
  <c r="M953" i="3"/>
  <c r="N953" i="3" s="1"/>
  <c r="W953" i="3" l="1"/>
  <c r="L953" i="3"/>
  <c r="P954" i="3"/>
  <c r="Q954" i="3" s="1"/>
  <c r="R954" i="3" s="1"/>
  <c r="S954" i="3" s="1"/>
  <c r="Z954" i="3"/>
  <c r="AD954" i="3"/>
  <c r="AE954" i="3"/>
  <c r="AC954" i="3"/>
  <c r="AA954" i="3"/>
  <c r="T954" i="3" l="1"/>
  <c r="AH954" i="3" s="1"/>
  <c r="U953" i="3"/>
  <c r="Y952" i="3"/>
  <c r="AG954" i="3" l="1"/>
  <c r="D954" i="3"/>
  <c r="G954" i="3" s="1"/>
  <c r="E954" i="3"/>
  <c r="H954" i="3" s="1"/>
  <c r="K954" i="3" l="1"/>
  <c r="I954" i="3"/>
  <c r="J954" i="3"/>
  <c r="M954" i="3"/>
  <c r="N954" i="3" s="1"/>
  <c r="F954" i="3"/>
  <c r="V954" i="3" l="1"/>
  <c r="W954" i="3" s="1"/>
  <c r="A955" i="3"/>
  <c r="B955" i="3" s="1"/>
  <c r="L954" i="3"/>
  <c r="AC955" i="3" l="1"/>
  <c r="AE955" i="3"/>
  <c r="Z955" i="3"/>
  <c r="AA955" i="3"/>
  <c r="P955" i="3"/>
  <c r="Q955" i="3" s="1"/>
  <c r="R955" i="3" s="1"/>
  <c r="S955" i="3" s="1"/>
  <c r="AD955" i="3"/>
  <c r="U954" i="3"/>
  <c r="Y953" i="3"/>
  <c r="T955" i="3" l="1"/>
  <c r="E955" i="3" s="1"/>
  <c r="H955" i="3" s="1"/>
  <c r="K955" i="3" l="1"/>
  <c r="AG955" i="3"/>
  <c r="D955" i="3"/>
  <c r="AH955" i="3"/>
  <c r="F955" i="3" l="1"/>
  <c r="G955" i="3"/>
  <c r="V955" i="3"/>
  <c r="A956" i="3"/>
  <c r="B956" i="3" s="1"/>
  <c r="AC956" i="3" l="1"/>
  <c r="AD956" i="3"/>
  <c r="AA956" i="3"/>
  <c r="AE956" i="3"/>
  <c r="Z956" i="3"/>
  <c r="P956" i="3"/>
  <c r="Q956" i="3" s="1"/>
  <c r="R956" i="3" s="1"/>
  <c r="S956" i="3" s="1"/>
  <c r="I955" i="3"/>
  <c r="W955" i="3" s="1"/>
  <c r="J955" i="3"/>
  <c r="M955" i="3"/>
  <c r="N955" i="3" s="1"/>
  <c r="T956" i="3" l="1"/>
  <c r="L955" i="3"/>
  <c r="AG956" i="3" l="1"/>
  <c r="U955" i="3"/>
  <c r="D956" i="3" s="1"/>
  <c r="AH956" i="3"/>
  <c r="Y954" i="3"/>
  <c r="E956" i="3" l="1"/>
  <c r="H956" i="3" s="1"/>
  <c r="K956" i="3" s="1"/>
  <c r="G956" i="3"/>
  <c r="F956" i="3" l="1"/>
  <c r="I956" i="3"/>
  <c r="J956" i="3"/>
  <c r="M956" i="3"/>
  <c r="N956" i="3" s="1"/>
  <c r="V956" i="3"/>
  <c r="A957" i="3"/>
  <c r="B957" i="3" s="1"/>
  <c r="W956" i="3" l="1"/>
  <c r="AC957" i="3"/>
  <c r="AE957" i="3"/>
  <c r="Z957" i="3"/>
  <c r="AA957" i="3"/>
  <c r="AD957" i="3"/>
  <c r="P957" i="3"/>
  <c r="Q957" i="3" s="1"/>
  <c r="R957" i="3" s="1"/>
  <c r="S957" i="3" s="1"/>
  <c r="L956" i="3"/>
  <c r="T957" i="3" l="1"/>
  <c r="AH957" i="3" s="1"/>
  <c r="U956" i="3"/>
  <c r="Y955" i="3"/>
  <c r="D957" i="3" l="1"/>
  <c r="G957" i="3" s="1"/>
  <c r="AG957" i="3"/>
  <c r="E957" i="3"/>
  <c r="H957" i="3" s="1"/>
  <c r="K957" i="3" s="1"/>
  <c r="F957" i="3" l="1"/>
  <c r="I957" i="3"/>
  <c r="J957" i="3"/>
  <c r="M957" i="3"/>
  <c r="N957" i="3" s="1"/>
  <c r="V957" i="3"/>
  <c r="A958" i="3"/>
  <c r="B958" i="3" s="1"/>
  <c r="W957" i="3" l="1"/>
  <c r="L957" i="3"/>
  <c r="AE958" i="3"/>
  <c r="AA958" i="3"/>
  <c r="AD958" i="3"/>
  <c r="P958" i="3"/>
  <c r="Q958" i="3" s="1"/>
  <c r="R958" i="3" s="1"/>
  <c r="S958" i="3" s="1"/>
  <c r="AC958" i="3"/>
  <c r="Z958" i="3"/>
  <c r="T958" i="3" l="1"/>
  <c r="AG958" i="3" s="1"/>
  <c r="U957" i="3"/>
  <c r="AH958" i="3"/>
  <c r="Y956" i="3"/>
  <c r="E958" i="3" l="1"/>
  <c r="H958" i="3" s="1"/>
  <c r="K958" i="3" s="1"/>
  <c r="D958" i="3"/>
  <c r="F958" i="3" l="1"/>
  <c r="G958" i="3"/>
  <c r="I958" i="3" s="1"/>
  <c r="V958" i="3"/>
  <c r="A959" i="3"/>
  <c r="B959" i="3" s="1"/>
  <c r="M958" i="3" l="1"/>
  <c r="N958" i="3" s="1"/>
  <c r="J958" i="3"/>
  <c r="L958" i="3" s="1"/>
  <c r="W958" i="3"/>
  <c r="AC959" i="3"/>
  <c r="P959" i="3"/>
  <c r="Q959" i="3" s="1"/>
  <c r="R959" i="3" s="1"/>
  <c r="S959" i="3" s="1"/>
  <c r="Z959" i="3"/>
  <c r="AE959" i="3"/>
  <c r="AA959" i="3"/>
  <c r="AD959" i="3"/>
  <c r="T959" i="3" l="1"/>
  <c r="AG959" i="3" s="1"/>
  <c r="U958" i="3"/>
  <c r="AH959" i="3"/>
  <c r="Y957" i="3"/>
  <c r="E959" i="3" l="1"/>
  <c r="H959" i="3" s="1"/>
  <c r="K959" i="3" s="1"/>
  <c r="D959" i="3"/>
  <c r="G959" i="3" s="1"/>
  <c r="F959" i="3" l="1"/>
  <c r="V959" i="3"/>
  <c r="A960" i="3"/>
  <c r="B960" i="3" s="1"/>
  <c r="I959" i="3"/>
  <c r="J959" i="3"/>
  <c r="M959" i="3"/>
  <c r="N959" i="3" s="1"/>
  <c r="Z960" i="3" l="1"/>
  <c r="AA960" i="3"/>
  <c r="AE960" i="3"/>
  <c r="AD960" i="3"/>
  <c r="AC960" i="3"/>
  <c r="P960" i="3"/>
  <c r="Q960" i="3" s="1"/>
  <c r="R960" i="3" s="1"/>
  <c r="S960" i="3" s="1"/>
  <c r="L959" i="3"/>
  <c r="W959" i="3"/>
  <c r="T960" i="3" l="1"/>
  <c r="AH960" i="3" s="1"/>
  <c r="U959" i="3"/>
  <c r="Y958" i="3"/>
  <c r="E960" i="3" l="1"/>
  <c r="H960" i="3" s="1"/>
  <c r="K960" i="3" s="1"/>
  <c r="AG960" i="3"/>
  <c r="D960" i="3"/>
  <c r="F960" i="3" l="1"/>
  <c r="G960" i="3"/>
  <c r="V960" i="3"/>
  <c r="A961" i="3"/>
  <c r="B961" i="3" s="1"/>
  <c r="AC961" i="3" l="1"/>
  <c r="AE961" i="3"/>
  <c r="P961" i="3"/>
  <c r="Q961" i="3" s="1"/>
  <c r="R961" i="3" s="1"/>
  <c r="S961" i="3" s="1"/>
  <c r="AA961" i="3"/>
  <c r="AD961" i="3"/>
  <c r="Z961" i="3"/>
  <c r="I960" i="3"/>
  <c r="W960" i="3" s="1"/>
  <c r="J960" i="3"/>
  <c r="M960" i="3"/>
  <c r="N960" i="3" s="1"/>
  <c r="L960" i="3" l="1"/>
  <c r="T961" i="3"/>
  <c r="AH961" i="3" l="1"/>
  <c r="U960" i="3"/>
  <c r="D961" i="3" s="1"/>
  <c r="AG961" i="3"/>
  <c r="Y959" i="3"/>
  <c r="E961" i="3" l="1"/>
  <c r="H961" i="3" s="1"/>
  <c r="K961" i="3" s="1"/>
  <c r="G961" i="3"/>
  <c r="F961" i="3" l="1"/>
  <c r="V961" i="3"/>
  <c r="A962" i="3"/>
  <c r="B962" i="3" s="1"/>
  <c r="I961" i="3"/>
  <c r="J961" i="3"/>
  <c r="M961" i="3"/>
  <c r="N961" i="3" s="1"/>
  <c r="W961" i="3" l="1"/>
  <c r="AD962" i="3"/>
  <c r="AE962" i="3"/>
  <c r="AA962" i="3"/>
  <c r="AC962" i="3"/>
  <c r="Z962" i="3"/>
  <c r="P962" i="3"/>
  <c r="Q962" i="3" s="1"/>
  <c r="R962" i="3" s="1"/>
  <c r="S962" i="3" s="1"/>
  <c r="L961" i="3"/>
  <c r="T962" i="3" l="1"/>
  <c r="AH962" i="3" s="1"/>
  <c r="U961" i="3"/>
  <c r="Y960" i="3"/>
  <c r="E962" i="3" l="1"/>
  <c r="H962" i="3" s="1"/>
  <c r="K962" i="3" s="1"/>
  <c r="AG962" i="3"/>
  <c r="D962" i="3"/>
  <c r="F962" i="3" l="1"/>
  <c r="G962" i="3"/>
  <c r="M962" i="3" s="1"/>
  <c r="N962" i="3" s="1"/>
  <c r="V962" i="3"/>
  <c r="A963" i="3"/>
  <c r="B963" i="3" s="1"/>
  <c r="J962" i="3" l="1"/>
  <c r="L962" i="3" s="1"/>
  <c r="I962" i="3"/>
  <c r="W962" i="3" s="1"/>
  <c r="AA963" i="3"/>
  <c r="AD963" i="3"/>
  <c r="P963" i="3"/>
  <c r="Q963" i="3" s="1"/>
  <c r="R963" i="3" s="1"/>
  <c r="S963" i="3" s="1"/>
  <c r="AC963" i="3"/>
  <c r="Z963" i="3"/>
  <c r="AE963" i="3"/>
  <c r="T963" i="3" l="1"/>
  <c r="AG963" i="3" s="1"/>
  <c r="U962" i="3"/>
  <c r="AH963" i="3"/>
  <c r="Y961" i="3"/>
  <c r="E963" i="3" l="1"/>
  <c r="H963" i="3" s="1"/>
  <c r="K963" i="3" s="1"/>
  <c r="D963" i="3"/>
  <c r="F963" i="3" l="1"/>
  <c r="G963" i="3"/>
  <c r="I963" i="3" s="1"/>
  <c r="V963" i="3"/>
  <c r="A964" i="3"/>
  <c r="B964" i="3" s="1"/>
  <c r="M963" i="3" l="1"/>
  <c r="N963" i="3" s="1"/>
  <c r="J963" i="3"/>
  <c r="L963" i="3" s="1"/>
  <c r="W963" i="3"/>
  <c r="P964" i="3"/>
  <c r="Q964" i="3" s="1"/>
  <c r="R964" i="3" s="1"/>
  <c r="S964" i="3" s="1"/>
  <c r="AE964" i="3"/>
  <c r="Z964" i="3"/>
  <c r="AC964" i="3"/>
  <c r="AA964" i="3"/>
  <c r="AD964" i="3"/>
  <c r="T964" i="3" l="1"/>
  <c r="AH964" i="3" s="1"/>
  <c r="U963" i="3"/>
  <c r="Y962" i="3"/>
  <c r="AG964" i="3" l="1"/>
  <c r="D964" i="3"/>
  <c r="G964" i="3" s="1"/>
  <c r="E964" i="3"/>
  <c r="H964" i="3" s="1"/>
  <c r="K964" i="3" s="1"/>
  <c r="F964" i="3" l="1"/>
  <c r="I964" i="3"/>
  <c r="J964" i="3"/>
  <c r="M964" i="3"/>
  <c r="N964" i="3" s="1"/>
  <c r="V964" i="3"/>
  <c r="A965" i="3"/>
  <c r="B965" i="3" s="1"/>
  <c r="W964" i="3" l="1"/>
  <c r="AC965" i="3"/>
  <c r="AA965" i="3"/>
  <c r="Z965" i="3"/>
  <c r="P965" i="3"/>
  <c r="Q965" i="3" s="1"/>
  <c r="R965" i="3" s="1"/>
  <c r="S965" i="3" s="1"/>
  <c r="AD965" i="3"/>
  <c r="AE965" i="3"/>
  <c r="L964" i="3"/>
  <c r="U964" i="3" l="1"/>
  <c r="Y963" i="3"/>
  <c r="T965" i="3"/>
  <c r="AH965" i="3" s="1"/>
  <c r="AG965" i="3" l="1"/>
  <c r="E965" i="3"/>
  <c r="H965" i="3" s="1"/>
  <c r="D965" i="3"/>
  <c r="F965" i="3" l="1"/>
  <c r="G965" i="3"/>
  <c r="K965" i="3"/>
  <c r="I965" i="3" l="1"/>
  <c r="J965" i="3"/>
  <c r="M965" i="3"/>
  <c r="N965" i="3" s="1"/>
  <c r="V965" i="3"/>
  <c r="W965" i="3" s="1"/>
  <c r="A966" i="3"/>
  <c r="B966" i="3" s="1"/>
  <c r="AA966" i="3" l="1"/>
  <c r="AC966" i="3"/>
  <c r="AD966" i="3"/>
  <c r="AE966" i="3"/>
  <c r="Z966" i="3"/>
  <c r="P966" i="3"/>
  <c r="Q966" i="3" s="1"/>
  <c r="R966" i="3" s="1"/>
  <c r="S966" i="3" s="1"/>
  <c r="L965" i="3"/>
  <c r="T966" i="3" l="1"/>
  <c r="AG966" i="3" s="1"/>
  <c r="U965" i="3"/>
  <c r="E966" i="3" s="1"/>
  <c r="H966" i="3" s="1"/>
  <c r="Y964" i="3"/>
  <c r="AH966" i="3" l="1"/>
  <c r="D966" i="3"/>
  <c r="F966" i="3" s="1"/>
  <c r="K966" i="3"/>
  <c r="G966" i="3" l="1"/>
  <c r="I966" i="3" s="1"/>
  <c r="V966" i="3"/>
  <c r="A967" i="3"/>
  <c r="B967" i="3" s="1"/>
  <c r="M966" i="3" l="1"/>
  <c r="N966" i="3" s="1"/>
  <c r="J966" i="3"/>
  <c r="W966" i="3"/>
  <c r="AC967" i="3"/>
  <c r="P967" i="3"/>
  <c r="Q967" i="3" s="1"/>
  <c r="R967" i="3" s="1"/>
  <c r="S967" i="3" s="1"/>
  <c r="Z967" i="3"/>
  <c r="AD967" i="3"/>
  <c r="AA967" i="3"/>
  <c r="AE967" i="3"/>
  <c r="L966" i="3"/>
  <c r="T967" i="3" l="1"/>
  <c r="AH967" i="3" s="1"/>
  <c r="U966" i="3"/>
  <c r="AG967" i="3"/>
  <c r="Y965" i="3"/>
  <c r="E967" i="3" l="1"/>
  <c r="H967" i="3" s="1"/>
  <c r="K967" i="3" s="1"/>
  <c r="D967" i="3"/>
  <c r="F967" i="3" l="1"/>
  <c r="G967" i="3"/>
  <c r="I967" i="3" s="1"/>
  <c r="V967" i="3"/>
  <c r="A968" i="3"/>
  <c r="B968" i="3" s="1"/>
  <c r="M967" i="3" l="1"/>
  <c r="N967" i="3" s="1"/>
  <c r="J967" i="3"/>
  <c r="W967" i="3"/>
  <c r="Z968" i="3"/>
  <c r="P968" i="3"/>
  <c r="Q968" i="3" s="1"/>
  <c r="R968" i="3" s="1"/>
  <c r="S968" i="3" s="1"/>
  <c r="AA968" i="3"/>
  <c r="AD968" i="3"/>
  <c r="AC968" i="3"/>
  <c r="AE968" i="3"/>
  <c r="L967" i="3"/>
  <c r="T968" i="3" l="1"/>
  <c r="AH968" i="3" s="1"/>
  <c r="U967" i="3"/>
  <c r="Y966" i="3"/>
  <c r="AG968" i="3" l="1"/>
  <c r="E968" i="3"/>
  <c r="H968" i="3" s="1"/>
  <c r="K968" i="3" s="1"/>
  <c r="D968" i="3"/>
  <c r="F968" i="3" l="1"/>
  <c r="G968" i="3"/>
  <c r="I968" i="3" s="1"/>
  <c r="V968" i="3"/>
  <c r="A969" i="3"/>
  <c r="B969" i="3" s="1"/>
  <c r="M968" i="3" l="1"/>
  <c r="N968" i="3" s="1"/>
  <c r="J968" i="3"/>
  <c r="L968" i="3" s="1"/>
  <c r="W968" i="3"/>
  <c r="AC969" i="3"/>
  <c r="AD969" i="3"/>
  <c r="Z969" i="3"/>
  <c r="P969" i="3"/>
  <c r="Q969" i="3" s="1"/>
  <c r="R969" i="3" s="1"/>
  <c r="S969" i="3" s="1"/>
  <c r="AE969" i="3"/>
  <c r="AA969" i="3"/>
  <c r="T969" i="3" l="1"/>
  <c r="AH969" i="3" s="1"/>
  <c r="U968" i="3"/>
  <c r="Y967" i="3"/>
  <c r="AG969" i="3" l="1"/>
  <c r="E969" i="3"/>
  <c r="H969" i="3" s="1"/>
  <c r="K969" i="3" s="1"/>
  <c r="D969" i="3"/>
  <c r="G969" i="3" s="1"/>
  <c r="F969" i="3" l="1"/>
  <c r="V969" i="3"/>
  <c r="A970" i="3"/>
  <c r="B970" i="3" s="1"/>
  <c r="I969" i="3"/>
  <c r="J969" i="3"/>
  <c r="M969" i="3"/>
  <c r="N969" i="3" s="1"/>
  <c r="L969" i="3" l="1"/>
  <c r="AD970" i="3"/>
  <c r="Z970" i="3"/>
  <c r="AA970" i="3"/>
  <c r="P970" i="3"/>
  <c r="Q970" i="3" s="1"/>
  <c r="R970" i="3" s="1"/>
  <c r="S970" i="3" s="1"/>
  <c r="AC970" i="3"/>
  <c r="AE970" i="3"/>
  <c r="W969" i="3"/>
  <c r="T970" i="3" l="1"/>
  <c r="AH970" i="3" s="1"/>
  <c r="U969" i="3"/>
  <c r="Y968" i="3"/>
  <c r="D970" i="3" l="1"/>
  <c r="G970" i="3" s="1"/>
  <c r="AG970" i="3"/>
  <c r="E970" i="3"/>
  <c r="H970" i="3" s="1"/>
  <c r="K970" i="3" s="1"/>
  <c r="F970" i="3" l="1"/>
  <c r="V970" i="3"/>
  <c r="A971" i="3"/>
  <c r="B971" i="3" s="1"/>
  <c r="I970" i="3"/>
  <c r="J970" i="3"/>
  <c r="M970" i="3"/>
  <c r="N970" i="3" s="1"/>
  <c r="AA971" i="3" l="1"/>
  <c r="AD971" i="3"/>
  <c r="Z971" i="3"/>
  <c r="AC971" i="3"/>
  <c r="P971" i="3"/>
  <c r="Q971" i="3" s="1"/>
  <c r="R971" i="3" s="1"/>
  <c r="S971" i="3" s="1"/>
  <c r="AE971" i="3"/>
  <c r="L970" i="3"/>
  <c r="W970" i="3"/>
  <c r="T971" i="3" l="1"/>
  <c r="AH971" i="3" s="1"/>
  <c r="U970" i="3"/>
  <c r="E971" i="3" s="1"/>
  <c r="H971" i="3" s="1"/>
  <c r="Y969" i="3"/>
  <c r="AG971" i="3" l="1"/>
  <c r="D971" i="3"/>
  <c r="F971" i="3" s="1"/>
  <c r="K971" i="3"/>
  <c r="G971" i="3" l="1"/>
  <c r="M971" i="3" s="1"/>
  <c r="N971" i="3" s="1"/>
  <c r="V971" i="3"/>
  <c r="A972" i="3"/>
  <c r="B972" i="3" s="1"/>
  <c r="I971" i="3"/>
  <c r="J971" i="3" l="1"/>
  <c r="L971" i="3" s="1"/>
  <c r="W971" i="3"/>
  <c r="AE972" i="3"/>
  <c r="P972" i="3"/>
  <c r="Q972" i="3" s="1"/>
  <c r="R972" i="3" s="1"/>
  <c r="S972" i="3" s="1"/>
  <c r="AC972" i="3"/>
  <c r="AD972" i="3"/>
  <c r="AA972" i="3"/>
  <c r="Z972" i="3"/>
  <c r="T972" i="3" l="1"/>
  <c r="AG972" i="3" s="1"/>
  <c r="U971" i="3"/>
  <c r="E972" i="3"/>
  <c r="H972" i="3" s="1"/>
  <c r="Y970" i="3"/>
  <c r="AH972" i="3" l="1"/>
  <c r="D972" i="3"/>
  <c r="G972" i="3" s="1"/>
  <c r="K972" i="3"/>
  <c r="F972" i="3" l="1"/>
  <c r="V972" i="3"/>
  <c r="A973" i="3"/>
  <c r="B973" i="3" s="1"/>
  <c r="I972" i="3"/>
  <c r="J972" i="3"/>
  <c r="M972" i="3"/>
  <c r="N972" i="3" s="1"/>
  <c r="W972" i="3" l="1"/>
  <c r="AD973" i="3"/>
  <c r="AA973" i="3"/>
  <c r="AE973" i="3"/>
  <c r="AC973" i="3"/>
  <c r="Z973" i="3"/>
  <c r="P973" i="3"/>
  <c r="Q973" i="3" s="1"/>
  <c r="R973" i="3" s="1"/>
  <c r="S973" i="3" s="1"/>
  <c r="L972" i="3"/>
  <c r="T973" i="3" l="1"/>
  <c r="U972" i="3"/>
  <c r="Y971" i="3"/>
  <c r="D973" i="3" l="1"/>
  <c r="G973" i="3" s="1"/>
  <c r="AH973" i="3"/>
  <c r="E973" i="3"/>
  <c r="H973" i="3" s="1"/>
  <c r="K973" i="3" s="1"/>
  <c r="AG973" i="3"/>
  <c r="F973" i="3" l="1"/>
  <c r="V973" i="3"/>
  <c r="A974" i="3"/>
  <c r="B974" i="3" s="1"/>
  <c r="I973" i="3"/>
  <c r="J973" i="3"/>
  <c r="M973" i="3"/>
  <c r="N973" i="3" s="1"/>
  <c r="AD974" i="3" l="1"/>
  <c r="AA974" i="3"/>
  <c r="P974" i="3"/>
  <c r="Q974" i="3" s="1"/>
  <c r="R974" i="3" s="1"/>
  <c r="S974" i="3" s="1"/>
  <c r="Z974" i="3"/>
  <c r="AE974" i="3"/>
  <c r="AC974" i="3"/>
  <c r="L973" i="3"/>
  <c r="W973" i="3"/>
  <c r="U973" i="3" l="1"/>
  <c r="Y972" i="3"/>
  <c r="T974" i="3"/>
  <c r="D974" i="3" s="1"/>
  <c r="G974" i="3" l="1"/>
  <c r="E974" i="3"/>
  <c r="H974" i="3" s="1"/>
  <c r="AG974" i="3"/>
  <c r="AH974" i="3"/>
  <c r="K974" i="3" l="1"/>
  <c r="I974" i="3"/>
  <c r="J974" i="3"/>
  <c r="M974" i="3"/>
  <c r="N974" i="3" s="1"/>
  <c r="F974" i="3"/>
  <c r="V974" i="3" l="1"/>
  <c r="W974" i="3" s="1"/>
  <c r="A975" i="3"/>
  <c r="B975" i="3" s="1"/>
  <c r="L974" i="3"/>
  <c r="Z975" i="3" l="1"/>
  <c r="AA975" i="3"/>
  <c r="P975" i="3"/>
  <c r="Q975" i="3" s="1"/>
  <c r="R975" i="3" s="1"/>
  <c r="S975" i="3" s="1"/>
  <c r="AD975" i="3"/>
  <c r="AE975" i="3"/>
  <c r="AC975" i="3"/>
  <c r="U974" i="3"/>
  <c r="Y973" i="3"/>
  <c r="T975" i="3" l="1"/>
  <c r="E975" i="3" s="1"/>
  <c r="H975" i="3" s="1"/>
  <c r="AG975" i="3" l="1"/>
  <c r="AH975" i="3"/>
  <c r="D975" i="3"/>
  <c r="F975" i="3" s="1"/>
  <c r="K975" i="3"/>
  <c r="G975" i="3" l="1"/>
  <c r="I975" i="3" s="1"/>
  <c r="V975" i="3"/>
  <c r="A976" i="3"/>
  <c r="B976" i="3" s="1"/>
  <c r="M975" i="3" l="1"/>
  <c r="N975" i="3" s="1"/>
  <c r="J975" i="3"/>
  <c r="L975" i="3" s="1"/>
  <c r="W975" i="3"/>
  <c r="AC976" i="3"/>
  <c r="AA976" i="3"/>
  <c r="Z976" i="3"/>
  <c r="AE976" i="3"/>
  <c r="AD976" i="3"/>
  <c r="P976" i="3"/>
  <c r="Q976" i="3" s="1"/>
  <c r="R976" i="3" s="1"/>
  <c r="S976" i="3" s="1"/>
  <c r="T976" i="3" l="1"/>
  <c r="AG976" i="3"/>
  <c r="U975" i="3"/>
  <c r="D976" i="3" s="1"/>
  <c r="AH976" i="3"/>
  <c r="Y974" i="3"/>
  <c r="E976" i="3" l="1"/>
  <c r="H976" i="3" s="1"/>
  <c r="K976" i="3" s="1"/>
  <c r="G976" i="3"/>
  <c r="F976" i="3" l="1"/>
  <c r="I976" i="3"/>
  <c r="J976" i="3"/>
  <c r="M976" i="3"/>
  <c r="N976" i="3" s="1"/>
  <c r="V976" i="3"/>
  <c r="A977" i="3"/>
  <c r="B977" i="3" s="1"/>
  <c r="W976" i="3" l="1"/>
  <c r="L976" i="3"/>
  <c r="AC977" i="3"/>
  <c r="AD977" i="3"/>
  <c r="AE977" i="3"/>
  <c r="AA977" i="3"/>
  <c r="P977" i="3"/>
  <c r="Q977" i="3" s="1"/>
  <c r="R977" i="3" s="1"/>
  <c r="S977" i="3" s="1"/>
  <c r="Z977" i="3"/>
  <c r="T977" i="3" l="1"/>
  <c r="AG977" i="3" s="1"/>
  <c r="U976" i="3"/>
  <c r="Y975" i="3"/>
  <c r="E977" i="3" l="1"/>
  <c r="H977" i="3" s="1"/>
  <c r="AH977" i="3"/>
  <c r="D977" i="3"/>
  <c r="F977" i="3" s="1"/>
  <c r="K977" i="3"/>
  <c r="G977" i="3" l="1"/>
  <c r="I977" i="3" s="1"/>
  <c r="V977" i="3"/>
  <c r="A978" i="3"/>
  <c r="B978" i="3" s="1"/>
  <c r="M977" i="3" l="1"/>
  <c r="N977" i="3" s="1"/>
  <c r="J977" i="3"/>
  <c r="L977" i="3" s="1"/>
  <c r="W977" i="3"/>
  <c r="AA978" i="3"/>
  <c r="AD978" i="3"/>
  <c r="AC978" i="3"/>
  <c r="Z978" i="3"/>
  <c r="P978" i="3"/>
  <c r="Q978" i="3" s="1"/>
  <c r="R978" i="3" s="1"/>
  <c r="S978" i="3" s="1"/>
  <c r="AE978" i="3"/>
  <c r="T978" i="3" l="1"/>
  <c r="AH978" i="3" s="1"/>
  <c r="U977" i="3"/>
  <c r="AG978" i="3"/>
  <c r="Y976" i="3"/>
  <c r="E978" i="3" l="1"/>
  <c r="H978" i="3" s="1"/>
  <c r="K978" i="3" s="1"/>
  <c r="D978" i="3"/>
  <c r="F978" i="3" l="1"/>
  <c r="G978" i="3"/>
  <c r="I978" i="3" s="1"/>
  <c r="V978" i="3"/>
  <c r="A979" i="3"/>
  <c r="B979" i="3" s="1"/>
  <c r="M978" i="3" l="1"/>
  <c r="N978" i="3" s="1"/>
  <c r="J978" i="3"/>
  <c r="L978" i="3" s="1"/>
  <c r="W978" i="3"/>
  <c r="Z979" i="3"/>
  <c r="AE979" i="3"/>
  <c r="P979" i="3"/>
  <c r="Q979" i="3" s="1"/>
  <c r="R979" i="3" s="1"/>
  <c r="S979" i="3" s="1"/>
  <c r="AC979" i="3"/>
  <c r="AD979" i="3"/>
  <c r="AA979" i="3"/>
  <c r="T979" i="3" l="1"/>
  <c r="AH979" i="3" s="1"/>
  <c r="U978" i="3"/>
  <c r="E979" i="3" s="1"/>
  <c r="H979" i="3" s="1"/>
  <c r="Y977" i="3"/>
  <c r="AG979" i="3" l="1"/>
  <c r="K979" i="3"/>
  <c r="D979" i="3"/>
  <c r="F979" i="3" l="1"/>
  <c r="G979" i="3"/>
  <c r="V979" i="3"/>
  <c r="A980" i="3"/>
  <c r="B980" i="3" s="1"/>
  <c r="AE980" i="3" l="1"/>
  <c r="Z980" i="3"/>
  <c r="AD980" i="3"/>
  <c r="P980" i="3"/>
  <c r="Q980" i="3" s="1"/>
  <c r="R980" i="3" s="1"/>
  <c r="S980" i="3" s="1"/>
  <c r="AC980" i="3"/>
  <c r="AA980" i="3"/>
  <c r="I979" i="3"/>
  <c r="W979" i="3" s="1"/>
  <c r="J979" i="3"/>
  <c r="M979" i="3"/>
  <c r="N979" i="3" s="1"/>
  <c r="L979" i="3" l="1"/>
  <c r="T980" i="3"/>
  <c r="AH980" i="3" l="1"/>
  <c r="U979" i="3"/>
  <c r="E980" i="3" s="1"/>
  <c r="H980" i="3" s="1"/>
  <c r="AG980" i="3"/>
  <c r="Y978" i="3"/>
  <c r="D980" i="3" l="1"/>
  <c r="F980" i="3" s="1"/>
  <c r="K980" i="3"/>
  <c r="G980" i="3" l="1"/>
  <c r="V980" i="3"/>
  <c r="A981" i="3"/>
  <c r="B981" i="3" s="1"/>
  <c r="I980" i="3"/>
  <c r="J980" i="3"/>
  <c r="M980" i="3"/>
  <c r="N980" i="3" s="1"/>
  <c r="L980" i="3" l="1"/>
  <c r="P981" i="3"/>
  <c r="Q981" i="3" s="1"/>
  <c r="R981" i="3" s="1"/>
  <c r="S981" i="3" s="1"/>
  <c r="Z981" i="3"/>
  <c r="AD981" i="3"/>
  <c r="AC981" i="3"/>
  <c r="AA981" i="3"/>
  <c r="AE981" i="3"/>
  <c r="W980" i="3"/>
  <c r="T981" i="3" l="1"/>
  <c r="AH981" i="3" s="1"/>
  <c r="U980" i="3"/>
  <c r="E981" i="3" s="1"/>
  <c r="H981" i="3" s="1"/>
  <c r="Y979" i="3"/>
  <c r="AG981" i="3" l="1"/>
  <c r="D981" i="3"/>
  <c r="G981" i="3" s="1"/>
  <c r="K981" i="3"/>
  <c r="F981" i="3" l="1"/>
  <c r="V981" i="3"/>
  <c r="A982" i="3"/>
  <c r="B982" i="3" s="1"/>
  <c r="I981" i="3"/>
  <c r="J981" i="3"/>
  <c r="M981" i="3"/>
  <c r="N981" i="3" s="1"/>
  <c r="W981" i="3" l="1"/>
  <c r="AE982" i="3"/>
  <c r="AD982" i="3"/>
  <c r="AC982" i="3"/>
  <c r="Z982" i="3"/>
  <c r="P982" i="3"/>
  <c r="Q982" i="3" s="1"/>
  <c r="R982" i="3" s="1"/>
  <c r="S982" i="3" s="1"/>
  <c r="AA982" i="3"/>
  <c r="L981" i="3"/>
  <c r="T982" i="3" l="1"/>
  <c r="AH982" i="3" s="1"/>
  <c r="U981" i="3"/>
  <c r="Y980" i="3"/>
  <c r="D982" i="3" l="1"/>
  <c r="G982" i="3" s="1"/>
  <c r="AG982" i="3"/>
  <c r="E982" i="3"/>
  <c r="H982" i="3" s="1"/>
  <c r="K982" i="3" l="1"/>
  <c r="I982" i="3"/>
  <c r="J982" i="3"/>
  <c r="M982" i="3"/>
  <c r="N982" i="3" s="1"/>
  <c r="F982" i="3"/>
  <c r="V982" i="3" l="1"/>
  <c r="W982" i="3" s="1"/>
  <c r="A983" i="3"/>
  <c r="B983" i="3" s="1"/>
  <c r="L982" i="3"/>
  <c r="AE983" i="3" l="1"/>
  <c r="AC983" i="3"/>
  <c r="AD983" i="3"/>
  <c r="Z983" i="3"/>
  <c r="AA983" i="3"/>
  <c r="P983" i="3"/>
  <c r="Q983" i="3" s="1"/>
  <c r="R983" i="3" s="1"/>
  <c r="S983" i="3" s="1"/>
  <c r="U982" i="3"/>
  <c r="Y981" i="3"/>
  <c r="T983" i="3" l="1"/>
  <c r="AG983" i="3" s="1"/>
  <c r="AH983" i="3" l="1"/>
  <c r="D983" i="3"/>
  <c r="G983" i="3" s="1"/>
  <c r="E983" i="3"/>
  <c r="H983" i="3" s="1"/>
  <c r="K983" i="3" s="1"/>
  <c r="F983" i="3" l="1"/>
  <c r="I983" i="3"/>
  <c r="J983" i="3"/>
  <c r="M983" i="3"/>
  <c r="N983" i="3" s="1"/>
  <c r="V983" i="3"/>
  <c r="A984" i="3"/>
  <c r="B984" i="3" s="1"/>
  <c r="W983" i="3" l="1"/>
  <c r="L983" i="3"/>
  <c r="AD984" i="3"/>
  <c r="AA984" i="3"/>
  <c r="AC984" i="3"/>
  <c r="Z984" i="3"/>
  <c r="AE984" i="3"/>
  <c r="P984" i="3"/>
  <c r="Q984" i="3" s="1"/>
  <c r="R984" i="3" s="1"/>
  <c r="S984" i="3" s="1"/>
  <c r="T984" i="3" l="1"/>
  <c r="AH984" i="3" s="1"/>
  <c r="U983" i="3"/>
  <c r="Y982" i="3"/>
  <c r="E984" i="3" l="1"/>
  <c r="H984" i="3" s="1"/>
  <c r="K984" i="3" s="1"/>
  <c r="AG984" i="3"/>
  <c r="D984" i="3"/>
  <c r="F984" i="3" l="1"/>
  <c r="G984" i="3"/>
  <c r="V984" i="3"/>
  <c r="A985" i="3"/>
  <c r="B985" i="3" s="1"/>
  <c r="AA985" i="3" l="1"/>
  <c r="AC985" i="3"/>
  <c r="Z985" i="3"/>
  <c r="P985" i="3"/>
  <c r="Q985" i="3" s="1"/>
  <c r="R985" i="3" s="1"/>
  <c r="S985" i="3" s="1"/>
  <c r="AE985" i="3"/>
  <c r="AD985" i="3"/>
  <c r="I984" i="3"/>
  <c r="W984" i="3" s="1"/>
  <c r="J984" i="3"/>
  <c r="M984" i="3"/>
  <c r="N984" i="3" s="1"/>
  <c r="L984" i="3" l="1"/>
  <c r="T985" i="3"/>
  <c r="AG985" i="3" l="1"/>
  <c r="U984" i="3"/>
  <c r="E985" i="3" s="1"/>
  <c r="H985" i="3" s="1"/>
  <c r="D985" i="3"/>
  <c r="AH985" i="3"/>
  <c r="Y983" i="3"/>
  <c r="K985" i="3" l="1"/>
  <c r="F985" i="3"/>
  <c r="G985" i="3"/>
  <c r="V985" i="3" l="1"/>
  <c r="A986" i="3"/>
  <c r="B986" i="3" s="1"/>
  <c r="I985" i="3"/>
  <c r="J985" i="3"/>
  <c r="M985" i="3"/>
  <c r="N985" i="3" s="1"/>
  <c r="W985" i="3" l="1"/>
  <c r="L985" i="3"/>
  <c r="AE986" i="3"/>
  <c r="Z986" i="3"/>
  <c r="AA986" i="3"/>
  <c r="P986" i="3"/>
  <c r="Q986" i="3" s="1"/>
  <c r="R986" i="3" s="1"/>
  <c r="S986" i="3" s="1"/>
  <c r="AD986" i="3"/>
  <c r="AC986" i="3"/>
  <c r="T986" i="3" l="1"/>
  <c r="U985" i="3"/>
  <c r="D986" i="3"/>
  <c r="Y984" i="3"/>
  <c r="E986" i="3" l="1"/>
  <c r="H986" i="3" s="1"/>
  <c r="K986" i="3" s="1"/>
  <c r="AG986" i="3"/>
  <c r="AH986" i="3"/>
  <c r="G986" i="3"/>
  <c r="F986" i="3" l="1"/>
  <c r="I986" i="3"/>
  <c r="J986" i="3"/>
  <c r="M986" i="3"/>
  <c r="N986" i="3" s="1"/>
  <c r="V986" i="3"/>
  <c r="A987" i="3"/>
  <c r="B987" i="3" s="1"/>
  <c r="W986" i="3" l="1"/>
  <c r="P987" i="3"/>
  <c r="Q987" i="3" s="1"/>
  <c r="R987" i="3" s="1"/>
  <c r="S987" i="3" s="1"/>
  <c r="AD987" i="3"/>
  <c r="AA987" i="3"/>
  <c r="AC987" i="3"/>
  <c r="AE987" i="3"/>
  <c r="Z987" i="3"/>
  <c r="L986" i="3"/>
  <c r="U986" i="3" l="1"/>
  <c r="Y985" i="3"/>
  <c r="T987" i="3"/>
  <c r="AH987" i="3" s="1"/>
  <c r="D987" i="3" l="1"/>
  <c r="G987" i="3" s="1"/>
  <c r="E987" i="3"/>
  <c r="H987" i="3" s="1"/>
  <c r="AG987" i="3"/>
  <c r="K987" i="3" l="1"/>
  <c r="I987" i="3"/>
  <c r="J987" i="3"/>
  <c r="M987" i="3"/>
  <c r="N987" i="3" s="1"/>
  <c r="F987" i="3"/>
  <c r="V987" i="3" l="1"/>
  <c r="W987" i="3" s="1"/>
  <c r="A988" i="3"/>
  <c r="B988" i="3" s="1"/>
  <c r="L987" i="3"/>
  <c r="Z988" i="3" l="1"/>
  <c r="AD988" i="3"/>
  <c r="AA988" i="3"/>
  <c r="P988" i="3"/>
  <c r="Q988" i="3" s="1"/>
  <c r="R988" i="3" s="1"/>
  <c r="S988" i="3" s="1"/>
  <c r="AE988" i="3"/>
  <c r="AC988" i="3"/>
  <c r="U987" i="3"/>
  <c r="Y986" i="3"/>
  <c r="T988" i="3" l="1"/>
  <c r="AH988" i="3" s="1"/>
  <c r="D988" i="3" l="1"/>
  <c r="G988" i="3" s="1"/>
  <c r="E988" i="3"/>
  <c r="H988" i="3" s="1"/>
  <c r="K988" i="3" s="1"/>
  <c r="AG988" i="3"/>
  <c r="F988" i="3" l="1"/>
  <c r="I988" i="3"/>
  <c r="J988" i="3"/>
  <c r="M988" i="3"/>
  <c r="N988" i="3" s="1"/>
  <c r="V988" i="3"/>
  <c r="A989" i="3"/>
  <c r="B989" i="3" s="1"/>
  <c r="W988" i="3" l="1"/>
  <c r="L988" i="3"/>
  <c r="AC989" i="3"/>
  <c r="Z989" i="3"/>
  <c r="AA989" i="3"/>
  <c r="AE989" i="3"/>
  <c r="AD989" i="3"/>
  <c r="P989" i="3"/>
  <c r="Q989" i="3" s="1"/>
  <c r="R989" i="3" s="1"/>
  <c r="S989" i="3" s="1"/>
  <c r="T989" i="3" l="1"/>
  <c r="AG989" i="3" s="1"/>
  <c r="AH989" i="3"/>
  <c r="U988" i="3"/>
  <c r="E989" i="3" s="1"/>
  <c r="H989" i="3" s="1"/>
  <c r="Y987" i="3"/>
  <c r="K989" i="3" l="1"/>
  <c r="D989" i="3"/>
  <c r="F989" i="3" l="1"/>
  <c r="G989" i="3"/>
  <c r="V989" i="3"/>
  <c r="A990" i="3"/>
  <c r="B990" i="3" s="1"/>
  <c r="AE990" i="3" l="1"/>
  <c r="AC990" i="3"/>
  <c r="AA990" i="3"/>
  <c r="P990" i="3"/>
  <c r="Q990" i="3" s="1"/>
  <c r="R990" i="3" s="1"/>
  <c r="S990" i="3" s="1"/>
  <c r="AD990" i="3"/>
  <c r="Z990" i="3"/>
  <c r="I989" i="3"/>
  <c r="W989" i="3" s="1"/>
  <c r="J989" i="3"/>
  <c r="M989" i="3"/>
  <c r="N989" i="3" s="1"/>
  <c r="L989" i="3" l="1"/>
  <c r="T990" i="3"/>
  <c r="U989" i="3" l="1"/>
  <c r="D990" i="3" s="1"/>
  <c r="AG990" i="3"/>
  <c r="E990" i="3"/>
  <c r="H990" i="3" s="1"/>
  <c r="AH990" i="3"/>
  <c r="Y988" i="3"/>
  <c r="F990" i="3" l="1"/>
  <c r="G990" i="3"/>
  <c r="K990" i="3"/>
  <c r="I990" i="3" l="1"/>
  <c r="J990" i="3"/>
  <c r="M990" i="3"/>
  <c r="N990" i="3" s="1"/>
  <c r="V990" i="3"/>
  <c r="W990" i="3" s="1"/>
  <c r="A991" i="3"/>
  <c r="B991" i="3" s="1"/>
  <c r="L990" i="3" l="1"/>
  <c r="AD991" i="3"/>
  <c r="AC991" i="3"/>
  <c r="P991" i="3"/>
  <c r="Q991" i="3" s="1"/>
  <c r="R991" i="3" s="1"/>
  <c r="S991" i="3" s="1"/>
  <c r="Z991" i="3"/>
  <c r="AE991" i="3"/>
  <c r="AA991" i="3"/>
  <c r="T991" i="3" l="1"/>
  <c r="AG991" i="3" s="1"/>
  <c r="U990" i="3"/>
  <c r="Y989" i="3"/>
  <c r="AH991" i="3" l="1"/>
  <c r="E991" i="3"/>
  <c r="H991" i="3" s="1"/>
  <c r="K991" i="3" s="1"/>
  <c r="D991" i="3"/>
  <c r="F991" i="3" l="1"/>
  <c r="G991" i="3"/>
  <c r="J991" i="3" s="1"/>
  <c r="V991" i="3"/>
  <c r="A992" i="3"/>
  <c r="B992" i="3" s="1"/>
  <c r="I991" i="3" l="1"/>
  <c r="W991" i="3" s="1"/>
  <c r="M991" i="3"/>
  <c r="N991" i="3" s="1"/>
  <c r="AD992" i="3"/>
  <c r="AC992" i="3"/>
  <c r="AE992" i="3"/>
  <c r="AA992" i="3"/>
  <c r="P992" i="3"/>
  <c r="Q992" i="3" s="1"/>
  <c r="R992" i="3" s="1"/>
  <c r="S992" i="3" s="1"/>
  <c r="Z992" i="3"/>
  <c r="L991" i="3"/>
  <c r="T992" i="3" l="1"/>
  <c r="AH992" i="3" s="1"/>
  <c r="U991" i="3"/>
  <c r="Y990" i="3"/>
  <c r="E992" i="3" l="1"/>
  <c r="H992" i="3" s="1"/>
  <c r="K992" i="3" s="1"/>
  <c r="AG992" i="3"/>
  <c r="D992" i="3"/>
  <c r="F992" i="3" l="1"/>
  <c r="G992" i="3"/>
  <c r="M992" i="3" s="1"/>
  <c r="N992" i="3" s="1"/>
  <c r="V992" i="3"/>
  <c r="A993" i="3"/>
  <c r="B993" i="3" s="1"/>
  <c r="J992" i="3" l="1"/>
  <c r="I992" i="3"/>
  <c r="W992" i="3"/>
  <c r="AE993" i="3"/>
  <c r="AA993" i="3"/>
  <c r="AC993" i="3"/>
  <c r="AD993" i="3"/>
  <c r="P993" i="3"/>
  <c r="Q993" i="3" s="1"/>
  <c r="R993" i="3" s="1"/>
  <c r="S993" i="3" s="1"/>
  <c r="Z993" i="3"/>
  <c r="L992" i="3"/>
  <c r="T993" i="3" l="1"/>
  <c r="AG993" i="3" s="1"/>
  <c r="U992" i="3"/>
  <c r="Y991" i="3"/>
  <c r="E993" i="3" l="1"/>
  <c r="H993" i="3" s="1"/>
  <c r="K993" i="3" s="1"/>
  <c r="AH993" i="3"/>
  <c r="D993" i="3"/>
  <c r="F993" i="3" l="1"/>
  <c r="G993" i="3"/>
  <c r="M993" i="3" s="1"/>
  <c r="N993" i="3" s="1"/>
  <c r="V993" i="3"/>
  <c r="A994" i="3"/>
  <c r="B994" i="3" s="1"/>
  <c r="J993" i="3" l="1"/>
  <c r="I993" i="3"/>
  <c r="W993" i="3" s="1"/>
  <c r="L993" i="3"/>
  <c r="AA994" i="3"/>
  <c r="Z994" i="3"/>
  <c r="P994" i="3"/>
  <c r="Q994" i="3" s="1"/>
  <c r="R994" i="3" s="1"/>
  <c r="S994" i="3" s="1"/>
  <c r="AD994" i="3"/>
  <c r="AC994" i="3"/>
  <c r="AE994" i="3"/>
  <c r="T994" i="3" l="1"/>
  <c r="AG994" i="3" s="1"/>
  <c r="U993" i="3"/>
  <c r="Y992" i="3"/>
  <c r="AH994" i="3" l="1"/>
  <c r="E994" i="3"/>
  <c r="H994" i="3" s="1"/>
  <c r="K994" i="3" s="1"/>
  <c r="D994" i="3"/>
  <c r="F994" i="3" l="1"/>
  <c r="G994" i="3"/>
  <c r="M994" i="3" s="1"/>
  <c r="N994" i="3" s="1"/>
  <c r="V994" i="3"/>
  <c r="A995" i="3"/>
  <c r="B995" i="3" s="1"/>
  <c r="J994" i="3" l="1"/>
  <c r="I994" i="3"/>
  <c r="W994" i="3" s="1"/>
  <c r="P995" i="3"/>
  <c r="Q995" i="3" s="1"/>
  <c r="R995" i="3" s="1"/>
  <c r="S995" i="3" s="1"/>
  <c r="Z995" i="3"/>
  <c r="AE995" i="3"/>
  <c r="AA995" i="3"/>
  <c r="AD995" i="3"/>
  <c r="AC995" i="3"/>
  <c r="L994" i="3"/>
  <c r="U994" i="3" l="1"/>
  <c r="Y993" i="3"/>
  <c r="T995" i="3"/>
  <c r="AH995" i="3" s="1"/>
  <c r="AG995" i="3" l="1"/>
  <c r="D995" i="3"/>
  <c r="E995" i="3"/>
  <c r="H995" i="3" s="1"/>
  <c r="K995" i="3" l="1"/>
  <c r="F995" i="3"/>
  <c r="G995" i="3"/>
  <c r="V995" i="3" l="1"/>
  <c r="A996" i="3"/>
  <c r="B996" i="3" s="1"/>
  <c r="I995" i="3"/>
  <c r="J995" i="3"/>
  <c r="M995" i="3"/>
  <c r="N995" i="3" s="1"/>
  <c r="W995" i="3" l="1"/>
  <c r="L995" i="3"/>
  <c r="AA996" i="3"/>
  <c r="Z996" i="3"/>
  <c r="AE996" i="3"/>
  <c r="AD996" i="3"/>
  <c r="P996" i="3"/>
  <c r="Q996" i="3" s="1"/>
  <c r="R996" i="3" s="1"/>
  <c r="S996" i="3" s="1"/>
  <c r="AC996" i="3"/>
  <c r="T996" i="3" l="1"/>
  <c r="AH996" i="3" s="1"/>
  <c r="U995" i="3"/>
  <c r="Y994" i="3"/>
  <c r="D996" i="3" l="1"/>
  <c r="G996" i="3" s="1"/>
  <c r="AG996" i="3"/>
  <c r="E996" i="3"/>
  <c r="H996" i="3" s="1"/>
  <c r="K996" i="3" s="1"/>
  <c r="F996" i="3" l="1"/>
  <c r="I996" i="3"/>
  <c r="J996" i="3"/>
  <c r="M996" i="3"/>
  <c r="N996" i="3" s="1"/>
  <c r="V996" i="3"/>
  <c r="A997" i="3"/>
  <c r="B997" i="3" s="1"/>
  <c r="W996" i="3" l="1"/>
  <c r="AE997" i="3"/>
  <c r="P997" i="3"/>
  <c r="Q997" i="3" s="1"/>
  <c r="R997" i="3" s="1"/>
  <c r="S997" i="3" s="1"/>
  <c r="Z997" i="3"/>
  <c r="AA997" i="3"/>
  <c r="AD997" i="3"/>
  <c r="AC997" i="3"/>
  <c r="L996" i="3"/>
  <c r="T997" i="3" l="1"/>
  <c r="AG997" i="3" s="1"/>
  <c r="U996" i="3"/>
  <c r="Y995" i="3"/>
  <c r="AH997" i="3" l="1"/>
  <c r="D997" i="3"/>
  <c r="G997" i="3" s="1"/>
  <c r="E997" i="3"/>
  <c r="H997" i="3" s="1"/>
  <c r="K997" i="3" l="1"/>
  <c r="I997" i="3"/>
  <c r="J997" i="3"/>
  <c r="M997" i="3"/>
  <c r="N997" i="3" s="1"/>
  <c r="F997" i="3"/>
  <c r="V997" i="3" l="1"/>
  <c r="W997" i="3" s="1"/>
  <c r="A998" i="3"/>
  <c r="B998" i="3" s="1"/>
  <c r="L997" i="3"/>
  <c r="AD998" i="3" l="1"/>
  <c r="P998" i="3"/>
  <c r="Q998" i="3" s="1"/>
  <c r="R998" i="3" s="1"/>
  <c r="S998" i="3" s="1"/>
  <c r="Z998" i="3"/>
  <c r="AA998" i="3"/>
  <c r="AE998" i="3"/>
  <c r="AC998" i="3"/>
  <c r="U997" i="3"/>
  <c r="Y996" i="3"/>
  <c r="T998" i="3" l="1"/>
  <c r="D998" i="3" s="1"/>
  <c r="G998" i="3" l="1"/>
  <c r="AG998" i="3"/>
  <c r="AH998" i="3"/>
  <c r="E998" i="3"/>
  <c r="H998" i="3" s="1"/>
  <c r="I998" i="3" l="1"/>
  <c r="J998" i="3"/>
  <c r="M998" i="3"/>
  <c r="N998" i="3" s="1"/>
  <c r="K998" i="3"/>
  <c r="F998" i="3"/>
  <c r="V998" i="3" l="1"/>
  <c r="W998" i="3" s="1"/>
  <c r="A999" i="3"/>
  <c r="B999" i="3" s="1"/>
  <c r="L998" i="3"/>
  <c r="AA999" i="3" l="1"/>
  <c r="AE999" i="3"/>
  <c r="AC999" i="3"/>
  <c r="P999" i="3"/>
  <c r="Q999" i="3" s="1"/>
  <c r="R999" i="3" s="1"/>
  <c r="S999" i="3" s="1"/>
  <c r="Z999" i="3"/>
  <c r="AD999" i="3"/>
  <c r="U998" i="3"/>
  <c r="Y997" i="3"/>
  <c r="T999" i="3" l="1"/>
  <c r="AH999" i="3" s="1"/>
  <c r="D999" i="3" l="1"/>
  <c r="AG999" i="3"/>
  <c r="E999" i="3"/>
  <c r="H999" i="3" s="1"/>
  <c r="K999" i="3" l="1"/>
  <c r="F999" i="3"/>
  <c r="G999" i="3"/>
  <c r="V999" i="3" l="1"/>
  <c r="A1000" i="3"/>
  <c r="B1000" i="3" s="1"/>
  <c r="I999" i="3"/>
  <c r="J999" i="3"/>
  <c r="M999" i="3"/>
  <c r="N999" i="3" s="1"/>
  <c r="L999" i="3" l="1"/>
  <c r="P1000" i="3"/>
  <c r="Q1000" i="3" s="1"/>
  <c r="R1000" i="3" s="1"/>
  <c r="S1000" i="3" s="1"/>
  <c r="AA1000" i="3"/>
  <c r="Z1000" i="3"/>
  <c r="AD1000" i="3"/>
  <c r="AE1000" i="3"/>
  <c r="AC1000" i="3"/>
  <c r="W999" i="3"/>
  <c r="T1000" i="3" l="1"/>
  <c r="AG1000" i="3" s="1"/>
  <c r="AH1000" i="3"/>
  <c r="U999" i="3"/>
  <c r="D1000" i="3" s="1"/>
  <c r="Y998" i="3"/>
  <c r="E1000" i="3" l="1"/>
  <c r="H1000" i="3" s="1"/>
  <c r="K1000" i="3" s="1"/>
  <c r="G1000" i="3"/>
  <c r="F1000" i="3" l="1"/>
  <c r="I1000" i="3"/>
  <c r="J1000" i="3"/>
  <c r="M1000" i="3"/>
  <c r="N1000" i="3" s="1"/>
  <c r="V1000" i="3"/>
  <c r="A1001" i="3"/>
  <c r="B1001" i="3" s="1"/>
  <c r="W1000" i="3" l="1"/>
  <c r="L1000" i="3"/>
  <c r="AC1001" i="3"/>
  <c r="P1001" i="3"/>
  <c r="Q1001" i="3" s="1"/>
  <c r="R1001" i="3" s="1"/>
  <c r="S1001" i="3" s="1"/>
  <c r="Z1001" i="3"/>
  <c r="AD1001" i="3"/>
  <c r="AE1001" i="3"/>
  <c r="AA1001" i="3"/>
  <c r="T1001" i="3" l="1"/>
  <c r="AG1001" i="3" s="1"/>
  <c r="U1000" i="3"/>
  <c r="Y999" i="3"/>
  <c r="AH1001" i="3" l="1"/>
  <c r="D1001" i="3"/>
  <c r="G1001" i="3" s="1"/>
  <c r="E1001" i="3"/>
  <c r="H1001" i="3" s="1"/>
  <c r="K1001" i="3" s="1"/>
  <c r="F1001" i="3" l="1"/>
  <c r="V1001" i="3"/>
  <c r="A1002" i="3"/>
  <c r="B1002" i="3" s="1"/>
  <c r="I1001" i="3"/>
  <c r="J1001" i="3"/>
  <c r="M1001" i="3"/>
  <c r="N1001" i="3" s="1"/>
  <c r="W1001" i="3" l="1"/>
  <c r="AC1002" i="3"/>
  <c r="P1002" i="3"/>
  <c r="Q1002" i="3" s="1"/>
  <c r="R1002" i="3" s="1"/>
  <c r="S1002" i="3" s="1"/>
  <c r="Z1002" i="3"/>
  <c r="AE1002" i="3"/>
  <c r="AA1002" i="3"/>
  <c r="AD1002" i="3"/>
  <c r="L1001" i="3"/>
  <c r="T1002" i="3" l="1"/>
  <c r="AG1002" i="3" s="1"/>
  <c r="U1001" i="3"/>
  <c r="Y1000" i="3"/>
  <c r="AH1002" i="3" l="1"/>
  <c r="E1002" i="3"/>
  <c r="H1002" i="3" s="1"/>
  <c r="K1002" i="3" s="1"/>
  <c r="D1002" i="3"/>
  <c r="G1002" i="3" s="1"/>
  <c r="F1002" i="3" l="1"/>
  <c r="I1002" i="3"/>
  <c r="J1002" i="3"/>
  <c r="M1002" i="3"/>
  <c r="N1002" i="3" s="1"/>
  <c r="V1002" i="3"/>
  <c r="A1003" i="3"/>
  <c r="B1003" i="3" s="1"/>
  <c r="W1002" i="3" l="1"/>
  <c r="L1002" i="3"/>
  <c r="AD1003" i="3"/>
  <c r="AE1003" i="3"/>
  <c r="P1003" i="3"/>
  <c r="Q1003" i="3" s="1"/>
  <c r="R1003" i="3" s="1"/>
  <c r="S1003" i="3" s="1"/>
  <c r="AC1003" i="3"/>
  <c r="Z1003" i="3"/>
  <c r="AA1003" i="3"/>
  <c r="T1003" i="3" l="1"/>
  <c r="AG1003" i="3" s="1"/>
  <c r="U1002" i="3"/>
  <c r="D1003" i="3" s="1"/>
  <c r="Y1001" i="3"/>
  <c r="AH1003" i="3" l="1"/>
  <c r="E1003" i="3"/>
  <c r="H1003" i="3" s="1"/>
  <c r="K1003" i="3" s="1"/>
  <c r="G1003" i="3"/>
  <c r="F1003" i="3" l="1"/>
  <c r="V1003" i="3"/>
  <c r="A1004" i="3"/>
  <c r="B1004" i="3" s="1"/>
  <c r="I1003" i="3"/>
  <c r="J1003" i="3"/>
  <c r="M1003" i="3"/>
  <c r="N1003" i="3" s="1"/>
  <c r="Z1004" i="3" l="1"/>
  <c r="AE1004" i="3"/>
  <c r="AA1004" i="3"/>
  <c r="P1004" i="3"/>
  <c r="Q1004" i="3" s="1"/>
  <c r="R1004" i="3" s="1"/>
  <c r="S1004" i="3" s="1"/>
  <c r="T1004" i="3" s="1"/>
  <c r="AD1004" i="3"/>
  <c r="AC1004" i="3"/>
  <c r="L1003" i="3"/>
  <c r="W1003" i="3"/>
  <c r="L48" i="1" l="1"/>
  <c r="I25" i="1"/>
  <c r="K25" i="1"/>
  <c r="I48" i="1"/>
  <c r="J25" i="1"/>
  <c r="K48" i="1"/>
  <c r="M48" i="1"/>
  <c r="J48" i="1"/>
  <c r="U1003" i="3"/>
  <c r="E1004" i="3" s="1"/>
  <c r="H1004" i="3" s="1"/>
  <c r="AH1004" i="3"/>
  <c r="AG1004" i="3"/>
  <c r="Y1002" i="3"/>
  <c r="K46" i="1"/>
  <c r="J46" i="1"/>
  <c r="M46" i="1"/>
  <c r="I46" i="1"/>
  <c r="L46" i="1"/>
  <c r="J27" i="1"/>
  <c r="K27" i="1"/>
  <c r="I27" i="1"/>
  <c r="K1004" i="3" l="1"/>
  <c r="C122" i="1"/>
  <c r="C121" i="1"/>
  <c r="C124" i="1"/>
  <c r="C33" i="1"/>
  <c r="C126" i="1"/>
  <c r="C155" i="1"/>
  <c r="C31" i="1"/>
  <c r="C129" i="1"/>
  <c r="C130" i="1" s="1"/>
  <c r="D1004" i="3"/>
  <c r="I70" i="7"/>
  <c r="M25" i="1"/>
  <c r="I72" i="7"/>
  <c r="I73" i="7" s="1"/>
  <c r="H72" i="7"/>
  <c r="H73" i="7" s="1"/>
  <c r="H70" i="7"/>
  <c r="M27" i="1"/>
  <c r="D33" i="1"/>
  <c r="J49" i="1" s="1"/>
  <c r="D31" i="1"/>
  <c r="B128" i="1"/>
  <c r="B126" i="1"/>
  <c r="J47" i="1"/>
  <c r="B129" i="1"/>
  <c r="B125" i="1"/>
  <c r="B124" i="1"/>
  <c r="B123" i="1"/>
  <c r="B127" i="1"/>
  <c r="D155" i="1"/>
  <c r="C32" i="1" l="1"/>
  <c r="E31" i="7"/>
  <c r="H47" i="1"/>
  <c r="H49" i="1"/>
  <c r="D32" i="1"/>
  <c r="F1004" i="3"/>
  <c r="G1004" i="3"/>
  <c r="V1004" i="3"/>
  <c r="I1004" i="3" l="1"/>
  <c r="J1004" i="3"/>
  <c r="L1004" i="3" s="1"/>
  <c r="M1004" i="3"/>
  <c r="N1004" i="3" s="1"/>
  <c r="F133" i="1"/>
  <c r="B137" i="1"/>
  <c r="B135" i="1"/>
  <c r="B133" i="1"/>
  <c r="B132" i="1" s="1"/>
  <c r="F134" i="1"/>
  <c r="C135" i="1"/>
  <c r="C133" i="1"/>
  <c r="L42" i="1"/>
  <c r="L24" i="1"/>
  <c r="U1004" i="3" l="1"/>
  <c r="Y1003" i="3"/>
  <c r="Y1004" i="3"/>
  <c r="K42" i="1"/>
  <c r="K24" i="1"/>
  <c r="E65" i="7"/>
  <c r="F65" i="7" s="1"/>
  <c r="E133" i="7"/>
  <c r="H59" i="7"/>
  <c r="E120" i="7"/>
  <c r="F120" i="7" s="1"/>
  <c r="E119" i="7"/>
  <c r="F119" i="7" s="1"/>
  <c r="L31" i="7"/>
  <c r="E62" i="7"/>
  <c r="F62" i="7" s="1"/>
  <c r="H117" i="7"/>
  <c r="E63" i="7"/>
  <c r="F63" i="7" s="1"/>
  <c r="W1004" i="3"/>
  <c r="M43" i="1" l="1"/>
  <c r="M44" i="1"/>
  <c r="J26" i="1"/>
  <c r="L44" i="1"/>
  <c r="I43" i="1"/>
  <c r="J41" i="1"/>
  <c r="K43" i="1"/>
  <c r="J43" i="1"/>
  <c r="K45" i="1"/>
  <c r="K28" i="1" s="1"/>
  <c r="M28" i="1" s="1"/>
  <c r="M41" i="1"/>
  <c r="L43" i="1"/>
  <c r="I41" i="1"/>
  <c r="K41" i="1"/>
  <c r="J28" i="1"/>
  <c r="H43" i="1"/>
  <c r="L41" i="1"/>
  <c r="H26" i="1"/>
  <c r="H41" i="1"/>
  <c r="M45" i="1"/>
  <c r="L45" i="1"/>
  <c r="K23" i="1"/>
  <c r="J44" i="1"/>
  <c r="I44" i="1"/>
  <c r="J45" i="1"/>
  <c r="H28" i="1"/>
  <c r="K44" i="1"/>
  <c r="H44" i="1"/>
  <c r="K26" i="1"/>
  <c r="I26" i="1"/>
  <c r="H45" i="1"/>
  <c r="E121" i="7"/>
  <c r="F121" i="7" s="1"/>
  <c r="H58" i="7"/>
  <c r="E64" i="7"/>
  <c r="F64" i="7" s="1"/>
  <c r="H116" i="7"/>
  <c r="M31" i="7"/>
  <c r="E128" i="7" l="1"/>
  <c r="H114" i="7"/>
  <c r="K31" i="7"/>
  <c r="H55" i="7"/>
  <c r="F159" i="1"/>
  <c r="D181" i="1"/>
  <c r="F186" i="1"/>
  <c r="D179" i="1"/>
  <c r="D191" i="1"/>
  <c r="D195" i="1"/>
  <c r="D197" i="1"/>
  <c r="D178" i="1"/>
  <c r="D192" i="1"/>
  <c r="F180" i="1"/>
  <c r="F172" i="1"/>
  <c r="F192" i="1"/>
  <c r="F163" i="1"/>
  <c r="D185" i="1"/>
  <c r="D168" i="1"/>
  <c r="F174" i="1"/>
  <c r="D186" i="1"/>
  <c r="F165" i="1"/>
  <c r="D196" i="1"/>
  <c r="F160" i="1"/>
  <c r="F190" i="1"/>
  <c r="D173" i="1"/>
  <c r="D167" i="1"/>
  <c r="D183" i="1"/>
  <c r="F185" i="1"/>
  <c r="F168" i="1"/>
  <c r="D187" i="1"/>
  <c r="D161" i="1"/>
  <c r="F181" i="1"/>
  <c r="F182" i="1"/>
  <c r="F162" i="1"/>
  <c r="D160" i="1"/>
  <c r="D171" i="1"/>
  <c r="F161" i="1"/>
  <c r="F167" i="1"/>
  <c r="F194" i="1"/>
  <c r="F164" i="1"/>
  <c r="F184" i="1"/>
  <c r="D189" i="1"/>
  <c r="D177" i="1"/>
  <c r="D190" i="1"/>
  <c r="F196" i="1"/>
  <c r="F191" i="1"/>
  <c r="D182" i="1"/>
  <c r="D174" i="1"/>
  <c r="F170" i="1"/>
  <c r="D172" i="1"/>
  <c r="D169" i="1"/>
  <c r="D162" i="1"/>
  <c r="D194" i="1"/>
  <c r="D180" i="1"/>
  <c r="F173" i="1"/>
  <c r="F193" i="1"/>
  <c r="F178" i="1"/>
  <c r="D184" i="1"/>
  <c r="D170" i="1"/>
  <c r="F187" i="1"/>
  <c r="D165" i="1"/>
  <c r="F169" i="1"/>
  <c r="F197" i="1"/>
  <c r="D156" i="1"/>
  <c r="D159" i="1"/>
  <c r="F166" i="1"/>
  <c r="D163" i="1"/>
  <c r="D164" i="1"/>
  <c r="D193" i="1"/>
  <c r="F183" i="1"/>
  <c r="F195" i="1"/>
  <c r="D166" i="1"/>
  <c r="F177" i="1"/>
  <c r="F171" i="1"/>
  <c r="F188" i="1"/>
  <c r="F179" i="1"/>
  <c r="F189" i="1"/>
  <c r="D188" i="1"/>
  <c r="H19" i="7"/>
  <c r="H115" i="7"/>
  <c r="D31" i="7"/>
  <c r="P29" i="1"/>
  <c r="S25" i="6"/>
  <c r="H56" i="7"/>
  <c r="B197" i="1"/>
  <c r="B161" i="1"/>
  <c r="C118" i="1"/>
  <c r="B194" i="1"/>
  <c r="B181" i="1"/>
  <c r="B195" i="1"/>
  <c r="B185" i="1"/>
  <c r="B187" i="1"/>
  <c r="B184" i="1"/>
  <c r="B189" i="1"/>
  <c r="B191" i="1"/>
  <c r="C156" i="1"/>
  <c r="B167" i="1"/>
  <c r="B188" i="1"/>
  <c r="B182" i="1"/>
  <c r="B175" i="1"/>
  <c r="B162" i="1"/>
  <c r="B196" i="1"/>
  <c r="B169" i="1"/>
  <c r="B199" i="1"/>
  <c r="B168" i="1"/>
  <c r="B174" i="1"/>
  <c r="B180" i="1"/>
  <c r="B164" i="1"/>
  <c r="B190" i="1"/>
  <c r="B198" i="1"/>
  <c r="H31" i="7"/>
  <c r="B171" i="1"/>
  <c r="B183" i="1"/>
  <c r="B186" i="1"/>
  <c r="B193" i="1"/>
  <c r="H113" i="7"/>
  <c r="B173" i="1"/>
  <c r="B170" i="1"/>
  <c r="B120" i="1"/>
  <c r="B165" i="1"/>
  <c r="B166" i="1"/>
  <c r="B163" i="1"/>
  <c r="B176" i="1"/>
  <c r="H54" i="7"/>
  <c r="B179" i="1"/>
  <c r="B192" i="1"/>
  <c r="B172" i="1"/>
  <c r="F150" i="1"/>
  <c r="F132" i="1"/>
  <c r="H57" i="7"/>
  <c r="F151" i="1"/>
  <c r="F21" i="1"/>
  <c r="H11" i="7"/>
  <c r="S26" i="6"/>
  <c r="P30" i="1"/>
  <c r="H44" i="7"/>
  <c r="P32" i="1"/>
  <c r="H53" i="7"/>
  <c r="H112" i="7"/>
  <c r="J31" i="7"/>
  <c r="P31" i="1"/>
  <c r="B158" i="1"/>
  <c r="I67" i="7"/>
  <c r="B134" i="1" l="1"/>
  <c r="B136" i="1"/>
  <c r="C132" i="1"/>
  <c r="C134" i="1"/>
  <c r="E129" i="7"/>
  <c r="F129" i="7" s="1"/>
  <c r="F1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2"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<sst xmlns="http://schemas.openxmlformats.org/spreadsheetml/2006/main" count="1674" uniqueCount="556">
  <si>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</si>
  <si>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</si>
  <si>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</si>
  <si>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</si>
  <si>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</si>
  <si>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</si>
  <si>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</si>
  <si>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</si>
  <si>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</si>
  <si>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</si>
  <si>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</si>
  <si>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</si>
  <si>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</si>
  <si>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</si>
  <si>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</si>
  <si>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</si>
  <si>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</si>
  <si>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</si>
  <si>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</si>
  <si>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</si>
  <si>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</si>
  <si>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</si>
  <si>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</si>
  <si>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</si>
  <si>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</si>
  <si>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</si>
  <si>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</si>
  <si>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</si>
  <si>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</si>
  <si>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</si>
  <si>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</si>
  <si>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</si>
  <si>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</si>
  <si>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</si>
  <si>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</si>
  <si>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</si>
  <si>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</si>
  <si>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</si>
  <si>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</si>
  <si>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</si>
  <si>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</si>
  <si>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</si>
  <si>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</si>
  <si>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</si>
  <si>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</si>
  <si>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Barasinga (Pro54-5G)</t>
  </si>
  <si>
    <t>Orignal (Pro75-3G)</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</si>
  <si>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</si>
  <si>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</si>
  <si>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</si>
  <si>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</si>
  <si>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</si>
  <si>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</si>
  <si>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</si>
  <si>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</si>
  <si>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</si>
  <si>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</si>
  <si>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</si>
  <si>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</si>
  <si>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</si>
  <si>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</si>
  <si>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</si>
  <si>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</si>
  <si>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</si>
  <si>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</si>
  <si>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</si>
  <si>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</si>
  <si>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</si>
  <si>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</si>
  <si>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</si>
  <si>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</si>
  <si>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</si>
  <si>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</si>
  <si>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</si>
  <si>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</si>
  <si>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</si>
  <si>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</si>
  <si>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</si>
  <si>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</si>
  <si>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</si>
  <si>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</si>
  <si>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</si>
  <si>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</si>
  <si>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</si>
  <si>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</si>
  <si>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</si>
  <si>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</si>
  <si>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</si>
  <si>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</si>
  <si>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</si>
  <si>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</si>
  <si>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</si>
  <si>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</si>
  <si>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</si>
  <si>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</si>
  <si>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</si>
  <si>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</si>
  <si>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</si>
  <si>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</si>
  <si>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</si>
  <si>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</si>
  <si>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</si>
  <si>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</si>
  <si>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</si>
  <si>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</si>
  <si>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</si>
  <si>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</si>
  <si>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</si>
  <si>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</si>
  <si>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</si>
  <si>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</si>
  <si>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</si>
  <si>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</si>
  <si>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</si>
  <si>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</si>
  <si>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</si>
  <si>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</si>
  <si>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</si>
  <si>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</si>
  <si>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</si>
  <si>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</si>
  <si>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</si>
  <si>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</si>
  <si>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</si>
  <si>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</si>
  <si>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</si>
  <si>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</si>
  <si>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</si>
  <si>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</si>
  <si>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</si>
  <si>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</si>
  <si>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</si>
  <si>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</si>
  <si>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</si>
  <si>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</si>
  <si>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</si>
  <si>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</si>
  <si>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</si>
  <si>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</si>
  <si>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</si>
  <si>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</si>
  <si>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</si>
  <si>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</si>
  <si>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</si>
  <si>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</si>
  <si>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</si>
  <si>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</si>
  <si>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</si>
  <si>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</si>
  <si>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</si>
  <si>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</si>
  <si>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</si>
  <si>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</si>
  <si>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</si>
  <si>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</si>
  <si>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</si>
  <si>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</si>
  <si>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</si>
  <si>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</si>
  <si>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</si>
  <si>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</si>
  <si>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</si>
  <si>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</si>
  <si>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</si>
  <si>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</si>
  <si>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</si>
  <si>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</si>
  <si>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</si>
  <si>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</si>
  <si>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</si>
  <si>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</si>
  <si>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</si>
  <si>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</si>
  <si>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</si>
  <si>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</si>
  <si>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</si>
  <si>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</si>
  <si>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</si>
  <si>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</si>
  <si>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</si>
  <si>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</si>
  <si>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</si>
  <si>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</si>
  <si>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</si>
  <si>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</si>
  <si>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</si>
  <si>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</si>
  <si>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</si>
  <si>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</si>
  <si>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</si>
  <si>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</si>
  <si>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</si>
  <si>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</si>
  <si>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</si>
  <si>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</si>
  <si>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</si>
  <si>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</si>
  <si>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</si>
  <si>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</si>
  <si>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</si>
  <si>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</si>
  <si>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</si>
  <si>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</si>
  <si>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</si>
  <si>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</si>
  <si>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</si>
  <si>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</si>
  <si>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</si>
  <si>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</si>
  <si>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</si>
  <si>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</si>
  <si>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</si>
  <si>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</si>
  <si>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</si>
  <si>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</si>
  <si>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</si>
  <si>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</si>
  <si>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</si>
  <si>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</si>
  <si>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</si>
  <si>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</si>
  <si>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</si>
  <si>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</si>
  <si>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</si>
  <si>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</si>
  <si>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</si>
  <si>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</si>
  <si>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</si>
  <si>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</si>
  <si>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</si>
  <si>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</si>
  <si>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</si>
  <si>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</si>
  <si>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</si>
  <si>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</si>
  <si>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</si>
  <si>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</si>
  <si>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</si>
  <si>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</si>
  <si>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</si>
  <si>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</si>
  <si>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</si>
  <si>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</si>
  <si>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</si>
  <si>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</si>
  <si>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</si>
  <si>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</si>
  <si>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</si>
  <si>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</si>
  <si>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</si>
  <si>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</si>
  <si>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</si>
  <si>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</si>
  <si>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</si>
  <si>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</si>
  <si>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</si>
  <si>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</si>
  <si>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</si>
  <si>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</si>
  <si>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</si>
  <si>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</si>
  <si>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</si>
  <si>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</si>
  <si>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</si>
  <si>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</si>
  <si>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</si>
  <si>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</si>
  <si>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</si>
  <si>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</si>
  <si>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</si>
  <si>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</si>
  <si>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</si>
  <si>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</si>
  <si>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</si>
  <si>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</si>
  <si>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</si>
  <si>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</si>
  <si>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</si>
  <si>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</si>
  <si>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</si>
  <si>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</si>
  <si>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</si>
  <si>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</si>
  <si>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</si>
  <si>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</si>
  <si>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</si>
  <si>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</si>
  <si>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</si>
  <si>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</si>
  <si>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</si>
  <si>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</si>
  <si>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</si>
  <si>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</si>
  <si>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</si>
  <si>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</si>
  <si>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</si>
  <si>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</si>
  <si>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</si>
  <si>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</si>
  <si>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</si>
  <si>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</si>
  <si>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</si>
  <si>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</si>
  <si>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</si>
  <si>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</si>
  <si>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</si>
  <si>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</si>
  <si>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</si>
  <si>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</si>
  <si>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</si>
  <si>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</si>
  <si>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</si>
  <si>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</si>
  <si>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</si>
  <si>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</si>
  <si>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</si>
  <si>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</si>
  <si>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</si>
  <si>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</si>
  <si>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</si>
  <si>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</si>
  <si>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</si>
  <si>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</si>
  <si>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</si>
  <si>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</si>
  <si>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</si>
  <si>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</si>
  <si>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</si>
  <si>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</si>
  <si>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</si>
  <si>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</si>
  <si>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</si>
  <si>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</si>
  <si>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</si>
  <si>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</si>
  <si>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</si>
  <si>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</si>
  <si>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</si>
  <si>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</si>
  <si>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</si>
  <si>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</si>
  <si>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</si>
  <si>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</si>
  <si>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</si>
  <si>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</si>
  <si>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</si>
  <si>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</si>
  <si>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</si>
  <si>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</si>
  <si>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</si>
  <si>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</si>
  <si>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</si>
  <si>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</si>
  <si>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</si>
  <si>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</si>
  <si>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</si>
  <si>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</si>
  <si>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</si>
  <si>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</si>
  <si>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</si>
  <si>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</si>
  <si>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</si>
  <si>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</si>
  <si>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</si>
  <si>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</si>
  <si>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</si>
  <si>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</si>
  <si>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</si>
  <si>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</si>
  <si>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</si>
  <si>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</si>
  <si>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</si>
  <si>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</si>
  <si>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</si>
  <si>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</si>
  <si>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</si>
  <si>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</si>
  <si>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</si>
  <si>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</si>
  <si>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</si>
  <si>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</si>
  <si>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</si>
  <si>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</si>
  <si>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</si>
  <si>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</si>
  <si>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</si>
  <si>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</si>
  <si>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</si>
  <si>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</si>
  <si>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</si>
  <si>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</si>
  <si>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</si>
  <si>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</si>
  <si>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</si>
  <si>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</si>
  <si>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</si>
  <si>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</si>
  <si>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</si>
  <si>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</si>
  <si>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</si>
  <si>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</si>
  <si>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</si>
  <si>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</si>
  <si>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</si>
  <si>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</si>
  <si>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</si>
  <si>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</si>
  <si>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</si>
  <si>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</si>
  <si>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</si>
  <si>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</si>
  <si>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</si>
  <si>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</si>
  <si>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</si>
  <si>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</si>
  <si>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</si>
  <si>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</si>
  <si>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</si>
  <si>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</si>
  <si>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</si>
  <si>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</si>
  <si>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</si>
  <si>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</si>
  <si>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</si>
  <si>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</si>
  <si>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</si>
  <si>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</si>
  <si>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</si>
  <si>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</si>
  <si>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</si>
  <si>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</si>
  <si>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</si>
  <si>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</si>
  <si>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</si>
  <si>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</si>
  <si>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</si>
  <si>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</si>
  <si>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</si>
  <si>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</si>
  <si>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</si>
  <si>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</si>
  <si>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</si>
  <si>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</si>
  <si>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</si>
  <si>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</si>
  <si>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</si>
  <si>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</si>
  <si>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</si>
  <si>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</si>
  <si>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</si>
  <si>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</si>
  <si>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</si>
  <si>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</si>
  <si>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</si>
  <si>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</si>
  <si>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</si>
  <si>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</si>
  <si>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</si>
  <si>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</si>
  <si>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</si>
  <si>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</si>
  <si>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</si>
  <si>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</si>
  <si>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</si>
  <si>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</si>
  <si>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</si>
  <si>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</si>
  <si>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</si>
  <si>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</si>
  <si>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</si>
  <si>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</si>
  <si>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</si>
  <si>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</si>
  <si>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</si>
  <si>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</si>
  <si>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</si>
  <si>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</si>
  <si>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</si>
  <si>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</si>
  <si>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</si>
  <si>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</si>
  <si>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</si>
  <si>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</si>
  <si>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</si>
  <si>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</si>
  <si>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</si>
  <si>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</si>
  <si>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</si>
  <si>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</si>
  <si>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</si>
  <si>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</si>
  <si>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</si>
  <si>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</si>
  <si>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</si>
  <si>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</si>
  <si>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</si>
  <si>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</si>
  <si>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</si>
  <si>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</si>
  <si>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</si>
  <si>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</si>
  <si>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</si>
  <si>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</si>
  <si>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</si>
  <si>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</si>
  <si>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</si>
  <si>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</si>
  <si>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</si>
  <si>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</si>
  <si>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</si>
  <si>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</si>
  <si>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</si>
  <si>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</si>
  <si>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</si>
  <si>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</si>
  <si>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</si>
  <si>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</si>
  <si>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</si>
  <si>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</si>
  <si>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</si>
  <si>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</si>
  <si>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</si>
  <si>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</si>
  <si>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</si>
  <si>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</si>
  <si>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</si>
  <si>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</si>
  <si>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</si>
  <si>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</si>
  <si>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</si>
  <si>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</si>
  <si>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</si>
  <si>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</si>
  <si>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</si>
  <si>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</si>
  <si>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</si>
  <si>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</si>
  <si>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</si>
  <si>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</si>
  <si>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</si>
  <si>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</si>
  <si>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</si>
  <si>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</si>
  <si>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</si>
  <si>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Minifusée</t>
  </si>
  <si>
    <t>autre</t>
  </si>
  <si>
    <t>Pandora</t>
  </si>
  <si>
    <t>Fusée mono-diamètre,</t>
  </si>
  <si>
    <t>StabTraj V3.4</t>
  </si>
  <si>
    <t>Propu : +Pandora</t>
  </si>
  <si>
    <t>v3.4</t>
  </si>
  <si>
    <t>Taranis</t>
  </si>
  <si>
    <t>Elisa Space</t>
  </si>
  <si>
    <t>Parabolique (arrondie)</t>
  </si>
  <si>
    <t>Orange</t>
  </si>
  <si>
    <t>Rouge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</si>
</sst>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n">
        <color indexed="64"/>
      </left>
      <right style="thin">
        <color indexed="8"/>
      </right>
      <top style="thin">
        <color indexed="8"/>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2" fillId="4" borderId="21" xfId="2" applyFont="1" applyFill="1" applyBorder="1" applyAlignment="1" applyProtection="1">
      <alignment horizontal="center"/>
      <protection locked="0"/>
    </xf>
    <xf numFmtId="0" fontId="2" fillId="4" borderId="77" xfId="2" applyFont="1" applyFill="1" applyBorder="1" applyAlignment="1" applyProtection="1">
      <alignment horizont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75" xfId="2"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82"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83" xfId="2" applyFont="1" applyFill="1" applyBorder="1" applyAlignment="1" applyProtection="1">
      <alignment horizontal="center"/>
      <protection hidden="1"/>
    </xf>
    <xf numFmtId="0" fontId="2" fillId="10" borderId="84" xfId="2" applyFont="1" applyFill="1" applyBorder="1" applyAlignment="1" applyProtection="1">
      <alignment horizontal="center"/>
      <protection hidden="1"/>
    </xf>
    <xf numFmtId="0" fontId="2" fillId="0" borderId="0" xfId="2" applyFont="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75" xfId="2" applyNumberFormat="1" applyFont="1" applyFill="1" applyBorder="1" applyAlignment="1" applyProtection="1">
      <alignment horizontal="center"/>
      <protection locked="0"/>
    </xf>
    <xf numFmtId="0" fontId="45" fillId="0" borderId="76" xfId="2" applyFont="1" applyBorder="1" applyAlignment="1">
      <alignment horizontal="left"/>
    </xf>
    <xf numFmtId="0" fontId="3" fillId="20" borderId="0" xfId="0" applyFont="1" applyFill="1" applyBorder="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85"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86" xfId="0" applyFont="1" applyFill="1" applyBorder="1" applyAlignment="1" applyProtection="1">
      <alignment horizontal="center"/>
      <protection hidden="1"/>
    </xf>
    <xf numFmtId="0" fontId="11" fillId="8" borderId="87"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88"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89"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0" xfId="0" applyFont="1" applyFill="1" applyBorder="1" applyAlignment="1" applyProtection="1">
      <alignment horizontal="center" vertical="center"/>
      <protection hidden="1"/>
    </xf>
    <xf numFmtId="0" fontId="41" fillId="8" borderId="91" xfId="0" applyFont="1" applyFill="1" applyBorder="1" applyAlignment="1" applyProtection="1">
      <alignment horizontal="center" vertical="center"/>
      <protection hidden="1"/>
    </xf>
    <xf numFmtId="0" fontId="2" fillId="13" borderId="92" xfId="0" applyFont="1" applyFill="1" applyBorder="1" applyAlignment="1" applyProtection="1">
      <alignment horizontal="center" vertical="center"/>
      <protection locked="0"/>
    </xf>
    <xf numFmtId="0" fontId="2" fillId="13" borderId="93"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4" xfId="0" applyFont="1" applyFill="1" applyBorder="1" applyAlignment="1" applyProtection="1">
      <alignment horizontal="center"/>
    </xf>
    <xf numFmtId="0" fontId="2" fillId="13" borderId="93" xfId="0" applyFont="1" applyFill="1" applyBorder="1" applyAlignment="1" applyProtection="1">
      <alignment horizontal="center"/>
    </xf>
    <xf numFmtId="166" fontId="2" fillId="17" borderId="46" xfId="0" applyNumberFormat="1" applyFont="1" applyFill="1" applyBorder="1" applyAlignment="1">
      <alignment horizontal="center" vertical="center"/>
    </xf>
    <xf numFmtId="0" fontId="41" fillId="8" borderId="95" xfId="0" applyFont="1" applyFill="1" applyBorder="1" applyAlignment="1" applyProtection="1">
      <alignment horizontal="center" vertical="center"/>
      <protection hidden="1"/>
    </xf>
    <xf numFmtId="0" fontId="41" fillId="8" borderId="96" xfId="0" applyFont="1" applyFill="1" applyBorder="1" applyAlignment="1" applyProtection="1">
      <alignment horizontal="center" vertical="center"/>
      <protection hidden="1"/>
    </xf>
    <xf numFmtId="0" fontId="2" fillId="8" borderId="97" xfId="0" applyFont="1" applyFill="1" applyBorder="1" applyAlignment="1" applyProtection="1">
      <alignment horizontal="center" vertical="center"/>
      <protection hidden="1"/>
    </xf>
    <xf numFmtId="0" fontId="41" fillId="8" borderId="9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0" xfId="0"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0" borderId="0" xfId="0" applyFill="1" applyBorder="1" applyAlignment="1" applyProtection="1">
      <alignment horizontal="center"/>
      <protection locked="0"/>
    </xf>
    <xf numFmtId="0" fontId="0" fillId="0" borderId="0" xfId="0" applyFill="1" applyBorder="1" applyAlignment="1">
      <alignment horizontal="center"/>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0" borderId="0" xfId="0" applyFill="1" applyBorder="1" applyAlignment="1" applyProtection="1">
      <alignment horizontal="center"/>
    </xf>
    <xf numFmtId="0" fontId="0" fillId="0" borderId="33" xfId="0" applyBorder="1" applyAlignment="1">
      <alignment horizontal="center"/>
    </xf>
    <xf numFmtId="0" fontId="0" fillId="28" borderId="31" xfId="0" applyFont="1" applyFill="1" applyBorder="1" applyAlignment="1">
      <alignment horizontal="center"/>
    </xf>
    <xf numFmtId="0" fontId="0" fillId="28" borderId="32" xfId="0" applyFont="1" applyFill="1" applyBorder="1" applyAlignment="1">
      <alignment horizontal="center"/>
    </xf>
    <xf numFmtId="0" fontId="0" fillId="28" borderId="31" xfId="0" applyFill="1" applyBorder="1" applyAlignment="1">
      <alignment horizontal="center"/>
    </xf>
    <xf numFmtId="0" fontId="0" fillId="4" borderId="0"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0" borderId="0" xfId="0"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165" fontId="2" fillId="0" borderId="12" xfId="0" applyNumberFormat="1" applyFont="1" applyFill="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Fill="1" applyBorder="1" applyAlignment="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cellXfs>
  <cellStyles count="3">
    <cellStyle name="Lien hypertexte" xfId="1" builtinId="8"/>
    <cellStyle name="Normal" xfId="0" builtinId="0"/>
    <cellStyle name="Normal 2" xfId="2" xr:uid="{00000000-0005-0000-0000-000002000000}"/>
  </cellStyles>
  <dxfs count="55">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CC6600"/>
      </font>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65E-2"/>
          <c:w val="0.84871001627006726"/>
          <c:h val="0.90566037735849292"/>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30</c:v>
                </c:pt>
                <c:pt idx="2">
                  <c:v>30</c:v>
                </c:pt>
                <c:pt idx="3">
                  <c:v>30</c:v>
                </c:pt>
                <c:pt idx="4">
                  <c:v>30</c:v>
                </c:pt>
                <c:pt idx="5">
                  <c:v>30</c:v>
                </c:pt>
                <c:pt idx="6">
                  <c:v>30</c:v>
                </c:pt>
                <c:pt idx="7">
                  <c:v>0</c:v>
                </c:pt>
              </c:numCache>
            </c:numRef>
          </c:xVal>
          <c:yVal>
            <c:numRef>
              <c:f>Stabilito!$C$124:$C$131</c:f>
              <c:numCache>
                <c:formatCode>0</c:formatCode>
                <c:ptCount val="8"/>
                <c:pt idx="0">
                  <c:v>-150</c:v>
                </c:pt>
                <c:pt idx="1">
                  <c:v>-150</c:v>
                </c:pt>
                <c:pt idx="2">
                  <c:v>-150</c:v>
                </c:pt>
                <c:pt idx="3">
                  <c:v>-150</c:v>
                </c:pt>
                <c:pt idx="4">
                  <c:v>-150</c:v>
                </c:pt>
                <c:pt idx="5">
                  <c:v>-150</c:v>
                </c:pt>
                <c:pt idx="6">
                  <c:v>-834.66399999999999</c:v>
                </c:pt>
                <c:pt idx="7">
                  <c:v>-834.66399999999999</c:v>
                </c:pt>
              </c:numCache>
            </c:numRef>
          </c:yVal>
          <c:smooth val="0"/>
          <c:extLst>
            <c:ext xmlns:c16="http://schemas.microsoft.com/office/drawing/2014/chart" uri="{C3380CC4-5D6E-409C-BE32-E72D297353CC}">
              <c16:uniqueId val="{00000000-10B2-4F30-8FB8-4C5F56DAC7CB}"/>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30</c:v>
                </c:pt>
                <c:pt idx="1">
                  <c:v>130</c:v>
                </c:pt>
                <c:pt idx="2">
                  <c:v>130</c:v>
                </c:pt>
                <c:pt idx="3">
                  <c:v>30</c:v>
                </c:pt>
                <c:pt idx="4">
                  <c:v>30</c:v>
                </c:pt>
              </c:numCache>
            </c:numRef>
          </c:xVal>
          <c:yVal>
            <c:numRef>
              <c:f>Stabilito!$C$132:$C$136</c:f>
              <c:numCache>
                <c:formatCode>0</c:formatCode>
                <c:ptCount val="5"/>
                <c:pt idx="0">
                  <c:v>-744.66399999999999</c:v>
                </c:pt>
                <c:pt idx="1">
                  <c:v>-774.66399999999999</c:v>
                </c:pt>
                <c:pt idx="2">
                  <c:v>-804.66399999999999</c:v>
                </c:pt>
                <c:pt idx="3">
                  <c:v>-834.66399999999999</c:v>
                </c:pt>
                <c:pt idx="4">
                  <c:v>-744.66399999999999</c:v>
                </c:pt>
              </c:numCache>
            </c:numRef>
          </c:yVal>
          <c:smooth val="0"/>
          <c:extLst>
            <c:ext xmlns:c16="http://schemas.microsoft.com/office/drawing/2014/chart" uri="{C3380CC4-5D6E-409C-BE32-E72D297353CC}">
              <c16:uniqueId val="{00000001-10B2-4F30-8FB8-4C5F56DAC7CB}"/>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-30</c:v>
                </c:pt>
                <c:pt idx="2">
                  <c:v>-30</c:v>
                </c:pt>
                <c:pt idx="3">
                  <c:v>-30</c:v>
                </c:pt>
                <c:pt idx="4">
                  <c:v>-30</c:v>
                </c:pt>
                <c:pt idx="5">
                  <c:v>-30</c:v>
                </c:pt>
                <c:pt idx="6">
                  <c:v>-30</c:v>
                </c:pt>
                <c:pt idx="7">
                  <c:v>0</c:v>
                </c:pt>
              </c:numCache>
            </c:numRef>
          </c:xVal>
          <c:yVal>
            <c:numRef>
              <c:f>Stabilito!$C$124:$C$131</c:f>
              <c:numCache>
                <c:formatCode>0</c:formatCode>
                <c:ptCount val="8"/>
                <c:pt idx="0">
                  <c:v>-150</c:v>
                </c:pt>
                <c:pt idx="1">
                  <c:v>-150</c:v>
                </c:pt>
                <c:pt idx="2">
                  <c:v>-150</c:v>
                </c:pt>
                <c:pt idx="3">
                  <c:v>-150</c:v>
                </c:pt>
                <c:pt idx="4">
                  <c:v>-150</c:v>
                </c:pt>
                <c:pt idx="5">
                  <c:v>-150</c:v>
                </c:pt>
                <c:pt idx="6">
                  <c:v>-834.66399999999999</c:v>
                </c:pt>
                <c:pt idx="7">
                  <c:v>-834.66399999999999</c:v>
                </c:pt>
              </c:numCache>
            </c:numRef>
          </c:yVal>
          <c:smooth val="0"/>
          <c:extLst>
            <c:ext xmlns:c16="http://schemas.microsoft.com/office/drawing/2014/chart" uri="{C3380CC4-5D6E-409C-BE32-E72D297353CC}">
              <c16:uniqueId val="{00000002-10B2-4F30-8FB8-4C5F56DAC7CB}"/>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-30</c:v>
                </c:pt>
                <c:pt idx="1">
                  <c:v>-130</c:v>
                </c:pt>
                <c:pt idx="2">
                  <c:v>-130</c:v>
                </c:pt>
                <c:pt idx="3">
                  <c:v>-30</c:v>
                </c:pt>
                <c:pt idx="4">
                  <c:v>-30</c:v>
                </c:pt>
              </c:numCache>
            </c:numRef>
          </c:xVal>
          <c:yVal>
            <c:numRef>
              <c:f>Stabilito!$C$132:$C$136</c:f>
              <c:numCache>
                <c:formatCode>0</c:formatCode>
                <c:ptCount val="5"/>
                <c:pt idx="0">
                  <c:v>-744.66399999999999</c:v>
                </c:pt>
                <c:pt idx="1">
                  <c:v>-774.66399999999999</c:v>
                </c:pt>
                <c:pt idx="2">
                  <c:v>-804.66399999999999</c:v>
                </c:pt>
                <c:pt idx="3">
                  <c:v>-834.66399999999999</c:v>
                </c:pt>
                <c:pt idx="4">
                  <c:v>-744.66399999999999</c:v>
                </c:pt>
              </c:numCache>
            </c:numRef>
          </c:yVal>
          <c:smooth val="0"/>
          <c:extLst>
            <c:ext xmlns:c16="http://schemas.microsoft.com/office/drawing/2014/chart" uri="{C3380CC4-5D6E-409C-BE32-E72D297353CC}">
              <c16:uniqueId val="{00000003-10B2-4F30-8FB8-4C5F56DAC7CB}"/>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-513.12860893445634</c:v>
                </c:pt>
                <c:pt idx="1">
                  <c:v>-502.78328867562379</c:v>
                </c:pt>
              </c:numCache>
            </c:numRef>
          </c:yVal>
          <c:smooth val="0"/>
          <c:extLst>
            <c:ext xmlns:c16="http://schemas.microsoft.com/office/drawing/2014/chart" uri="{C3380CC4-5D6E-409C-BE32-E72D297353CC}">
              <c16:uniqueId val="{00000005-10B2-4F30-8FB8-4C5F56DAC7CB}"/>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82.330634367220199</c:v>
                </c:pt>
                <c:pt idx="2">
                  <c:v>82.330634367220199</c:v>
                </c:pt>
                <c:pt idx="3">
                  <c:v>0</c:v>
                </c:pt>
              </c:numCache>
            </c:numRef>
          </c:xVal>
          <c:yVal>
            <c:numRef>
              <c:f>Stabilito!$C$151:$C$154</c:f>
              <c:numCache>
                <c:formatCode>0</c:formatCode>
                <c:ptCount val="4"/>
                <c:pt idx="0">
                  <c:v>-705.54968627348535</c:v>
                </c:pt>
                <c:pt idx="1">
                  <c:v>-705.54968627348535</c:v>
                </c:pt>
                <c:pt idx="2">
                  <c:v>-705.54968627348535</c:v>
                </c:pt>
                <c:pt idx="3">
                  <c:v>-705.54968627348535</c:v>
                </c:pt>
              </c:numCache>
            </c:numRef>
          </c:yVal>
          <c:smooth val="0"/>
          <c:extLst>
            <c:ext xmlns:c16="http://schemas.microsoft.com/office/drawing/2014/chart" uri="{C3380CC4-5D6E-409C-BE32-E72D297353CC}">
              <c16:uniqueId val="{00000007-10B2-4F30-8FB8-4C5F56DAC7CB}"/>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10B2-4F30-8FB8-4C5F56DAC7CB}"/>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10B2-4F30-8FB8-4C5F56DAC7CB}"/>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10B2-4F30-8FB8-4C5F56DAC7CB}"/>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10B2-4F30-8FB8-4C5F56DAC7CB}"/>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278.22133333333335</c:v>
                </c:pt>
                <c:pt idx="1">
                  <c:v>-278.22133333333335</c:v>
                </c:pt>
              </c:numCache>
            </c:numRef>
          </c:xVal>
          <c:yVal>
            <c:numRef>
              <c:f>Stabilito!$C$168:$C$169</c:f>
              <c:numCache>
                <c:formatCode>0</c:formatCode>
                <c:ptCount val="2"/>
                <c:pt idx="0">
                  <c:v>-843.01063999999997</c:v>
                </c:pt>
                <c:pt idx="1">
                  <c:v>-843.01063999999997</c:v>
                </c:pt>
              </c:numCache>
            </c:numRef>
          </c:yVal>
          <c:smooth val="0"/>
          <c:extLst>
            <c:ext xmlns:c16="http://schemas.microsoft.com/office/drawing/2014/chart" uri="{C3380CC4-5D6E-409C-BE32-E72D297353CC}">
              <c16:uniqueId val="{0000000C-10B2-4F30-8FB8-4C5F56DAC7CB}"/>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-12</c:v>
                </c:pt>
                <c:pt idx="1">
                  <c:v>12</c:v>
                </c:pt>
                <c:pt idx="2">
                  <c:v>12</c:v>
                </c:pt>
                <c:pt idx="3">
                  <c:v>-12</c:v>
                </c:pt>
                <c:pt idx="4">
                  <c:v>-12</c:v>
                </c:pt>
              </c:numCache>
            </c:numRef>
          </c:xVal>
          <c:yVal>
            <c:numRef>
              <c:f>Stabilito!$C$170:$C$174</c:f>
              <c:numCache>
                <c:formatCode>0</c:formatCode>
                <c:ptCount val="5"/>
                <c:pt idx="0">
                  <c:v>-613.01400000000001</c:v>
                </c:pt>
                <c:pt idx="1">
                  <c:v>-613.01400000000001</c:v>
                </c:pt>
                <c:pt idx="2">
                  <c:v>-841.01400000000001</c:v>
                </c:pt>
                <c:pt idx="3">
                  <c:v>-841.01400000000001</c:v>
                </c:pt>
                <c:pt idx="4">
                  <c:v>-613.01400000000001</c:v>
                </c:pt>
              </c:numCache>
            </c:numRef>
          </c:yVal>
          <c:smooth val="0"/>
          <c:extLst>
            <c:ext xmlns:c16="http://schemas.microsoft.com/office/drawing/2014/chart" uri="{C3380CC4-5D6E-409C-BE32-E72D297353CC}">
              <c16:uniqueId val="{0000000D-10B2-4F30-8FB8-4C5F56DAC7CB}"/>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15</c:v>
                </c:pt>
                <c:pt idx="2">
                  <c:v>21</c:v>
                </c:pt>
                <c:pt idx="3">
                  <c:v>26.4</c:v>
                </c:pt>
                <c:pt idx="4">
                  <c:v>28.5</c:v>
                </c:pt>
                <c:pt idx="5">
                  <c:v>30</c:v>
                </c:pt>
              </c:numCache>
            </c:numRef>
          </c:xVal>
          <c:yVal>
            <c:numRef>
              <c:f>Stabilito!$C$175:$C$180</c:f>
              <c:numCache>
                <c:formatCode>0</c:formatCode>
                <c:ptCount val="6"/>
                <c:pt idx="0">
                  <c:v>0</c:v>
                </c:pt>
                <c:pt idx="1">
                  <c:v>-15</c:v>
                </c:pt>
                <c:pt idx="2">
                  <c:v>-37.5</c:v>
                </c:pt>
                <c:pt idx="3">
                  <c:v>-75</c:v>
                </c:pt>
                <c:pt idx="4">
                  <c:v>-112.5</c:v>
                </c:pt>
                <c:pt idx="5">
                  <c:v>-150</c:v>
                </c:pt>
              </c:numCache>
            </c:numRef>
          </c:yVal>
          <c:smooth val="0"/>
          <c:extLst>
            <c:ext xmlns:c16="http://schemas.microsoft.com/office/drawing/2014/chart" uri="{C3380CC4-5D6E-409C-BE32-E72D297353CC}">
              <c16:uniqueId val="{0000000E-10B2-4F30-8FB8-4C5F56DAC7CB}"/>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-15</c:v>
                </c:pt>
                <c:pt idx="2">
                  <c:v>-21</c:v>
                </c:pt>
                <c:pt idx="3">
                  <c:v>-26.4</c:v>
                </c:pt>
                <c:pt idx="4">
                  <c:v>-28.5</c:v>
                </c:pt>
                <c:pt idx="5">
                  <c:v>-30</c:v>
                </c:pt>
              </c:numCache>
            </c:numRef>
          </c:xVal>
          <c:yVal>
            <c:numRef>
              <c:f>Stabilito!$C$175:$C$180</c:f>
              <c:numCache>
                <c:formatCode>0</c:formatCode>
                <c:ptCount val="6"/>
                <c:pt idx="0">
                  <c:v>0</c:v>
                </c:pt>
                <c:pt idx="1">
                  <c:v>-15</c:v>
                </c:pt>
                <c:pt idx="2">
                  <c:v>-37.5</c:v>
                </c:pt>
                <c:pt idx="3">
                  <c:v>-75</c:v>
                </c:pt>
                <c:pt idx="4">
                  <c:v>-112.5</c:v>
                </c:pt>
                <c:pt idx="5">
                  <c:v>-150</c:v>
                </c:pt>
              </c:numCache>
            </c:numRef>
          </c:yVal>
          <c:smooth val="0"/>
          <c:extLst>
            <c:ext xmlns:c16="http://schemas.microsoft.com/office/drawing/2014/chart" uri="{C3380CC4-5D6E-409C-BE32-E72D297353CC}">
              <c16:uniqueId val="{0000000F-10B2-4F30-8FB8-4C5F56DAC7CB}"/>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-130</c:v>
                </c:pt>
                <c:pt idx="1">
                  <c:v>-80</c:v>
                </c:pt>
                <c:pt idx="2">
                  <c:v>-30</c:v>
                </c:pt>
              </c:numCache>
            </c:numRef>
          </c:xVal>
          <c:yVal>
            <c:numRef>
              <c:f>Stabilito!$C$137:$C$139</c:f>
              <c:numCache>
                <c:formatCode>0</c:formatCode>
                <c:ptCount val="3"/>
                <c:pt idx="0">
                  <c:v>-862.48613333333333</c:v>
                </c:pt>
                <c:pt idx="1">
                  <c:v>-862.48613333333333</c:v>
                </c:pt>
                <c:pt idx="2">
                  <c:v>-862.48613333333333</c:v>
                </c:pt>
              </c:numCache>
            </c:numRef>
          </c:yVal>
          <c:smooth val="0"/>
          <c:extLst>
            <c:ext xmlns:c16="http://schemas.microsoft.com/office/drawing/2014/chart" uri="{C3380CC4-5D6E-409C-BE32-E72D297353CC}">
              <c16:uniqueId val="{00000011-10B2-4F30-8FB8-4C5F56DAC7CB}"/>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-157.82213333333334</c:v>
                </c:pt>
                <c:pt idx="1">
                  <c:v>-157.82213333333334</c:v>
                </c:pt>
                <c:pt idx="2">
                  <c:v>-157.82213333333334</c:v>
                </c:pt>
              </c:numCache>
            </c:numRef>
          </c:xVal>
          <c:yVal>
            <c:numRef>
              <c:f>Stabilito!$C$143:$C$145</c:f>
              <c:numCache>
                <c:formatCode>0</c:formatCode>
                <c:ptCount val="3"/>
                <c:pt idx="0">
                  <c:v>-744.66399999999999</c:v>
                </c:pt>
                <c:pt idx="1">
                  <c:v>-759.66399999999999</c:v>
                </c:pt>
                <c:pt idx="2">
                  <c:v>-774.66399999999999</c:v>
                </c:pt>
              </c:numCache>
            </c:numRef>
          </c:yVal>
          <c:smooth val="0"/>
          <c:extLst>
            <c:ext xmlns:c16="http://schemas.microsoft.com/office/drawing/2014/chart" uri="{C3380CC4-5D6E-409C-BE32-E72D297353CC}">
              <c16:uniqueId val="{00000013-10B2-4F30-8FB8-4C5F56DAC7CB}"/>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-171.73320000000001</c:v>
                </c:pt>
                <c:pt idx="1">
                  <c:v>-171.73320000000001</c:v>
                </c:pt>
                <c:pt idx="2">
                  <c:v>-171.73320000000001</c:v>
                </c:pt>
              </c:numCache>
            </c:numRef>
          </c:xVal>
          <c:yVal>
            <c:numRef>
              <c:f>Stabilito!$C$146:$C$148</c:f>
              <c:numCache>
                <c:formatCode>0</c:formatCode>
                <c:ptCount val="3"/>
                <c:pt idx="0">
                  <c:v>-774.66399999999999</c:v>
                </c:pt>
                <c:pt idx="1">
                  <c:v>-789.66399999999999</c:v>
                </c:pt>
                <c:pt idx="2">
                  <c:v>-804.66399999999999</c:v>
                </c:pt>
              </c:numCache>
            </c:numRef>
          </c:yVal>
          <c:smooth val="0"/>
          <c:extLst>
            <c:ext xmlns:c16="http://schemas.microsoft.com/office/drawing/2014/chart" uri="{C3380CC4-5D6E-409C-BE32-E72D297353CC}">
              <c16:uniqueId val="{00000015-10B2-4F30-8FB8-4C5F56DAC7CB}"/>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171.73320000000001</c:v>
                </c:pt>
                <c:pt idx="1">
                  <c:v>171.73320000000001</c:v>
                </c:pt>
                <c:pt idx="2">
                  <c:v>171.73320000000001</c:v>
                </c:pt>
              </c:numCache>
            </c:numRef>
          </c:xVal>
          <c:yVal>
            <c:numRef>
              <c:f>Stabilito!$C$140:$C$142</c:f>
              <c:numCache>
                <c:formatCode>0</c:formatCode>
                <c:ptCount val="3"/>
                <c:pt idx="0">
                  <c:v>-744.66399999999999</c:v>
                </c:pt>
                <c:pt idx="1">
                  <c:v>-789.66399999999999</c:v>
                </c:pt>
                <c:pt idx="2">
                  <c:v>-834.66399999999999</c:v>
                </c:pt>
              </c:numCache>
            </c:numRef>
          </c:yVal>
          <c:smooth val="0"/>
          <c:extLst>
            <c:ext xmlns:c16="http://schemas.microsoft.com/office/drawing/2014/chart" uri="{C3380CC4-5D6E-409C-BE32-E72D297353CC}">
              <c16:uniqueId val="{00000017-10B2-4F30-8FB8-4C5F56DAC7CB}"/>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10B2-4F30-8FB8-4C5F56DAC7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-171.73320000000001</c:v>
                </c:pt>
                <c:pt idx="1">
                  <c:v>-171.73320000000001</c:v>
                </c:pt>
                <c:pt idx="2">
                  <c:v>-171.73320000000001</c:v>
                </c:pt>
              </c:numCache>
            </c:numRef>
          </c:xVal>
          <c:yVal>
            <c:numRef>
              <c:f>Stabilito!$C$155:$C$157</c:f>
              <c:numCache>
                <c:formatCode>0</c:formatCode>
                <c:ptCount val="3"/>
                <c:pt idx="0">
                  <c:v>-507.95594880504007</c:v>
                </c:pt>
                <c:pt idx="1">
                  <c:v>-606.75281753926265</c:v>
                </c:pt>
                <c:pt idx="2">
                  <c:v>-705.54968627348535</c:v>
                </c:pt>
              </c:numCache>
            </c:numRef>
          </c:yVal>
          <c:smooth val="0"/>
          <c:extLst>
            <c:ext xmlns:c16="http://schemas.microsoft.com/office/drawing/2014/chart" uri="{C3380CC4-5D6E-409C-BE32-E72D297353CC}">
              <c16:uniqueId val="{00000019-10B2-4F30-8FB8-4C5F56DAC7CB}"/>
            </c:ext>
          </c:extLst>
        </c:ser>
        <c:dLbls>
          <c:showLegendKey val="0"/>
          <c:showVal val="0"/>
          <c:showCatName val="0"/>
          <c:showSerName val="0"/>
          <c:showPercent val="0"/>
          <c:showBubbleSize val="0"/>
        </c:dLbls>
        <c:axId val="676972792"/>
        <c:axId val="1"/>
      </c:scatterChart>
      <c:valAx>
        <c:axId val="676972792"/>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
        <c:crosses val="max"/>
        <c:crossBetween val="midCat"/>
      </c:valAx>
      <c:valAx>
        <c:axId val="1"/>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676972792"/>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89" footer="0.49212598450000089"/>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57"/>
          <c:y val="3.240740740740740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3"/>
          <c:y val="5.1400554097404488E-2"/>
          <c:w val="0.81367125984251965"/>
          <c:h val="0.8326195683872849"/>
        </c:manualLayout>
      </c:layout>
      <c:scatterChart>
        <c:scatterStyle val="lineMarker"/>
        <c:varyColors val="0"/>
        <c:ser>
          <c:idx val="0"/>
          <c:order val="0"/>
          <c:tx>
            <c:strRef>
              <c:f>Abaco!$B$41</c:f>
              <c:strCache>
                <c:ptCount val="1"/>
                <c:pt idx="0">
                  <c:v>Ø = 30 mm</c:v>
                </c:pt>
              </c:strCache>
            </c:strRef>
          </c:tx>
          <c:xVal>
            <c:numRef>
              <c:f>Abaco!$D$41:$D$49</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Abaco!$K$41:$K$49</c:f>
              <c:numCache>
                <c:formatCode>General" m/s"</c:formatCode>
                <c:ptCount val="9"/>
                <c:pt idx="0">
                  <c:v>506.81809358122507</c:v>
                </c:pt>
                <c:pt idx="1">
                  <c:v>246.97464102733244</c:v>
                </c:pt>
                <c:pt idx="2">
                  <c:v>141.60471332467094</c:v>
                </c:pt>
                <c:pt idx="3">
                  <c:v>94.801240435153687</c:v>
                </c:pt>
                <c:pt idx="4">
                  <c:v>68.844695531061802</c:v>
                </c:pt>
                <c:pt idx="5">
                  <c:v>52.424700424053462</c:v>
                </c:pt>
                <c:pt idx="6">
                  <c:v>41.122443140035116</c:v>
                </c:pt>
                <c:pt idx="7">
                  <c:v>32.875093467952674</c:v>
                </c:pt>
                <c:pt idx="8">
                  <c:v>26.594440361757442</c:v>
                </c:pt>
              </c:numCache>
            </c:numRef>
          </c:yVal>
          <c:smooth val="0"/>
          <c:extLst>
            <c:ext xmlns:c16="http://schemas.microsoft.com/office/drawing/2014/chart" uri="{C3380CC4-5D6E-409C-BE32-E72D297353CC}">
              <c16:uniqueId val="{00000000-58E5-48A2-A598-4D5B55BA5705}"/>
            </c:ext>
          </c:extLst>
        </c:ser>
        <c:ser>
          <c:idx val="1"/>
          <c:order val="1"/>
          <c:tx>
            <c:strRef>
              <c:f>Abaco!$B$50</c:f>
              <c:strCache>
                <c:ptCount val="1"/>
                <c:pt idx="0">
                  <c:v>Ø = 60 mm</c:v>
                </c:pt>
              </c:strCache>
            </c:strRef>
          </c:tx>
          <c:xVal>
            <c:numRef>
              <c:f>Abaco!$D$50:$D$58</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Abaco!$K$50:$K$58</c:f>
              <c:numCache>
                <c:formatCode>General" m/s"</c:formatCode>
                <c:ptCount val="9"/>
                <c:pt idx="0">
                  <c:v>259.51758722158786</c:v>
                </c:pt>
                <c:pt idx="1">
                  <c:v>199.39078148325677</c:v>
                </c:pt>
                <c:pt idx="2">
                  <c:v>130.75410560508331</c:v>
                </c:pt>
                <c:pt idx="3">
                  <c:v>91.201119718124886</c:v>
                </c:pt>
                <c:pt idx="4">
                  <c:v>67.351022503481403</c:v>
                </c:pt>
                <c:pt idx="5">
                  <c:v>51.713188301802106</c:v>
                </c:pt>
                <c:pt idx="6">
                  <c:v>40.751526799601379</c:v>
                </c:pt>
                <c:pt idx="7">
                  <c:v>32.669610225507931</c:v>
                </c:pt>
                <c:pt idx="8">
                  <c:v>26.475827955961254</c:v>
                </c:pt>
              </c:numCache>
            </c:numRef>
          </c:yVal>
          <c:smooth val="0"/>
          <c:extLst>
            <c:ext xmlns:c16="http://schemas.microsoft.com/office/drawing/2014/chart" uri="{C3380CC4-5D6E-409C-BE32-E72D297353CC}">
              <c16:uniqueId val="{00000001-58E5-48A2-A598-4D5B55BA5705}"/>
            </c:ext>
          </c:extLst>
        </c:ser>
        <c:ser>
          <c:idx val="2"/>
          <c:order val="2"/>
          <c:tx>
            <c:strRef>
              <c:f>Abaco!$B$59</c:f>
              <c:strCache>
                <c:ptCount val="1"/>
                <c:pt idx="0">
                  <c:v>Ø = 90 mm</c:v>
                </c:pt>
              </c:strCache>
            </c:strRef>
          </c:tx>
          <c:xVal>
            <c:numRef>
              <c:f>Abaco!$D$59:$D$67</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Abaco!$K$59:$K$67</c:f>
              <c:numCache>
                <c:formatCode>General" m/s"</c:formatCode>
                <c:ptCount val="9"/>
                <c:pt idx="0">
                  <c:v>173.06140666549314</c:v>
                </c:pt>
                <c:pt idx="1">
                  <c:v>155.37918837714378</c:v>
                </c:pt>
                <c:pt idx="2">
                  <c:v>116.51483516921513</c:v>
                </c:pt>
                <c:pt idx="3">
                  <c:v>85.878601183611707</c:v>
                </c:pt>
                <c:pt idx="4">
                  <c:v>65.027217516665303</c:v>
                </c:pt>
                <c:pt idx="5">
                  <c:v>50.577476109602337</c:v>
                </c:pt>
                <c:pt idx="6">
                  <c:v>40.150859878325392</c:v>
                </c:pt>
                <c:pt idx="7">
                  <c:v>32.333903487439187</c:v>
                </c:pt>
                <c:pt idx="8">
                  <c:v>26.280937090481327</c:v>
                </c:pt>
              </c:numCache>
            </c:numRef>
          </c:yVal>
          <c:smooth val="0"/>
          <c:extLst>
            <c:ext xmlns:c16="http://schemas.microsoft.com/office/drawing/2014/chart" uri="{C3380CC4-5D6E-409C-BE32-E72D297353CC}">
              <c16:uniqueId val="{00000002-58E5-48A2-A598-4D5B55BA5705}"/>
            </c:ext>
          </c:extLst>
        </c:ser>
        <c:dLbls>
          <c:showLegendKey val="0"/>
          <c:showVal val="0"/>
          <c:showCatName val="0"/>
          <c:showSerName val="0"/>
          <c:showPercent val="0"/>
          <c:showBubbleSize val="0"/>
        </c:dLbls>
        <c:axId val="677826488"/>
        <c:axId val="1"/>
      </c:scatterChart>
      <c:valAx>
        <c:axId val="677826488"/>
        <c:scaling>
          <c:orientation val="minMax"/>
        </c:scaling>
        <c:delete val="0"/>
        <c:axPos val="b"/>
        <c:majorGridlines/>
        <c:title>
          <c:tx>
            <c:strRef>
              <c:f>Abaco!$B$73</c:f>
              <c:strCache>
                <c:ptCount val="1"/>
                <c:pt idx="0">
                  <c:v>Masse totale</c:v>
                </c:pt>
              </c:strCache>
            </c:strRef>
          </c:tx>
          <c:layout>
            <c:manualLayout>
              <c:xMode val="edge"/>
              <c:yMode val="edge"/>
              <c:x val="0.25133792650918635"/>
              <c:y val="0.80923592884222806"/>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
        <c:crosses val="autoZero"/>
        <c:crossBetween val="midCat"/>
      </c:valAx>
      <c:valAx>
        <c:axId val="1"/>
        <c:scaling>
          <c:orientation val="minMax"/>
        </c:scaling>
        <c:delete val="0"/>
        <c:axPos val="l"/>
        <c:majorGridlines/>
        <c:title>
          <c:tx>
            <c:strRef>
              <c:f>Abaco!$B$74</c:f>
              <c:strCache>
                <c:ptCount val="1"/>
                <c:pt idx="0">
                  <c:v>Vitesse max</c:v>
                </c:pt>
              </c:strCache>
            </c:strRef>
          </c:tx>
          <c:layout>
            <c:manualLayout>
              <c:xMode val="edge"/>
              <c:yMode val="edge"/>
              <c:x val="0.14166666666666666"/>
              <c:y val="5.8034047827354919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677826488"/>
        <c:crosses val="autoZero"/>
        <c:crossBetween val="midCat"/>
      </c:valAx>
    </c:plotArea>
    <c:legend>
      <c:legendPos val="r"/>
      <c:layout>
        <c:manualLayout>
          <c:xMode val="edge"/>
          <c:yMode val="edge"/>
          <c:wMode val="edge"/>
          <c:hMode val="edge"/>
          <c:x val="0.72133420822397198"/>
          <c:y val="0.18728310002916301"/>
          <c:w val="0.92981233595800528"/>
          <c:h val="0.4369940215806357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189" l="0.70000000000000062" r="0.70000000000000062" t="0.750000000000001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57"/>
          <c:y val="3.240740740740740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3"/>
          <c:y val="5.1400554097404488E-2"/>
          <c:w val="0.81367125984251965"/>
          <c:h val="0.8326195683872849"/>
        </c:manualLayout>
      </c:layout>
      <c:scatterChart>
        <c:scatterStyle val="lineMarker"/>
        <c:varyColors val="0"/>
        <c:ser>
          <c:idx val="0"/>
          <c:order val="0"/>
          <c:tx>
            <c:strRef>
              <c:f>Abaco!$B$41</c:f>
              <c:strCache>
                <c:ptCount val="1"/>
                <c:pt idx="0">
                  <c:v>Ø = 30 mm</c:v>
                </c:pt>
              </c:strCache>
            </c:strRef>
          </c:tx>
          <c:xVal>
            <c:numRef>
              <c:f>Abaco!$D$41:$D$49</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Abaco!$L$41:$L$49</c:f>
              <c:numCache>
                <c:formatCode>General" m"</c:formatCode>
                <c:ptCount val="9"/>
                <c:pt idx="0">
                  <c:v>1432.6094072368428</c:v>
                </c:pt>
                <c:pt idx="1">
                  <c:v>1583.5196818878599</c:v>
                </c:pt>
                <c:pt idx="2">
                  <c:v>932.40811780667696</c:v>
                </c:pt>
                <c:pt idx="3">
                  <c:v>513.1164531873377</c:v>
                </c:pt>
                <c:pt idx="4">
                  <c:v>301.46233575352176</c:v>
                </c:pt>
                <c:pt idx="5">
                  <c:v>190.05164650969181</c:v>
                </c:pt>
                <c:pt idx="6">
                  <c:v>126.54800986615251</c:v>
                </c:pt>
                <c:pt idx="7">
                  <c:v>87.701956642433387</c:v>
                </c:pt>
                <c:pt idx="8">
                  <c:v>62.55194159136181</c:v>
                </c:pt>
              </c:numCache>
            </c:numRef>
          </c:yVal>
          <c:smooth val="0"/>
          <c:extLst>
            <c:ext xmlns:c16="http://schemas.microsoft.com/office/drawing/2014/chart" uri="{C3380CC4-5D6E-409C-BE32-E72D297353CC}">
              <c16:uniqueId val="{00000000-2EAD-4E0B-9239-D61F48C768A6}"/>
            </c:ext>
          </c:extLst>
        </c:ser>
        <c:ser>
          <c:idx val="1"/>
          <c:order val="1"/>
          <c:tx>
            <c:strRef>
              <c:f>Abaco!$B$50</c:f>
              <c:strCache>
                <c:ptCount val="1"/>
                <c:pt idx="0">
                  <c:v>Ø = 60 mm</c:v>
                </c:pt>
              </c:strCache>
            </c:strRef>
          </c:tx>
          <c:xVal>
            <c:numRef>
              <c:f>Abaco!$D$50:$D$58</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Abaco!$L$50:$L$58</c:f>
              <c:numCache>
                <c:formatCode>General" m"</c:formatCode>
                <c:ptCount val="9"/>
                <c:pt idx="0">
                  <c:v>618.26377293754024</c:v>
                </c:pt>
                <c:pt idx="1">
                  <c:v>739.27995837169669</c:v>
                </c:pt>
                <c:pt idx="2">
                  <c:v>598.74027356496958</c:v>
                </c:pt>
                <c:pt idx="3">
                  <c:v>411.07425734882645</c:v>
                </c:pt>
                <c:pt idx="4">
                  <c:v>269.94138579027918</c:v>
                </c:pt>
                <c:pt idx="5">
                  <c:v>179.38055102904428</c:v>
                </c:pt>
                <c:pt idx="6">
                  <c:v>122.5634820666962</c:v>
                </c:pt>
                <c:pt idx="7">
                  <c:v>86.085928606648224</c:v>
                </c:pt>
                <c:pt idx="8">
                  <c:v>61.853068917945677</c:v>
                </c:pt>
              </c:numCache>
            </c:numRef>
          </c:yVal>
          <c:smooth val="0"/>
          <c:extLst>
            <c:ext xmlns:c16="http://schemas.microsoft.com/office/drawing/2014/chart" uri="{C3380CC4-5D6E-409C-BE32-E72D297353CC}">
              <c16:uniqueId val="{00000001-2EAD-4E0B-9239-D61F48C768A6}"/>
            </c:ext>
          </c:extLst>
        </c:ser>
        <c:ser>
          <c:idx val="2"/>
          <c:order val="2"/>
          <c:tx>
            <c:strRef>
              <c:f>Abaco!$B$59</c:f>
              <c:strCache>
                <c:ptCount val="1"/>
                <c:pt idx="0">
                  <c:v>Ø = 90 mm</c:v>
                </c:pt>
              </c:strCache>
            </c:strRef>
          </c:tx>
          <c:xVal>
            <c:numRef>
              <c:f>Abaco!$D$59:$D$67</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Abaco!$L$59:$L$67</c:f>
              <c:numCache>
                <c:formatCode>General" m"</c:formatCode>
                <c:ptCount val="9"/>
                <c:pt idx="0">
                  <c:v>390.16130935009483</c:v>
                </c:pt>
                <c:pt idx="1">
                  <c:v>453.54337775659303</c:v>
                </c:pt>
                <c:pt idx="2">
                  <c:v>410.74343080045162</c:v>
                </c:pt>
                <c:pt idx="3">
                  <c:v>321.81266640444233</c:v>
                </c:pt>
                <c:pt idx="4">
                  <c:v>233.46727699426418</c:v>
                </c:pt>
                <c:pt idx="5">
                  <c:v>164.92887750138473</c:v>
                </c:pt>
                <c:pt idx="6">
                  <c:v>116.68203063940874</c:v>
                </c:pt>
                <c:pt idx="7">
                  <c:v>83.583279239611528</c:v>
                </c:pt>
                <c:pt idx="8">
                  <c:v>60.740391746392916</c:v>
                </c:pt>
              </c:numCache>
            </c:numRef>
          </c:yVal>
          <c:smooth val="0"/>
          <c:extLst>
            <c:ext xmlns:c16="http://schemas.microsoft.com/office/drawing/2014/chart" uri="{C3380CC4-5D6E-409C-BE32-E72D297353CC}">
              <c16:uniqueId val="{00000002-2EAD-4E0B-9239-D61F48C768A6}"/>
            </c:ext>
          </c:extLst>
        </c:ser>
        <c:dLbls>
          <c:showLegendKey val="0"/>
          <c:showVal val="0"/>
          <c:showCatName val="0"/>
          <c:showSerName val="0"/>
          <c:showPercent val="0"/>
          <c:showBubbleSize val="0"/>
        </c:dLbls>
        <c:axId val="677828784"/>
        <c:axId val="1"/>
      </c:scatterChart>
      <c:valAx>
        <c:axId val="677828784"/>
        <c:scaling>
          <c:orientation val="minMax"/>
        </c:scaling>
        <c:delete val="0"/>
        <c:axPos val="b"/>
        <c:majorGridlines/>
        <c:title>
          <c:tx>
            <c:strRef>
              <c:f>Abaco!$B$73</c:f>
              <c:strCache>
                <c:ptCount val="1"/>
                <c:pt idx="0">
                  <c:v>Masse totale</c:v>
                </c:pt>
              </c:strCache>
            </c:strRef>
          </c:tx>
          <c:layout>
            <c:manualLayout>
              <c:xMode val="edge"/>
              <c:yMode val="edge"/>
              <c:x val="0.25133792650918635"/>
              <c:y val="0.80923592884222806"/>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
        <c:crosses val="autoZero"/>
        <c:crossBetween val="midCat"/>
      </c:valAx>
      <c:valAx>
        <c:axId val="1"/>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12365121031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677828784"/>
        <c:crosses val="autoZero"/>
        <c:crossBetween val="midCat"/>
      </c:valAx>
    </c:plotArea>
    <c:legend>
      <c:legendPos val="r"/>
      <c:layout>
        <c:manualLayout>
          <c:xMode val="edge"/>
          <c:yMode val="edge"/>
          <c:wMode val="edge"/>
          <c:hMode val="edge"/>
          <c:x val="0.72083486439195099"/>
          <c:y val="0.18750072907553222"/>
          <c:w val="0.92916863517060366"/>
          <c:h val="0.43750145815106445"/>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189" l="0.70000000000000062" r="0.70000000000000062" t="0.7500000000000018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44444444444"/>
          <c:y val="3.240740740740740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3"/>
          <c:y val="5.1400554097404488E-2"/>
          <c:w val="0.81367125984251965"/>
          <c:h val="0.8326195683872849"/>
        </c:manualLayout>
      </c:layout>
      <c:scatterChart>
        <c:scatterStyle val="lineMarker"/>
        <c:varyColors val="0"/>
        <c:ser>
          <c:idx val="0"/>
          <c:order val="0"/>
          <c:tx>
            <c:strRef>
              <c:f>Abaco!$B$41</c:f>
              <c:strCache>
                <c:ptCount val="1"/>
                <c:pt idx="0">
                  <c:v>Ø = 30 mm</c:v>
                </c:pt>
              </c:strCache>
            </c:strRef>
          </c:tx>
          <c:xVal>
            <c:numRef>
              <c:f>Abaco!$D$41:$D$49</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Abaco!$M$41:$M$49</c:f>
              <c:numCache>
                <c:formatCode>General" s"</c:formatCode>
                <c:ptCount val="9"/>
                <c:pt idx="0">
                  <c:v>10.396826033513006</c:v>
                </c:pt>
                <c:pt idx="1">
                  <c:v>16.459121567323237</c:v>
                </c:pt>
                <c:pt idx="2">
                  <c:v>14.162361377802677</c:v>
                </c:pt>
                <c:pt idx="3">
                  <c:v>11.088703642688044</c:v>
                </c:pt>
                <c:pt idx="4">
                  <c:v>8.8385312535044669</c:v>
                </c:pt>
                <c:pt idx="5">
                  <c:v>7.2784041766116099</c:v>
                </c:pt>
                <c:pt idx="6">
                  <c:v>6.1650263851646478</c:v>
                </c:pt>
                <c:pt idx="7">
                  <c:v>5.3392937049278721</c:v>
                </c:pt>
                <c:pt idx="8">
                  <c:v>4.7054085979015108</c:v>
                </c:pt>
              </c:numCache>
            </c:numRef>
          </c:yVal>
          <c:smooth val="0"/>
          <c:extLst>
            <c:ext xmlns:c16="http://schemas.microsoft.com/office/drawing/2014/chart" uri="{C3380CC4-5D6E-409C-BE32-E72D297353CC}">
              <c16:uniqueId val="{00000000-A3AC-48D2-ABB1-798954ADBD09}"/>
            </c:ext>
          </c:extLst>
        </c:ser>
        <c:ser>
          <c:idx val="1"/>
          <c:order val="1"/>
          <c:tx>
            <c:strRef>
              <c:f>Abaco!$B$50</c:f>
              <c:strCache>
                <c:ptCount val="1"/>
                <c:pt idx="0">
                  <c:v>Ø = 60 mm</c:v>
                </c:pt>
              </c:strCache>
            </c:strRef>
          </c:tx>
          <c:xVal>
            <c:numRef>
              <c:f>Abaco!$D$50:$D$58</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Abaco!$M$50:$M$58</c:f>
              <c:numCache>
                <c:formatCode>General" s"</c:formatCode>
                <c:ptCount val="9"/>
                <c:pt idx="0">
                  <c:v>6.2058586412338492</c:v>
                </c:pt>
                <c:pt idx="1">
                  <c:v>10.365613889359199</c:v>
                </c:pt>
                <c:pt idx="2">
                  <c:v>10.786313217519094</c:v>
                </c:pt>
                <c:pt idx="3">
                  <c:v>9.6802341462397692</c:v>
                </c:pt>
                <c:pt idx="4">
                  <c:v>8.2687630045644323</c:v>
                </c:pt>
                <c:pt idx="5">
                  <c:v>7.0344598858633587</c:v>
                </c:pt>
                <c:pt idx="6">
                  <c:v>6.0528883856479485</c:v>
                </c:pt>
                <c:pt idx="7">
                  <c:v>5.2844270383242442</c:v>
                </c:pt>
                <c:pt idx="8">
                  <c:v>4.6772177560027952</c:v>
                </c:pt>
              </c:numCache>
            </c:numRef>
          </c:yVal>
          <c:smooth val="0"/>
          <c:extLst>
            <c:ext xmlns:c16="http://schemas.microsoft.com/office/drawing/2014/chart" uri="{C3380CC4-5D6E-409C-BE32-E72D297353CC}">
              <c16:uniqueId val="{00000001-A3AC-48D2-ABB1-798954ADBD09}"/>
            </c:ext>
          </c:extLst>
        </c:ser>
        <c:ser>
          <c:idx val="2"/>
          <c:order val="2"/>
          <c:tx>
            <c:strRef>
              <c:f>Abaco!$B$59</c:f>
              <c:strCache>
                <c:ptCount val="1"/>
                <c:pt idx="0">
                  <c:v>Ø = 90 mm</c:v>
                </c:pt>
              </c:strCache>
            </c:strRef>
          </c:tx>
          <c:xVal>
            <c:numRef>
              <c:f>Abaco!$D$59:$D$67</c:f>
              <c:numCache>
                <c:formatCode>General\ "kg"</c:formatCode>
                <c:ptCount val="9"/>
                <c:pt idx="0">
                  <c:v>0.15989999999999999</c:v>
                </c:pt>
                <c:pt idx="1">
                  <c:v>0.52957500000000002</c:v>
                </c:pt>
                <c:pt idx="2">
                  <c:v>0.8992500000000001</c:v>
                </c:pt>
                <c:pt idx="3">
                  <c:v>1.2689250000000001</c:v>
                </c:pt>
                <c:pt idx="4">
                  <c:v>1.6386000000000001</c:v>
                </c:pt>
                <c:pt idx="5">
                  <c:v>2.0082750000000003</c:v>
                </c:pt>
                <c:pt idx="6">
                  <c:v>2.3779500000000002</c:v>
                </c:pt>
                <c:pt idx="7">
                  <c:v>2.7476250000000002</c:v>
                </c:pt>
                <c:pt idx="8">
                  <c:v>3.1173000000000002</c:v>
                </c:pt>
              </c:numCache>
            </c:numRef>
          </c:xVal>
          <c:yVal>
            <c:numRef>
              <c:f>Abaco!$M$59:$M$67</c:f>
              <c:numCache>
                <c:formatCode>General" s"</c:formatCode>
                <c:ptCount val="9"/>
                <c:pt idx="0">
                  <c:v>4.8039648920301499</c:v>
                </c:pt>
                <c:pt idx="1">
                  <c:v>7.7702113365728813</c:v>
                </c:pt>
                <c:pt idx="2">
                  <c:v>8.6129849887626762</c:v>
                </c:pt>
                <c:pt idx="3">
                  <c:v>8.3592252981019186</c:v>
                </c:pt>
                <c:pt idx="4">
                  <c:v>7.5850472630395256</c:v>
                </c:pt>
                <c:pt idx="5">
                  <c:v>6.6975975080550096</c:v>
                </c:pt>
                <c:pt idx="6">
                  <c:v>5.88557787509784</c:v>
                </c:pt>
                <c:pt idx="7">
                  <c:v>5.1989416632896184</c:v>
                </c:pt>
                <c:pt idx="8">
                  <c:v>4.6321797181163333</c:v>
                </c:pt>
              </c:numCache>
            </c:numRef>
          </c:yVal>
          <c:smooth val="0"/>
          <c:extLst>
            <c:ext xmlns:c16="http://schemas.microsoft.com/office/drawing/2014/chart" uri="{C3380CC4-5D6E-409C-BE32-E72D297353CC}">
              <c16:uniqueId val="{00000002-A3AC-48D2-ABB1-798954ADBD09}"/>
            </c:ext>
          </c:extLst>
        </c:ser>
        <c:dLbls>
          <c:showLegendKey val="0"/>
          <c:showVal val="0"/>
          <c:showCatName val="0"/>
          <c:showSerName val="0"/>
          <c:showPercent val="0"/>
          <c:showBubbleSize val="0"/>
        </c:dLbls>
        <c:axId val="677829112"/>
        <c:axId val="1"/>
      </c:scatterChart>
      <c:valAx>
        <c:axId val="677829112"/>
        <c:scaling>
          <c:orientation val="minMax"/>
        </c:scaling>
        <c:delete val="0"/>
        <c:axPos val="b"/>
        <c:majorGridlines/>
        <c:title>
          <c:tx>
            <c:strRef>
              <c:f>Abaco!$B$73</c:f>
              <c:strCache>
                <c:ptCount val="1"/>
                <c:pt idx="0">
                  <c:v>Masse totale</c:v>
                </c:pt>
              </c:strCache>
            </c:strRef>
          </c:tx>
          <c:layout>
            <c:manualLayout>
              <c:xMode val="edge"/>
              <c:yMode val="edge"/>
              <c:x val="0.25133792650918635"/>
              <c:y val="0.80923592884222806"/>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
        <c:crosses val="autoZero"/>
        <c:crossBetween val="midCat"/>
      </c:valAx>
      <c:valAx>
        <c:axId val="1"/>
        <c:scaling>
          <c:orientation val="minMax"/>
        </c:scaling>
        <c:delete val="0"/>
        <c:axPos val="l"/>
        <c:majorGridlines/>
        <c:title>
          <c:tx>
            <c:strRef>
              <c:f>Abaco!$B$78</c:f>
              <c:strCache>
                <c:ptCount val="1"/>
                <c:pt idx="0">
                  <c:v>Temps de culmination</c:v>
                </c:pt>
              </c:strCache>
            </c:strRef>
          </c:tx>
          <c:layout>
            <c:manualLayout>
              <c:xMode val="edge"/>
              <c:yMode val="edge"/>
              <c:x val="0.14166666666666666"/>
              <c:y val="5.8034412365121031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677829112"/>
        <c:crosses val="autoZero"/>
        <c:crossBetween val="midCat"/>
      </c:valAx>
    </c:plotArea>
    <c:legend>
      <c:legendPos val="r"/>
      <c:layout>
        <c:manualLayout>
          <c:xMode val="edge"/>
          <c:yMode val="edge"/>
          <c:wMode val="edge"/>
          <c:hMode val="edge"/>
          <c:x val="0.72083486439195099"/>
          <c:y val="0.18750072907553222"/>
          <c:w val="0.92916863517060366"/>
          <c:h val="0.43750145815106445"/>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23638725762"/>
          <c:y val="8.0214296742318975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61E-2"/>
          <c:w val="0.93899204244031864"/>
          <c:h val="0.8288791696585972"/>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96E-4BD0-98F8-A0347EAEDA1C}"/>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96E-4BD0-98F8-A0347EAEDA1C}"/>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96E-4BD0-98F8-A0347EAEDA1C}"/>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96E-4BD0-98F8-A0347EAEDA1C}"/>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96E-4BD0-98F8-A0347EAEDA1C}"/>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96E-4BD0-98F8-A0347EAEDA1C}"/>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96E-4BD0-98F8-A0347EAEDA1C}"/>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96E-4BD0-98F8-A0347EAEDA1C}"/>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96E-4BD0-98F8-A0347EAEDA1C}"/>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96E-4BD0-98F8-A0347EAEDA1C}"/>
            </c:ext>
          </c:extLst>
        </c:ser>
        <c:dLbls>
          <c:showLegendKey val="0"/>
          <c:showVal val="0"/>
          <c:showCatName val="0"/>
          <c:showSerName val="0"/>
          <c:showPercent val="0"/>
          <c:showBubbleSize val="0"/>
        </c:dLbls>
        <c:axId val="676970168"/>
        <c:axId val="1"/>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3.2070179556504836</c:v>
                </c:pt>
                <c:pt idx="1">
                  <c:v>3.2070179556504836</c:v>
                </c:pt>
                <c:pt idx="2">
                  <c:v>3.3794399599643592</c:v>
                </c:pt>
                <c:pt idx="3">
                  <c:v>3.3794399599643592</c:v>
                </c:pt>
              </c:numCache>
            </c:numRef>
          </c:xVal>
          <c:yVal>
            <c:numRef>
              <c:f>Stabilito!$C$190:$C$193</c:f>
              <c:numCache>
                <c:formatCode>0.00</c:formatCode>
                <c:ptCount val="4"/>
                <c:pt idx="0">
                  <c:v>20.58265859180505</c:v>
                </c:pt>
                <c:pt idx="1">
                  <c:v>20.58265859180505</c:v>
                </c:pt>
                <c:pt idx="2">
                  <c:v>20.58265859180505</c:v>
                </c:pt>
                <c:pt idx="3">
                  <c:v>20.58265859180505</c:v>
                </c:pt>
              </c:numCache>
            </c:numRef>
          </c:yVal>
          <c:smooth val="0"/>
          <c:extLst>
            <c:ext xmlns:c16="http://schemas.microsoft.com/office/drawing/2014/chart" uri="{C3380CC4-5D6E-409C-BE32-E72D297353CC}">
              <c16:uniqueId val="{0000000A-D96E-4BD0-98F8-A0347EAEDA1C}"/>
            </c:ext>
          </c:extLst>
        </c:ser>
        <c:ser>
          <c:idx val="11"/>
          <c:order val="5"/>
          <c:tx>
            <c:v>Fusée en cours0</c:v>
          </c:tx>
          <c:spPr>
            <a:ln w="25400">
              <a:solidFill>
                <a:schemeClr val="tx1"/>
              </a:solidFill>
            </a:ln>
          </c:spPr>
          <c:marker>
            <c:symbol val="none"/>
          </c:marker>
          <c:xVal>
            <c:numRef>
              <c:f>Stabilito!$B$193:$B$194</c:f>
              <c:numCache>
                <c:formatCode>0.00</c:formatCode>
                <c:ptCount val="2"/>
                <c:pt idx="0">
                  <c:v>3.3794399599643592</c:v>
                </c:pt>
                <c:pt idx="1">
                  <c:v>3.2070179556504836</c:v>
                </c:pt>
              </c:numCache>
            </c:numRef>
          </c:xVal>
          <c:yVal>
            <c:numRef>
              <c:f>Stabilito!$C$193:$C$194</c:f>
              <c:numCache>
                <c:formatCode>0.00</c:formatCode>
                <c:ptCount val="2"/>
                <c:pt idx="0">
                  <c:v>20.58265859180505</c:v>
                </c:pt>
                <c:pt idx="1">
                  <c:v>20.58265859180505</c:v>
                </c:pt>
              </c:numCache>
            </c:numRef>
          </c:yVal>
          <c:smooth val="0"/>
          <c:extLst>
            <c:ext xmlns:c16="http://schemas.microsoft.com/office/drawing/2014/chart" uri="{C3380CC4-5D6E-409C-BE32-E72D297353CC}">
              <c16:uniqueId val="{0000000B-D96E-4BD0-98F8-A0347EAEDA1C}"/>
            </c:ext>
          </c:extLst>
        </c:ser>
        <c:dLbls>
          <c:showLegendKey val="0"/>
          <c:showVal val="0"/>
          <c:showCatName val="0"/>
          <c:showSerName val="0"/>
          <c:showPercent val="0"/>
          <c:showBubbleSize val="0"/>
        </c:dLbls>
        <c:axId val="676970168"/>
        <c:axId val="1"/>
      </c:scatterChart>
      <c:valAx>
        <c:axId val="676970168"/>
        <c:scaling>
          <c:orientation val="minMax"/>
          <c:max val="7"/>
          <c:min val="0"/>
        </c:scaling>
        <c:delete val="0"/>
        <c:axPos val="b"/>
        <c:title>
          <c:tx>
            <c:strRef>
              <c:f>Stabilito!$B$118</c:f>
              <c:strCache>
                <c:ptCount val="1"/>
                <c:pt idx="0">
                  <c:v>Marge Statique (MS)</c:v>
                </c:pt>
              </c:strCache>
            </c:strRef>
          </c:tx>
          <c:layout>
            <c:manualLayout>
              <c:xMode val="edge"/>
              <c:yMode val="edge"/>
              <c:x val="0.51717272799094094"/>
              <c:y val="0.73094025011579433"/>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max val="55"/>
          <c:min val="0"/>
        </c:scaling>
        <c:delete val="0"/>
        <c:axPos val="l"/>
        <c:title>
          <c:tx>
            <c:strRef>
              <c:f>Stabilito!$B$119</c:f>
              <c:strCache>
                <c:ptCount val="1"/>
                <c:pt idx="0">
                  <c:v>Portance Cnα</c:v>
                </c:pt>
              </c:strCache>
            </c:strRef>
          </c:tx>
          <c:layout>
            <c:manualLayout>
              <c:xMode val="edge"/>
              <c:yMode val="edge"/>
              <c:x val="6.9119637637268583E-2"/>
              <c:y val="0.24099922803767176"/>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676970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89" footer="0.4921259845000008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2311301989"/>
          <c:y val="3.8575688874803962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281.43877743120714</c:v>
                </c:pt>
              </c:numCache>
            </c:numRef>
          </c:xVal>
          <c:yVal>
            <c:numRef>
              <c:f>Trajecto!$C$118</c:f>
              <c:numCache>
                <c:formatCode>0</c:formatCode>
                <c:ptCount val="1"/>
                <c:pt idx="0">
                  <c:v>281.43877743120714</c:v>
                </c:pt>
              </c:numCache>
            </c:numRef>
          </c:yVal>
          <c:smooth val="1"/>
          <c:extLst>
            <c:ext xmlns:c16="http://schemas.microsoft.com/office/drawing/2014/chart" uri="{C3380CC4-5D6E-409C-BE32-E72D297353CC}">
              <c16:uniqueId val="{00000000-2D93-4A70-848A-B241BE71CA10}"/>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9.2769445875761036</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24.167073223659926</c:v>
                </c:pt>
                <c:pt idx="201">
                  <c:v>#N/A</c:v>
                </c:pt>
                <c:pt idx="202">
                  <c:v>#N/A</c:v>
                </c:pt>
                <c:pt idx="203">
                  <c:v>#N/A</c:v>
                </c:pt>
                <c:pt idx="204">
                  <c:v>#N/A</c:v>
                </c:pt>
                <c:pt idx="205">
                  <c:v>#N/A</c:v>
                </c:pt>
                <c:pt idx="206">
                  <c:v>#N/A</c:v>
                </c:pt>
                <c:pt idx="207">
                  <c:v>#N/A</c:v>
                </c:pt>
                <c:pt idx="208">
                  <c:v>#N/A</c:v>
                </c:pt>
                <c:pt idx="209">
                  <c:v>#N/A</c:v>
                </c:pt>
                <c:pt idx="210">
                  <c:v>38.279246584366774</c:v>
                </c:pt>
                <c:pt idx="211">
                  <c:v>#N/A</c:v>
                </c:pt>
                <c:pt idx="212">
                  <c:v>#N/A</c:v>
                </c:pt>
                <c:pt idx="213">
                  <c:v>#N/A</c:v>
                </c:pt>
                <c:pt idx="214">
                  <c:v>#N/A</c:v>
                </c:pt>
                <c:pt idx="215">
                  <c:v>#N/A</c:v>
                </c:pt>
                <c:pt idx="216">
                  <c:v>#N/A</c:v>
                </c:pt>
                <c:pt idx="217">
                  <c:v>#N/A</c:v>
                </c:pt>
                <c:pt idx="218">
                  <c:v>#N/A</c:v>
                </c:pt>
                <c:pt idx="219">
                  <c:v>#N/A</c:v>
                </c:pt>
                <c:pt idx="220">
                  <c:v>51.792578756485369</c:v>
                </c:pt>
                <c:pt idx="221">
                  <c:v>#N/A</c:v>
                </c:pt>
                <c:pt idx="222">
                  <c:v>#N/A</c:v>
                </c:pt>
                <c:pt idx="223">
                  <c:v>#N/A</c:v>
                </c:pt>
                <c:pt idx="224">
                  <c:v>#N/A</c:v>
                </c:pt>
                <c:pt idx="225">
                  <c:v>#N/A</c:v>
                </c:pt>
                <c:pt idx="226">
                  <c:v>#N/A</c:v>
                </c:pt>
                <c:pt idx="227">
                  <c:v>#N/A</c:v>
                </c:pt>
                <c:pt idx="228">
                  <c:v>#N/A</c:v>
                </c:pt>
                <c:pt idx="229">
                  <c:v>#N/A</c:v>
                </c:pt>
                <c:pt idx="230">
                  <c:v>64.857030179749344</c:v>
                </c:pt>
                <c:pt idx="231">
                  <c:v>#N/A</c:v>
                </c:pt>
                <c:pt idx="232">
                  <c:v>#N/A</c:v>
                </c:pt>
                <c:pt idx="233">
                  <c:v>#N/A</c:v>
                </c:pt>
                <c:pt idx="234">
                  <c:v>#N/A</c:v>
                </c:pt>
                <c:pt idx="235">
                  <c:v>#N/A</c:v>
                </c:pt>
                <c:pt idx="236">
                  <c:v>#N/A</c:v>
                </c:pt>
                <c:pt idx="237">
                  <c:v>#N/A</c:v>
                </c:pt>
                <c:pt idx="238">
                  <c:v>#N/A</c:v>
                </c:pt>
                <c:pt idx="239">
                  <c:v>#N/A</c:v>
                </c:pt>
                <c:pt idx="240">
                  <c:v>77.596470288448629</c:v>
                </c:pt>
                <c:pt idx="241">
                  <c:v>#N/A</c:v>
                </c:pt>
                <c:pt idx="242">
                  <c:v>#N/A</c:v>
                </c:pt>
                <c:pt idx="243">
                  <c:v>#N/A</c:v>
                </c:pt>
                <c:pt idx="244">
                  <c:v>#N/A</c:v>
                </c:pt>
                <c:pt idx="245">
                  <c:v>#N/A</c:v>
                </c:pt>
                <c:pt idx="246">
                  <c:v>#N/A</c:v>
                </c:pt>
                <c:pt idx="247">
                  <c:v>#N/A</c:v>
                </c:pt>
                <c:pt idx="248">
                  <c:v>#N/A</c:v>
                </c:pt>
                <c:pt idx="249">
                  <c:v>#N/A</c:v>
                </c:pt>
                <c:pt idx="250">
                  <c:v>90.112524360937513</c:v>
                </c:pt>
                <c:pt idx="251">
                  <c:v>#N/A</c:v>
                </c:pt>
                <c:pt idx="252">
                  <c:v>#N/A</c:v>
                </c:pt>
                <c:pt idx="253">
                  <c:v>#N/A</c:v>
                </c:pt>
                <c:pt idx="254">
                  <c:v>#N/A</c:v>
                </c:pt>
                <c:pt idx="255">
                  <c:v>#N/A</c:v>
                </c:pt>
                <c:pt idx="256">
                  <c:v>#N/A</c:v>
                </c:pt>
                <c:pt idx="257">
                  <c:v>#N/A</c:v>
                </c:pt>
                <c:pt idx="258">
                  <c:v>#N/A</c:v>
                </c:pt>
                <c:pt idx="259">
                  <c:v>#N/A</c:v>
                </c:pt>
                <c:pt idx="260">
                  <c:v>102.47700722963823</c:v>
                </c:pt>
                <c:pt idx="261">
                  <c:v>#N/A</c:v>
                </c:pt>
                <c:pt idx="262">
                  <c:v>#N/A</c:v>
                </c:pt>
                <c:pt idx="263">
                  <c:v>#N/A</c:v>
                </c:pt>
                <c:pt idx="264">
                  <c:v>#N/A</c:v>
                </c:pt>
                <c:pt idx="265">
                  <c:v>#N/A</c:v>
                </c:pt>
                <c:pt idx="266">
                  <c:v>#N/A</c:v>
                </c:pt>
                <c:pt idx="267">
                  <c:v>#N/A</c:v>
                </c:pt>
                <c:pt idx="268">
                  <c:v>#N/A</c:v>
                </c:pt>
                <c:pt idx="269">
                  <c:v>#N/A</c:v>
                </c:pt>
                <c:pt idx="270">
                  <c:v>114.70655533738721</c:v>
                </c:pt>
                <c:pt idx="271">
                  <c:v>#N/A</c:v>
                </c:pt>
                <c:pt idx="272">
                  <c:v>#N/A</c:v>
                </c:pt>
                <c:pt idx="273">
                  <c:v>#N/A</c:v>
                </c:pt>
                <c:pt idx="274">
                  <c:v>#N/A</c:v>
                </c:pt>
                <c:pt idx="275">
                  <c:v>#N/A</c:v>
                </c:pt>
                <c:pt idx="276">
                  <c:v>#N/A</c:v>
                </c:pt>
                <c:pt idx="277">
                  <c:v>#N/A</c:v>
                </c:pt>
                <c:pt idx="278">
                  <c:v>#N/A</c:v>
                </c:pt>
                <c:pt idx="279">
                  <c:v>#N/A</c:v>
                </c:pt>
                <c:pt idx="280">
                  <c:v>126.7570853635622</c:v>
                </c:pt>
                <c:pt idx="281">
                  <c:v>#N/A</c:v>
                </c:pt>
                <c:pt idx="282">
                  <c:v>#N/A</c:v>
                </c:pt>
                <c:pt idx="283">
                  <c:v>#N/A</c:v>
                </c:pt>
                <c:pt idx="284">
                  <c:v>#N/A</c:v>
                </c:pt>
                <c:pt idx="285">
                  <c:v>#N/A</c:v>
                </c:pt>
                <c:pt idx="286">
                  <c:v>#N/A</c:v>
                </c:pt>
                <c:pt idx="287">
                  <c:v>#N/A</c:v>
                </c:pt>
                <c:pt idx="288">
                  <c:v>#N/A</c:v>
                </c:pt>
                <c:pt idx="289">
                  <c:v>#N/A</c:v>
                </c:pt>
                <c:pt idx="290">
                  <c:v>138.55737083857085</c:v>
                </c:pt>
                <c:pt idx="291">
                  <c:v>#N/A</c:v>
                </c:pt>
                <c:pt idx="292">
                  <c:v>#N/A</c:v>
                </c:pt>
                <c:pt idx="293">
                  <c:v>#N/A</c:v>
                </c:pt>
                <c:pt idx="294">
                  <c:v>#N/A</c:v>
                </c:pt>
                <c:pt idx="295">
                  <c:v>#N/A</c:v>
                </c:pt>
                <c:pt idx="296">
                  <c:v>#N/A</c:v>
                </c:pt>
                <c:pt idx="297">
                  <c:v>#N/A</c:v>
                </c:pt>
                <c:pt idx="298">
                  <c:v>#N/A</c:v>
                </c:pt>
                <c:pt idx="299">
                  <c:v>#N/A</c:v>
                </c:pt>
                <c:pt idx="300">
                  <c:v>150.03307727034567</c:v>
                </c:pt>
                <c:pt idx="301">
                  <c:v>#N/A</c:v>
                </c:pt>
                <c:pt idx="302">
                  <c:v>#N/A</c:v>
                </c:pt>
                <c:pt idx="303">
                  <c:v>#N/A</c:v>
                </c:pt>
                <c:pt idx="304">
                  <c:v>#N/A</c:v>
                </c:pt>
                <c:pt idx="305">
                  <c:v>#N/A</c:v>
                </c:pt>
                <c:pt idx="306">
                  <c:v>#N/A</c:v>
                </c:pt>
                <c:pt idx="307">
                  <c:v>#N/A</c:v>
                </c:pt>
                <c:pt idx="308">
                  <c:v>#N/A</c:v>
                </c:pt>
                <c:pt idx="309">
                  <c:v>#N/A</c:v>
                </c:pt>
                <c:pt idx="310">
                  <c:v>161.11596668162781</c:v>
                </c:pt>
                <c:pt idx="311">
                  <c:v>#N/A</c:v>
                </c:pt>
                <c:pt idx="312">
                  <c:v>#N/A</c:v>
                </c:pt>
                <c:pt idx="313">
                  <c:v>#N/A</c:v>
                </c:pt>
                <c:pt idx="314">
                  <c:v>#N/A</c:v>
                </c:pt>
                <c:pt idx="315">
                  <c:v>#N/A</c:v>
                </c:pt>
                <c:pt idx="316">
                  <c:v>#N/A</c:v>
                </c:pt>
                <c:pt idx="317">
                  <c:v>#N/A</c:v>
                </c:pt>
                <c:pt idx="318">
                  <c:v>#N/A</c:v>
                </c:pt>
                <c:pt idx="319">
                  <c:v>#N/A</c:v>
                </c:pt>
                <c:pt idx="320">
                  <c:v>171.74781068169949</c:v>
                </c:pt>
                <c:pt idx="321">
                  <c:v>#N/A</c:v>
                </c:pt>
                <c:pt idx="322">
                  <c:v>#N/A</c:v>
                </c:pt>
                <c:pt idx="323">
                  <c:v>#N/A</c:v>
                </c:pt>
                <c:pt idx="324">
                  <c:v>#N/A</c:v>
                </c:pt>
                <c:pt idx="325">
                  <c:v>#N/A</c:v>
                </c:pt>
                <c:pt idx="326">
                  <c:v>#N/A</c:v>
                </c:pt>
                <c:pt idx="327">
                  <c:v>#N/A</c:v>
                </c:pt>
                <c:pt idx="328">
                  <c:v>#N/A</c:v>
                </c:pt>
                <c:pt idx="329">
                  <c:v>#N/A</c:v>
                </c:pt>
                <c:pt idx="330">
                  <c:v>181.88217541923709</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271.20637985814369</c:v>
                </c:pt>
                <c:pt idx="272">
                  <c:v>269.74922688428325</c:v>
                </c:pt>
                <c:pt idx="273">
                  <c:v>268.19626859910807</c:v>
                </c:pt>
                <c:pt idx="274">
                  <c:v>266.54775081693504</c:v>
                </c:pt>
                <c:pt idx="275">
                  <c:v>264.80393292506653</c:v>
                </c:pt>
                <c:pt idx="276">
                  <c:v>262.96508789968931</c:v>
                </c:pt>
                <c:pt idx="277">
                  <c:v>261.03150228669551</c:v>
                </c:pt>
                <c:pt idx="278">
                  <c:v>259.00347615272733</c:v>
                </c:pt>
                <c:pt idx="279">
                  <c:v>256.88132301076087</c:v>
                </c:pt>
                <c:pt idx="280">
                  <c:v>254.6653697237478</c:v>
                </c:pt>
                <c:pt idx="281">
                  <c:v>252.35595638919114</c:v>
                </c:pt>
                <c:pt idx="282">
                  <c:v>249.95343620701888</c:v>
                </c:pt>
                <c:pt idx="283">
                  <c:v>247.45817533270966</c:v>
                </c:pt>
                <c:pt idx="284">
                  <c:v>244.87055271729773</c:v>
                </c:pt>
                <c:pt idx="285">
                  <c:v>242.19095993562416</c:v>
                </c:pt>
                <c:pt idx="286">
                  <c:v>239.41980100399337</c:v>
                </c:pt>
                <c:pt idx="287">
                  <c:v>236.5574921882274</c:v>
                </c:pt>
                <c:pt idx="288">
                  <c:v>233.60446180297765</c:v>
                </c:pt>
                <c:pt idx="289">
                  <c:v>230.56115000304678</c:v>
                </c:pt>
                <c:pt idx="290">
                  <c:v>227.4280085673868</c:v>
                </c:pt>
                <c:pt idx="291">
                  <c:v>224.20550067637046</c:v>
                </c:pt>
                <c:pt idx="292">
                  <c:v>220.894100682876</c:v>
                </c:pt>
                <c:pt idx="293">
                  <c:v>217.49429387767935</c:v>
                </c:pt>
                <c:pt idx="294">
                  <c:v>214.00657624961065</c:v>
                </c:pt>
                <c:pt idx="295">
                  <c:v>210.43145424089968</c:v>
                </c:pt>
                <c:pt idx="296">
                  <c:v>206.76944449811074</c:v>
                </c:pt>
                <c:pt idx="297">
                  <c:v>203.02107361904396</c:v>
                </c:pt>
                <c:pt idx="298">
                  <c:v>199.18687789596376</c:v>
                </c:pt>
                <c:pt idx="299">
                  <c:v>195.26740305549816</c:v>
                </c:pt>
                <c:pt idx="300">
                  <c:v>191.26320399554029</c:v>
                </c:pt>
                <c:pt idx="301">
                  <c:v>187.17484451947126</c:v>
                </c:pt>
                <c:pt idx="302">
                  <c:v>183.00289706801351</c:v>
                </c:pt>
                <c:pt idx="303">
                  <c:v>178.74794244901446</c:v>
                </c:pt>
                <c:pt idx="304">
                  <c:v>174.41056956545168</c:v>
                </c:pt>
                <c:pt idx="305">
                  <c:v>169.99137514194342</c:v>
                </c:pt>
                <c:pt idx="306">
                  <c:v>165.49096345004054</c:v>
                </c:pt>
                <c:pt idx="307">
                  <c:v>160.90994603256934</c:v>
                </c:pt>
                <c:pt idx="308">
                  <c:v>156.24894142728803</c:v>
                </c:pt>
                <c:pt idx="309">
                  <c:v>151.50857489011298</c:v>
                </c:pt>
                <c:pt idx="310">
                  <c:v>146.68947811816463</c:v>
                </c:pt>
                <c:pt idx="311">
                  <c:v>141.79228897287683</c:v>
                </c:pt>
                <c:pt idx="312">
                  <c:v>136.81765120340674</c:v>
                </c:pt>
                <c:pt idx="313">
                  <c:v>131.76621417057666</c:v>
                </c:pt>
                <c:pt idx="314">
                  <c:v>126.63863257157261</c:v>
                </c:pt>
                <c:pt idx="315">
                  <c:v>121.43556616561844</c:v>
                </c:pt>
                <c:pt idx="316">
                  <c:v>116.15767950083752</c:v>
                </c:pt>
                <c:pt idx="317">
                  <c:v>110.80564164250836</c:v>
                </c:pt>
                <c:pt idx="318">
                  <c:v>105.38012590291351</c:v>
                </c:pt>
                <c:pt idx="319">
                  <c:v>99.88180957297476</c:v>
                </c:pt>
                <c:pt idx="320">
                  <c:v>94.311373655861502</c:v>
                </c:pt>
                <c:pt idx="321">
                  <c:v>88.669502602751919</c:v>
                </c:pt>
                <c:pt idx="322">
                  <c:v>82.956884050920578</c:v>
                </c:pt>
                <c:pt idx="323">
                  <c:v>77.174208564319102</c:v>
                </c:pt>
                <c:pt idx="324">
                  <c:v>71.32216937680991</c:v>
                </c:pt>
                <c:pt idx="325">
                  <c:v>65.401462138206242</c:v>
                </c:pt>
                <c:pt idx="326">
                  <c:v>59.412784663265199</c:v>
                </c:pt>
                <c:pt idx="327">
                  <c:v>53.356836683773444</c:v>
                </c:pt>
                <c:pt idx="328">
                  <c:v>47.23431960385863</c:v>
                </c:pt>
                <c:pt idx="329">
                  <c:v>41.045936258652951</c:v>
                </c:pt>
                <c:pt idx="330">
                  <c:v>34.792390676428305</c:v>
                </c:pt>
                <c:pt idx="331">
                  <c:v>28.474387844316006</c:v>
                </c:pt>
                <c:pt idx="332">
                  <c:v>22.092633477717278</c:v>
                </c:pt>
                <c:pt idx="333">
                  <c:v>15.647833793504127</c:v>
                </c:pt>
                <c:pt idx="334">
                  <c:v>9.1406952871036502</c:v>
                </c:pt>
                <c:pt idx="335">
                  <c:v>2.5719245135523625</c:v>
                </c:pt>
                <c:pt idx="336">
                  <c:v>-4.0577721273993133</c:v>
                </c:pt>
                <c:pt idx="337">
                  <c:v>-4.0644321403402088</c:v>
                </c:pt>
                <c:pt idx="338">
                  <c:v>-4.0710922131476881</c:v>
                </c:pt>
                <c:pt idx="339">
                  <c:v>-4.0777523458210494</c:v>
                </c:pt>
                <c:pt idx="340">
                  <c:v>-4.0844125383595919</c:v>
                </c:pt>
                <c:pt idx="341">
                  <c:v>-4.0910727907626132</c:v>
                </c:pt>
                <c:pt idx="342">
                  <c:v>-4.0977331030294124</c:v>
                </c:pt>
                <c:pt idx="343">
                  <c:v>-4.1043934751592879</c:v>
                </c:pt>
                <c:pt idx="344">
                  <c:v>-4.111053907151538</c:v>
                </c:pt>
                <c:pt idx="345">
                  <c:v>-4.1177143990054619</c:v>
                </c:pt>
                <c:pt idx="346">
                  <c:v>-4.124374950720358</c:v>
                </c:pt>
                <c:pt idx="347">
                  <c:v>-4.1310355622955237</c:v>
                </c:pt>
                <c:pt idx="348">
                  <c:v>-4.1376962337302592</c:v>
                </c:pt>
                <c:pt idx="349">
                  <c:v>-4.1443569650238619</c:v>
                </c:pt>
                <c:pt idx="350">
                  <c:v>-4.1510177561756301</c:v>
                </c:pt>
                <c:pt idx="351">
                  <c:v>-4.157678607184863</c:v>
                </c:pt>
                <c:pt idx="352">
                  <c:v>-4.1643395180508591</c:v>
                </c:pt>
                <c:pt idx="353">
                  <c:v>-4.1710004887729166</c:v>
                </c:pt>
                <c:pt idx="354">
                  <c:v>-4.1776615193503348</c:v>
                </c:pt>
                <c:pt idx="355">
                  <c:v>-4.1843226097824111</c:v>
                </c:pt>
                <c:pt idx="356">
                  <c:v>-4.1909837600684448</c:v>
                </c:pt>
                <c:pt idx="357">
                  <c:v>-4.1976449702077341</c:v>
                </c:pt>
                <c:pt idx="358">
                  <c:v>-4.2043062401995774</c:v>
                </c:pt>
                <c:pt idx="359">
                  <c:v>-4.210967570043274</c:v>
                </c:pt>
                <c:pt idx="360">
                  <c:v>-4.2176289597381222</c:v>
                </c:pt>
                <c:pt idx="361">
                  <c:v>-4.2242904092834195</c:v>
                </c:pt>
                <c:pt idx="362">
                  <c:v>-4.2309519186784659</c:v>
                </c:pt>
                <c:pt idx="363">
                  <c:v>-4.2376134879225589</c:v>
                </c:pt>
                <c:pt idx="364">
                  <c:v>-4.2442751170149977</c:v>
                </c:pt>
                <c:pt idx="365">
                  <c:v>-4.2509368059550798</c:v>
                </c:pt>
                <c:pt idx="366">
                  <c:v>-4.2575985547421045</c:v>
                </c:pt>
                <c:pt idx="367">
                  <c:v>-4.2642603633753708</c:v>
                </c:pt>
                <c:pt idx="368">
                  <c:v>-4.2709222318541764</c:v>
                </c:pt>
                <c:pt idx="369">
                  <c:v>-4.2775841601778204</c:v>
                </c:pt>
                <c:pt idx="370">
                  <c:v>-4.2842461483456011</c:v>
                </c:pt>
                <c:pt idx="371">
                  <c:v>-4.290908196356817</c:v>
                </c:pt>
                <c:pt idx="372">
                  <c:v>-4.2975703042107662</c:v>
                </c:pt>
                <c:pt idx="373">
                  <c:v>-4.3042324719067482</c:v>
                </c:pt>
                <c:pt idx="374">
                  <c:v>-4.3108946994440611</c:v>
                </c:pt>
                <c:pt idx="375">
                  <c:v>-4.3175569868220034</c:v>
                </c:pt>
                <c:pt idx="376">
                  <c:v>-4.3242193340398734</c:v>
                </c:pt>
                <c:pt idx="377">
                  <c:v>-4.3308817410969702</c:v>
                </c:pt>
                <c:pt idx="378">
                  <c:v>-4.3375442079925923</c:v>
                </c:pt>
                <c:pt idx="379">
                  <c:v>-4.344206734726038</c:v>
                </c:pt>
                <c:pt idx="380">
                  <c:v>-4.3508693212966056</c:v>
                </c:pt>
                <c:pt idx="381">
                  <c:v>-4.3575319677035935</c:v>
                </c:pt>
                <c:pt idx="382">
                  <c:v>-4.3641946739463009</c:v>
                </c:pt>
                <c:pt idx="383">
                  <c:v>-4.3708574400240261</c:v>
                </c:pt>
                <c:pt idx="384">
                  <c:v>-4.3775202659360675</c:v>
                </c:pt>
                <c:pt idx="385">
                  <c:v>-4.3841831516817242</c:v>
                </c:pt>
                <c:pt idx="386">
                  <c:v>-4.3908460972602947</c:v>
                </c:pt>
                <c:pt idx="387">
                  <c:v>-4.3975091026710773</c:v>
                </c:pt>
                <c:pt idx="388">
                  <c:v>-4.4041721679133703</c:v>
                </c:pt>
                <c:pt idx="389">
                  <c:v>-4.410835292986472</c:v>
                </c:pt>
                <c:pt idx="390">
                  <c:v>-4.4174984778896818</c:v>
                </c:pt>
                <c:pt idx="391">
                  <c:v>-4.4241617226222978</c:v>
                </c:pt>
                <c:pt idx="392">
                  <c:v>-4.4308250271836185</c:v>
                </c:pt>
                <c:pt idx="393">
                  <c:v>-4.4374883915729422</c:v>
                </c:pt>
                <c:pt idx="394">
                  <c:v>-4.4441518157895681</c:v>
                </c:pt>
                <c:pt idx="395">
                  <c:v>-4.4508152998327946</c:v>
                </c:pt>
                <c:pt idx="396">
                  <c:v>-4.4574788437019199</c:v>
                </c:pt>
                <c:pt idx="397">
                  <c:v>-4.4641424473962426</c:v>
                </c:pt>
                <c:pt idx="398">
                  <c:v>-4.4708061109150616</c:v>
                </c:pt>
                <c:pt idx="399">
                  <c:v>-4.4774698342576755</c:v>
                </c:pt>
                <c:pt idx="400">
                  <c:v>-4.4841336174233826</c:v>
                </c:pt>
                <c:pt idx="401">
                  <c:v>-4.490797460411482</c:v>
                </c:pt>
                <c:pt idx="402">
                  <c:v>-4.4974613632212712</c:v>
                </c:pt>
                <c:pt idx="403">
                  <c:v>-4.5041253258520495</c:v>
                </c:pt>
                <c:pt idx="404">
                  <c:v>-4.5107893483031152</c:v>
                </c:pt>
                <c:pt idx="405">
                  <c:v>-4.5174534305737675</c:v>
                </c:pt>
                <c:pt idx="406">
                  <c:v>-4.5241175726633047</c:v>
                </c:pt>
                <c:pt idx="407">
                  <c:v>-4.5307817745710244</c:v>
                </c:pt>
                <c:pt idx="408">
                  <c:v>-4.5374460362962266</c:v>
                </c:pt>
                <c:pt idx="409">
                  <c:v>-4.5441103578382087</c:v>
                </c:pt>
                <c:pt idx="410">
                  <c:v>-4.5507747391962701</c:v>
                </c:pt>
                <c:pt idx="411">
                  <c:v>-4.557439180369709</c:v>
                </c:pt>
                <c:pt idx="412">
                  <c:v>-4.5641036813578237</c:v>
                </c:pt>
                <c:pt idx="413">
                  <c:v>-4.5707682421599136</c:v>
                </c:pt>
                <c:pt idx="414">
                  <c:v>-4.5774328627752761</c:v>
                </c:pt>
                <c:pt idx="415">
                  <c:v>-4.5840975432032103</c:v>
                </c:pt>
                <c:pt idx="416">
                  <c:v>-4.5907622834430155</c:v>
                </c:pt>
                <c:pt idx="417">
                  <c:v>-4.5974270834939892</c:v>
                </c:pt>
                <c:pt idx="418">
                  <c:v>-4.6040919433554306</c:v>
                </c:pt>
                <c:pt idx="419">
                  <c:v>-4.610756863026638</c:v>
                </c:pt>
                <c:pt idx="420">
                  <c:v>-4.6174218425069107</c:v>
                </c:pt>
                <c:pt idx="421">
                  <c:v>-4.6240868817955461</c:v>
                </c:pt>
                <c:pt idx="422">
                  <c:v>-4.6307519808918434</c:v>
                </c:pt>
                <c:pt idx="423">
                  <c:v>-4.637417139795101</c:v>
                </c:pt>
                <c:pt idx="424">
                  <c:v>-4.644082358504618</c:v>
                </c:pt>
                <c:pt idx="425">
                  <c:v>-4.650747637019693</c:v>
                </c:pt>
                <c:pt idx="426">
                  <c:v>-4.6574129753396241</c:v>
                </c:pt>
                <c:pt idx="427">
                  <c:v>-4.6640783734637097</c:v>
                </c:pt>
                <c:pt idx="428">
                  <c:v>-4.6707438313912482</c:v>
                </c:pt>
                <c:pt idx="429">
                  <c:v>-4.6774093491215387</c:v>
                </c:pt>
                <c:pt idx="430">
                  <c:v>-4.6840749266538797</c:v>
                </c:pt>
                <c:pt idx="431">
                  <c:v>-4.6907405639875703</c:v>
                </c:pt>
                <c:pt idx="432">
                  <c:v>-4.6974062611219081</c:v>
                </c:pt>
                <c:pt idx="433">
                  <c:v>-4.7040720180561921</c:v>
                </c:pt>
                <c:pt idx="434">
                  <c:v>-4.7107378347897217</c:v>
                </c:pt>
                <c:pt idx="435">
                  <c:v>-4.7174037113217944</c:v>
                </c:pt>
                <c:pt idx="436">
                  <c:v>-4.7240696476517092</c:v>
                </c:pt>
                <c:pt idx="437">
                  <c:v>-4.7307356437787647</c:v>
                </c:pt>
                <c:pt idx="438">
                  <c:v>-4.737401699702259</c:v>
                </c:pt>
                <c:pt idx="439">
                  <c:v>-4.7440678154214915</c:v>
                </c:pt>
                <c:pt idx="440">
                  <c:v>-4.7507339909357604</c:v>
                </c:pt>
                <c:pt idx="441">
                  <c:v>-4.7574002262443642</c:v>
                </c:pt>
                <c:pt idx="442">
                  <c:v>-4.764066521346602</c:v>
                </c:pt>
                <c:pt idx="443">
                  <c:v>-4.7707328762417713</c:v>
                </c:pt>
                <c:pt idx="444">
                  <c:v>-4.7773992909291714</c:v>
                </c:pt>
                <c:pt idx="445">
                  <c:v>-4.7840657654081014</c:v>
                </c:pt>
                <c:pt idx="446">
                  <c:v>-4.7907322996778587</c:v>
                </c:pt>
                <c:pt idx="447">
                  <c:v>-4.7973988937377428</c:v>
                </c:pt>
                <c:pt idx="448">
                  <c:v>-4.8040655475870526</c:v>
                </c:pt>
                <c:pt idx="449">
                  <c:v>-4.8107322612250858</c:v>
                </c:pt>
                <c:pt idx="450">
                  <c:v>-4.8173990346511415</c:v>
                </c:pt>
                <c:pt idx="451">
                  <c:v>-4.8240658678645181</c:v>
                </c:pt>
                <c:pt idx="452">
                  <c:v>-4.8307327608645139</c:v>
                </c:pt>
                <c:pt idx="453">
                  <c:v>-4.8373997136504281</c:v>
                </c:pt>
                <c:pt idx="454">
                  <c:v>-4.8440667262215591</c:v>
                </c:pt>
                <c:pt idx="455">
                  <c:v>-4.8507337985772052</c:v>
                </c:pt>
                <c:pt idx="456">
                  <c:v>-4.8574009307166657</c:v>
                </c:pt>
                <c:pt idx="457">
                  <c:v>-4.8640681226392388</c:v>
                </c:pt>
                <c:pt idx="458">
                  <c:v>-4.870735374344223</c:v>
                </c:pt>
                <c:pt idx="459">
                  <c:v>-4.8774026858309165</c:v>
                </c:pt>
                <c:pt idx="460">
                  <c:v>-4.8840700570986186</c:v>
                </c:pt>
                <c:pt idx="461">
                  <c:v>-4.8907374881466277</c:v>
                </c:pt>
                <c:pt idx="462">
                  <c:v>-4.8974049789742429</c:v>
                </c:pt>
                <c:pt idx="463">
                  <c:v>-4.9040725295807617</c:v>
                </c:pt>
                <c:pt idx="464">
                  <c:v>-4.9107401399654833</c:v>
                </c:pt>
                <c:pt idx="465">
                  <c:v>-4.917407810127707</c:v>
                </c:pt>
                <c:pt idx="466">
                  <c:v>-4.9240755400667302</c:v>
                </c:pt>
                <c:pt idx="467">
                  <c:v>-4.9307433297818521</c:v>
                </c:pt>
                <c:pt idx="468">
                  <c:v>-4.9374111792723712</c:v>
                </c:pt>
                <c:pt idx="469">
                  <c:v>-4.9440790885375865</c:v>
                </c:pt>
                <c:pt idx="470">
                  <c:v>-4.9507470575767965</c:v>
                </c:pt>
                <c:pt idx="471">
                  <c:v>-4.9574150863892994</c:v>
                </c:pt>
                <c:pt idx="472">
                  <c:v>-4.9640831749743937</c:v>
                </c:pt>
                <c:pt idx="473">
                  <c:v>-4.9707513233313785</c:v>
                </c:pt>
                <c:pt idx="474">
                  <c:v>-4.9774195314595522</c:v>
                </c:pt>
                <c:pt idx="475">
                  <c:v>-4.984087799358214</c:v>
                </c:pt>
                <c:pt idx="476">
                  <c:v>-4.9907561270266614</c:v>
                </c:pt>
                <c:pt idx="477">
                  <c:v>-4.9974245144641936</c:v>
                </c:pt>
                <c:pt idx="478">
                  <c:v>-5.0040929616701098</c:v>
                </c:pt>
                <c:pt idx="479">
                  <c:v>-5.0107614686437074</c:v>
                </c:pt>
                <c:pt idx="480">
                  <c:v>-5.0174300353842858</c:v>
                </c:pt>
                <c:pt idx="481">
                  <c:v>-5.0240986618911441</c:v>
                </c:pt>
                <c:pt idx="482">
                  <c:v>-5.0307673481635797</c:v>
                </c:pt>
                <c:pt idx="483">
                  <c:v>-5.037436094200892</c:v>
                </c:pt>
                <c:pt idx="484">
                  <c:v>-5.0441049000023801</c:v>
                </c:pt>
                <c:pt idx="485">
                  <c:v>-5.0507737655673415</c:v>
                </c:pt>
                <c:pt idx="486">
                  <c:v>-5.0574426908950754</c:v>
                </c:pt>
                <c:pt idx="487">
                  <c:v>-5.0641116759848801</c:v>
                </c:pt>
                <c:pt idx="488">
                  <c:v>-5.0707807208360549</c:v>
                </c:pt>
                <c:pt idx="489">
                  <c:v>-5.0774498254478981</c:v>
                </c:pt>
                <c:pt idx="490">
                  <c:v>-5.0841189898197081</c:v>
                </c:pt>
                <c:pt idx="491">
                  <c:v>-5.0907882139507832</c:v>
                </c:pt>
                <c:pt idx="492">
                  <c:v>-5.0974574978404226</c:v>
                </c:pt>
                <c:pt idx="493">
                  <c:v>-5.1041268414879246</c:v>
                </c:pt>
                <c:pt idx="494">
                  <c:v>-5.1107962448925885</c:v>
                </c:pt>
                <c:pt idx="495">
                  <c:v>-5.1174657080537127</c:v>
                </c:pt>
                <c:pt idx="496">
                  <c:v>-5.1241352309705954</c:v>
                </c:pt>
                <c:pt idx="497">
                  <c:v>-5.130804813642535</c:v>
                </c:pt>
                <c:pt idx="498">
                  <c:v>-5.1374744560688308</c:v>
                </c:pt>
                <c:pt idx="499">
                  <c:v>-5.144144158248781</c:v>
                </c:pt>
                <c:pt idx="500">
                  <c:v>-5.1508139201816849</c:v>
                </c:pt>
                <c:pt idx="501">
                  <c:v>-5.1574837418668409</c:v>
                </c:pt>
                <c:pt idx="502">
                  <c:v>-5.1641536233035472</c:v>
                </c:pt>
                <c:pt idx="503">
                  <c:v>-5.1708235644911031</c:v>
                </c:pt>
                <c:pt idx="504">
                  <c:v>-5.1774935654288061</c:v>
                </c:pt>
                <c:pt idx="505">
                  <c:v>-5.1841636261159563</c:v>
                </c:pt>
                <c:pt idx="506">
                  <c:v>-5.190833746551851</c:v>
                </c:pt>
                <c:pt idx="507">
                  <c:v>-5.1975039267357896</c:v>
                </c:pt>
                <c:pt idx="508">
                  <c:v>-5.2041741666670704</c:v>
                </c:pt>
                <c:pt idx="509">
                  <c:v>-5.2108444663449927</c:v>
                </c:pt>
                <c:pt idx="510">
                  <c:v>-5.2175148257688546</c:v>
                </c:pt>
                <c:pt idx="511">
                  <c:v>-5.2241852449379547</c:v>
                </c:pt>
                <c:pt idx="512">
                  <c:v>-5.2308557238515911</c:v>
                </c:pt>
                <c:pt idx="513">
                  <c:v>-5.2375262625090633</c:v>
                </c:pt>
                <c:pt idx="514">
                  <c:v>-5.2441968609096703</c:v>
                </c:pt>
                <c:pt idx="515">
                  <c:v>-5.2508675190527097</c:v>
                </c:pt>
                <c:pt idx="516">
                  <c:v>-5.2575382369374806</c:v>
                </c:pt>
                <c:pt idx="517">
                  <c:v>-5.2642090145632814</c:v>
                </c:pt>
                <c:pt idx="518">
                  <c:v>-5.2708798519294113</c:v>
                </c:pt>
                <c:pt idx="519">
                  <c:v>-5.2775507490351687</c:v>
                </c:pt>
                <c:pt idx="520">
                  <c:v>-5.284221705879852</c:v>
                </c:pt>
                <c:pt idx="521">
                  <c:v>-5.2908927224627602</c:v>
                </c:pt>
                <c:pt idx="522">
                  <c:v>-5.2975637987831918</c:v>
                </c:pt>
                <c:pt idx="523">
                  <c:v>-5.3042349348404461</c:v>
                </c:pt>
                <c:pt idx="524">
                  <c:v>-5.3109061306338203</c:v>
                </c:pt>
                <c:pt idx="525">
                  <c:v>-5.3175773861626148</c:v>
                </c:pt>
                <c:pt idx="526">
                  <c:v>-5.3242487014261268</c:v>
                </c:pt>
                <c:pt idx="527">
                  <c:v>-5.3309200764236557</c:v>
                </c:pt>
                <c:pt idx="528">
                  <c:v>-5.3375915111544998</c:v>
                </c:pt>
                <c:pt idx="529">
                  <c:v>-5.3442630056179583</c:v>
                </c:pt>
                <c:pt idx="530">
                  <c:v>-5.3509345598133295</c:v>
                </c:pt>
                <c:pt idx="531">
                  <c:v>-5.3576061737399119</c:v>
                </c:pt>
                <c:pt idx="532">
                  <c:v>-5.3642778473970036</c:v>
                </c:pt>
                <c:pt idx="533">
                  <c:v>-5.3709495807839041</c:v>
                </c:pt>
                <c:pt idx="534">
                  <c:v>-5.3776213738999123</c:v>
                </c:pt>
                <c:pt idx="535">
                  <c:v>-5.3842932267443269</c:v>
                </c:pt>
                <c:pt idx="536">
                  <c:v>-5.3909651393164459</c:v>
                </c:pt>
                <c:pt idx="537">
                  <c:v>-5.3976371116155679</c:v>
                </c:pt>
                <c:pt idx="538">
                  <c:v>-5.404309143640992</c:v>
                </c:pt>
                <c:pt idx="539">
                  <c:v>-5.4109812353920166</c:v>
                </c:pt>
                <c:pt idx="540">
                  <c:v>-5.4176533868679408</c:v>
                </c:pt>
                <c:pt idx="541">
                  <c:v>-5.4243255980680622</c:v>
                </c:pt>
                <c:pt idx="542">
                  <c:v>-5.4309978689916809</c:v>
                </c:pt>
                <c:pt idx="543">
                  <c:v>-5.4376701996380943</c:v>
                </c:pt>
                <c:pt idx="544">
                  <c:v>-5.4443425900066016</c:v>
                </c:pt>
                <c:pt idx="545">
                  <c:v>-5.4510150400965021</c:v>
                </c:pt>
                <c:pt idx="546">
                  <c:v>-5.457687549907094</c:v>
                </c:pt>
                <c:pt idx="547">
                  <c:v>-5.4643601194376759</c:v>
                </c:pt>
                <c:pt idx="548">
                  <c:v>-5.4710327486875459</c:v>
                </c:pt>
                <c:pt idx="549">
                  <c:v>-5.4777054376560033</c:v>
                </c:pt>
                <c:pt idx="550">
                  <c:v>-5.4843781863423464</c:v>
                </c:pt>
                <c:pt idx="551">
                  <c:v>-5.4910509947458745</c:v>
                </c:pt>
                <c:pt idx="552">
                  <c:v>-5.497723862865886</c:v>
                </c:pt>
                <c:pt idx="553">
                  <c:v>-5.50439679070168</c:v>
                </c:pt>
                <c:pt idx="554">
                  <c:v>-5.511069778252554</c:v>
                </c:pt>
                <c:pt idx="555">
                  <c:v>-5.5177428255178071</c:v>
                </c:pt>
                <c:pt idx="556">
                  <c:v>-5.5244159324967388</c:v>
                </c:pt>
                <c:pt idx="557">
                  <c:v>-5.5310890991886472</c:v>
                </c:pt>
                <c:pt idx="558">
                  <c:v>-5.5377623255928308</c:v>
                </c:pt>
                <c:pt idx="559">
                  <c:v>-5.5444356117085887</c:v>
                </c:pt>
                <c:pt idx="560">
                  <c:v>-5.5511089575352193</c:v>
                </c:pt>
                <c:pt idx="561">
                  <c:v>-5.5577823630720209</c:v>
                </c:pt>
                <c:pt idx="562">
                  <c:v>-5.5644558283182928</c:v>
                </c:pt>
                <c:pt idx="563">
                  <c:v>-5.5711293532733341</c:v>
                </c:pt>
                <c:pt idx="564">
                  <c:v>-5.5778029379364424</c:v>
                </c:pt>
                <c:pt idx="565">
                  <c:v>-5.5844765823069169</c:v>
                </c:pt>
                <c:pt idx="566">
                  <c:v>-5.5911502863840568</c:v>
                </c:pt>
                <c:pt idx="567">
                  <c:v>-5.5978240501671594</c:v>
                </c:pt>
                <c:pt idx="568">
                  <c:v>-5.6044978736555242</c:v>
                </c:pt>
                <c:pt idx="569">
                  <c:v>-5.6111717568484503</c:v>
                </c:pt>
                <c:pt idx="570">
                  <c:v>-5.617845699745236</c:v>
                </c:pt>
                <c:pt idx="571">
                  <c:v>-5.6245197023451796</c:v>
                </c:pt>
                <c:pt idx="572">
                  <c:v>-5.6311937646475805</c:v>
                </c:pt>
                <c:pt idx="573">
                  <c:v>-5.6378678866517369</c:v>
                </c:pt>
                <c:pt idx="574">
                  <c:v>-5.6445420683569481</c:v>
                </c:pt>
                <c:pt idx="575">
                  <c:v>-5.6512163097625123</c:v>
                </c:pt>
                <c:pt idx="576">
                  <c:v>-5.657890610867728</c:v>
                </c:pt>
                <c:pt idx="577">
                  <c:v>-5.6645649716718944</c:v>
                </c:pt>
                <c:pt idx="578">
                  <c:v>-5.6712393921743098</c:v>
                </c:pt>
                <c:pt idx="579">
                  <c:v>-5.6779138723742726</c:v>
                </c:pt>
                <c:pt idx="580">
                  <c:v>-5.6845884122710819</c:v>
                </c:pt>
                <c:pt idx="581">
                  <c:v>-5.691263011864037</c:v>
                </c:pt>
                <c:pt idx="582">
                  <c:v>-5.6979376711524354</c:v>
                </c:pt>
                <c:pt idx="583">
                  <c:v>-5.7046123901355772</c:v>
                </c:pt>
                <c:pt idx="584">
                  <c:v>-5.7112871688127598</c:v>
                </c:pt>
                <c:pt idx="585">
                  <c:v>-5.7179620071832824</c:v>
                </c:pt>
                <c:pt idx="586">
                  <c:v>-5.7246369052464434</c:v>
                </c:pt>
                <c:pt idx="587">
                  <c:v>-5.7313118630015421</c:v>
                </c:pt>
                <c:pt idx="588">
                  <c:v>-5.7379868804478766</c:v>
                </c:pt>
                <c:pt idx="589">
                  <c:v>-5.7446619575847464</c:v>
                </c:pt>
                <c:pt idx="590">
                  <c:v>-5.7513370944114497</c:v>
                </c:pt>
                <c:pt idx="591">
                  <c:v>-5.7580122909272848</c:v>
                </c:pt>
                <c:pt idx="592">
                  <c:v>-5.7646875471315511</c:v>
                </c:pt>
                <c:pt idx="593">
                  <c:v>-5.7713628630235467</c:v>
                </c:pt>
                <c:pt idx="594">
                  <c:v>-5.778038238602571</c:v>
                </c:pt>
                <c:pt idx="595">
                  <c:v>-5.7847136738679223</c:v>
                </c:pt>
                <c:pt idx="596">
                  <c:v>-5.7913891688188999</c:v>
                </c:pt>
                <c:pt idx="597">
                  <c:v>-5.7980647234548011</c:v>
                </c:pt>
                <c:pt idx="598">
                  <c:v>-5.804740337774926</c:v>
                </c:pt>
                <c:pt idx="599">
                  <c:v>-5.8114160117785723</c:v>
                </c:pt>
                <c:pt idx="600">
                  <c:v>-5.8180917454650398</c:v>
                </c:pt>
                <c:pt idx="601">
                  <c:v>-5.8247675388336262</c:v>
                </c:pt>
                <c:pt idx="602">
                  <c:v>-5.8314433918836306</c:v>
                </c:pt>
                <c:pt idx="603">
                  <c:v>-5.8381193046143522</c:v>
                </c:pt>
                <c:pt idx="604">
                  <c:v>-5.8447952770250886</c:v>
                </c:pt>
                <c:pt idx="605">
                  <c:v>-5.8514713091151398</c:v>
                </c:pt>
                <c:pt idx="606">
                  <c:v>-5.8581474008838033</c:v>
                </c:pt>
                <c:pt idx="607">
                  <c:v>-5.8648235523303782</c:v>
                </c:pt>
                <c:pt idx="608">
                  <c:v>-5.8714997634541639</c:v>
                </c:pt>
                <c:pt idx="609">
                  <c:v>-5.8781760342544587</c:v>
                </c:pt>
                <c:pt idx="610">
                  <c:v>-5.8848523647305608</c:v>
                </c:pt>
                <c:pt idx="611">
                  <c:v>-5.8915287548817696</c:v>
                </c:pt>
                <c:pt idx="612">
                  <c:v>-5.8982052047073834</c:v>
                </c:pt>
                <c:pt idx="613">
                  <c:v>-5.9048817142067014</c:v>
                </c:pt>
                <c:pt idx="614">
                  <c:v>-5.9115582833790219</c:v>
                </c:pt>
                <c:pt idx="615">
                  <c:v>-5.9182349122236433</c:v>
                </c:pt>
                <c:pt idx="616">
                  <c:v>-5.9249116007398648</c:v>
                </c:pt>
                <c:pt idx="617">
                  <c:v>-5.9315883489269856</c:v>
                </c:pt>
                <c:pt idx="618">
                  <c:v>-5.9382651567843032</c:v>
                </c:pt>
                <c:pt idx="619">
                  <c:v>-5.9449420243111177</c:v>
                </c:pt>
                <c:pt idx="620">
                  <c:v>-5.9516189515067266</c:v>
                </c:pt>
                <c:pt idx="621">
                  <c:v>-5.958295938370429</c:v>
                </c:pt>
                <c:pt idx="622">
                  <c:v>-5.9649729849015243</c:v>
                </c:pt>
                <c:pt idx="623">
                  <c:v>-5.9716500910993107</c:v>
                </c:pt>
                <c:pt idx="624">
                  <c:v>-5.9783272569630865</c:v>
                </c:pt>
                <c:pt idx="625">
                  <c:v>-5.9850044824921511</c:v>
                </c:pt>
                <c:pt idx="626">
                  <c:v>-5.9916817676858036</c:v>
                </c:pt>
                <c:pt idx="627">
                  <c:v>-5.9983591125433415</c:v>
                </c:pt>
                <c:pt idx="628">
                  <c:v>-6.0050365170640649</c:v>
                </c:pt>
                <c:pt idx="629">
                  <c:v>-6.0117139812472713</c:v>
                </c:pt>
                <c:pt idx="630">
                  <c:v>-6.0183915050922598</c:v>
                </c:pt>
                <c:pt idx="631">
                  <c:v>-6.0250690885983298</c:v>
                </c:pt>
                <c:pt idx="632">
                  <c:v>-6.0317467317647795</c:v>
                </c:pt>
                <c:pt idx="633">
                  <c:v>-6.0384244345909073</c:v>
                </c:pt>
                <c:pt idx="634">
                  <c:v>-6.0451021970760124</c:v>
                </c:pt>
                <c:pt idx="635">
                  <c:v>-6.0517800192193931</c:v>
                </c:pt>
                <c:pt idx="636">
                  <c:v>-6.0584579010203488</c:v>
                </c:pt>
                <c:pt idx="637">
                  <c:v>-6.0651358424781776</c:v>
                </c:pt>
                <c:pt idx="638">
                  <c:v>-6.0718138435921789</c:v>
                </c:pt>
                <c:pt idx="639">
                  <c:v>-6.078491904361651</c:v>
                </c:pt>
                <c:pt idx="640">
                  <c:v>-6.0851700247858931</c:v>
                </c:pt>
                <c:pt idx="641">
                  <c:v>-6.0918482048642035</c:v>
                </c:pt>
                <c:pt idx="642">
                  <c:v>-6.0985264445958807</c:v>
                </c:pt>
                <c:pt idx="643">
                  <c:v>-6.1052047439802237</c:v>
                </c:pt>
                <c:pt idx="644">
                  <c:v>-6.111883103016531</c:v>
                </c:pt>
                <c:pt idx="645">
                  <c:v>-6.1185615217041018</c:v>
                </c:pt>
                <c:pt idx="646">
                  <c:v>-6.1252400000422345</c:v>
                </c:pt>
                <c:pt idx="647">
                  <c:v>-6.1319185380302281</c:v>
                </c:pt>
                <c:pt idx="648">
                  <c:v>-6.1385971356673812</c:v>
                </c:pt>
                <c:pt idx="649">
                  <c:v>-6.1452757929529929</c:v>
                </c:pt>
                <c:pt idx="650">
                  <c:v>-6.1519545098863615</c:v>
                </c:pt>
                <c:pt idx="651">
                  <c:v>-6.1586332864667863</c:v>
                </c:pt>
                <c:pt idx="652">
                  <c:v>-6.1653121226935657</c:v>
                </c:pt>
                <c:pt idx="653">
                  <c:v>-6.1719910185659979</c:v>
                </c:pt>
                <c:pt idx="654">
                  <c:v>-6.1786699740833821</c:v>
                </c:pt>
                <c:pt idx="655">
                  <c:v>-6.1853489892450177</c:v>
                </c:pt>
                <c:pt idx="656">
                  <c:v>-6.192028064050203</c:v>
                </c:pt>
                <c:pt idx="657">
                  <c:v>-6.1987071984982363</c:v>
                </c:pt>
                <c:pt idx="658">
                  <c:v>-6.2053863925884167</c:v>
                </c:pt>
                <c:pt idx="659">
                  <c:v>-6.2120656463200428</c:v>
                </c:pt>
                <c:pt idx="660">
                  <c:v>-6.2187449596924136</c:v>
                </c:pt>
                <c:pt idx="661">
                  <c:v>-6.2254243327048275</c:v>
                </c:pt>
                <c:pt idx="662">
                  <c:v>-6.2321037653565838</c:v>
                </c:pt>
                <c:pt idx="663">
                  <c:v>-6.2387832576469808</c:v>
                </c:pt>
                <c:pt idx="664">
                  <c:v>-6.2454628095753177</c:v>
                </c:pt>
                <c:pt idx="665">
                  <c:v>-6.2521424211408929</c:v>
                </c:pt>
                <c:pt idx="666">
                  <c:v>-6.2588220923430056</c:v>
                </c:pt>
                <c:pt idx="667">
                  <c:v>-6.2655018231809541</c:v>
                </c:pt>
                <c:pt idx="668">
                  <c:v>-6.2721816136540367</c:v>
                </c:pt>
                <c:pt idx="669">
                  <c:v>-6.2788614637615527</c:v>
                </c:pt>
                <c:pt idx="670">
                  <c:v>-6.2855413735028014</c:v>
                </c:pt>
                <c:pt idx="671">
                  <c:v>-6.292221342877081</c:v>
                </c:pt>
                <c:pt idx="672">
                  <c:v>-6.2989013718836899</c:v>
                </c:pt>
                <c:pt idx="673">
                  <c:v>-6.3055814605219274</c:v>
                </c:pt>
                <c:pt idx="674">
                  <c:v>-6.3122616087910925</c:v>
                </c:pt>
                <c:pt idx="675">
                  <c:v>-6.3189418166904838</c:v>
                </c:pt>
                <c:pt idx="676">
                  <c:v>-6.3256220842193995</c:v>
                </c:pt>
                <c:pt idx="677">
                  <c:v>-6.3323024113771389</c:v>
                </c:pt>
                <c:pt idx="678">
                  <c:v>-6.3389827981630003</c:v>
                </c:pt>
                <c:pt idx="679">
                  <c:v>-6.3456632445762828</c:v>
                </c:pt>
                <c:pt idx="680">
                  <c:v>-6.3523437506162859</c:v>
                </c:pt>
                <c:pt idx="681">
                  <c:v>-6.3590243162823068</c:v>
                </c:pt>
                <c:pt idx="682">
                  <c:v>-6.3657049415736457</c:v>
                </c:pt>
                <c:pt idx="683">
                  <c:v>-6.3723856264896011</c:v>
                </c:pt>
                <c:pt idx="684">
                  <c:v>-6.379066371029471</c:v>
                </c:pt>
                <c:pt idx="685">
                  <c:v>-6.385747175192555</c:v>
                </c:pt>
                <c:pt idx="686">
                  <c:v>-6.3924280389781512</c:v>
                </c:pt>
                <c:pt idx="687">
                  <c:v>-6.3991089623855588</c:v>
                </c:pt>
                <c:pt idx="688">
                  <c:v>-6.4057899454140763</c:v>
                </c:pt>
                <c:pt idx="689">
                  <c:v>-6.4124709880630029</c:v>
                </c:pt>
                <c:pt idx="690">
                  <c:v>-6.4191520903316368</c:v>
                </c:pt>
                <c:pt idx="691">
                  <c:v>-6.4258332522192774</c:v>
                </c:pt>
                <c:pt idx="692">
                  <c:v>-6.4325144737252229</c:v>
                </c:pt>
                <c:pt idx="693">
                  <c:v>-6.4391957548487726</c:v>
                </c:pt>
                <c:pt idx="694">
                  <c:v>-6.4458770955892248</c:v>
                </c:pt>
                <c:pt idx="695">
                  <c:v>-6.4525584959458788</c:v>
                </c:pt>
                <c:pt idx="696">
                  <c:v>-6.4592399559180329</c:v>
                </c:pt>
                <c:pt idx="697">
                  <c:v>-6.4659214755049863</c:v>
                </c:pt>
                <c:pt idx="698">
                  <c:v>-6.4726030547060374</c:v>
                </c:pt>
                <c:pt idx="699">
                  <c:v>-6.4792846935204853</c:v>
                </c:pt>
                <c:pt idx="700">
                  <c:v>-6.4859663919476285</c:v>
                </c:pt>
                <c:pt idx="701">
                  <c:v>-6.4926481499867661</c:v>
                </c:pt>
                <c:pt idx="702">
                  <c:v>-6.4993299676371965</c:v>
                </c:pt>
                <c:pt idx="703">
                  <c:v>-6.5060118448982189</c:v>
                </c:pt>
                <c:pt idx="704">
                  <c:v>-6.5126937817691317</c:v>
                </c:pt>
                <c:pt idx="705">
                  <c:v>-6.5193757782492341</c:v>
                </c:pt>
                <c:pt idx="706">
                  <c:v>-6.5260578343378244</c:v>
                </c:pt>
                <c:pt idx="707">
                  <c:v>-6.5327399500342018</c:v>
                </c:pt>
                <c:pt idx="708">
                  <c:v>-6.5394221253376656</c:v>
                </c:pt>
                <c:pt idx="709">
                  <c:v>-6.5461043602475142</c:v>
                </c:pt>
                <c:pt idx="710">
                  <c:v>-6.5527866547630458</c:v>
                </c:pt>
                <c:pt idx="711">
                  <c:v>-6.5594690088835597</c:v>
                </c:pt>
                <c:pt idx="712">
                  <c:v>-6.5661514226083542</c:v>
                </c:pt>
                <c:pt idx="713">
                  <c:v>-6.5728338959367285</c:v>
                </c:pt>
                <c:pt idx="714">
                  <c:v>-6.579516428867981</c:v>
                </c:pt>
                <c:pt idx="715">
                  <c:v>-6.586199021401411</c:v>
                </c:pt>
                <c:pt idx="716">
                  <c:v>-6.5928816735363176</c:v>
                </c:pt>
                <c:pt idx="717">
                  <c:v>-6.5995643852719992</c:v>
                </c:pt>
                <c:pt idx="718">
                  <c:v>-6.6062471566077541</c:v>
                </c:pt>
                <c:pt idx="719">
                  <c:v>-6.6129299875428815</c:v>
                </c:pt>
                <c:pt idx="720">
                  <c:v>-6.6196128780766808</c:v>
                </c:pt>
                <c:pt idx="721">
                  <c:v>-6.6262958282084501</c:v>
                </c:pt>
                <c:pt idx="722">
                  <c:v>-6.6329788379374888</c:v>
                </c:pt>
                <c:pt idx="723">
                  <c:v>-6.6396619072630951</c:v>
                </c:pt>
                <c:pt idx="724">
                  <c:v>-6.6463450361845675</c:v>
                </c:pt>
                <c:pt idx="725">
                  <c:v>-6.653028224701206</c:v>
                </c:pt>
                <c:pt idx="726">
                  <c:v>-6.6597114728123081</c:v>
                </c:pt>
                <c:pt idx="727">
                  <c:v>-6.666394780517173</c:v>
                </c:pt>
                <c:pt idx="728">
                  <c:v>-6.6730781478151</c:v>
                </c:pt>
                <c:pt idx="729">
                  <c:v>-6.6797615747053873</c:v>
                </c:pt>
                <c:pt idx="730">
                  <c:v>-6.6864450611873343</c:v>
                </c:pt>
                <c:pt idx="731">
                  <c:v>-6.6931286072602401</c:v>
                </c:pt>
                <c:pt idx="732">
                  <c:v>-6.6998122129234021</c:v>
                </c:pt>
                <c:pt idx="733">
                  <c:v>-6.7064958781761206</c:v>
                </c:pt>
                <c:pt idx="734">
                  <c:v>-6.7131796030176938</c:v>
                </c:pt>
                <c:pt idx="735">
                  <c:v>-6.7198633874474201</c:v>
                </c:pt>
                <c:pt idx="736">
                  <c:v>-6.7265472314645987</c:v>
                </c:pt>
                <c:pt idx="737">
                  <c:v>-6.7332311350685288</c:v>
                </c:pt>
                <c:pt idx="738">
                  <c:v>-6.7399150982585088</c:v>
                </c:pt>
                <c:pt idx="739">
                  <c:v>-6.7465991210338379</c:v>
                </c:pt>
                <c:pt idx="740">
                  <c:v>-6.7532832033938144</c:v>
                </c:pt>
                <c:pt idx="741">
                  <c:v>-6.7599673453377367</c:v>
                </c:pt>
                <c:pt idx="742">
                  <c:v>-6.7666515468649049</c:v>
                </c:pt>
                <c:pt idx="743">
                  <c:v>-6.7733358079746164</c:v>
                </c:pt>
                <c:pt idx="744">
                  <c:v>-6.7800201286661714</c:v>
                </c:pt>
                <c:pt idx="745">
                  <c:v>-6.7867045089388682</c:v>
                </c:pt>
                <c:pt idx="746">
                  <c:v>-6.7933889487920052</c:v>
                </c:pt>
                <c:pt idx="747">
                  <c:v>-6.8000734482248815</c:v>
                </c:pt>
                <c:pt idx="748">
                  <c:v>-6.8067580072367964</c:v>
                </c:pt>
                <c:pt idx="749">
                  <c:v>-6.8134426258270482</c:v>
                </c:pt>
                <c:pt idx="750">
                  <c:v>-6.8201273039949353</c:v>
                </c:pt>
                <c:pt idx="751">
                  <c:v>-6.8268120417397569</c:v>
                </c:pt>
                <c:pt idx="752">
                  <c:v>-6.8334968390608122</c:v>
                </c:pt>
                <c:pt idx="753">
                  <c:v>-6.8401816959573996</c:v>
                </c:pt>
                <c:pt idx="754">
                  <c:v>-6.8468666124288182</c:v>
                </c:pt>
                <c:pt idx="755">
                  <c:v>-6.8535515884743674</c:v>
                </c:pt>
                <c:pt idx="756">
                  <c:v>-6.8602366240933446</c:v>
                </c:pt>
                <c:pt idx="757">
                  <c:v>-6.8669217192850498</c:v>
                </c:pt>
                <c:pt idx="758">
                  <c:v>-6.8736068740487815</c:v>
                </c:pt>
                <c:pt idx="759">
                  <c:v>-6.8802920883838388</c:v>
                </c:pt>
                <c:pt idx="760">
                  <c:v>-6.8869773622895201</c:v>
                </c:pt>
                <c:pt idx="761">
                  <c:v>-6.8936626957651237</c:v>
                </c:pt>
                <c:pt idx="762">
                  <c:v>-6.9003480888099498</c:v>
                </c:pt>
                <c:pt idx="763">
                  <c:v>-6.9070335414232957</c:v>
                </c:pt>
                <c:pt idx="764">
                  <c:v>-6.9137190536044617</c:v>
                </c:pt>
                <c:pt idx="765">
                  <c:v>-6.920404625352746</c:v>
                </c:pt>
                <c:pt idx="766">
                  <c:v>-6.927090256667447</c:v>
                </c:pt>
                <c:pt idx="767">
                  <c:v>-6.933775947547864</c:v>
                </c:pt>
                <c:pt idx="768">
                  <c:v>-6.940461697993296</c:v>
                </c:pt>
                <c:pt idx="769">
                  <c:v>-6.9471475080030416</c:v>
                </c:pt>
                <c:pt idx="770">
                  <c:v>-6.9538333775763999</c:v>
                </c:pt>
                <c:pt idx="771">
                  <c:v>-6.9605193067126692</c:v>
                </c:pt>
                <c:pt idx="772">
                  <c:v>-6.9672052954111487</c:v>
                </c:pt>
                <c:pt idx="773">
                  <c:v>-6.9738913436711378</c:v>
                </c:pt>
                <c:pt idx="774">
                  <c:v>-6.9805774514919348</c:v>
                </c:pt>
                <c:pt idx="775">
                  <c:v>-6.9872636188728379</c:v>
                </c:pt>
                <c:pt idx="776">
                  <c:v>-6.9939498458131464</c:v>
                </c:pt>
                <c:pt idx="777">
                  <c:v>-7.0006361323121595</c:v>
                </c:pt>
                <c:pt idx="778">
                  <c:v>-7.0073224783691757</c:v>
                </c:pt>
                <c:pt idx="779">
                  <c:v>-7.014008883983494</c:v>
                </c:pt>
                <c:pt idx="780">
                  <c:v>-7.0206953491544137</c:v>
                </c:pt>
                <c:pt idx="781">
                  <c:v>-7.0273818738812333</c:v>
                </c:pt>
                <c:pt idx="782">
                  <c:v>-7.0340684581632509</c:v>
                </c:pt>
                <c:pt idx="783">
                  <c:v>-7.0407551019997667</c:v>
                </c:pt>
                <c:pt idx="784">
                  <c:v>-7.0474418053900783</c:v>
                </c:pt>
                <c:pt idx="785">
                  <c:v>-7.0541285683334856</c:v>
                </c:pt>
                <c:pt idx="786">
                  <c:v>-7.060815390829287</c:v>
                </c:pt>
                <c:pt idx="787">
                  <c:v>-7.0675022728767809</c:v>
                </c:pt>
                <c:pt idx="788">
                  <c:v>-7.0741892144752665</c:v>
                </c:pt>
                <c:pt idx="789">
                  <c:v>-7.080876215624043</c:v>
                </c:pt>
                <c:pt idx="790">
                  <c:v>-7.0875632763224088</c:v>
                </c:pt>
                <c:pt idx="791">
                  <c:v>-7.0942503965696631</c:v>
                </c:pt>
                <c:pt idx="792">
                  <c:v>-7.100937576365105</c:v>
                </c:pt>
                <c:pt idx="793">
                  <c:v>-7.1076248157080331</c:v>
                </c:pt>
                <c:pt idx="794">
                  <c:v>-7.1143121145977455</c:v>
                </c:pt>
                <c:pt idx="795">
                  <c:v>-7.1209994730335415</c:v>
                </c:pt>
                <c:pt idx="796">
                  <c:v>-7.1276868910147204</c:v>
                </c:pt>
                <c:pt idx="797">
                  <c:v>-7.1343743685405814</c:v>
                </c:pt>
                <c:pt idx="798">
                  <c:v>-7.1410619056104219</c:v>
                </c:pt>
                <c:pt idx="799">
                  <c:v>-7.147749502223542</c:v>
                </c:pt>
                <c:pt idx="800">
                  <c:v>-7.1544371583792401</c:v>
                </c:pt>
                <c:pt idx="801">
                  <c:v>-7.1611248740768154</c:v>
                </c:pt>
                <c:pt idx="802">
                  <c:v>-7.1678126493155663</c:v>
                </c:pt>
                <c:pt idx="803">
                  <c:v>-7.1745004840947919</c:v>
                </c:pt>
                <c:pt idx="804">
                  <c:v>-7.1811883784137915</c:v>
                </c:pt>
                <c:pt idx="805">
                  <c:v>-7.1878763322718635</c:v>
                </c:pt>
                <c:pt idx="806">
                  <c:v>-7.194564345668307</c:v>
                </c:pt>
                <c:pt idx="807">
                  <c:v>-7.2012524186024205</c:v>
                </c:pt>
                <c:pt idx="808">
                  <c:v>-7.2079405510735031</c:v>
                </c:pt>
                <c:pt idx="809">
                  <c:v>-7.2146287430808531</c:v>
                </c:pt>
                <c:pt idx="810">
                  <c:v>-7.2213169946237699</c:v>
                </c:pt>
                <c:pt idx="811">
                  <c:v>-7.2280053057015525</c:v>
                </c:pt>
                <c:pt idx="812">
                  <c:v>-7.2346936763135004</c:v>
                </c:pt>
                <c:pt idx="813">
                  <c:v>-7.2413821064589108</c:v>
                </c:pt>
                <c:pt idx="814">
                  <c:v>-7.2480705961370839</c:v>
                </c:pt>
                <c:pt idx="815">
                  <c:v>-7.2547591453473181</c:v>
                </c:pt>
                <c:pt idx="816">
                  <c:v>-7.2614477540889126</c:v>
                </c:pt>
                <c:pt idx="817">
                  <c:v>-7.2681364223611657</c:v>
                </c:pt>
                <c:pt idx="818">
                  <c:v>-7.2748251501633767</c:v>
                </c:pt>
                <c:pt idx="819">
                  <c:v>-7.2815139374948448</c:v>
                </c:pt>
                <c:pt idx="820">
                  <c:v>-7.2882027843548682</c:v>
                </c:pt>
                <c:pt idx="821">
                  <c:v>-7.2948916907427463</c:v>
                </c:pt>
                <c:pt idx="822">
                  <c:v>-7.3015806566577774</c:v>
                </c:pt>
                <c:pt idx="823">
                  <c:v>-7.3082696820992608</c:v>
                </c:pt>
                <c:pt idx="824">
                  <c:v>-7.3149587670664955</c:v>
                </c:pt>
                <c:pt idx="825">
                  <c:v>-7.32164791155878</c:v>
                </c:pt>
                <c:pt idx="826">
                  <c:v>-7.3283371155754136</c:v>
                </c:pt>
                <c:pt idx="827">
                  <c:v>-7.3350263791156953</c:v>
                </c:pt>
                <c:pt idx="828">
                  <c:v>-7.3417157021789237</c:v>
                </c:pt>
                <c:pt idx="829">
                  <c:v>-7.3484050847643969</c:v>
                </c:pt>
                <c:pt idx="830">
                  <c:v>-7.3550945268714152</c:v>
                </c:pt>
                <c:pt idx="831">
                  <c:v>-7.3617840284992768</c:v>
                </c:pt>
                <c:pt idx="832">
                  <c:v>-7.3684735896472802</c:v>
                </c:pt>
                <c:pt idx="833">
                  <c:v>-7.3751632103147244</c:v>
                </c:pt>
                <c:pt idx="834">
                  <c:v>-7.3818528905009089</c:v>
                </c:pt>
                <c:pt idx="835">
                  <c:v>-7.3885426302051327</c:v>
                </c:pt>
                <c:pt idx="836">
                  <c:v>-7.3952324294266942</c:v>
                </c:pt>
                <c:pt idx="837">
                  <c:v>-7.4019222881648927</c:v>
                </c:pt>
                <c:pt idx="838">
                  <c:v>-7.4086122064190265</c:v>
                </c:pt>
                <c:pt idx="839">
                  <c:v>-7.4153021841883948</c:v>
                </c:pt>
                <c:pt idx="840">
                  <c:v>-7.421992221472296</c:v>
                </c:pt>
                <c:pt idx="841">
                  <c:v>-7.4286823182700301</c:v>
                </c:pt>
                <c:pt idx="842">
                  <c:v>-7.4353724745808956</c:v>
                </c:pt>
                <c:pt idx="843">
                  <c:v>-7.4420626904041907</c:v>
                </c:pt>
                <c:pt idx="844">
                  <c:v>-7.4487529657392146</c:v>
                </c:pt>
                <c:pt idx="845">
                  <c:v>-7.4554433005852667</c:v>
                </c:pt>
                <c:pt idx="846">
                  <c:v>-7.4621336949416452</c:v>
                </c:pt>
                <c:pt idx="847">
                  <c:v>-7.4688241488076494</c:v>
                </c:pt>
                <c:pt idx="848">
                  <c:v>-7.4755146621825785</c:v>
                </c:pt>
                <c:pt idx="849">
                  <c:v>-7.4822052350657309</c:v>
                </c:pt>
                <c:pt idx="850">
                  <c:v>-7.4888958674564057</c:v>
                </c:pt>
                <c:pt idx="851">
                  <c:v>-7.4955865593539022</c:v>
                </c:pt>
                <c:pt idx="852">
                  <c:v>-7.5022773107575187</c:v>
                </c:pt>
                <c:pt idx="853">
                  <c:v>-7.5089681216665545</c:v>
                </c:pt>
                <c:pt idx="854">
                  <c:v>-7.5156589920803079</c:v>
                </c:pt>
                <c:pt idx="855">
                  <c:v>-7.5223499219980781</c:v>
                </c:pt>
                <c:pt idx="856">
                  <c:v>-7.5290409114191643</c:v>
                </c:pt>
                <c:pt idx="857">
                  <c:v>-7.5357319603428659</c:v>
                </c:pt>
                <c:pt idx="858">
                  <c:v>-7.542423068768481</c:v>
                </c:pt>
                <c:pt idx="859">
                  <c:v>-7.5491142366953081</c:v>
                </c:pt>
                <c:pt idx="860">
                  <c:v>-7.5558054641226473</c:v>
                </c:pt>
                <c:pt idx="861">
                  <c:v>-7.5624967510497969</c:v>
                </c:pt>
                <c:pt idx="862">
                  <c:v>-7.5691880974760553</c:v>
                </c:pt>
                <c:pt idx="863">
                  <c:v>-7.5758795034007225</c:v>
                </c:pt>
                <c:pt idx="864">
                  <c:v>-7.5825709688230969</c:v>
                </c:pt>
                <c:pt idx="865">
                  <c:v>-7.5892624937424769</c:v>
                </c:pt>
                <c:pt idx="866">
                  <c:v>-7.5959540781581625</c:v>
                </c:pt>
                <c:pt idx="867">
                  <c:v>-7.6026457220694521</c:v>
                </c:pt>
                <c:pt idx="868">
                  <c:v>-7.6093374254756441</c:v>
                </c:pt>
                <c:pt idx="869">
                  <c:v>-7.6160291883760376</c:v>
                </c:pt>
                <c:pt idx="870">
                  <c:v>-7.6227210107699319</c:v>
                </c:pt>
                <c:pt idx="871">
                  <c:v>-7.6294128926566263</c:v>
                </c:pt>
                <c:pt idx="872">
                  <c:v>-7.636104834035419</c:v>
                </c:pt>
                <c:pt idx="873">
                  <c:v>-7.6427968349056092</c:v>
                </c:pt>
                <c:pt idx="874">
                  <c:v>-7.6494888952664954</c:v>
                </c:pt>
                <c:pt idx="875">
                  <c:v>-7.6561810151173768</c:v>
                </c:pt>
                <c:pt idx="876">
                  <c:v>-7.6628731944575526</c:v>
                </c:pt>
                <c:pt idx="877">
                  <c:v>-7.6695654332863219</c:v>
                </c:pt>
                <c:pt idx="878">
                  <c:v>-7.6762577316029832</c:v>
                </c:pt>
                <c:pt idx="879">
                  <c:v>-7.6829500894068357</c:v>
                </c:pt>
                <c:pt idx="880">
                  <c:v>-7.6896425066971776</c:v>
                </c:pt>
                <c:pt idx="881">
                  <c:v>-7.6963349834733084</c:v>
                </c:pt>
                <c:pt idx="882">
                  <c:v>-7.703027519734527</c:v>
                </c:pt>
                <c:pt idx="883">
                  <c:v>-7.7097201154801329</c:v>
                </c:pt>
                <c:pt idx="884">
                  <c:v>-7.7164127707094243</c:v>
                </c:pt>
                <c:pt idx="885">
                  <c:v>-7.7231054854217005</c:v>
                </c:pt>
                <c:pt idx="886">
                  <c:v>-7.7297982596162598</c:v>
                </c:pt>
                <c:pt idx="887">
                  <c:v>-7.7364910932924014</c:v>
                </c:pt>
                <c:pt idx="888">
                  <c:v>-7.7431839864494245</c:v>
                </c:pt>
                <c:pt idx="889">
                  <c:v>-7.7498769390866284</c:v>
                </c:pt>
                <c:pt idx="890">
                  <c:v>-7.7565699512033115</c:v>
                </c:pt>
                <c:pt idx="891">
                  <c:v>-7.7632630227987729</c:v>
                </c:pt>
                <c:pt idx="892">
                  <c:v>-7.769956153872311</c:v>
                </c:pt>
                <c:pt idx="893">
                  <c:v>-7.776649344423225</c:v>
                </c:pt>
                <c:pt idx="894">
                  <c:v>-7.7833425944508141</c:v>
                </c:pt>
                <c:pt idx="895">
                  <c:v>-7.7900359039543776</c:v>
                </c:pt>
                <c:pt idx="896">
                  <c:v>-7.7967292729332138</c:v>
                </c:pt>
                <c:pt idx="897">
                  <c:v>-7.803422701386622</c:v>
                </c:pt>
                <c:pt idx="898">
                  <c:v>-7.8101161893139013</c:v>
                </c:pt>
                <c:pt idx="899">
                  <c:v>-7.8168097367143501</c:v>
                </c:pt>
                <c:pt idx="900">
                  <c:v>-7.8235033435872676</c:v>
                </c:pt>
                <c:pt idx="901">
                  <c:v>-7.8301970099319531</c:v>
                </c:pt>
                <c:pt idx="902">
                  <c:v>-7.8368907357477049</c:v>
                </c:pt>
                <c:pt idx="903">
                  <c:v>-7.8435845210338222</c:v>
                </c:pt>
                <c:pt idx="904">
                  <c:v>-7.8502783657896043</c:v>
                </c:pt>
                <c:pt idx="905">
                  <c:v>-7.8569722700143494</c:v>
                </c:pt>
                <c:pt idx="906">
                  <c:v>-7.8636662337073568</c:v>
                </c:pt>
                <c:pt idx="907">
                  <c:v>-7.8703602568679258</c:v>
                </c:pt>
                <c:pt idx="908">
                  <c:v>-7.8770543394953556</c:v>
                </c:pt>
                <c:pt idx="909">
                  <c:v>-7.8837484815889445</c:v>
                </c:pt>
                <c:pt idx="910">
                  <c:v>-7.8904426831479917</c:v>
                </c:pt>
                <c:pt idx="911">
                  <c:v>-7.8971369441717956</c:v>
                </c:pt>
                <c:pt idx="912">
                  <c:v>-7.9038312646596554</c:v>
                </c:pt>
                <c:pt idx="913">
                  <c:v>-7.9105256446108703</c:v>
                </c:pt>
                <c:pt idx="914">
                  <c:v>-7.9172200840247395</c:v>
                </c:pt>
                <c:pt idx="915">
                  <c:v>-7.9239145829005615</c:v>
                </c:pt>
                <c:pt idx="916">
                  <c:v>-7.9306091412376354</c:v>
                </c:pt>
                <c:pt idx="917">
                  <c:v>-7.9373037590352604</c:v>
                </c:pt>
                <c:pt idx="918">
                  <c:v>-7.9439984362927358</c:v>
                </c:pt>
                <c:pt idx="919">
                  <c:v>-7.95069317300936</c:v>
                </c:pt>
                <c:pt idx="920">
                  <c:v>-7.957387969184432</c:v>
                </c:pt>
                <c:pt idx="921">
                  <c:v>-7.9640828248172504</c:v>
                </c:pt>
                <c:pt idx="922">
                  <c:v>-7.9707777399071142</c:v>
                </c:pt>
                <c:pt idx="923">
                  <c:v>-7.9774727144533228</c:v>
                </c:pt>
                <c:pt idx="924">
                  <c:v>-7.9841677484551754</c:v>
                </c:pt>
                <c:pt idx="925">
                  <c:v>-7.9908628419119703</c:v>
                </c:pt>
                <c:pt idx="926">
                  <c:v>-7.9975579948230067</c:v>
                </c:pt>
                <c:pt idx="927">
                  <c:v>-8.0042532071875847</c:v>
                </c:pt>
                <c:pt idx="928">
                  <c:v>-8.0109484790050018</c:v>
                </c:pt>
                <c:pt idx="929">
                  <c:v>-8.0176438102745564</c:v>
                </c:pt>
                <c:pt idx="930">
                  <c:v>-8.0243392009955485</c:v>
                </c:pt>
                <c:pt idx="931">
                  <c:v>-8.0310346511672783</c:v>
                </c:pt>
                <c:pt idx="932">
                  <c:v>-8.0377301607890423</c:v>
                </c:pt>
                <c:pt idx="933">
                  <c:v>-8.0444257298601407</c:v>
                </c:pt>
                <c:pt idx="934">
                  <c:v>-8.0511213583798735</c:v>
                </c:pt>
                <c:pt idx="935">
                  <c:v>-8.0578170463475374</c:v>
                </c:pt>
                <c:pt idx="936">
                  <c:v>-8.0645127937624341</c:v>
                </c:pt>
                <c:pt idx="937">
                  <c:v>-8.0712086006238604</c:v>
                </c:pt>
                <c:pt idx="938">
                  <c:v>-8.0779044669311162</c:v>
                </c:pt>
                <c:pt idx="939">
                  <c:v>-8.0846003926834999</c:v>
                </c:pt>
                <c:pt idx="940">
                  <c:v>-8.0912963778803118</c:v>
                </c:pt>
                <c:pt idx="941">
                  <c:v>-8.0979924225208482</c:v>
                </c:pt>
                <c:pt idx="942">
                  <c:v>-8.1046885266044111</c:v>
                </c:pt>
                <c:pt idx="943">
                  <c:v>-8.1113846901302971</c:v>
                </c:pt>
                <c:pt idx="944">
                  <c:v>-8.1180809130978062</c:v>
                </c:pt>
                <c:pt idx="945">
                  <c:v>-8.1247771955062387</c:v>
                </c:pt>
                <c:pt idx="946">
                  <c:v>-8.131473537354891</c:v>
                </c:pt>
                <c:pt idx="947">
                  <c:v>-8.1381699386430633</c:v>
                </c:pt>
                <c:pt idx="948">
                  <c:v>-8.1448663993700556</c:v>
                </c:pt>
                <c:pt idx="949">
                  <c:v>-8.1515629195351664</c:v>
                </c:pt>
                <c:pt idx="950">
                  <c:v>-8.158259499137694</c:v>
                </c:pt>
                <c:pt idx="951">
                  <c:v>-8.1649561381769367</c:v>
                </c:pt>
                <c:pt idx="952">
                  <c:v>-8.1716528366521946</c:v>
                </c:pt>
                <c:pt idx="953">
                  <c:v>-8.178349594562766</c:v>
                </c:pt>
                <c:pt idx="954">
                  <c:v>-8.1850464119079511</c:v>
                </c:pt>
                <c:pt idx="955">
                  <c:v>-8.1917432886870483</c:v>
                </c:pt>
                <c:pt idx="956">
                  <c:v>-8.1984402248993558</c:v>
                </c:pt>
                <c:pt idx="957">
                  <c:v>-8.2051372205441737</c:v>
                </c:pt>
                <c:pt idx="958">
                  <c:v>-8.2118342756208005</c:v>
                </c:pt>
                <c:pt idx="959">
                  <c:v>-8.2185313901285362</c:v>
                </c:pt>
                <c:pt idx="960">
                  <c:v>-8.2252285640666791</c:v>
                </c:pt>
                <c:pt idx="961">
                  <c:v>-8.2319257974345277</c:v>
                </c:pt>
                <c:pt idx="962">
                  <c:v>-8.2386230902313802</c:v>
                </c:pt>
                <c:pt idx="963">
                  <c:v>-8.2453204424565367</c:v>
                </c:pt>
                <c:pt idx="964">
                  <c:v>-8.2520178541092974</c:v>
                </c:pt>
                <c:pt idx="965">
                  <c:v>-8.2587153251889589</c:v>
                </c:pt>
                <c:pt idx="966">
                  <c:v>-8.2654128556948212</c:v>
                </c:pt>
                <c:pt idx="967">
                  <c:v>-8.2721104456261845</c:v>
                </c:pt>
                <c:pt idx="968">
                  <c:v>-8.278808094982347</c:v>
                </c:pt>
                <c:pt idx="969">
                  <c:v>-8.2855058037626073</c:v>
                </c:pt>
                <c:pt idx="970">
                  <c:v>-8.2922035719662635</c:v>
                </c:pt>
                <c:pt idx="971">
                  <c:v>-8.2989013995926157</c:v>
                </c:pt>
                <c:pt idx="972">
                  <c:v>-8.3055992866409643</c:v>
                </c:pt>
                <c:pt idx="973">
                  <c:v>-8.3122972331106055</c:v>
                </c:pt>
                <c:pt idx="974">
                  <c:v>-8.3189952390008397</c:v>
                </c:pt>
                <c:pt idx="975">
                  <c:v>-8.3256933043109669</c:v>
                </c:pt>
                <c:pt idx="976">
                  <c:v>-8.3323914290402854</c:v>
                </c:pt>
                <c:pt idx="977">
                  <c:v>-8.3390896131880936</c:v>
                </c:pt>
                <c:pt idx="978">
                  <c:v>-8.3457878567536898</c:v>
                </c:pt>
                <c:pt idx="979">
                  <c:v>-8.3524861597363742</c:v>
                </c:pt>
                <c:pt idx="980">
                  <c:v>-8.3591845221354468</c:v>
                </c:pt>
                <c:pt idx="981">
                  <c:v>-8.3658829439502043</c:v>
                </c:pt>
                <c:pt idx="982">
                  <c:v>-8.3725814251799466</c:v>
                </c:pt>
                <c:pt idx="983">
                  <c:v>-8.3792799658239741</c:v>
                </c:pt>
                <c:pt idx="984">
                  <c:v>-8.3859785658815849</c:v>
                </c:pt>
                <c:pt idx="985">
                  <c:v>-8.3926772253520774</c:v>
                </c:pt>
                <c:pt idx="986">
                  <c:v>-8.39937594423475</c:v>
                </c:pt>
                <c:pt idx="987">
                  <c:v>-8.4060747225289028</c:v>
                </c:pt>
                <c:pt idx="988">
                  <c:v>-8.4127735602338358</c:v>
                </c:pt>
                <c:pt idx="989">
                  <c:v>-8.4194724573488475</c:v>
                </c:pt>
                <c:pt idx="990">
                  <c:v>-8.4261714138732362</c:v>
                </c:pt>
                <c:pt idx="991">
                  <c:v>-8.4328704298063002</c:v>
                </c:pt>
                <c:pt idx="992">
                  <c:v>-8.4395695051473396</c:v>
                </c:pt>
                <c:pt idx="993">
                  <c:v>-8.4462686398956528</c:v>
                </c:pt>
                <c:pt idx="994">
                  <c:v>-8.4529678340505399</c:v>
                </c:pt>
                <c:pt idx="995">
                  <c:v>-8.4596670876112992</c:v>
                </c:pt>
                <c:pt idx="996">
                  <c:v>-8.4663664005772308</c:v>
                </c:pt>
                <c:pt idx="997">
                  <c:v>-8.4730657729476313</c:v>
                </c:pt>
                <c:pt idx="998">
                  <c:v>-8.4797652047218026</c:v>
                </c:pt>
                <c:pt idx="999">
                  <c:v>-8.4864646958990413</c:v>
                </c:pt>
                <c:pt idx="1000">
                  <c:v>-8.4931642464786474</c:v>
                </c:pt>
              </c:numCache>
            </c:numRef>
          </c:yVal>
          <c:smooth val="1"/>
          <c:extLst>
            <c:ext xmlns:c16="http://schemas.microsoft.com/office/drawing/2014/chart" uri="{C3380CC4-5D6E-409C-BE32-E72D297353CC}">
              <c16:uniqueId val="{00000001-2D93-4A70-848A-B241BE71CA10}"/>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2.4733681936185822E-4</c:v>
                </c:pt>
                <c:pt idx="2">
                  <c:v>1.6523851771565153E-3</c:v>
                </c:pt>
                <c:pt idx="3">
                  <c:v>5.1575534632956246E-3</c:v>
                </c:pt>
                <c:pt idx="4">
                  <c:v>1.093687033726265E-2</c:v>
                </c:pt>
                <c:pt idx="5">
                  <c:v>1.8830297531210832E-2</c:v>
                </c:pt>
                <c:pt idx="6">
                  <c:v>2.8779233377834022E-2</c:v>
                </c:pt>
                <c:pt idx="7">
                  <c:v>4.0775839458927189E-2</c:v>
                </c:pt>
                <c:pt idx="8">
                  <c:v>5.4812221647415865E-2</c:v>
                </c:pt>
                <c:pt idx="9">
                  <c:v>7.0880430523417109E-2</c:v>
                </c:pt>
                <c:pt idx="10">
                  <c:v>8.8972461795073399E-2</c:v>
                </c:pt>
                <c:pt idx="11">
                  <c:v>0.10908025672407436</c:v>
                </c:pt>
                <c:pt idx="12">
                  <c:v>0.13119570255578028</c:v>
                </c:pt>
                <c:pt idx="13">
                  <c:v>0.15531063295386047</c:v>
                </c:pt>
                <c:pt idx="14">
                  <c:v>0.18141682843935875</c:v>
                </c:pt>
                <c:pt idx="15">
                  <c:v>0.20950601683409731</c:v>
                </c:pt>
                <c:pt idx="16">
                  <c:v>0.23956987370832988</c:v>
                </c:pt>
                <c:pt idx="17">
                  <c:v>0.27160002283255397</c:v>
                </c:pt>
                <c:pt idx="18">
                  <c:v>0.30558803663339124</c:v>
                </c:pt>
                <c:pt idx="19">
                  <c:v>0.34152543665344459</c:v>
                </c:pt>
                <c:pt idx="20">
                  <c:v>0.37940369401504004</c:v>
                </c:pt>
                <c:pt idx="21">
                  <c:v>0.41921422988776036</c:v>
                </c:pt>
                <c:pt idx="22">
                  <c:v>0.46094841595967706</c:v>
                </c:pt>
                <c:pt idx="23">
                  <c:v>0.50468150886236818</c:v>
                </c:pt>
                <c:pt idx="24">
                  <c:v>0.55049255302931022</c:v>
                </c:pt>
                <c:pt idx="25">
                  <c:v>0.59838032449026124</c:v>
                </c:pt>
                <c:pt idx="26">
                  <c:v>0.64834326406062237</c:v>
                </c:pt>
                <c:pt idx="27">
                  <c:v>0.70037944725150125</c:v>
                </c:pt>
                <c:pt idx="28">
                  <c:v>0.75448660668628786</c:v>
                </c:pt>
                <c:pt idx="29">
                  <c:v>0.81066215215186821</c:v>
                </c:pt>
                <c:pt idx="30">
                  <c:v>0.86890318861732241</c:v>
                </c:pt>
                <c:pt idx="31">
                  <c:v>0.92920653249617413</c:v>
                </c:pt>
                <c:pt idx="32">
                  <c:v>0.99156872638274673</c:v>
                </c:pt>
                <c:pt idx="33">
                  <c:v>1.0559860524564153</c:v>
                </c:pt>
                <c:pt idx="34">
                  <c:v>1.1224545447176153</c:v>
                </c:pt>
                <c:pt idx="35">
                  <c:v>1.1909700001949335</c:v>
                </c:pt>
                <c:pt idx="36">
                  <c:v>1.2615279892423676</c:v>
                </c:pt>
                <c:pt idx="37">
                  <c:v>1.3341238650290372</c:v>
                </c:pt>
                <c:pt idx="38">
                  <c:v>1.4087527723095974</c:v>
                </c:pt>
                <c:pt idx="39">
                  <c:v>1.4854096555518341</c:v>
                </c:pt>
                <c:pt idx="40">
                  <c:v>1.5640892664879815</c:v>
                </c:pt>
                <c:pt idx="41">
                  <c:v>1.6447861711478817</c:v>
                </c:pt>
                <c:pt idx="42">
                  <c:v>1.7274947564249319</c:v>
                </c:pt>
                <c:pt idx="43">
                  <c:v>1.8122092362196334</c:v>
                </c:pt>
                <c:pt idx="44">
                  <c:v>1.8989236572002872</c:v>
                </c:pt>
                <c:pt idx="45">
                  <c:v>1.9876319042158395</c:v>
                </c:pt>
                <c:pt idx="46">
                  <c:v>2.078327705391954</c:v>
                </c:pt>
                <c:pt idx="47">
                  <c:v>2.1710046369379765</c:v>
                </c:pt>
                <c:pt idx="48">
                  <c:v>2.2656561276894851</c:v>
                </c:pt>
                <c:pt idx="49">
                  <c:v>2.362275463408523</c:v>
                </c:pt>
                <c:pt idx="50">
                  <c:v>2.460855790861336</c:v>
                </c:pt>
                <c:pt idx="51">
                  <c:v>2.5613901216914372</c:v>
                </c:pt>
                <c:pt idx="52">
                  <c:v>2.6638713361040534</c:v>
                </c:pt>
                <c:pt idx="53">
                  <c:v>2.7682921863764545</c:v>
                </c:pt>
                <c:pt idx="54">
                  <c:v>2.8746453002072854</c:v>
                </c:pt>
                <c:pt idx="55">
                  <c:v>2.9829231839167862</c:v>
                </c:pt>
                <c:pt idx="56">
                  <c:v>3.0931182255087077</c:v>
                </c:pt>
                <c:pt idx="57">
                  <c:v>3.2052226976037397</c:v>
                </c:pt>
                <c:pt idx="58">
                  <c:v>3.319228760253409</c:v>
                </c:pt>
                <c:pt idx="59">
                  <c:v>3.4351284636426214</c:v>
                </c:pt>
                <c:pt idx="60">
                  <c:v>3.5529137506883135</c:v>
                </c:pt>
                <c:pt idx="61">
                  <c:v>3.6725764595410597</c:v>
                </c:pt>
                <c:pt idx="62">
                  <c:v>3.7941083259959036</c:v>
                </c:pt>
                <c:pt idx="63">
                  <c:v>3.917496048120729</c:v>
                </c:pt>
                <c:pt idx="64">
                  <c:v>4.0427163242127273</c:v>
                </c:pt>
                <c:pt idx="65">
                  <c:v>4.1697407602713668</c:v>
                </c:pt>
                <c:pt idx="66">
                  <c:v>4.2985408054077832</c:v>
                </c:pt>
                <c:pt idx="67">
                  <c:v>4.4290831993679376</c:v>
                </c:pt>
                <c:pt idx="68">
                  <c:v>4.561325397406705</c:v>
                </c:pt>
                <c:pt idx="69">
                  <c:v>4.6952119733493651</c:v>
                </c:pt>
                <c:pt idx="70">
                  <c:v>4.8306710086435158</c:v>
                </c:pt>
                <c:pt idx="71">
                  <c:v>4.9676221874647384</c:v>
                </c:pt>
                <c:pt idx="72">
                  <c:v>5.1059849323957689</c:v>
                </c:pt>
                <c:pt idx="73">
                  <c:v>5.2456784168900583</c:v>
                </c:pt>
                <c:pt idx="74">
                  <c:v>5.3866215772210824</c:v>
                </c:pt>
                <c:pt idx="75">
                  <c:v>5.528733123936207</c:v>
                </c:pt>
                <c:pt idx="76">
                  <c:v>5.6719315528314951</c:v>
                </c:pt>
                <c:pt idx="77">
                  <c:v>5.8161351554616489</c:v>
                </c:pt>
                <c:pt idx="78">
                  <c:v>5.9612620291973553</c:v>
                </c:pt>
                <c:pt idx="79">
                  <c:v>6.1072300868405573</c:v>
                </c:pt>
                <c:pt idx="80">
                  <c:v>6.2539570658066062</c:v>
                </c:pt>
                <c:pt idx="81">
                  <c:v>6.4013703824296009</c:v>
                </c:pt>
                <c:pt idx="82">
                  <c:v>6.549417017138131</c:v>
                </c:pt>
                <c:pt idx="83">
                  <c:v>6.6980537092987333</c:v>
                </c:pt>
                <c:pt idx="84">
                  <c:v>6.8472371180141396</c:v>
                </c:pt>
                <c:pt idx="85">
                  <c:v>6.9969238246839112</c:v>
                </c:pt>
                <c:pt idx="86">
                  <c:v>7.1470703354507741</c:v>
                </c:pt>
                <c:pt idx="87">
                  <c:v>7.2976330835334755</c:v>
                </c:pt>
                <c:pt idx="88">
                  <c:v>7.4485684314468585</c:v>
                </c:pt>
                <c:pt idx="89">
                  <c:v>7.5998358172169214</c:v>
                </c:pt>
                <c:pt idx="90">
                  <c:v>7.7514009092493268</c:v>
                </c:pt>
                <c:pt idx="91">
                  <c:v>7.9032324729050245</c:v>
                </c:pt>
                <c:pt idx="92">
                  <c:v>8.0552992278138085</c:v>
                </c:pt>
                <c:pt idx="93">
                  <c:v>8.2075706390161649</c:v>
                </c:pt>
                <c:pt idx="94">
                  <c:v>8.3600177101543132</c:v>
                </c:pt>
                <c:pt idx="95">
                  <c:v>8.5126121961407506</c:v>
                </c:pt>
                <c:pt idx="96">
                  <c:v>8.6653258135961124</c:v>
                </c:pt>
                <c:pt idx="97">
                  <c:v>8.8181334187900422</c:v>
                </c:pt>
                <c:pt idx="98">
                  <c:v>8.9710161937069852</c:v>
                </c:pt>
                <c:pt idx="99">
                  <c:v>9.1239584771680597</c:v>
                </c:pt>
                <c:pt idx="100">
                  <c:v>9.2769445875761036</c:v>
                </c:pt>
                <c:pt idx="101">
                  <c:v>9.4299588229882936</c:v>
                </c:pt>
                <c:pt idx="102">
                  <c:v>9.5829854611742267</c:v>
                </c:pt>
                <c:pt idx="103">
                  <c:v>9.7360087596594163</c:v>
                </c:pt>
                <c:pt idx="104">
                  <c:v>9.8890129557540938</c:v>
                </c:pt>
                <c:pt idx="105">
                  <c:v>10.041982266567238</c:v>
                </c:pt>
                <c:pt idx="106">
                  <c:v>10.194900889005725</c:v>
                </c:pt>
                <c:pt idx="107">
                  <c:v>10.347752999758482</c:v>
                </c:pt>
                <c:pt idx="108">
                  <c:v>10.500522755265555</c:v>
                </c:pt>
                <c:pt idx="109">
                  <c:v>10.653198324660133</c:v>
                </c:pt>
                <c:pt idx="110">
                  <c:v>10.805775932726542</c:v>
                </c:pt>
                <c:pt idx="111">
                  <c:v>10.9582558367185</c:v>
                </c:pt>
                <c:pt idx="112">
                  <c:v>11.110638293182168</c:v>
                </c:pt>
                <c:pt idx="113">
                  <c:v>11.262923557959095</c:v>
                </c:pt>
                <c:pt idx="114">
                  <c:v>11.415111886189163</c:v>
                </c:pt>
                <c:pt idx="115">
                  <c:v>11.567203532313503</c:v>
                </c:pt>
                <c:pt idx="116">
                  <c:v>11.71919875007741</c:v>
                </c:pt>
                <c:pt idx="117">
                  <c:v>11.871097792533234</c:v>
                </c:pt>
                <c:pt idx="118">
                  <c:v>12.022900912043259</c:v>
                </c:pt>
                <c:pt idx="119">
                  <c:v>12.174608360282566</c:v>
                </c:pt>
                <c:pt idx="120">
                  <c:v>12.326220388241888</c:v>
                </c:pt>
                <c:pt idx="121">
                  <c:v>12.477737246230443</c:v>
                </c:pt>
                <c:pt idx="122">
                  <c:v>12.629159183878759</c:v>
                </c:pt>
                <c:pt idx="123">
                  <c:v>12.780486450141474</c:v>
                </c:pt>
                <c:pt idx="124">
                  <c:v>12.931719293300141</c:v>
                </c:pt>
                <c:pt idx="125">
                  <c:v>13.082857960965999</c:v>
                </c:pt>
                <c:pt idx="126">
                  <c:v>13.233902700082742</c:v>
                </c:pt>
                <c:pt idx="127">
                  <c:v>13.384853756929274</c:v>
                </c:pt>
                <c:pt idx="128">
                  <c:v>13.535711377122443</c:v>
                </c:pt>
                <c:pt idx="129">
                  <c:v>13.686475805619764</c:v>
                </c:pt>
                <c:pt idx="130">
                  <c:v>13.837147286722141</c:v>
                </c:pt>
                <c:pt idx="131">
                  <c:v>13.987726064076554</c:v>
                </c:pt>
                <c:pt idx="132">
                  <c:v>14.138212380678747</c:v>
                </c:pt>
                <c:pt idx="133">
                  <c:v>14.2886064788759</c:v>
                </c:pt>
                <c:pt idx="134">
                  <c:v>14.438908600369288</c:v>
                </c:pt>
                <c:pt idx="135">
                  <c:v>14.589118986216922</c:v>
                </c:pt>
                <c:pt idx="136">
                  <c:v>14.739237876836185</c:v>
                </c:pt>
                <c:pt idx="137">
                  <c:v>14.889265512006446</c:v>
                </c:pt>
                <c:pt idx="138">
                  <c:v>15.039202130871672</c:v>
                </c:pt>
                <c:pt idx="139">
                  <c:v>15.189047971943014</c:v>
                </c:pt>
                <c:pt idx="140">
                  <c:v>15.338803273101393</c:v>
                </c:pt>
                <c:pt idx="141">
                  <c:v>15.488468271600064</c:v>
                </c:pt>
                <c:pt idx="142">
                  <c:v>15.638043204067174</c:v>
                </c:pt>
                <c:pt idx="143">
                  <c:v>15.787528306508298</c:v>
                </c:pt>
                <c:pt idx="144">
                  <c:v>15.936923814308978</c:v>
                </c:pt>
                <c:pt idx="145">
                  <c:v>16.086229962237233</c:v>
                </c:pt>
                <c:pt idx="146">
                  <c:v>16.235446984446067</c:v>
                </c:pt>
                <c:pt idx="147">
                  <c:v>16.384575114475965</c:v>
                </c:pt>
                <c:pt idx="148">
                  <c:v>16.533614585257361</c:v>
                </c:pt>
                <c:pt idx="149">
                  <c:v>16.682565629113125</c:v>
                </c:pt>
                <c:pt idx="150">
                  <c:v>16.831428477761008</c:v>
                </c:pt>
                <c:pt idx="151">
                  <c:v>16.98020336231609</c:v>
                </c:pt>
                <c:pt idx="152">
                  <c:v>17.128890513293204</c:v>
                </c:pt>
                <c:pt idx="153">
                  <c:v>17.277490160609371</c:v>
                </c:pt>
                <c:pt idx="154">
                  <c:v>17.426002533586203</c:v>
                </c:pt>
                <c:pt idx="155">
                  <c:v>17.574427860952294</c:v>
                </c:pt>
                <c:pt idx="156">
                  <c:v>17.722766370845612</c:v>
                </c:pt>
                <c:pt idx="157">
                  <c:v>17.871018290815876</c:v>
                </c:pt>
                <c:pt idx="158">
                  <c:v>18.019183847826909</c:v>
                </c:pt>
                <c:pt idx="159">
                  <c:v>18.167263268258999</c:v>
                </c:pt>
                <c:pt idx="160">
                  <c:v>18.31525677791123</c:v>
                </c:pt>
                <c:pt idx="161">
                  <c:v>18.463164602003818</c:v>
                </c:pt>
                <c:pt idx="162">
                  <c:v>18.610986965180423</c:v>
                </c:pt>
                <c:pt idx="163">
                  <c:v>18.758724091510459</c:v>
                </c:pt>
                <c:pt idx="164">
                  <c:v>18.90637620449138</c:v>
                </c:pt>
                <c:pt idx="165">
                  <c:v>19.053943527050976</c:v>
                </c:pt>
                <c:pt idx="166">
                  <c:v>19.201426281549637</c:v>
                </c:pt>
                <c:pt idx="167">
                  <c:v>19.348824689782617</c:v>
                </c:pt>
                <c:pt idx="168">
                  <c:v>19.496138972982287</c:v>
                </c:pt>
                <c:pt idx="169">
                  <c:v>19.643369351820375</c:v>
                </c:pt>
                <c:pt idx="170">
                  <c:v>19.79051604641019</c:v>
                </c:pt>
                <c:pt idx="171">
                  <c:v>19.937579276308842</c:v>
                </c:pt>
                <c:pt idx="172">
                  <c:v>20.084559260519459</c:v>
                </c:pt>
                <c:pt idx="173">
                  <c:v>20.231456217493374</c:v>
                </c:pt>
                <c:pt idx="174">
                  <c:v>20.37827036513232</c:v>
                </c:pt>
                <c:pt idx="175">
                  <c:v>20.525001920790594</c:v>
                </c:pt>
                <c:pt idx="176">
                  <c:v>20.671651101277234</c:v>
                </c:pt>
                <c:pt idx="177">
                  <c:v>20.818218122858173</c:v>
                </c:pt>
                <c:pt idx="178">
                  <c:v>20.964703201258384</c:v>
                </c:pt>
                <c:pt idx="179">
                  <c:v>21.111106551664008</c:v>
                </c:pt>
                <c:pt idx="180">
                  <c:v>21.257428388724492</c:v>
                </c:pt>
                <c:pt idx="181">
                  <c:v>21.403668926554694</c:v>
                </c:pt>
                <c:pt idx="182">
                  <c:v>21.54982837873699</c:v>
                </c:pt>
                <c:pt idx="183">
                  <c:v>21.695906958323366</c:v>
                </c:pt>
                <c:pt idx="184">
                  <c:v>21.841904877837511</c:v>
                </c:pt>
                <c:pt idx="185">
                  <c:v>21.987822349276883</c:v>
                </c:pt>
                <c:pt idx="186">
                  <c:v>22.133659584114778</c:v>
                </c:pt>
                <c:pt idx="187">
                  <c:v>22.279416793302389</c:v>
                </c:pt>
                <c:pt idx="188">
                  <c:v>22.425094187270844</c:v>
                </c:pt>
                <c:pt idx="189">
                  <c:v>22.570691975933244</c:v>
                </c:pt>
                <c:pt idx="190">
                  <c:v>22.716210368686689</c:v>
                </c:pt>
                <c:pt idx="191">
                  <c:v>22.861649574414301</c:v>
                </c:pt>
                <c:pt idx="192">
                  <c:v>23.007009801487222</c:v>
                </c:pt>
                <c:pt idx="193">
                  <c:v>23.152291257766613</c:v>
                </c:pt>
                <c:pt idx="194">
                  <c:v>23.297494150605651</c:v>
                </c:pt>
                <c:pt idx="195">
                  <c:v>23.442618686851493</c:v>
                </c:pt>
                <c:pt idx="196">
                  <c:v>23.587665072847258</c:v>
                </c:pt>
                <c:pt idx="197">
                  <c:v>23.732633514433985</c:v>
                </c:pt>
                <c:pt idx="198">
                  <c:v>23.877524216952573</c:v>
                </c:pt>
                <c:pt idx="199">
                  <c:v>24.022337385245734</c:v>
                </c:pt>
                <c:pt idx="200">
                  <c:v>24.167073223659926</c:v>
                </c:pt>
                <c:pt idx="201">
                  <c:v>25.610194257447382</c:v>
                </c:pt>
                <c:pt idx="202">
                  <c:v>27.04571394894532</c:v>
                </c:pt>
                <c:pt idx="203">
                  <c:v>28.473832054426985</c:v>
                </c:pt>
                <c:pt idx="204">
                  <c:v>29.894743613360628</c:v>
                </c:pt>
                <c:pt idx="205">
                  <c:v>31.308639126493681</c:v>
                </c:pt>
                <c:pt idx="206">
                  <c:v>32.715704725738377</c:v>
                </c:pt>
                <c:pt idx="207">
                  <c:v>34.116122336258215</c:v>
                </c:pt>
                <c:pt idx="208">
                  <c:v>35.510069831124959</c:v>
                </c:pt>
                <c:pt idx="209">
                  <c:v>36.897721178887487</c:v>
                </c:pt>
                <c:pt idx="210">
                  <c:v>38.279246584366774</c:v>
                </c:pt>
                <c:pt idx="211">
                  <c:v>39.654812622965302</c:v>
                </c:pt>
                <c:pt idx="212">
                  <c:v>41.024582368753926</c:v>
                </c:pt>
                <c:pt idx="213">
                  <c:v>42.388715516574798</c:v>
                </c:pt>
                <c:pt idx="214">
                  <c:v>43.747368498374811</c:v>
                </c:pt>
                <c:pt idx="215">
                  <c:v>45.1006945939601</c:v>
                </c:pt>
                <c:pt idx="216">
                  <c:v>46.448844036338258</c:v>
                </c:pt>
                <c:pt idx="217">
                  <c:v>47.791964111790726</c:v>
                </c:pt>
                <c:pt idx="218">
                  <c:v>49.130199254793006</c:v>
                </c:pt>
                <c:pt idx="219">
                  <c:v>50.463691137874811</c:v>
                </c:pt>
                <c:pt idx="220">
                  <c:v>51.792578756485369</c:v>
                </c:pt>
                <c:pt idx="221">
                  <c:v>53.116998508900764</c:v>
                </c:pt>
                <c:pt idx="222">
                  <c:v>54.437084271179678</c:v>
                </c:pt>
                <c:pt idx="223">
                  <c:v>55.752967467140984</c:v>
                </c:pt>
                <c:pt idx="224">
                  <c:v>57.06477713330051</c:v>
                </c:pt>
                <c:pt idx="225">
                  <c:v>58.372639978664353</c:v>
                </c:pt>
                <c:pt idx="226">
                  <c:v>59.676680439231703</c:v>
                </c:pt>
                <c:pt idx="227">
                  <c:v>60.97702072701</c:v>
                </c:pt>
                <c:pt idx="228">
                  <c:v>62.273780873288729</c:v>
                </c:pt>
                <c:pt idx="229">
                  <c:v>63.567078765853623</c:v>
                </c:pt>
                <c:pt idx="230">
                  <c:v>64.857030179749344</c:v>
                </c:pt>
                <c:pt idx="231">
                  <c:v>66.143748801113986</c:v>
                </c:pt>
                <c:pt idx="232">
                  <c:v>67.427346243511053</c:v>
                </c:pt>
                <c:pt idx="233">
                  <c:v>68.707932056072153</c:v>
                </c:pt>
                <c:pt idx="234">
                  <c:v>69.985613722633445</c:v>
                </c:pt>
                <c:pt idx="235">
                  <c:v>71.260496650899029</c:v>
                </c:pt>
                <c:pt idx="236">
                  <c:v>72.532684150492074</c:v>
                </c:pt>
                <c:pt idx="237">
                  <c:v>73.80227739855701</c:v>
                </c:pt>
                <c:pt idx="238">
                  <c:v>75.069375391352125</c:v>
                </c:pt>
                <c:pt idx="239">
                  <c:v>76.334074880020339</c:v>
                </c:pt>
                <c:pt idx="240">
                  <c:v>77.596470288448629</c:v>
                </c:pt>
                <c:pt idx="241">
                  <c:v>78.856653610828772</c:v>
                </c:pt>
                <c:pt idx="242">
                  <c:v>80.114714286224412</c:v>
                </c:pt>
                <c:pt idx="243">
                  <c:v>81.37073904715335</c:v>
                </c:pt>
                <c:pt idx="244">
                  <c:v>82.624811738942171</c:v>
                </c:pt>
                <c:pt idx="245">
                  <c:v>83.877013106456999</c:v>
                </c:pt>
                <c:pt idx="246">
                  <c:v>85.127420544838913</c:v>
                </c:pt>
                <c:pt idx="247">
                  <c:v>86.376107811187723</c:v>
                </c:pt>
                <c:pt idx="248">
                  <c:v>87.623144694896197</c:v>
                </c:pt>
                <c:pt idx="249">
                  <c:v>88.868596645725077</c:v>
                </c:pt>
                <c:pt idx="250">
                  <c:v>90.112524360937513</c:v>
                </c:pt>
                <c:pt idx="251">
                  <c:v>91.354983336067477</c:v>
                </c:pt>
                <c:pt idx="252">
                  <c:v>92.596023388274858</c:v>
                </c:pt>
                <c:pt idx="253">
                  <c:v>93.835688166624095</c:v>
                </c:pt>
                <c:pt idx="254">
                  <c:v>95.074014669556718</c:v>
                </c:pt>
                <c:pt idx="255">
                  <c:v>96.311032795414846</c:v>
                </c:pt>
                <c:pt idx="256">
                  <c:v>97.5467649558001</c:v>
                </c:pt>
                <c:pt idx="257">
                  <c:v>98.781225782338637</c:v>
                </c:pt>
                <c:pt idx="258">
                  <c:v>100.01442195389393</c:v>
                </c:pt>
                <c:pt idx="259">
                  <c:v>101.24635216313746</c:v>
                </c:pt>
                <c:pt idx="260">
                  <c:v>102.47700722963823</c:v>
                </c:pt>
                <c:pt idx="261">
                  <c:v>103.7063703534139</c:v>
                </c:pt>
                <c:pt idx="262">
                  <c:v>104.93441749085994</c:v>
                </c:pt>
                <c:pt idx="263">
                  <c:v>106.16111782639283</c:v>
                </c:pt>
                <c:pt idx="264">
                  <c:v>107.38643430914735</c:v>
                </c:pt>
                <c:pt idx="265">
                  <c:v>108.6103242245004</c:v>
                </c:pt>
                <c:pt idx="266">
                  <c:v>109.8327397739414</c:v>
                </c:pt>
                <c:pt idx="267">
                  <c:v>111.05362864238195</c:v>
                </c:pt>
                <c:pt idx="268">
                  <c:v>112.27293453803208</c:v>
                </c:pt>
                <c:pt idx="269">
                  <c:v>113.49059769550941</c:v>
                </c:pt>
                <c:pt idx="270">
                  <c:v>114.70655533738721</c:v>
                </c:pt>
                <c:pt idx="271">
                  <c:v>115.92074209278127</c:v>
                </c:pt>
                <c:pt idx="272">
                  <c:v>117.13309037390725</c:v>
                </c:pt>
                <c:pt idx="273">
                  <c:v>118.34353071299832</c:v>
                </c:pt>
                <c:pt idx="274">
                  <c:v>119.55199206277048</c:v>
                </c:pt>
                <c:pt idx="275">
                  <c:v>120.75840206395837</c:v>
                </c:pt>
                <c:pt idx="276">
                  <c:v>121.96268728347303</c:v>
                </c:pt>
                <c:pt idx="277">
                  <c:v>123.16477342657674</c:v>
                </c:pt>
                <c:pt idx="278">
                  <c:v>124.36458552621006</c:v>
                </c:pt>
                <c:pt idx="279">
                  <c:v>125.56204811230009</c:v>
                </c:pt>
                <c:pt idx="280">
                  <c:v>126.7570853635622</c:v>
                </c:pt>
                <c:pt idx="281">
                  <c:v>127.94962124400065</c:v>
                </c:pt>
                <c:pt idx="282">
                  <c:v>129.13957962602939</c:v>
                </c:pt>
                <c:pt idx="283">
                  <c:v>130.32688440187709</c:v>
                </c:pt>
                <c:pt idx="284">
                  <c:v>131.51145958471341</c:v>
                </c:pt>
                <c:pt idx="285">
                  <c:v>132.693229400733</c:v>
                </c:pt>
                <c:pt idx="286">
                  <c:v>133.87211837326174</c:v>
                </c:pt>
                <c:pt idx="287">
                  <c:v>135.04805139979985</c:v>
                </c:pt>
                <c:pt idx="288">
                  <c:v>136.2209538227884</c:v>
                </c:pt>
                <c:pt idx="289">
                  <c:v>137.39075149477634</c:v>
                </c:pt>
                <c:pt idx="290">
                  <c:v>138.55737083857085</c:v>
                </c:pt>
                <c:pt idx="291">
                  <c:v>139.72073890287439</c:v>
                </c:pt>
                <c:pt idx="292">
                  <c:v>140.88078341384289</c:v>
                </c:pt>
                <c:pt idx="293">
                  <c:v>142.03743282294153</c:v>
                </c:pt>
                <c:pt idx="294">
                  <c:v>143.19061635142467</c:v>
                </c:pt>
                <c:pt idx="295">
                  <c:v>144.34026403172379</c:v>
                </c:pt>
                <c:pt idx="296">
                  <c:v>145.48630674599124</c:v>
                </c:pt>
                <c:pt idx="297">
                  <c:v>146.62867626201592</c:v>
                </c:pt>
                <c:pt idx="298">
                  <c:v>147.76730526670079</c:v>
                </c:pt>
                <c:pt idx="299">
                  <c:v>148.902127397269</c:v>
                </c:pt>
                <c:pt idx="300">
                  <c:v>150.03307727034567</c:v>
                </c:pt>
                <c:pt idx="301">
                  <c:v>151.16009050904563</c:v>
                </c:pt>
                <c:pt idx="302">
                  <c:v>152.28310376818251</c:v>
                </c:pt>
                <c:pt idx="303">
                  <c:v>153.4020547577027</c:v>
                </c:pt>
                <c:pt idx="304">
                  <c:v>154.51688226443605</c:v>
                </c:pt>
                <c:pt idx="305">
                  <c:v>155.62752617224655</c:v>
                </c:pt>
                <c:pt idx="306">
                  <c:v>156.73392748065751</c:v>
                </c:pt>
                <c:pt idx="307">
                  <c:v>157.83602832201959</c:v>
                </c:pt>
                <c:pt idx="308">
                  <c:v>158.9337719772831</c:v>
                </c:pt>
                <c:pt idx="309">
                  <c:v>160.02710289043145</c:v>
                </c:pt>
                <c:pt idx="310">
                  <c:v>161.11596668162781</c:v>
                </c:pt>
                <c:pt idx="311">
                  <c:v>162.20031015912301</c:v>
                </c:pt>
                <c:pt idx="312">
                  <c:v>163.28008132996979</c:v>
                </c:pt>
                <c:pt idx="313">
                  <c:v>164.35522940958472</c:v>
                </c:pt>
                <c:pt idx="314">
                  <c:v>165.42570483019762</c:v>
                </c:pt>
                <c:pt idx="315">
                  <c:v>166.49145924822503</c:v>
                </c:pt>
                <c:pt idx="316">
                  <c:v>167.55244555060304</c:v>
                </c:pt>
                <c:pt idx="317">
                  <c:v>168.60861786011296</c:v>
                </c:pt>
                <c:pt idx="318">
                  <c:v>169.65993153973164</c:v>
                </c:pt>
                <c:pt idx="319">
                  <c:v>170.70634319603718</c:v>
                </c:pt>
                <c:pt idx="320">
                  <c:v>171.74781068169949</c:v>
                </c:pt>
                <c:pt idx="321">
                  <c:v>172.78429309708449</c:v>
                </c:pt>
                <c:pt idx="322">
                  <c:v>173.81575079099935</c:v>
                </c:pt>
                <c:pt idx="323">
                  <c:v>174.84214536060614</c:v>
                </c:pt>
                <c:pt idx="324">
                  <c:v>175.86343965052981</c:v>
                </c:pt>
                <c:pt idx="325">
                  <c:v>176.87959775118642</c:v>
                </c:pt>
                <c:pt idx="326">
                  <c:v>177.89058499635672</c:v>
                </c:pt>
                <c:pt idx="327">
                  <c:v>178.89636796002998</c:v>
                </c:pt>
                <c:pt idx="328">
                  <c:v>179.89691445254189</c:v>
                </c:pt>
                <c:pt idx="329">
                  <c:v>180.89219351603109</c:v>
                </c:pt>
                <c:pt idx="330">
                  <c:v>181.88217541923709</c:v>
                </c:pt>
                <c:pt idx="331">
                  <c:v>182.86683165166349</c:v>
                </c:pt>
                <c:pt idx="332">
                  <c:v>183.84613491712884</c:v>
                </c:pt>
                <c:pt idx="333">
                  <c:v>184.8200591267279</c:v>
                </c:pt>
                <c:pt idx="334">
                  <c:v>185.78857939122562</c:v>
                </c:pt>
                <c:pt idx="335">
                  <c:v>186.75167201290583</c:v>
                </c:pt>
                <c:pt idx="336">
                  <c:v>187.70931447689617</c:v>
                </c:pt>
                <c:pt idx="337">
                  <c:v>187.70931447689617</c:v>
                </c:pt>
                <c:pt idx="338">
                  <c:v>187.70931447689617</c:v>
                </c:pt>
                <c:pt idx="339">
                  <c:v>187.70931447689617</c:v>
                </c:pt>
                <c:pt idx="340">
                  <c:v>187.70931447689617</c:v>
                </c:pt>
                <c:pt idx="341">
                  <c:v>187.70931447689617</c:v>
                </c:pt>
                <c:pt idx="342">
                  <c:v>187.70931447689617</c:v>
                </c:pt>
                <c:pt idx="343">
                  <c:v>187.70931447689617</c:v>
                </c:pt>
                <c:pt idx="344">
                  <c:v>187.70931447689617</c:v>
                </c:pt>
                <c:pt idx="345">
                  <c:v>187.70931447689617</c:v>
                </c:pt>
                <c:pt idx="346">
                  <c:v>187.70931447689617</c:v>
                </c:pt>
                <c:pt idx="347">
                  <c:v>187.70931447689617</c:v>
                </c:pt>
                <c:pt idx="348">
                  <c:v>187.70931447689617</c:v>
                </c:pt>
                <c:pt idx="349">
                  <c:v>187.70931447689617</c:v>
                </c:pt>
                <c:pt idx="350">
                  <c:v>187.70931447689617</c:v>
                </c:pt>
                <c:pt idx="351">
                  <c:v>187.70931447689617</c:v>
                </c:pt>
                <c:pt idx="352">
                  <c:v>187.70931447689617</c:v>
                </c:pt>
                <c:pt idx="353">
                  <c:v>187.70931447689617</c:v>
                </c:pt>
                <c:pt idx="354">
                  <c:v>187.70931447689617</c:v>
                </c:pt>
                <c:pt idx="355">
                  <c:v>187.70931447689617</c:v>
                </c:pt>
                <c:pt idx="356">
                  <c:v>187.70931447689617</c:v>
                </c:pt>
                <c:pt idx="357">
                  <c:v>187.70931447689617</c:v>
                </c:pt>
                <c:pt idx="358">
                  <c:v>187.70931447689617</c:v>
                </c:pt>
                <c:pt idx="359">
                  <c:v>187.70931447689617</c:v>
                </c:pt>
                <c:pt idx="360">
                  <c:v>187.70931447689617</c:v>
                </c:pt>
                <c:pt idx="361">
                  <c:v>187.70931447689617</c:v>
                </c:pt>
                <c:pt idx="362">
                  <c:v>187.70931447689617</c:v>
                </c:pt>
                <c:pt idx="363">
                  <c:v>187.70931447689617</c:v>
                </c:pt>
                <c:pt idx="364">
                  <c:v>187.70931447689617</c:v>
                </c:pt>
                <c:pt idx="365">
                  <c:v>187.70931447689617</c:v>
                </c:pt>
                <c:pt idx="366">
                  <c:v>187.70931447689617</c:v>
                </c:pt>
                <c:pt idx="367">
                  <c:v>187.70931447689617</c:v>
                </c:pt>
                <c:pt idx="368">
                  <c:v>187.70931447689617</c:v>
                </c:pt>
                <c:pt idx="369">
                  <c:v>187.70931447689617</c:v>
                </c:pt>
                <c:pt idx="370">
                  <c:v>187.70931447689617</c:v>
                </c:pt>
                <c:pt idx="371">
                  <c:v>187.70931447689617</c:v>
                </c:pt>
                <c:pt idx="372">
                  <c:v>187.70931447689617</c:v>
                </c:pt>
                <c:pt idx="373">
                  <c:v>187.70931447689617</c:v>
                </c:pt>
                <c:pt idx="374">
                  <c:v>187.70931447689617</c:v>
                </c:pt>
                <c:pt idx="375">
                  <c:v>187.70931447689617</c:v>
                </c:pt>
                <c:pt idx="376">
                  <c:v>187.70931447689617</c:v>
                </c:pt>
                <c:pt idx="377">
                  <c:v>187.70931447689617</c:v>
                </c:pt>
                <c:pt idx="378">
                  <c:v>187.70931447689617</c:v>
                </c:pt>
                <c:pt idx="379">
                  <c:v>187.70931447689617</c:v>
                </c:pt>
                <c:pt idx="380">
                  <c:v>187.70931447689617</c:v>
                </c:pt>
                <c:pt idx="381">
                  <c:v>187.70931447689617</c:v>
                </c:pt>
                <c:pt idx="382">
                  <c:v>187.70931447689617</c:v>
                </c:pt>
                <c:pt idx="383">
                  <c:v>187.70931447689617</c:v>
                </c:pt>
                <c:pt idx="384">
                  <c:v>187.70931447689617</c:v>
                </c:pt>
                <c:pt idx="385">
                  <c:v>187.70931447689617</c:v>
                </c:pt>
                <c:pt idx="386">
                  <c:v>187.70931447689617</c:v>
                </c:pt>
                <c:pt idx="387">
                  <c:v>187.70931447689617</c:v>
                </c:pt>
                <c:pt idx="388">
                  <c:v>187.70931447689617</c:v>
                </c:pt>
                <c:pt idx="389">
                  <c:v>187.70931447689617</c:v>
                </c:pt>
                <c:pt idx="390">
                  <c:v>187.70931447689617</c:v>
                </c:pt>
                <c:pt idx="391">
                  <c:v>187.70931447689617</c:v>
                </c:pt>
                <c:pt idx="392">
                  <c:v>187.70931447689617</c:v>
                </c:pt>
                <c:pt idx="393">
                  <c:v>187.70931447689617</c:v>
                </c:pt>
                <c:pt idx="394">
                  <c:v>187.70931447689617</c:v>
                </c:pt>
                <c:pt idx="395">
                  <c:v>187.70931447689617</c:v>
                </c:pt>
                <c:pt idx="396">
                  <c:v>187.70931447689617</c:v>
                </c:pt>
                <c:pt idx="397">
                  <c:v>187.70931447689617</c:v>
                </c:pt>
                <c:pt idx="398">
                  <c:v>187.70931447689617</c:v>
                </c:pt>
                <c:pt idx="399">
                  <c:v>187.70931447689617</c:v>
                </c:pt>
                <c:pt idx="400">
                  <c:v>187.70931447689617</c:v>
                </c:pt>
                <c:pt idx="401">
                  <c:v>187.70931447689617</c:v>
                </c:pt>
                <c:pt idx="402">
                  <c:v>187.70931447689617</c:v>
                </c:pt>
                <c:pt idx="403">
                  <c:v>187.70931447689617</c:v>
                </c:pt>
                <c:pt idx="404">
                  <c:v>187.70931447689617</c:v>
                </c:pt>
                <c:pt idx="405">
                  <c:v>187.70931447689617</c:v>
                </c:pt>
                <c:pt idx="406">
                  <c:v>187.70931447689617</c:v>
                </c:pt>
                <c:pt idx="407">
                  <c:v>187.70931447689617</c:v>
                </c:pt>
                <c:pt idx="408">
                  <c:v>187.70931447689617</c:v>
                </c:pt>
                <c:pt idx="409">
                  <c:v>187.70931447689617</c:v>
                </c:pt>
                <c:pt idx="410">
                  <c:v>187.70931447689617</c:v>
                </c:pt>
                <c:pt idx="411">
                  <c:v>187.70931447689617</c:v>
                </c:pt>
                <c:pt idx="412">
                  <c:v>187.70931447689617</c:v>
                </c:pt>
                <c:pt idx="413">
                  <c:v>187.70931447689617</c:v>
                </c:pt>
                <c:pt idx="414">
                  <c:v>187.70931447689617</c:v>
                </c:pt>
                <c:pt idx="415">
                  <c:v>187.70931447689617</c:v>
                </c:pt>
                <c:pt idx="416">
                  <c:v>187.70931447689617</c:v>
                </c:pt>
                <c:pt idx="417">
                  <c:v>187.70931447689617</c:v>
                </c:pt>
                <c:pt idx="418">
                  <c:v>187.70931447689617</c:v>
                </c:pt>
                <c:pt idx="419">
                  <c:v>187.70931447689617</c:v>
                </c:pt>
                <c:pt idx="420">
                  <c:v>187.70931447689617</c:v>
                </c:pt>
                <c:pt idx="421">
                  <c:v>187.70931447689617</c:v>
                </c:pt>
                <c:pt idx="422">
                  <c:v>187.70931447689617</c:v>
                </c:pt>
                <c:pt idx="423">
                  <c:v>187.70931447689617</c:v>
                </c:pt>
                <c:pt idx="424">
                  <c:v>187.70931447689617</c:v>
                </c:pt>
                <c:pt idx="425">
                  <c:v>187.70931447689617</c:v>
                </c:pt>
                <c:pt idx="426">
                  <c:v>187.70931447689617</c:v>
                </c:pt>
                <c:pt idx="427">
                  <c:v>187.70931447689617</c:v>
                </c:pt>
                <c:pt idx="428">
                  <c:v>187.70931447689617</c:v>
                </c:pt>
                <c:pt idx="429">
                  <c:v>187.70931447689617</c:v>
                </c:pt>
                <c:pt idx="430">
                  <c:v>187.70931447689617</c:v>
                </c:pt>
                <c:pt idx="431">
                  <c:v>187.70931447689617</c:v>
                </c:pt>
                <c:pt idx="432">
                  <c:v>187.70931447689617</c:v>
                </c:pt>
                <c:pt idx="433">
                  <c:v>187.70931447689617</c:v>
                </c:pt>
                <c:pt idx="434">
                  <c:v>187.70931447689617</c:v>
                </c:pt>
                <c:pt idx="435">
                  <c:v>187.70931447689617</c:v>
                </c:pt>
                <c:pt idx="436">
                  <c:v>187.70931447689617</c:v>
                </c:pt>
                <c:pt idx="437">
                  <c:v>187.70931447689617</c:v>
                </c:pt>
                <c:pt idx="438">
                  <c:v>187.70931447689617</c:v>
                </c:pt>
                <c:pt idx="439">
                  <c:v>187.70931447689617</c:v>
                </c:pt>
                <c:pt idx="440">
                  <c:v>187.70931447689617</c:v>
                </c:pt>
                <c:pt idx="441">
                  <c:v>187.70931447689617</c:v>
                </c:pt>
                <c:pt idx="442">
                  <c:v>187.70931447689617</c:v>
                </c:pt>
                <c:pt idx="443">
                  <c:v>187.70931447689617</c:v>
                </c:pt>
                <c:pt idx="444">
                  <c:v>187.70931447689617</c:v>
                </c:pt>
                <c:pt idx="445">
                  <c:v>187.70931447689617</c:v>
                </c:pt>
                <c:pt idx="446">
                  <c:v>187.70931447689617</c:v>
                </c:pt>
                <c:pt idx="447">
                  <c:v>187.70931447689617</c:v>
                </c:pt>
                <c:pt idx="448">
                  <c:v>187.70931447689617</c:v>
                </c:pt>
                <c:pt idx="449">
                  <c:v>187.70931447689617</c:v>
                </c:pt>
                <c:pt idx="450">
                  <c:v>187.70931447689617</c:v>
                </c:pt>
                <c:pt idx="451">
                  <c:v>187.70931447689617</c:v>
                </c:pt>
                <c:pt idx="452">
                  <c:v>187.70931447689617</c:v>
                </c:pt>
                <c:pt idx="453">
                  <c:v>187.70931447689617</c:v>
                </c:pt>
                <c:pt idx="454">
                  <c:v>187.70931447689617</c:v>
                </c:pt>
                <c:pt idx="455">
                  <c:v>187.70931447689617</c:v>
                </c:pt>
                <c:pt idx="456">
                  <c:v>187.70931447689617</c:v>
                </c:pt>
                <c:pt idx="457">
                  <c:v>187.70931447689617</c:v>
                </c:pt>
                <c:pt idx="458">
                  <c:v>187.70931447689617</c:v>
                </c:pt>
                <c:pt idx="459">
                  <c:v>187.70931447689617</c:v>
                </c:pt>
                <c:pt idx="460">
                  <c:v>187.70931447689617</c:v>
                </c:pt>
                <c:pt idx="461">
                  <c:v>187.70931447689617</c:v>
                </c:pt>
                <c:pt idx="462">
                  <c:v>187.70931447689617</c:v>
                </c:pt>
                <c:pt idx="463">
                  <c:v>187.70931447689617</c:v>
                </c:pt>
                <c:pt idx="464">
                  <c:v>187.70931447689617</c:v>
                </c:pt>
                <c:pt idx="465">
                  <c:v>187.70931447689617</c:v>
                </c:pt>
                <c:pt idx="466">
                  <c:v>187.70931447689617</c:v>
                </c:pt>
                <c:pt idx="467">
                  <c:v>187.70931447689617</c:v>
                </c:pt>
                <c:pt idx="468">
                  <c:v>187.70931447689617</c:v>
                </c:pt>
                <c:pt idx="469">
                  <c:v>187.70931447689617</c:v>
                </c:pt>
                <c:pt idx="470">
                  <c:v>187.70931447689617</c:v>
                </c:pt>
                <c:pt idx="471">
                  <c:v>187.70931447689617</c:v>
                </c:pt>
                <c:pt idx="472">
                  <c:v>187.70931447689617</c:v>
                </c:pt>
                <c:pt idx="473">
                  <c:v>187.70931447689617</c:v>
                </c:pt>
                <c:pt idx="474">
                  <c:v>187.70931447689617</c:v>
                </c:pt>
                <c:pt idx="475">
                  <c:v>187.70931447689617</c:v>
                </c:pt>
                <c:pt idx="476">
                  <c:v>187.70931447689617</c:v>
                </c:pt>
                <c:pt idx="477">
                  <c:v>187.70931447689617</c:v>
                </c:pt>
                <c:pt idx="478">
                  <c:v>187.70931447689617</c:v>
                </c:pt>
                <c:pt idx="479">
                  <c:v>187.70931447689617</c:v>
                </c:pt>
                <c:pt idx="480">
                  <c:v>187.70931447689617</c:v>
                </c:pt>
                <c:pt idx="481">
                  <c:v>187.70931447689617</c:v>
                </c:pt>
                <c:pt idx="482">
                  <c:v>187.70931447689617</c:v>
                </c:pt>
                <c:pt idx="483">
                  <c:v>187.70931447689617</c:v>
                </c:pt>
                <c:pt idx="484">
                  <c:v>187.70931447689617</c:v>
                </c:pt>
                <c:pt idx="485">
                  <c:v>187.70931447689617</c:v>
                </c:pt>
                <c:pt idx="486">
                  <c:v>187.70931447689617</c:v>
                </c:pt>
                <c:pt idx="487">
                  <c:v>187.70931447689617</c:v>
                </c:pt>
                <c:pt idx="488">
                  <c:v>187.70931447689617</c:v>
                </c:pt>
                <c:pt idx="489">
                  <c:v>187.70931447689617</c:v>
                </c:pt>
                <c:pt idx="490">
                  <c:v>187.70931447689617</c:v>
                </c:pt>
                <c:pt idx="491">
                  <c:v>187.70931447689617</c:v>
                </c:pt>
                <c:pt idx="492">
                  <c:v>187.70931447689617</c:v>
                </c:pt>
                <c:pt idx="493">
                  <c:v>187.70931447689617</c:v>
                </c:pt>
                <c:pt idx="494">
                  <c:v>187.70931447689617</c:v>
                </c:pt>
                <c:pt idx="495">
                  <c:v>187.70931447689617</c:v>
                </c:pt>
                <c:pt idx="496">
                  <c:v>187.70931447689617</c:v>
                </c:pt>
                <c:pt idx="497">
                  <c:v>187.70931447689617</c:v>
                </c:pt>
                <c:pt idx="498">
                  <c:v>187.70931447689617</c:v>
                </c:pt>
                <c:pt idx="499">
                  <c:v>187.70931447689617</c:v>
                </c:pt>
                <c:pt idx="500">
                  <c:v>187.70931447689617</c:v>
                </c:pt>
                <c:pt idx="501">
                  <c:v>187.70931447689617</c:v>
                </c:pt>
                <c:pt idx="502">
                  <c:v>187.70931447689617</c:v>
                </c:pt>
                <c:pt idx="503">
                  <c:v>187.70931447689617</c:v>
                </c:pt>
                <c:pt idx="504">
                  <c:v>187.70931447689617</c:v>
                </c:pt>
                <c:pt idx="505">
                  <c:v>187.70931447689617</c:v>
                </c:pt>
                <c:pt idx="506">
                  <c:v>187.70931447689617</c:v>
                </c:pt>
                <c:pt idx="507">
                  <c:v>187.70931447689617</c:v>
                </c:pt>
                <c:pt idx="508">
                  <c:v>187.70931447689617</c:v>
                </c:pt>
                <c:pt idx="509">
                  <c:v>187.70931447689617</c:v>
                </c:pt>
                <c:pt idx="510">
                  <c:v>187.70931447689617</c:v>
                </c:pt>
                <c:pt idx="511">
                  <c:v>187.70931447689617</c:v>
                </c:pt>
                <c:pt idx="512">
                  <c:v>187.70931447689617</c:v>
                </c:pt>
                <c:pt idx="513">
                  <c:v>187.70931447689617</c:v>
                </c:pt>
                <c:pt idx="514">
                  <c:v>187.70931447689617</c:v>
                </c:pt>
                <c:pt idx="515">
                  <c:v>187.70931447689617</c:v>
                </c:pt>
                <c:pt idx="516">
                  <c:v>187.70931447689617</c:v>
                </c:pt>
                <c:pt idx="517">
                  <c:v>187.70931447689617</c:v>
                </c:pt>
                <c:pt idx="518">
                  <c:v>187.70931447689617</c:v>
                </c:pt>
                <c:pt idx="519">
                  <c:v>187.70931447689617</c:v>
                </c:pt>
                <c:pt idx="520">
                  <c:v>187.70931447689617</c:v>
                </c:pt>
                <c:pt idx="521">
                  <c:v>187.70931447689617</c:v>
                </c:pt>
                <c:pt idx="522">
                  <c:v>187.70931447689617</c:v>
                </c:pt>
                <c:pt idx="523">
                  <c:v>187.70931447689617</c:v>
                </c:pt>
                <c:pt idx="524">
                  <c:v>187.70931447689617</c:v>
                </c:pt>
                <c:pt idx="525">
                  <c:v>187.70931447689617</c:v>
                </c:pt>
                <c:pt idx="526">
                  <c:v>187.70931447689617</c:v>
                </c:pt>
                <c:pt idx="527">
                  <c:v>187.70931447689617</c:v>
                </c:pt>
                <c:pt idx="528">
                  <c:v>187.70931447689617</c:v>
                </c:pt>
                <c:pt idx="529">
                  <c:v>187.70931447689617</c:v>
                </c:pt>
                <c:pt idx="530">
                  <c:v>187.70931447689617</c:v>
                </c:pt>
                <c:pt idx="531">
                  <c:v>187.70931447689617</c:v>
                </c:pt>
                <c:pt idx="532">
                  <c:v>187.70931447689617</c:v>
                </c:pt>
                <c:pt idx="533">
                  <c:v>187.70931447689617</c:v>
                </c:pt>
                <c:pt idx="534">
                  <c:v>187.70931447689617</c:v>
                </c:pt>
                <c:pt idx="535">
                  <c:v>187.70931447689617</c:v>
                </c:pt>
                <c:pt idx="536">
                  <c:v>187.70931447689617</c:v>
                </c:pt>
                <c:pt idx="537">
                  <c:v>187.70931447689617</c:v>
                </c:pt>
                <c:pt idx="538">
                  <c:v>187.70931447689617</c:v>
                </c:pt>
                <c:pt idx="539">
                  <c:v>187.70931447689617</c:v>
                </c:pt>
                <c:pt idx="540">
                  <c:v>187.70931447689617</c:v>
                </c:pt>
                <c:pt idx="541">
                  <c:v>187.70931447689617</c:v>
                </c:pt>
                <c:pt idx="542">
                  <c:v>187.70931447689617</c:v>
                </c:pt>
                <c:pt idx="543">
                  <c:v>187.70931447689617</c:v>
                </c:pt>
                <c:pt idx="544">
                  <c:v>187.70931447689617</c:v>
                </c:pt>
                <c:pt idx="545">
                  <c:v>187.70931447689617</c:v>
                </c:pt>
                <c:pt idx="546">
                  <c:v>187.70931447689617</c:v>
                </c:pt>
                <c:pt idx="547">
                  <c:v>187.70931447689617</c:v>
                </c:pt>
                <c:pt idx="548">
                  <c:v>187.70931447689617</c:v>
                </c:pt>
                <c:pt idx="549">
                  <c:v>187.70931447689617</c:v>
                </c:pt>
                <c:pt idx="550">
                  <c:v>187.70931447689617</c:v>
                </c:pt>
                <c:pt idx="551">
                  <c:v>187.70931447689617</c:v>
                </c:pt>
                <c:pt idx="552">
                  <c:v>187.70931447689617</c:v>
                </c:pt>
                <c:pt idx="553">
                  <c:v>187.70931447689617</c:v>
                </c:pt>
                <c:pt idx="554">
                  <c:v>187.70931447689617</c:v>
                </c:pt>
                <c:pt idx="555">
                  <c:v>187.70931447689617</c:v>
                </c:pt>
                <c:pt idx="556">
                  <c:v>187.70931447689617</c:v>
                </c:pt>
                <c:pt idx="557">
                  <c:v>187.70931447689617</c:v>
                </c:pt>
                <c:pt idx="558">
                  <c:v>187.70931447689617</c:v>
                </c:pt>
                <c:pt idx="559">
                  <c:v>187.70931447689617</c:v>
                </c:pt>
                <c:pt idx="560">
                  <c:v>187.70931447689617</c:v>
                </c:pt>
                <c:pt idx="561">
                  <c:v>187.70931447689617</c:v>
                </c:pt>
                <c:pt idx="562">
                  <c:v>187.70931447689617</c:v>
                </c:pt>
                <c:pt idx="563">
                  <c:v>187.70931447689617</c:v>
                </c:pt>
                <c:pt idx="564">
                  <c:v>187.70931447689617</c:v>
                </c:pt>
                <c:pt idx="565">
                  <c:v>187.70931447689617</c:v>
                </c:pt>
                <c:pt idx="566">
                  <c:v>187.70931447689617</c:v>
                </c:pt>
                <c:pt idx="567">
                  <c:v>187.70931447689617</c:v>
                </c:pt>
                <c:pt idx="568">
                  <c:v>187.70931447689617</c:v>
                </c:pt>
                <c:pt idx="569">
                  <c:v>187.70931447689617</c:v>
                </c:pt>
                <c:pt idx="570">
                  <c:v>187.70931447689617</c:v>
                </c:pt>
                <c:pt idx="571">
                  <c:v>187.70931447689617</c:v>
                </c:pt>
                <c:pt idx="572">
                  <c:v>187.70931447689617</c:v>
                </c:pt>
                <c:pt idx="573">
                  <c:v>187.70931447689617</c:v>
                </c:pt>
                <c:pt idx="574">
                  <c:v>187.70931447689617</c:v>
                </c:pt>
                <c:pt idx="575">
                  <c:v>187.70931447689617</c:v>
                </c:pt>
                <c:pt idx="576">
                  <c:v>187.70931447689617</c:v>
                </c:pt>
                <c:pt idx="577">
                  <c:v>187.70931447689617</c:v>
                </c:pt>
                <c:pt idx="578">
                  <c:v>187.70931447689617</c:v>
                </c:pt>
                <c:pt idx="579">
                  <c:v>187.70931447689617</c:v>
                </c:pt>
                <c:pt idx="580">
                  <c:v>187.70931447689617</c:v>
                </c:pt>
                <c:pt idx="581">
                  <c:v>187.70931447689617</c:v>
                </c:pt>
                <c:pt idx="582">
                  <c:v>187.70931447689617</c:v>
                </c:pt>
                <c:pt idx="583">
                  <c:v>187.70931447689617</c:v>
                </c:pt>
                <c:pt idx="584">
                  <c:v>187.70931447689617</c:v>
                </c:pt>
                <c:pt idx="585">
                  <c:v>187.70931447689617</c:v>
                </c:pt>
                <c:pt idx="586">
                  <c:v>187.70931447689617</c:v>
                </c:pt>
                <c:pt idx="587">
                  <c:v>187.70931447689617</c:v>
                </c:pt>
                <c:pt idx="588">
                  <c:v>187.70931447689617</c:v>
                </c:pt>
                <c:pt idx="589">
                  <c:v>187.70931447689617</c:v>
                </c:pt>
                <c:pt idx="590">
                  <c:v>187.70931447689617</c:v>
                </c:pt>
                <c:pt idx="591">
                  <c:v>187.70931447689617</c:v>
                </c:pt>
                <c:pt idx="592">
                  <c:v>187.70931447689617</c:v>
                </c:pt>
                <c:pt idx="593">
                  <c:v>187.70931447689617</c:v>
                </c:pt>
                <c:pt idx="594">
                  <c:v>187.70931447689617</c:v>
                </c:pt>
                <c:pt idx="595">
                  <c:v>187.70931447689617</c:v>
                </c:pt>
                <c:pt idx="596">
                  <c:v>187.70931447689617</c:v>
                </c:pt>
                <c:pt idx="597">
                  <c:v>187.70931447689617</c:v>
                </c:pt>
                <c:pt idx="598">
                  <c:v>187.70931447689617</c:v>
                </c:pt>
                <c:pt idx="599">
                  <c:v>187.70931447689617</c:v>
                </c:pt>
                <c:pt idx="600">
                  <c:v>187.70931447689617</c:v>
                </c:pt>
                <c:pt idx="601">
                  <c:v>187.70931447689617</c:v>
                </c:pt>
                <c:pt idx="602">
                  <c:v>187.70931447689617</c:v>
                </c:pt>
                <c:pt idx="603">
                  <c:v>187.70931447689617</c:v>
                </c:pt>
                <c:pt idx="604">
                  <c:v>187.70931447689617</c:v>
                </c:pt>
                <c:pt idx="605">
                  <c:v>187.70931447689617</c:v>
                </c:pt>
                <c:pt idx="606">
                  <c:v>187.70931447689617</c:v>
                </c:pt>
                <c:pt idx="607">
                  <c:v>187.70931447689617</c:v>
                </c:pt>
                <c:pt idx="608">
                  <c:v>187.70931447689617</c:v>
                </c:pt>
                <c:pt idx="609">
                  <c:v>187.70931447689617</c:v>
                </c:pt>
                <c:pt idx="610">
                  <c:v>187.70931447689617</c:v>
                </c:pt>
                <c:pt idx="611">
                  <c:v>187.70931447689617</c:v>
                </c:pt>
                <c:pt idx="612">
                  <c:v>187.70931447689617</c:v>
                </c:pt>
                <c:pt idx="613">
                  <c:v>187.70931447689617</c:v>
                </c:pt>
                <c:pt idx="614">
                  <c:v>187.70931447689617</c:v>
                </c:pt>
                <c:pt idx="615">
                  <c:v>187.70931447689617</c:v>
                </c:pt>
                <c:pt idx="616">
                  <c:v>187.70931447689617</c:v>
                </c:pt>
                <c:pt idx="617">
                  <c:v>187.70931447689617</c:v>
                </c:pt>
                <c:pt idx="618">
                  <c:v>187.70931447689617</c:v>
                </c:pt>
                <c:pt idx="619">
                  <c:v>187.70931447689617</c:v>
                </c:pt>
                <c:pt idx="620">
                  <c:v>187.70931447689617</c:v>
                </c:pt>
                <c:pt idx="621">
                  <c:v>187.70931447689617</c:v>
                </c:pt>
                <c:pt idx="622">
                  <c:v>187.70931447689617</c:v>
                </c:pt>
                <c:pt idx="623">
                  <c:v>187.70931447689617</c:v>
                </c:pt>
                <c:pt idx="624">
                  <c:v>187.70931447689617</c:v>
                </c:pt>
                <c:pt idx="625">
                  <c:v>187.70931447689617</c:v>
                </c:pt>
                <c:pt idx="626">
                  <c:v>187.70931447689617</c:v>
                </c:pt>
                <c:pt idx="627">
                  <c:v>187.70931447689617</c:v>
                </c:pt>
                <c:pt idx="628">
                  <c:v>187.70931447689617</c:v>
                </c:pt>
                <c:pt idx="629">
                  <c:v>187.70931447689617</c:v>
                </c:pt>
                <c:pt idx="630">
                  <c:v>187.70931447689617</c:v>
                </c:pt>
                <c:pt idx="631">
                  <c:v>187.70931447689617</c:v>
                </c:pt>
                <c:pt idx="632">
                  <c:v>187.70931447689617</c:v>
                </c:pt>
                <c:pt idx="633">
                  <c:v>187.70931447689617</c:v>
                </c:pt>
                <c:pt idx="634">
                  <c:v>187.70931447689617</c:v>
                </c:pt>
                <c:pt idx="635">
                  <c:v>187.70931447689617</c:v>
                </c:pt>
                <c:pt idx="636">
                  <c:v>187.70931447689617</c:v>
                </c:pt>
                <c:pt idx="637">
                  <c:v>187.70931447689617</c:v>
                </c:pt>
                <c:pt idx="638">
                  <c:v>187.70931447689617</c:v>
                </c:pt>
                <c:pt idx="639">
                  <c:v>187.70931447689617</c:v>
                </c:pt>
                <c:pt idx="640">
                  <c:v>187.70931447689617</c:v>
                </c:pt>
                <c:pt idx="641">
                  <c:v>187.70931447689617</c:v>
                </c:pt>
                <c:pt idx="642">
                  <c:v>187.70931447689617</c:v>
                </c:pt>
                <c:pt idx="643">
                  <c:v>187.70931447689617</c:v>
                </c:pt>
                <c:pt idx="644">
                  <c:v>187.70931447689617</c:v>
                </c:pt>
                <c:pt idx="645">
                  <c:v>187.70931447689617</c:v>
                </c:pt>
                <c:pt idx="646">
                  <c:v>187.70931447689617</c:v>
                </c:pt>
                <c:pt idx="647">
                  <c:v>187.70931447689617</c:v>
                </c:pt>
                <c:pt idx="648">
                  <c:v>187.70931447689617</c:v>
                </c:pt>
                <c:pt idx="649">
                  <c:v>187.70931447689617</c:v>
                </c:pt>
                <c:pt idx="650">
                  <c:v>187.70931447689617</c:v>
                </c:pt>
                <c:pt idx="651">
                  <c:v>187.70931447689617</c:v>
                </c:pt>
                <c:pt idx="652">
                  <c:v>187.70931447689617</c:v>
                </c:pt>
                <c:pt idx="653">
                  <c:v>187.70931447689617</c:v>
                </c:pt>
                <c:pt idx="654">
                  <c:v>187.70931447689617</c:v>
                </c:pt>
                <c:pt idx="655">
                  <c:v>187.70931447689617</c:v>
                </c:pt>
                <c:pt idx="656">
                  <c:v>187.70931447689617</c:v>
                </c:pt>
                <c:pt idx="657">
                  <c:v>187.70931447689617</c:v>
                </c:pt>
                <c:pt idx="658">
                  <c:v>187.70931447689617</c:v>
                </c:pt>
                <c:pt idx="659">
                  <c:v>187.70931447689617</c:v>
                </c:pt>
                <c:pt idx="660">
                  <c:v>187.70931447689617</c:v>
                </c:pt>
                <c:pt idx="661">
                  <c:v>187.70931447689617</c:v>
                </c:pt>
                <c:pt idx="662">
                  <c:v>187.70931447689617</c:v>
                </c:pt>
                <c:pt idx="663">
                  <c:v>187.70931447689617</c:v>
                </c:pt>
                <c:pt idx="664">
                  <c:v>187.70931447689617</c:v>
                </c:pt>
                <c:pt idx="665">
                  <c:v>187.70931447689617</c:v>
                </c:pt>
                <c:pt idx="666">
                  <c:v>187.70931447689617</c:v>
                </c:pt>
                <c:pt idx="667">
                  <c:v>187.70931447689617</c:v>
                </c:pt>
                <c:pt idx="668">
                  <c:v>187.70931447689617</c:v>
                </c:pt>
                <c:pt idx="669">
                  <c:v>187.70931447689617</c:v>
                </c:pt>
                <c:pt idx="670">
                  <c:v>187.70931447689617</c:v>
                </c:pt>
                <c:pt idx="671">
                  <c:v>187.70931447689617</c:v>
                </c:pt>
                <c:pt idx="672">
                  <c:v>187.70931447689617</c:v>
                </c:pt>
                <c:pt idx="673">
                  <c:v>187.70931447689617</c:v>
                </c:pt>
                <c:pt idx="674">
                  <c:v>187.70931447689617</c:v>
                </c:pt>
                <c:pt idx="675">
                  <c:v>187.70931447689617</c:v>
                </c:pt>
                <c:pt idx="676">
                  <c:v>187.70931447689617</c:v>
                </c:pt>
                <c:pt idx="677">
                  <c:v>187.70931447689617</c:v>
                </c:pt>
                <c:pt idx="678">
                  <c:v>187.70931447689617</c:v>
                </c:pt>
                <c:pt idx="679">
                  <c:v>187.70931447689617</c:v>
                </c:pt>
                <c:pt idx="680">
                  <c:v>187.70931447689617</c:v>
                </c:pt>
                <c:pt idx="681">
                  <c:v>187.70931447689617</c:v>
                </c:pt>
                <c:pt idx="682">
                  <c:v>187.70931447689617</c:v>
                </c:pt>
                <c:pt idx="683">
                  <c:v>187.70931447689617</c:v>
                </c:pt>
                <c:pt idx="684">
                  <c:v>187.70931447689617</c:v>
                </c:pt>
                <c:pt idx="685">
                  <c:v>187.70931447689617</c:v>
                </c:pt>
                <c:pt idx="686">
                  <c:v>187.70931447689617</c:v>
                </c:pt>
                <c:pt idx="687">
                  <c:v>187.70931447689617</c:v>
                </c:pt>
                <c:pt idx="688">
                  <c:v>187.70931447689617</c:v>
                </c:pt>
                <c:pt idx="689">
                  <c:v>187.70931447689617</c:v>
                </c:pt>
                <c:pt idx="690">
                  <c:v>187.70931447689617</c:v>
                </c:pt>
                <c:pt idx="691">
                  <c:v>187.70931447689617</c:v>
                </c:pt>
                <c:pt idx="692">
                  <c:v>187.70931447689617</c:v>
                </c:pt>
                <c:pt idx="693">
                  <c:v>187.70931447689617</c:v>
                </c:pt>
                <c:pt idx="694">
                  <c:v>187.70931447689617</c:v>
                </c:pt>
                <c:pt idx="695">
                  <c:v>187.70931447689617</c:v>
                </c:pt>
                <c:pt idx="696">
                  <c:v>187.70931447689617</c:v>
                </c:pt>
                <c:pt idx="697">
                  <c:v>187.70931447689617</c:v>
                </c:pt>
                <c:pt idx="698">
                  <c:v>187.70931447689617</c:v>
                </c:pt>
                <c:pt idx="699">
                  <c:v>187.70931447689617</c:v>
                </c:pt>
                <c:pt idx="700">
                  <c:v>187.70931447689617</c:v>
                </c:pt>
                <c:pt idx="701">
                  <c:v>187.70931447689617</c:v>
                </c:pt>
                <c:pt idx="702">
                  <c:v>187.70931447689617</c:v>
                </c:pt>
                <c:pt idx="703">
                  <c:v>187.70931447689617</c:v>
                </c:pt>
                <c:pt idx="704">
                  <c:v>187.70931447689617</c:v>
                </c:pt>
                <c:pt idx="705">
                  <c:v>187.70931447689617</c:v>
                </c:pt>
                <c:pt idx="706">
                  <c:v>187.70931447689617</c:v>
                </c:pt>
                <c:pt idx="707">
                  <c:v>187.70931447689617</c:v>
                </c:pt>
                <c:pt idx="708">
                  <c:v>187.70931447689617</c:v>
                </c:pt>
                <c:pt idx="709">
                  <c:v>187.70931447689617</c:v>
                </c:pt>
                <c:pt idx="710">
                  <c:v>187.70931447689617</c:v>
                </c:pt>
                <c:pt idx="711">
                  <c:v>187.70931447689617</c:v>
                </c:pt>
                <c:pt idx="712">
                  <c:v>187.70931447689617</c:v>
                </c:pt>
                <c:pt idx="713">
                  <c:v>187.70931447689617</c:v>
                </c:pt>
                <c:pt idx="714">
                  <c:v>187.70931447689617</c:v>
                </c:pt>
                <c:pt idx="715">
                  <c:v>187.70931447689617</c:v>
                </c:pt>
                <c:pt idx="716">
                  <c:v>187.70931447689617</c:v>
                </c:pt>
                <c:pt idx="717">
                  <c:v>187.70931447689617</c:v>
                </c:pt>
                <c:pt idx="718">
                  <c:v>187.70931447689617</c:v>
                </c:pt>
                <c:pt idx="719">
                  <c:v>187.70931447689617</c:v>
                </c:pt>
                <c:pt idx="720">
                  <c:v>187.70931447689617</c:v>
                </c:pt>
                <c:pt idx="721">
                  <c:v>187.70931447689617</c:v>
                </c:pt>
                <c:pt idx="722">
                  <c:v>187.70931447689617</c:v>
                </c:pt>
                <c:pt idx="723">
                  <c:v>187.70931447689617</c:v>
                </c:pt>
                <c:pt idx="724">
                  <c:v>187.70931447689617</c:v>
                </c:pt>
                <c:pt idx="725">
                  <c:v>187.70931447689617</c:v>
                </c:pt>
                <c:pt idx="726">
                  <c:v>187.70931447689617</c:v>
                </c:pt>
                <c:pt idx="727">
                  <c:v>187.70931447689617</c:v>
                </c:pt>
                <c:pt idx="728">
                  <c:v>187.70931447689617</c:v>
                </c:pt>
                <c:pt idx="729">
                  <c:v>187.70931447689617</c:v>
                </c:pt>
                <c:pt idx="730">
                  <c:v>187.70931447689617</c:v>
                </c:pt>
                <c:pt idx="731">
                  <c:v>187.70931447689617</c:v>
                </c:pt>
                <c:pt idx="732">
                  <c:v>187.70931447689617</c:v>
                </c:pt>
                <c:pt idx="733">
                  <c:v>187.70931447689617</c:v>
                </c:pt>
                <c:pt idx="734">
                  <c:v>187.70931447689617</c:v>
                </c:pt>
                <c:pt idx="735">
                  <c:v>187.70931447689617</c:v>
                </c:pt>
                <c:pt idx="736">
                  <c:v>187.70931447689617</c:v>
                </c:pt>
                <c:pt idx="737">
                  <c:v>187.70931447689617</c:v>
                </c:pt>
                <c:pt idx="738">
                  <c:v>187.70931447689617</c:v>
                </c:pt>
                <c:pt idx="739">
                  <c:v>187.70931447689617</c:v>
                </c:pt>
                <c:pt idx="740">
                  <c:v>187.70931447689617</c:v>
                </c:pt>
                <c:pt idx="741">
                  <c:v>187.70931447689617</c:v>
                </c:pt>
                <c:pt idx="742">
                  <c:v>187.70931447689617</c:v>
                </c:pt>
                <c:pt idx="743">
                  <c:v>187.70931447689617</c:v>
                </c:pt>
                <c:pt idx="744">
                  <c:v>187.70931447689617</c:v>
                </c:pt>
                <c:pt idx="745">
                  <c:v>187.70931447689617</c:v>
                </c:pt>
                <c:pt idx="746">
                  <c:v>187.70931447689617</c:v>
                </c:pt>
                <c:pt idx="747">
                  <c:v>187.70931447689617</c:v>
                </c:pt>
                <c:pt idx="748">
                  <c:v>187.70931447689617</c:v>
                </c:pt>
                <c:pt idx="749">
                  <c:v>187.70931447689617</c:v>
                </c:pt>
                <c:pt idx="750">
                  <c:v>187.70931447689617</c:v>
                </c:pt>
                <c:pt idx="751">
                  <c:v>187.70931447689617</c:v>
                </c:pt>
                <c:pt idx="752">
                  <c:v>187.70931447689617</c:v>
                </c:pt>
                <c:pt idx="753">
                  <c:v>187.70931447689617</c:v>
                </c:pt>
                <c:pt idx="754">
                  <c:v>187.70931447689617</c:v>
                </c:pt>
                <c:pt idx="755">
                  <c:v>187.70931447689617</c:v>
                </c:pt>
                <c:pt idx="756">
                  <c:v>187.70931447689617</c:v>
                </c:pt>
                <c:pt idx="757">
                  <c:v>187.70931447689617</c:v>
                </c:pt>
                <c:pt idx="758">
                  <c:v>187.70931447689617</c:v>
                </c:pt>
                <c:pt idx="759">
                  <c:v>187.70931447689617</c:v>
                </c:pt>
                <c:pt idx="760">
                  <c:v>187.70931447689617</c:v>
                </c:pt>
                <c:pt idx="761">
                  <c:v>187.70931447689617</c:v>
                </c:pt>
                <c:pt idx="762">
                  <c:v>187.70931447689617</c:v>
                </c:pt>
                <c:pt idx="763">
                  <c:v>187.70931447689617</c:v>
                </c:pt>
                <c:pt idx="764">
                  <c:v>187.70931447689617</c:v>
                </c:pt>
                <c:pt idx="765">
                  <c:v>187.70931447689617</c:v>
                </c:pt>
                <c:pt idx="766">
                  <c:v>187.70931447689617</c:v>
                </c:pt>
                <c:pt idx="767">
                  <c:v>187.70931447689617</c:v>
                </c:pt>
                <c:pt idx="768">
                  <c:v>187.70931447689617</c:v>
                </c:pt>
                <c:pt idx="769">
                  <c:v>187.70931447689617</c:v>
                </c:pt>
                <c:pt idx="770">
                  <c:v>187.70931447689617</c:v>
                </c:pt>
                <c:pt idx="771">
                  <c:v>187.70931447689617</c:v>
                </c:pt>
                <c:pt idx="772">
                  <c:v>187.70931447689617</c:v>
                </c:pt>
                <c:pt idx="773">
                  <c:v>187.70931447689617</c:v>
                </c:pt>
                <c:pt idx="774">
                  <c:v>187.70931447689617</c:v>
                </c:pt>
                <c:pt idx="775">
                  <c:v>187.70931447689617</c:v>
                </c:pt>
                <c:pt idx="776">
                  <c:v>187.70931447689617</c:v>
                </c:pt>
                <c:pt idx="777">
                  <c:v>187.70931447689617</c:v>
                </c:pt>
                <c:pt idx="778">
                  <c:v>187.70931447689617</c:v>
                </c:pt>
                <c:pt idx="779">
                  <c:v>187.70931447689617</c:v>
                </c:pt>
                <c:pt idx="780">
                  <c:v>187.70931447689617</c:v>
                </c:pt>
                <c:pt idx="781">
                  <c:v>187.70931447689617</c:v>
                </c:pt>
                <c:pt idx="782">
                  <c:v>187.70931447689617</c:v>
                </c:pt>
                <c:pt idx="783">
                  <c:v>187.70931447689617</c:v>
                </c:pt>
                <c:pt idx="784">
                  <c:v>187.70931447689617</c:v>
                </c:pt>
                <c:pt idx="785">
                  <c:v>187.70931447689617</c:v>
                </c:pt>
                <c:pt idx="786">
                  <c:v>187.70931447689617</c:v>
                </c:pt>
                <c:pt idx="787">
                  <c:v>187.70931447689617</c:v>
                </c:pt>
                <c:pt idx="788">
                  <c:v>187.70931447689617</c:v>
                </c:pt>
                <c:pt idx="789">
                  <c:v>187.70931447689617</c:v>
                </c:pt>
                <c:pt idx="790">
                  <c:v>187.70931447689617</c:v>
                </c:pt>
                <c:pt idx="791">
                  <c:v>187.70931447689617</c:v>
                </c:pt>
                <c:pt idx="792">
                  <c:v>187.70931447689617</c:v>
                </c:pt>
                <c:pt idx="793">
                  <c:v>187.70931447689617</c:v>
                </c:pt>
                <c:pt idx="794">
                  <c:v>187.70931447689617</c:v>
                </c:pt>
                <c:pt idx="795">
                  <c:v>187.70931447689617</c:v>
                </c:pt>
                <c:pt idx="796">
                  <c:v>187.70931447689617</c:v>
                </c:pt>
                <c:pt idx="797">
                  <c:v>187.70931447689617</c:v>
                </c:pt>
                <c:pt idx="798">
                  <c:v>187.70931447689617</c:v>
                </c:pt>
                <c:pt idx="799">
                  <c:v>187.70931447689617</c:v>
                </c:pt>
                <c:pt idx="800">
                  <c:v>187.70931447689617</c:v>
                </c:pt>
                <c:pt idx="801">
                  <c:v>187.70931447689617</c:v>
                </c:pt>
                <c:pt idx="802">
                  <c:v>187.70931447689617</c:v>
                </c:pt>
                <c:pt idx="803">
                  <c:v>187.70931447689617</c:v>
                </c:pt>
                <c:pt idx="804">
                  <c:v>187.70931447689617</c:v>
                </c:pt>
                <c:pt idx="805">
                  <c:v>187.70931447689617</c:v>
                </c:pt>
                <c:pt idx="806">
                  <c:v>187.70931447689617</c:v>
                </c:pt>
                <c:pt idx="807">
                  <c:v>187.70931447689617</c:v>
                </c:pt>
                <c:pt idx="808">
                  <c:v>187.70931447689617</c:v>
                </c:pt>
                <c:pt idx="809">
                  <c:v>187.70931447689617</c:v>
                </c:pt>
                <c:pt idx="810">
                  <c:v>187.70931447689617</c:v>
                </c:pt>
                <c:pt idx="811">
                  <c:v>187.70931447689617</c:v>
                </c:pt>
                <c:pt idx="812">
                  <c:v>187.70931447689617</c:v>
                </c:pt>
                <c:pt idx="813">
                  <c:v>187.70931447689617</c:v>
                </c:pt>
                <c:pt idx="814">
                  <c:v>187.70931447689617</c:v>
                </c:pt>
                <c:pt idx="815">
                  <c:v>187.70931447689617</c:v>
                </c:pt>
                <c:pt idx="816">
                  <c:v>187.70931447689617</c:v>
                </c:pt>
                <c:pt idx="817">
                  <c:v>187.70931447689617</c:v>
                </c:pt>
                <c:pt idx="818">
                  <c:v>187.70931447689617</c:v>
                </c:pt>
                <c:pt idx="819">
                  <c:v>187.70931447689617</c:v>
                </c:pt>
                <c:pt idx="820">
                  <c:v>187.70931447689617</c:v>
                </c:pt>
                <c:pt idx="821">
                  <c:v>187.70931447689617</c:v>
                </c:pt>
                <c:pt idx="822">
                  <c:v>187.70931447689617</c:v>
                </c:pt>
                <c:pt idx="823">
                  <c:v>187.70931447689617</c:v>
                </c:pt>
                <c:pt idx="824">
                  <c:v>187.70931447689617</c:v>
                </c:pt>
                <c:pt idx="825">
                  <c:v>187.70931447689617</c:v>
                </c:pt>
                <c:pt idx="826">
                  <c:v>187.70931447689617</c:v>
                </c:pt>
                <c:pt idx="827">
                  <c:v>187.70931447689617</c:v>
                </c:pt>
                <c:pt idx="828">
                  <c:v>187.70931447689617</c:v>
                </c:pt>
                <c:pt idx="829">
                  <c:v>187.70931447689617</c:v>
                </c:pt>
                <c:pt idx="830">
                  <c:v>187.70931447689617</c:v>
                </c:pt>
                <c:pt idx="831">
                  <c:v>187.70931447689617</c:v>
                </c:pt>
                <c:pt idx="832">
                  <c:v>187.70931447689617</c:v>
                </c:pt>
                <c:pt idx="833">
                  <c:v>187.70931447689617</c:v>
                </c:pt>
                <c:pt idx="834">
                  <c:v>187.70931447689617</c:v>
                </c:pt>
                <c:pt idx="835">
                  <c:v>187.70931447689617</c:v>
                </c:pt>
                <c:pt idx="836">
                  <c:v>187.70931447689617</c:v>
                </c:pt>
                <c:pt idx="837">
                  <c:v>187.70931447689617</c:v>
                </c:pt>
                <c:pt idx="838">
                  <c:v>187.70931447689617</c:v>
                </c:pt>
                <c:pt idx="839">
                  <c:v>187.70931447689617</c:v>
                </c:pt>
                <c:pt idx="840">
                  <c:v>187.70931447689617</c:v>
                </c:pt>
                <c:pt idx="841">
                  <c:v>187.70931447689617</c:v>
                </c:pt>
                <c:pt idx="842">
                  <c:v>187.70931447689617</c:v>
                </c:pt>
                <c:pt idx="843">
                  <c:v>187.70931447689617</c:v>
                </c:pt>
                <c:pt idx="844">
                  <c:v>187.70931447689617</c:v>
                </c:pt>
                <c:pt idx="845">
                  <c:v>187.70931447689617</c:v>
                </c:pt>
                <c:pt idx="846">
                  <c:v>187.70931447689617</c:v>
                </c:pt>
                <c:pt idx="847">
                  <c:v>187.70931447689617</c:v>
                </c:pt>
                <c:pt idx="848">
                  <c:v>187.70931447689617</c:v>
                </c:pt>
                <c:pt idx="849">
                  <c:v>187.70931447689617</c:v>
                </c:pt>
                <c:pt idx="850">
                  <c:v>187.70931447689617</c:v>
                </c:pt>
                <c:pt idx="851">
                  <c:v>187.70931447689617</c:v>
                </c:pt>
                <c:pt idx="852">
                  <c:v>187.70931447689617</c:v>
                </c:pt>
                <c:pt idx="853">
                  <c:v>187.70931447689617</c:v>
                </c:pt>
                <c:pt idx="854">
                  <c:v>187.70931447689617</c:v>
                </c:pt>
                <c:pt idx="855">
                  <c:v>187.70931447689617</c:v>
                </c:pt>
                <c:pt idx="856">
                  <c:v>187.70931447689617</c:v>
                </c:pt>
                <c:pt idx="857">
                  <c:v>187.70931447689617</c:v>
                </c:pt>
                <c:pt idx="858">
                  <c:v>187.70931447689617</c:v>
                </c:pt>
                <c:pt idx="859">
                  <c:v>187.70931447689617</c:v>
                </c:pt>
                <c:pt idx="860">
                  <c:v>187.70931447689617</c:v>
                </c:pt>
                <c:pt idx="861">
                  <c:v>187.70931447689617</c:v>
                </c:pt>
                <c:pt idx="862">
                  <c:v>187.70931447689617</c:v>
                </c:pt>
                <c:pt idx="863">
                  <c:v>187.70931447689617</c:v>
                </c:pt>
                <c:pt idx="864">
                  <c:v>187.70931447689617</c:v>
                </c:pt>
                <c:pt idx="865">
                  <c:v>187.70931447689617</c:v>
                </c:pt>
                <c:pt idx="866">
                  <c:v>187.70931447689617</c:v>
                </c:pt>
                <c:pt idx="867">
                  <c:v>187.70931447689617</c:v>
                </c:pt>
                <c:pt idx="868">
                  <c:v>187.70931447689617</c:v>
                </c:pt>
                <c:pt idx="869">
                  <c:v>187.70931447689617</c:v>
                </c:pt>
                <c:pt idx="870">
                  <c:v>187.70931447689617</c:v>
                </c:pt>
                <c:pt idx="871">
                  <c:v>187.70931447689617</c:v>
                </c:pt>
                <c:pt idx="872">
                  <c:v>187.70931447689617</c:v>
                </c:pt>
                <c:pt idx="873">
                  <c:v>187.70931447689617</c:v>
                </c:pt>
                <c:pt idx="874">
                  <c:v>187.70931447689617</c:v>
                </c:pt>
                <c:pt idx="875">
                  <c:v>187.70931447689617</c:v>
                </c:pt>
                <c:pt idx="876">
                  <c:v>187.70931447689617</c:v>
                </c:pt>
                <c:pt idx="877">
                  <c:v>187.70931447689617</c:v>
                </c:pt>
                <c:pt idx="878">
                  <c:v>187.70931447689617</c:v>
                </c:pt>
                <c:pt idx="879">
                  <c:v>187.70931447689617</c:v>
                </c:pt>
                <c:pt idx="880">
                  <c:v>187.70931447689617</c:v>
                </c:pt>
                <c:pt idx="881">
                  <c:v>187.70931447689617</c:v>
                </c:pt>
                <c:pt idx="882">
                  <c:v>187.70931447689617</c:v>
                </c:pt>
                <c:pt idx="883">
                  <c:v>187.70931447689617</c:v>
                </c:pt>
                <c:pt idx="884">
                  <c:v>187.70931447689617</c:v>
                </c:pt>
                <c:pt idx="885">
                  <c:v>187.70931447689617</c:v>
                </c:pt>
                <c:pt idx="886">
                  <c:v>187.70931447689617</c:v>
                </c:pt>
                <c:pt idx="887">
                  <c:v>187.70931447689617</c:v>
                </c:pt>
                <c:pt idx="888">
                  <c:v>187.70931447689617</c:v>
                </c:pt>
                <c:pt idx="889">
                  <c:v>187.70931447689617</c:v>
                </c:pt>
                <c:pt idx="890">
                  <c:v>187.70931447689617</c:v>
                </c:pt>
                <c:pt idx="891">
                  <c:v>187.70931447689617</c:v>
                </c:pt>
                <c:pt idx="892">
                  <c:v>187.70931447689617</c:v>
                </c:pt>
                <c:pt idx="893">
                  <c:v>187.70931447689617</c:v>
                </c:pt>
                <c:pt idx="894">
                  <c:v>187.70931447689617</c:v>
                </c:pt>
                <c:pt idx="895">
                  <c:v>187.70931447689617</c:v>
                </c:pt>
                <c:pt idx="896">
                  <c:v>187.70931447689617</c:v>
                </c:pt>
                <c:pt idx="897">
                  <c:v>187.70931447689617</c:v>
                </c:pt>
                <c:pt idx="898">
                  <c:v>187.70931447689617</c:v>
                </c:pt>
                <c:pt idx="899">
                  <c:v>187.70931447689617</c:v>
                </c:pt>
                <c:pt idx="900">
                  <c:v>187.70931447689617</c:v>
                </c:pt>
                <c:pt idx="901">
                  <c:v>187.70931447689617</c:v>
                </c:pt>
                <c:pt idx="902">
                  <c:v>187.70931447689617</c:v>
                </c:pt>
                <c:pt idx="903">
                  <c:v>187.70931447689617</c:v>
                </c:pt>
                <c:pt idx="904">
                  <c:v>187.70931447689617</c:v>
                </c:pt>
                <c:pt idx="905">
                  <c:v>187.70931447689617</c:v>
                </c:pt>
                <c:pt idx="906">
                  <c:v>187.70931447689617</c:v>
                </c:pt>
                <c:pt idx="907">
                  <c:v>187.70931447689617</c:v>
                </c:pt>
                <c:pt idx="908">
                  <c:v>187.70931447689617</c:v>
                </c:pt>
                <c:pt idx="909">
                  <c:v>187.70931447689617</c:v>
                </c:pt>
                <c:pt idx="910">
                  <c:v>187.70931447689617</c:v>
                </c:pt>
                <c:pt idx="911">
                  <c:v>187.70931447689617</c:v>
                </c:pt>
                <c:pt idx="912">
                  <c:v>187.70931447689617</c:v>
                </c:pt>
                <c:pt idx="913">
                  <c:v>187.70931447689617</c:v>
                </c:pt>
                <c:pt idx="914">
                  <c:v>187.70931447689617</c:v>
                </c:pt>
                <c:pt idx="915">
                  <c:v>187.70931447689617</c:v>
                </c:pt>
                <c:pt idx="916">
                  <c:v>187.70931447689617</c:v>
                </c:pt>
                <c:pt idx="917">
                  <c:v>187.70931447689617</c:v>
                </c:pt>
                <c:pt idx="918">
                  <c:v>187.70931447689617</c:v>
                </c:pt>
                <c:pt idx="919">
                  <c:v>187.70931447689617</c:v>
                </c:pt>
                <c:pt idx="920">
                  <c:v>187.70931447689617</c:v>
                </c:pt>
                <c:pt idx="921">
                  <c:v>187.70931447689617</c:v>
                </c:pt>
                <c:pt idx="922">
                  <c:v>187.70931447689617</c:v>
                </c:pt>
                <c:pt idx="923">
                  <c:v>187.70931447689617</c:v>
                </c:pt>
                <c:pt idx="924">
                  <c:v>187.70931447689617</c:v>
                </c:pt>
                <c:pt idx="925">
                  <c:v>187.70931447689617</c:v>
                </c:pt>
                <c:pt idx="926">
                  <c:v>187.70931447689617</c:v>
                </c:pt>
                <c:pt idx="927">
                  <c:v>187.70931447689617</c:v>
                </c:pt>
                <c:pt idx="928">
                  <c:v>187.70931447689617</c:v>
                </c:pt>
                <c:pt idx="929">
                  <c:v>187.70931447689617</c:v>
                </c:pt>
                <c:pt idx="930">
                  <c:v>187.70931447689617</c:v>
                </c:pt>
                <c:pt idx="931">
                  <c:v>187.70931447689617</c:v>
                </c:pt>
                <c:pt idx="932">
                  <c:v>187.70931447689617</c:v>
                </c:pt>
                <c:pt idx="933">
                  <c:v>187.70931447689617</c:v>
                </c:pt>
                <c:pt idx="934">
                  <c:v>187.70931447689617</c:v>
                </c:pt>
                <c:pt idx="935">
                  <c:v>187.70931447689617</c:v>
                </c:pt>
                <c:pt idx="936">
                  <c:v>187.70931447689617</c:v>
                </c:pt>
                <c:pt idx="937">
                  <c:v>187.70931447689617</c:v>
                </c:pt>
                <c:pt idx="938">
                  <c:v>187.70931447689617</c:v>
                </c:pt>
                <c:pt idx="939">
                  <c:v>187.70931447689617</c:v>
                </c:pt>
                <c:pt idx="940">
                  <c:v>187.70931447689617</c:v>
                </c:pt>
                <c:pt idx="941">
                  <c:v>187.70931447689617</c:v>
                </c:pt>
                <c:pt idx="942">
                  <c:v>187.70931447689617</c:v>
                </c:pt>
                <c:pt idx="943">
                  <c:v>187.70931447689617</c:v>
                </c:pt>
                <c:pt idx="944">
                  <c:v>187.70931447689617</c:v>
                </c:pt>
                <c:pt idx="945">
                  <c:v>187.70931447689617</c:v>
                </c:pt>
                <c:pt idx="946">
                  <c:v>187.70931447689617</c:v>
                </c:pt>
                <c:pt idx="947">
                  <c:v>187.70931447689617</c:v>
                </c:pt>
                <c:pt idx="948">
                  <c:v>187.70931447689617</c:v>
                </c:pt>
                <c:pt idx="949">
                  <c:v>187.70931447689617</c:v>
                </c:pt>
                <c:pt idx="950">
                  <c:v>187.70931447689617</c:v>
                </c:pt>
                <c:pt idx="951">
                  <c:v>187.70931447689617</c:v>
                </c:pt>
                <c:pt idx="952">
                  <c:v>187.70931447689617</c:v>
                </c:pt>
                <c:pt idx="953">
                  <c:v>187.70931447689617</c:v>
                </c:pt>
                <c:pt idx="954">
                  <c:v>187.70931447689617</c:v>
                </c:pt>
                <c:pt idx="955">
                  <c:v>187.70931447689617</c:v>
                </c:pt>
                <c:pt idx="956">
                  <c:v>187.70931447689617</c:v>
                </c:pt>
                <c:pt idx="957">
                  <c:v>187.70931447689617</c:v>
                </c:pt>
                <c:pt idx="958">
                  <c:v>187.70931447689617</c:v>
                </c:pt>
                <c:pt idx="959">
                  <c:v>187.70931447689617</c:v>
                </c:pt>
                <c:pt idx="960">
                  <c:v>187.70931447689617</c:v>
                </c:pt>
                <c:pt idx="961">
                  <c:v>187.70931447689617</c:v>
                </c:pt>
                <c:pt idx="962">
                  <c:v>187.70931447689617</c:v>
                </c:pt>
                <c:pt idx="963">
                  <c:v>187.70931447689617</c:v>
                </c:pt>
                <c:pt idx="964">
                  <c:v>187.70931447689617</c:v>
                </c:pt>
                <c:pt idx="965">
                  <c:v>187.70931447689617</c:v>
                </c:pt>
                <c:pt idx="966">
                  <c:v>187.70931447689617</c:v>
                </c:pt>
                <c:pt idx="967">
                  <c:v>187.70931447689617</c:v>
                </c:pt>
                <c:pt idx="968">
                  <c:v>187.70931447689617</c:v>
                </c:pt>
                <c:pt idx="969">
                  <c:v>187.70931447689617</c:v>
                </c:pt>
                <c:pt idx="970">
                  <c:v>187.70931447689617</c:v>
                </c:pt>
                <c:pt idx="971">
                  <c:v>187.70931447689617</c:v>
                </c:pt>
                <c:pt idx="972">
                  <c:v>187.70931447689617</c:v>
                </c:pt>
                <c:pt idx="973">
                  <c:v>187.70931447689617</c:v>
                </c:pt>
                <c:pt idx="974">
                  <c:v>187.70931447689617</c:v>
                </c:pt>
                <c:pt idx="975">
                  <c:v>187.70931447689617</c:v>
                </c:pt>
                <c:pt idx="976">
                  <c:v>187.70931447689617</c:v>
                </c:pt>
                <c:pt idx="977">
                  <c:v>187.70931447689617</c:v>
                </c:pt>
                <c:pt idx="978">
                  <c:v>187.70931447689617</c:v>
                </c:pt>
                <c:pt idx="979">
                  <c:v>187.70931447689617</c:v>
                </c:pt>
                <c:pt idx="980">
                  <c:v>187.70931447689617</c:v>
                </c:pt>
                <c:pt idx="981">
                  <c:v>187.70931447689617</c:v>
                </c:pt>
                <c:pt idx="982">
                  <c:v>187.70931447689617</c:v>
                </c:pt>
                <c:pt idx="983">
                  <c:v>187.70931447689617</c:v>
                </c:pt>
                <c:pt idx="984">
                  <c:v>187.70931447689617</c:v>
                </c:pt>
                <c:pt idx="985">
                  <c:v>187.70931447689617</c:v>
                </c:pt>
                <c:pt idx="986">
                  <c:v>187.70931447689617</c:v>
                </c:pt>
                <c:pt idx="987">
                  <c:v>187.70931447689617</c:v>
                </c:pt>
                <c:pt idx="988">
                  <c:v>187.70931447689617</c:v>
                </c:pt>
                <c:pt idx="989">
                  <c:v>187.70931447689617</c:v>
                </c:pt>
                <c:pt idx="990">
                  <c:v>187.70931447689617</c:v>
                </c:pt>
                <c:pt idx="991">
                  <c:v>187.70931447689617</c:v>
                </c:pt>
                <c:pt idx="992">
                  <c:v>187.70931447689617</c:v>
                </c:pt>
                <c:pt idx="993">
                  <c:v>187.70931447689617</c:v>
                </c:pt>
                <c:pt idx="994">
                  <c:v>187.70931447689617</c:v>
                </c:pt>
                <c:pt idx="995">
                  <c:v>187.70931447689617</c:v>
                </c:pt>
                <c:pt idx="996">
                  <c:v>187.70931447689617</c:v>
                </c:pt>
                <c:pt idx="997">
                  <c:v>187.70931447689617</c:v>
                </c:pt>
                <c:pt idx="998">
                  <c:v>187.70931447689617</c:v>
                </c:pt>
                <c:pt idx="999">
                  <c:v>187.70931447689617</c:v>
                </c:pt>
                <c:pt idx="1000">
                  <c:v>187.70931447689617</c:v>
                </c:pt>
              </c:numCache>
            </c:numRef>
          </c:xVal>
          <c:yVal>
            <c:numRef>
              <c:f>Calculs!$K$4:$K$1004</c:f>
              <c:numCache>
                <c:formatCode>0.00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271.20637985814369</c:v>
                </c:pt>
                <c:pt idx="272">
                  <c:v>269.74922688428325</c:v>
                </c:pt>
                <c:pt idx="273">
                  <c:v>268.19626859910807</c:v>
                </c:pt>
                <c:pt idx="274">
                  <c:v>266.54775081693504</c:v>
                </c:pt>
                <c:pt idx="275">
                  <c:v>264.80393292506653</c:v>
                </c:pt>
                <c:pt idx="276">
                  <c:v>262.96508789968931</c:v>
                </c:pt>
                <c:pt idx="277">
                  <c:v>261.03150228669551</c:v>
                </c:pt>
                <c:pt idx="278">
                  <c:v>259.00347615272733</c:v>
                </c:pt>
                <c:pt idx="279">
                  <c:v>256.88132301076087</c:v>
                </c:pt>
                <c:pt idx="280">
                  <c:v>254.6653697237478</c:v>
                </c:pt>
                <c:pt idx="281">
                  <c:v>252.35595638919114</c:v>
                </c:pt>
                <c:pt idx="282">
                  <c:v>249.95343620701888</c:v>
                </c:pt>
                <c:pt idx="283">
                  <c:v>247.45817533270966</c:v>
                </c:pt>
                <c:pt idx="284">
                  <c:v>244.87055271729773</c:v>
                </c:pt>
                <c:pt idx="285">
                  <c:v>242.19095993562416</c:v>
                </c:pt>
                <c:pt idx="286">
                  <c:v>239.41980100399337</c:v>
                </c:pt>
                <c:pt idx="287">
                  <c:v>236.5574921882274</c:v>
                </c:pt>
                <c:pt idx="288">
                  <c:v>233.60446180297765</c:v>
                </c:pt>
                <c:pt idx="289">
                  <c:v>230.56115000304678</c:v>
                </c:pt>
                <c:pt idx="290">
                  <c:v>227.4280085673868</c:v>
                </c:pt>
                <c:pt idx="291">
                  <c:v>224.20550067637046</c:v>
                </c:pt>
                <c:pt idx="292">
                  <c:v>220.894100682876</c:v>
                </c:pt>
                <c:pt idx="293">
                  <c:v>217.49429387767935</c:v>
                </c:pt>
                <c:pt idx="294">
                  <c:v>214.00657624961065</c:v>
                </c:pt>
                <c:pt idx="295">
                  <c:v>210.43145424089968</c:v>
                </c:pt>
                <c:pt idx="296">
                  <c:v>206.76944449811074</c:v>
                </c:pt>
                <c:pt idx="297">
                  <c:v>203.02107361904396</c:v>
                </c:pt>
                <c:pt idx="298">
                  <c:v>199.18687789596376</c:v>
                </c:pt>
                <c:pt idx="299">
                  <c:v>195.26740305549816</c:v>
                </c:pt>
                <c:pt idx="300">
                  <c:v>191.26320399554029</c:v>
                </c:pt>
                <c:pt idx="301">
                  <c:v>187.17484451947126</c:v>
                </c:pt>
                <c:pt idx="302">
                  <c:v>183.00289706801351</c:v>
                </c:pt>
                <c:pt idx="303">
                  <c:v>178.74794244901446</c:v>
                </c:pt>
                <c:pt idx="304">
                  <c:v>174.41056956545168</c:v>
                </c:pt>
                <c:pt idx="305">
                  <c:v>169.99137514194342</c:v>
                </c:pt>
                <c:pt idx="306">
                  <c:v>165.49096345004054</c:v>
                </c:pt>
                <c:pt idx="307">
                  <c:v>160.90994603256934</c:v>
                </c:pt>
                <c:pt idx="308">
                  <c:v>156.24894142728803</c:v>
                </c:pt>
                <c:pt idx="309">
                  <c:v>151.50857489011298</c:v>
                </c:pt>
                <c:pt idx="310">
                  <c:v>146.68947811816463</c:v>
                </c:pt>
                <c:pt idx="311">
                  <c:v>141.79228897287683</c:v>
                </c:pt>
                <c:pt idx="312">
                  <c:v>136.81765120340674</c:v>
                </c:pt>
                <c:pt idx="313">
                  <c:v>131.76621417057666</c:v>
                </c:pt>
                <c:pt idx="314">
                  <c:v>126.63863257157261</c:v>
                </c:pt>
                <c:pt idx="315">
                  <c:v>121.43556616561844</c:v>
                </c:pt>
                <c:pt idx="316">
                  <c:v>116.15767950083752</c:v>
                </c:pt>
                <c:pt idx="317">
                  <c:v>110.80564164250836</c:v>
                </c:pt>
                <c:pt idx="318">
                  <c:v>105.38012590291351</c:v>
                </c:pt>
                <c:pt idx="319">
                  <c:v>99.88180957297476</c:v>
                </c:pt>
                <c:pt idx="320">
                  <c:v>94.311373655861502</c:v>
                </c:pt>
                <c:pt idx="321">
                  <c:v>88.669502602751919</c:v>
                </c:pt>
                <c:pt idx="322">
                  <c:v>82.956884050920578</c:v>
                </c:pt>
                <c:pt idx="323">
                  <c:v>77.174208564319102</c:v>
                </c:pt>
                <c:pt idx="324">
                  <c:v>71.32216937680991</c:v>
                </c:pt>
                <c:pt idx="325">
                  <c:v>65.401462138206242</c:v>
                </c:pt>
                <c:pt idx="326">
                  <c:v>59.412784663265199</c:v>
                </c:pt>
                <c:pt idx="327">
                  <c:v>53.356836683773444</c:v>
                </c:pt>
                <c:pt idx="328">
                  <c:v>47.23431960385863</c:v>
                </c:pt>
                <c:pt idx="329">
                  <c:v>41.045936258652951</c:v>
                </c:pt>
                <c:pt idx="330">
                  <c:v>34.792390676428305</c:v>
                </c:pt>
                <c:pt idx="331">
                  <c:v>28.474387844316006</c:v>
                </c:pt>
                <c:pt idx="332">
                  <c:v>22.092633477717278</c:v>
                </c:pt>
                <c:pt idx="333">
                  <c:v>15.647833793504127</c:v>
                </c:pt>
                <c:pt idx="334">
                  <c:v>9.1406952871036502</c:v>
                </c:pt>
                <c:pt idx="335">
                  <c:v>2.5719245135523625</c:v>
                </c:pt>
                <c:pt idx="336">
                  <c:v>-4.0577721273993133</c:v>
                </c:pt>
                <c:pt idx="337">
                  <c:v>-4.0644321403402088</c:v>
                </c:pt>
                <c:pt idx="338">
                  <c:v>-4.0710922131476881</c:v>
                </c:pt>
                <c:pt idx="339">
                  <c:v>-4.0777523458210494</c:v>
                </c:pt>
                <c:pt idx="340">
                  <c:v>-4.0844125383595919</c:v>
                </c:pt>
                <c:pt idx="341">
                  <c:v>-4.0910727907626132</c:v>
                </c:pt>
                <c:pt idx="342">
                  <c:v>-4.0977331030294124</c:v>
                </c:pt>
                <c:pt idx="343">
                  <c:v>-4.1043934751592879</c:v>
                </c:pt>
                <c:pt idx="344">
                  <c:v>-4.111053907151538</c:v>
                </c:pt>
                <c:pt idx="345">
                  <c:v>-4.1177143990054619</c:v>
                </c:pt>
                <c:pt idx="346">
                  <c:v>-4.124374950720358</c:v>
                </c:pt>
                <c:pt idx="347">
                  <c:v>-4.1310355622955237</c:v>
                </c:pt>
                <c:pt idx="348">
                  <c:v>-4.1376962337302592</c:v>
                </c:pt>
                <c:pt idx="349">
                  <c:v>-4.1443569650238619</c:v>
                </c:pt>
                <c:pt idx="350">
                  <c:v>-4.1510177561756301</c:v>
                </c:pt>
                <c:pt idx="351">
                  <c:v>-4.157678607184863</c:v>
                </c:pt>
                <c:pt idx="352">
                  <c:v>-4.1643395180508591</c:v>
                </c:pt>
                <c:pt idx="353">
                  <c:v>-4.1710004887729166</c:v>
                </c:pt>
                <c:pt idx="354">
                  <c:v>-4.1776615193503348</c:v>
                </c:pt>
                <c:pt idx="355">
                  <c:v>-4.1843226097824111</c:v>
                </c:pt>
                <c:pt idx="356">
                  <c:v>-4.1909837600684448</c:v>
                </c:pt>
                <c:pt idx="357">
                  <c:v>-4.1976449702077341</c:v>
                </c:pt>
                <c:pt idx="358">
                  <c:v>-4.2043062401995774</c:v>
                </c:pt>
                <c:pt idx="359">
                  <c:v>-4.210967570043274</c:v>
                </c:pt>
                <c:pt idx="360">
                  <c:v>-4.2176289597381222</c:v>
                </c:pt>
                <c:pt idx="361">
                  <c:v>-4.2242904092834195</c:v>
                </c:pt>
                <c:pt idx="362">
                  <c:v>-4.2309519186784659</c:v>
                </c:pt>
                <c:pt idx="363">
                  <c:v>-4.2376134879225589</c:v>
                </c:pt>
                <c:pt idx="364">
                  <c:v>-4.2442751170149977</c:v>
                </c:pt>
                <c:pt idx="365">
                  <c:v>-4.2509368059550798</c:v>
                </c:pt>
                <c:pt idx="366">
                  <c:v>-4.2575985547421045</c:v>
                </c:pt>
                <c:pt idx="367">
                  <c:v>-4.2642603633753708</c:v>
                </c:pt>
                <c:pt idx="368">
                  <c:v>-4.2709222318541764</c:v>
                </c:pt>
                <c:pt idx="369">
                  <c:v>-4.2775841601778204</c:v>
                </c:pt>
                <c:pt idx="370">
                  <c:v>-4.2842461483456011</c:v>
                </c:pt>
                <c:pt idx="371">
                  <c:v>-4.290908196356817</c:v>
                </c:pt>
                <c:pt idx="372">
                  <c:v>-4.2975703042107662</c:v>
                </c:pt>
                <c:pt idx="373">
                  <c:v>-4.3042324719067482</c:v>
                </c:pt>
                <c:pt idx="374">
                  <c:v>-4.3108946994440611</c:v>
                </c:pt>
                <c:pt idx="375">
                  <c:v>-4.3175569868220034</c:v>
                </c:pt>
                <c:pt idx="376">
                  <c:v>-4.3242193340398734</c:v>
                </c:pt>
                <c:pt idx="377">
                  <c:v>-4.3308817410969702</c:v>
                </c:pt>
                <c:pt idx="378">
                  <c:v>-4.3375442079925923</c:v>
                </c:pt>
                <c:pt idx="379">
                  <c:v>-4.344206734726038</c:v>
                </c:pt>
                <c:pt idx="380">
                  <c:v>-4.3508693212966056</c:v>
                </c:pt>
                <c:pt idx="381">
                  <c:v>-4.3575319677035935</c:v>
                </c:pt>
                <c:pt idx="382">
                  <c:v>-4.3641946739463009</c:v>
                </c:pt>
                <c:pt idx="383">
                  <c:v>-4.3708574400240261</c:v>
                </c:pt>
                <c:pt idx="384">
                  <c:v>-4.3775202659360675</c:v>
                </c:pt>
                <c:pt idx="385">
                  <c:v>-4.3841831516817242</c:v>
                </c:pt>
                <c:pt idx="386">
                  <c:v>-4.3908460972602947</c:v>
                </c:pt>
                <c:pt idx="387">
                  <c:v>-4.3975091026710773</c:v>
                </c:pt>
                <c:pt idx="388">
                  <c:v>-4.4041721679133703</c:v>
                </c:pt>
                <c:pt idx="389">
                  <c:v>-4.410835292986472</c:v>
                </c:pt>
                <c:pt idx="390">
                  <c:v>-4.4174984778896818</c:v>
                </c:pt>
                <c:pt idx="391">
                  <c:v>-4.4241617226222978</c:v>
                </c:pt>
                <c:pt idx="392">
                  <c:v>-4.4308250271836185</c:v>
                </c:pt>
                <c:pt idx="393">
                  <c:v>-4.4374883915729422</c:v>
                </c:pt>
                <c:pt idx="394">
                  <c:v>-4.4441518157895681</c:v>
                </c:pt>
                <c:pt idx="395">
                  <c:v>-4.4508152998327946</c:v>
                </c:pt>
                <c:pt idx="396">
                  <c:v>-4.4574788437019199</c:v>
                </c:pt>
                <c:pt idx="397">
                  <c:v>-4.4641424473962426</c:v>
                </c:pt>
                <c:pt idx="398">
                  <c:v>-4.4708061109150616</c:v>
                </c:pt>
                <c:pt idx="399">
                  <c:v>-4.4774698342576755</c:v>
                </c:pt>
                <c:pt idx="400">
                  <c:v>-4.4841336174233826</c:v>
                </c:pt>
                <c:pt idx="401">
                  <c:v>-4.490797460411482</c:v>
                </c:pt>
                <c:pt idx="402">
                  <c:v>-4.4974613632212712</c:v>
                </c:pt>
                <c:pt idx="403">
                  <c:v>-4.5041253258520495</c:v>
                </c:pt>
                <c:pt idx="404">
                  <c:v>-4.5107893483031152</c:v>
                </c:pt>
                <c:pt idx="405">
                  <c:v>-4.5174534305737675</c:v>
                </c:pt>
                <c:pt idx="406">
                  <c:v>-4.5241175726633047</c:v>
                </c:pt>
                <c:pt idx="407">
                  <c:v>-4.5307817745710244</c:v>
                </c:pt>
                <c:pt idx="408">
                  <c:v>-4.5374460362962266</c:v>
                </c:pt>
                <c:pt idx="409">
                  <c:v>-4.5441103578382087</c:v>
                </c:pt>
                <c:pt idx="410">
                  <c:v>-4.5507747391962701</c:v>
                </c:pt>
                <c:pt idx="411">
                  <c:v>-4.557439180369709</c:v>
                </c:pt>
                <c:pt idx="412">
                  <c:v>-4.5641036813578237</c:v>
                </c:pt>
                <c:pt idx="413">
                  <c:v>-4.5707682421599136</c:v>
                </c:pt>
                <c:pt idx="414">
                  <c:v>-4.5774328627752761</c:v>
                </c:pt>
                <c:pt idx="415">
                  <c:v>-4.5840975432032103</c:v>
                </c:pt>
                <c:pt idx="416">
                  <c:v>-4.5907622834430155</c:v>
                </c:pt>
                <c:pt idx="417">
                  <c:v>-4.5974270834939892</c:v>
                </c:pt>
                <c:pt idx="418">
                  <c:v>-4.6040919433554306</c:v>
                </c:pt>
                <c:pt idx="419">
                  <c:v>-4.610756863026638</c:v>
                </c:pt>
                <c:pt idx="420">
                  <c:v>-4.6174218425069107</c:v>
                </c:pt>
                <c:pt idx="421">
                  <c:v>-4.6240868817955461</c:v>
                </c:pt>
                <c:pt idx="422">
                  <c:v>-4.6307519808918434</c:v>
                </c:pt>
                <c:pt idx="423">
                  <c:v>-4.637417139795101</c:v>
                </c:pt>
                <c:pt idx="424">
                  <c:v>-4.644082358504618</c:v>
                </c:pt>
                <c:pt idx="425">
                  <c:v>-4.650747637019693</c:v>
                </c:pt>
                <c:pt idx="426">
                  <c:v>-4.6574129753396241</c:v>
                </c:pt>
                <c:pt idx="427">
                  <c:v>-4.6640783734637097</c:v>
                </c:pt>
                <c:pt idx="428">
                  <c:v>-4.6707438313912482</c:v>
                </c:pt>
                <c:pt idx="429">
                  <c:v>-4.6774093491215387</c:v>
                </c:pt>
                <c:pt idx="430">
                  <c:v>-4.6840749266538797</c:v>
                </c:pt>
                <c:pt idx="431">
                  <c:v>-4.6907405639875703</c:v>
                </c:pt>
                <c:pt idx="432">
                  <c:v>-4.6974062611219081</c:v>
                </c:pt>
                <c:pt idx="433">
                  <c:v>-4.7040720180561921</c:v>
                </c:pt>
                <c:pt idx="434">
                  <c:v>-4.7107378347897217</c:v>
                </c:pt>
                <c:pt idx="435">
                  <c:v>-4.7174037113217944</c:v>
                </c:pt>
                <c:pt idx="436">
                  <c:v>-4.7240696476517092</c:v>
                </c:pt>
                <c:pt idx="437">
                  <c:v>-4.7307356437787647</c:v>
                </c:pt>
                <c:pt idx="438">
                  <c:v>-4.737401699702259</c:v>
                </c:pt>
                <c:pt idx="439">
                  <c:v>-4.7440678154214915</c:v>
                </c:pt>
                <c:pt idx="440">
                  <c:v>-4.7507339909357604</c:v>
                </c:pt>
                <c:pt idx="441">
                  <c:v>-4.7574002262443642</c:v>
                </c:pt>
                <c:pt idx="442">
                  <c:v>-4.764066521346602</c:v>
                </c:pt>
                <c:pt idx="443">
                  <c:v>-4.7707328762417713</c:v>
                </c:pt>
                <c:pt idx="444">
                  <c:v>-4.7773992909291714</c:v>
                </c:pt>
                <c:pt idx="445">
                  <c:v>-4.7840657654081014</c:v>
                </c:pt>
                <c:pt idx="446">
                  <c:v>-4.7907322996778587</c:v>
                </c:pt>
                <c:pt idx="447">
                  <c:v>-4.7973988937377428</c:v>
                </c:pt>
                <c:pt idx="448">
                  <c:v>-4.8040655475870526</c:v>
                </c:pt>
                <c:pt idx="449">
                  <c:v>-4.8107322612250858</c:v>
                </c:pt>
                <c:pt idx="450">
                  <c:v>-4.8173990346511415</c:v>
                </c:pt>
                <c:pt idx="451">
                  <c:v>-4.8240658678645181</c:v>
                </c:pt>
                <c:pt idx="452">
                  <c:v>-4.8307327608645139</c:v>
                </c:pt>
                <c:pt idx="453">
                  <c:v>-4.8373997136504281</c:v>
                </c:pt>
                <c:pt idx="454">
                  <c:v>-4.8440667262215591</c:v>
                </c:pt>
                <c:pt idx="455">
                  <c:v>-4.8507337985772052</c:v>
                </c:pt>
                <c:pt idx="456">
                  <c:v>-4.8574009307166657</c:v>
                </c:pt>
                <c:pt idx="457">
                  <c:v>-4.8640681226392388</c:v>
                </c:pt>
                <c:pt idx="458">
                  <c:v>-4.870735374344223</c:v>
                </c:pt>
                <c:pt idx="459">
                  <c:v>-4.8774026858309165</c:v>
                </c:pt>
                <c:pt idx="460">
                  <c:v>-4.8840700570986186</c:v>
                </c:pt>
                <c:pt idx="461">
                  <c:v>-4.8907374881466277</c:v>
                </c:pt>
                <c:pt idx="462">
                  <c:v>-4.8974049789742429</c:v>
                </c:pt>
                <c:pt idx="463">
                  <c:v>-4.9040725295807617</c:v>
                </c:pt>
                <c:pt idx="464">
                  <c:v>-4.9107401399654833</c:v>
                </c:pt>
                <c:pt idx="465">
                  <c:v>-4.917407810127707</c:v>
                </c:pt>
                <c:pt idx="466">
                  <c:v>-4.9240755400667302</c:v>
                </c:pt>
                <c:pt idx="467">
                  <c:v>-4.9307433297818521</c:v>
                </c:pt>
                <c:pt idx="468">
                  <c:v>-4.9374111792723712</c:v>
                </c:pt>
                <c:pt idx="469">
                  <c:v>-4.9440790885375865</c:v>
                </c:pt>
                <c:pt idx="470">
                  <c:v>-4.9507470575767965</c:v>
                </c:pt>
                <c:pt idx="471">
                  <c:v>-4.9574150863892994</c:v>
                </c:pt>
                <c:pt idx="472">
                  <c:v>-4.9640831749743937</c:v>
                </c:pt>
                <c:pt idx="473">
                  <c:v>-4.9707513233313785</c:v>
                </c:pt>
                <c:pt idx="474">
                  <c:v>-4.9774195314595522</c:v>
                </c:pt>
                <c:pt idx="475">
                  <c:v>-4.984087799358214</c:v>
                </c:pt>
                <c:pt idx="476">
                  <c:v>-4.9907561270266614</c:v>
                </c:pt>
                <c:pt idx="477">
                  <c:v>-4.9974245144641936</c:v>
                </c:pt>
                <c:pt idx="478">
                  <c:v>-5.0040929616701098</c:v>
                </c:pt>
                <c:pt idx="479">
                  <c:v>-5.0107614686437074</c:v>
                </c:pt>
                <c:pt idx="480">
                  <c:v>-5.0174300353842858</c:v>
                </c:pt>
                <c:pt idx="481">
                  <c:v>-5.0240986618911441</c:v>
                </c:pt>
                <c:pt idx="482">
                  <c:v>-5.0307673481635797</c:v>
                </c:pt>
                <c:pt idx="483">
                  <c:v>-5.037436094200892</c:v>
                </c:pt>
                <c:pt idx="484">
                  <c:v>-5.0441049000023801</c:v>
                </c:pt>
                <c:pt idx="485">
                  <c:v>-5.0507737655673415</c:v>
                </c:pt>
                <c:pt idx="486">
                  <c:v>-5.0574426908950754</c:v>
                </c:pt>
                <c:pt idx="487">
                  <c:v>-5.0641116759848801</c:v>
                </c:pt>
                <c:pt idx="488">
                  <c:v>-5.0707807208360549</c:v>
                </c:pt>
                <c:pt idx="489">
                  <c:v>-5.0774498254478981</c:v>
                </c:pt>
                <c:pt idx="490">
                  <c:v>-5.0841189898197081</c:v>
                </c:pt>
                <c:pt idx="491">
                  <c:v>-5.0907882139507832</c:v>
                </c:pt>
                <c:pt idx="492">
                  <c:v>-5.0974574978404226</c:v>
                </c:pt>
                <c:pt idx="493">
                  <c:v>-5.1041268414879246</c:v>
                </c:pt>
                <c:pt idx="494">
                  <c:v>-5.1107962448925885</c:v>
                </c:pt>
                <c:pt idx="495">
                  <c:v>-5.1174657080537127</c:v>
                </c:pt>
                <c:pt idx="496">
                  <c:v>-5.1241352309705954</c:v>
                </c:pt>
                <c:pt idx="497">
                  <c:v>-5.130804813642535</c:v>
                </c:pt>
                <c:pt idx="498">
                  <c:v>-5.1374744560688308</c:v>
                </c:pt>
                <c:pt idx="499">
                  <c:v>-5.144144158248781</c:v>
                </c:pt>
                <c:pt idx="500">
                  <c:v>-5.1508139201816849</c:v>
                </c:pt>
                <c:pt idx="501">
                  <c:v>-5.1574837418668409</c:v>
                </c:pt>
                <c:pt idx="502">
                  <c:v>-5.1641536233035472</c:v>
                </c:pt>
                <c:pt idx="503">
                  <c:v>-5.1708235644911031</c:v>
                </c:pt>
                <c:pt idx="504">
                  <c:v>-5.1774935654288061</c:v>
                </c:pt>
                <c:pt idx="505">
                  <c:v>-5.1841636261159563</c:v>
                </c:pt>
                <c:pt idx="506">
                  <c:v>-5.190833746551851</c:v>
                </c:pt>
                <c:pt idx="507">
                  <c:v>-5.1975039267357896</c:v>
                </c:pt>
                <c:pt idx="508">
                  <c:v>-5.2041741666670704</c:v>
                </c:pt>
                <c:pt idx="509">
                  <c:v>-5.2108444663449927</c:v>
                </c:pt>
                <c:pt idx="510">
                  <c:v>-5.2175148257688546</c:v>
                </c:pt>
                <c:pt idx="511">
                  <c:v>-5.2241852449379547</c:v>
                </c:pt>
                <c:pt idx="512">
                  <c:v>-5.2308557238515911</c:v>
                </c:pt>
                <c:pt idx="513">
                  <c:v>-5.2375262625090633</c:v>
                </c:pt>
                <c:pt idx="514">
                  <c:v>-5.2441968609096703</c:v>
                </c:pt>
                <c:pt idx="515">
                  <c:v>-5.2508675190527097</c:v>
                </c:pt>
                <c:pt idx="516">
                  <c:v>-5.2575382369374806</c:v>
                </c:pt>
                <c:pt idx="517">
                  <c:v>-5.2642090145632814</c:v>
                </c:pt>
                <c:pt idx="518">
                  <c:v>-5.2708798519294113</c:v>
                </c:pt>
                <c:pt idx="519">
                  <c:v>-5.2775507490351687</c:v>
                </c:pt>
                <c:pt idx="520">
                  <c:v>-5.284221705879852</c:v>
                </c:pt>
                <c:pt idx="521">
                  <c:v>-5.2908927224627602</c:v>
                </c:pt>
                <c:pt idx="522">
                  <c:v>-5.2975637987831918</c:v>
                </c:pt>
                <c:pt idx="523">
                  <c:v>-5.3042349348404461</c:v>
                </c:pt>
                <c:pt idx="524">
                  <c:v>-5.3109061306338203</c:v>
                </c:pt>
                <c:pt idx="525">
                  <c:v>-5.3175773861626148</c:v>
                </c:pt>
                <c:pt idx="526">
                  <c:v>-5.3242487014261268</c:v>
                </c:pt>
                <c:pt idx="527">
                  <c:v>-5.3309200764236557</c:v>
                </c:pt>
                <c:pt idx="528">
                  <c:v>-5.3375915111544998</c:v>
                </c:pt>
                <c:pt idx="529">
                  <c:v>-5.3442630056179583</c:v>
                </c:pt>
                <c:pt idx="530">
                  <c:v>-5.3509345598133295</c:v>
                </c:pt>
                <c:pt idx="531">
                  <c:v>-5.3576061737399119</c:v>
                </c:pt>
                <c:pt idx="532">
                  <c:v>-5.3642778473970036</c:v>
                </c:pt>
                <c:pt idx="533">
                  <c:v>-5.3709495807839041</c:v>
                </c:pt>
                <c:pt idx="534">
                  <c:v>-5.3776213738999123</c:v>
                </c:pt>
                <c:pt idx="535">
                  <c:v>-5.3842932267443269</c:v>
                </c:pt>
                <c:pt idx="536">
                  <c:v>-5.3909651393164459</c:v>
                </c:pt>
                <c:pt idx="537">
                  <c:v>-5.3976371116155679</c:v>
                </c:pt>
                <c:pt idx="538">
                  <c:v>-5.404309143640992</c:v>
                </c:pt>
                <c:pt idx="539">
                  <c:v>-5.4109812353920166</c:v>
                </c:pt>
                <c:pt idx="540">
                  <c:v>-5.4176533868679408</c:v>
                </c:pt>
                <c:pt idx="541">
                  <c:v>-5.4243255980680622</c:v>
                </c:pt>
                <c:pt idx="542">
                  <c:v>-5.4309978689916809</c:v>
                </c:pt>
                <c:pt idx="543">
                  <c:v>-5.4376701996380943</c:v>
                </c:pt>
                <c:pt idx="544">
                  <c:v>-5.4443425900066016</c:v>
                </c:pt>
                <c:pt idx="545">
                  <c:v>-5.4510150400965021</c:v>
                </c:pt>
                <c:pt idx="546">
                  <c:v>-5.457687549907094</c:v>
                </c:pt>
                <c:pt idx="547">
                  <c:v>-5.4643601194376759</c:v>
                </c:pt>
                <c:pt idx="548">
                  <c:v>-5.4710327486875459</c:v>
                </c:pt>
                <c:pt idx="549">
                  <c:v>-5.4777054376560033</c:v>
                </c:pt>
                <c:pt idx="550">
                  <c:v>-5.4843781863423464</c:v>
                </c:pt>
                <c:pt idx="551">
                  <c:v>-5.4910509947458745</c:v>
                </c:pt>
                <c:pt idx="552">
                  <c:v>-5.497723862865886</c:v>
                </c:pt>
                <c:pt idx="553">
                  <c:v>-5.50439679070168</c:v>
                </c:pt>
                <c:pt idx="554">
                  <c:v>-5.511069778252554</c:v>
                </c:pt>
                <c:pt idx="555">
                  <c:v>-5.5177428255178071</c:v>
                </c:pt>
                <c:pt idx="556">
                  <c:v>-5.5244159324967388</c:v>
                </c:pt>
                <c:pt idx="557">
                  <c:v>-5.5310890991886472</c:v>
                </c:pt>
                <c:pt idx="558">
                  <c:v>-5.5377623255928308</c:v>
                </c:pt>
                <c:pt idx="559">
                  <c:v>-5.5444356117085887</c:v>
                </c:pt>
                <c:pt idx="560">
                  <c:v>-5.5511089575352193</c:v>
                </c:pt>
                <c:pt idx="561">
                  <c:v>-5.5577823630720209</c:v>
                </c:pt>
                <c:pt idx="562">
                  <c:v>-5.5644558283182928</c:v>
                </c:pt>
                <c:pt idx="563">
                  <c:v>-5.5711293532733341</c:v>
                </c:pt>
                <c:pt idx="564">
                  <c:v>-5.5778029379364424</c:v>
                </c:pt>
                <c:pt idx="565">
                  <c:v>-5.5844765823069169</c:v>
                </c:pt>
                <c:pt idx="566">
                  <c:v>-5.5911502863840568</c:v>
                </c:pt>
                <c:pt idx="567">
                  <c:v>-5.5978240501671594</c:v>
                </c:pt>
                <c:pt idx="568">
                  <c:v>-5.6044978736555242</c:v>
                </c:pt>
                <c:pt idx="569">
                  <c:v>-5.6111717568484503</c:v>
                </c:pt>
                <c:pt idx="570">
                  <c:v>-5.617845699745236</c:v>
                </c:pt>
                <c:pt idx="571">
                  <c:v>-5.6245197023451796</c:v>
                </c:pt>
                <c:pt idx="572">
                  <c:v>-5.6311937646475805</c:v>
                </c:pt>
                <c:pt idx="573">
                  <c:v>-5.6378678866517369</c:v>
                </c:pt>
                <c:pt idx="574">
                  <c:v>-5.6445420683569481</c:v>
                </c:pt>
                <c:pt idx="575">
                  <c:v>-5.6512163097625123</c:v>
                </c:pt>
                <c:pt idx="576">
                  <c:v>-5.657890610867728</c:v>
                </c:pt>
                <c:pt idx="577">
                  <c:v>-5.6645649716718944</c:v>
                </c:pt>
                <c:pt idx="578">
                  <c:v>-5.6712393921743098</c:v>
                </c:pt>
                <c:pt idx="579">
                  <c:v>-5.6779138723742726</c:v>
                </c:pt>
                <c:pt idx="580">
                  <c:v>-5.6845884122710819</c:v>
                </c:pt>
                <c:pt idx="581">
                  <c:v>-5.691263011864037</c:v>
                </c:pt>
                <c:pt idx="582">
                  <c:v>-5.6979376711524354</c:v>
                </c:pt>
                <c:pt idx="583">
                  <c:v>-5.7046123901355772</c:v>
                </c:pt>
                <c:pt idx="584">
                  <c:v>-5.7112871688127598</c:v>
                </c:pt>
                <c:pt idx="585">
                  <c:v>-5.7179620071832824</c:v>
                </c:pt>
                <c:pt idx="586">
                  <c:v>-5.7246369052464434</c:v>
                </c:pt>
                <c:pt idx="587">
                  <c:v>-5.7313118630015421</c:v>
                </c:pt>
                <c:pt idx="588">
                  <c:v>-5.7379868804478766</c:v>
                </c:pt>
                <c:pt idx="589">
                  <c:v>-5.7446619575847464</c:v>
                </c:pt>
                <c:pt idx="590">
                  <c:v>-5.7513370944114497</c:v>
                </c:pt>
                <c:pt idx="591">
                  <c:v>-5.7580122909272848</c:v>
                </c:pt>
                <c:pt idx="592">
                  <c:v>-5.7646875471315511</c:v>
                </c:pt>
                <c:pt idx="593">
                  <c:v>-5.7713628630235467</c:v>
                </c:pt>
                <c:pt idx="594">
                  <c:v>-5.778038238602571</c:v>
                </c:pt>
                <c:pt idx="595">
                  <c:v>-5.7847136738679223</c:v>
                </c:pt>
                <c:pt idx="596">
                  <c:v>-5.7913891688188999</c:v>
                </c:pt>
                <c:pt idx="597">
                  <c:v>-5.7980647234548011</c:v>
                </c:pt>
                <c:pt idx="598">
                  <c:v>-5.804740337774926</c:v>
                </c:pt>
                <c:pt idx="599">
                  <c:v>-5.8114160117785723</c:v>
                </c:pt>
                <c:pt idx="600">
                  <c:v>-5.8180917454650398</c:v>
                </c:pt>
                <c:pt idx="601">
                  <c:v>-5.8247675388336262</c:v>
                </c:pt>
                <c:pt idx="602">
                  <c:v>-5.8314433918836306</c:v>
                </c:pt>
                <c:pt idx="603">
                  <c:v>-5.8381193046143522</c:v>
                </c:pt>
                <c:pt idx="604">
                  <c:v>-5.8447952770250886</c:v>
                </c:pt>
                <c:pt idx="605">
                  <c:v>-5.8514713091151398</c:v>
                </c:pt>
                <c:pt idx="606">
                  <c:v>-5.8581474008838033</c:v>
                </c:pt>
                <c:pt idx="607">
                  <c:v>-5.8648235523303782</c:v>
                </c:pt>
                <c:pt idx="608">
                  <c:v>-5.8714997634541639</c:v>
                </c:pt>
                <c:pt idx="609">
                  <c:v>-5.8781760342544587</c:v>
                </c:pt>
                <c:pt idx="610">
                  <c:v>-5.8848523647305608</c:v>
                </c:pt>
                <c:pt idx="611">
                  <c:v>-5.8915287548817696</c:v>
                </c:pt>
                <c:pt idx="612">
                  <c:v>-5.8982052047073834</c:v>
                </c:pt>
                <c:pt idx="613">
                  <c:v>-5.9048817142067014</c:v>
                </c:pt>
                <c:pt idx="614">
                  <c:v>-5.9115582833790219</c:v>
                </c:pt>
                <c:pt idx="615">
                  <c:v>-5.9182349122236433</c:v>
                </c:pt>
                <c:pt idx="616">
                  <c:v>-5.9249116007398648</c:v>
                </c:pt>
                <c:pt idx="617">
                  <c:v>-5.9315883489269856</c:v>
                </c:pt>
                <c:pt idx="618">
                  <c:v>-5.9382651567843032</c:v>
                </c:pt>
                <c:pt idx="619">
                  <c:v>-5.9449420243111177</c:v>
                </c:pt>
                <c:pt idx="620">
                  <c:v>-5.9516189515067266</c:v>
                </c:pt>
                <c:pt idx="621">
                  <c:v>-5.958295938370429</c:v>
                </c:pt>
                <c:pt idx="622">
                  <c:v>-5.9649729849015243</c:v>
                </c:pt>
                <c:pt idx="623">
                  <c:v>-5.9716500910993107</c:v>
                </c:pt>
                <c:pt idx="624">
                  <c:v>-5.9783272569630865</c:v>
                </c:pt>
                <c:pt idx="625">
                  <c:v>-5.9850044824921511</c:v>
                </c:pt>
                <c:pt idx="626">
                  <c:v>-5.9916817676858036</c:v>
                </c:pt>
                <c:pt idx="627">
                  <c:v>-5.9983591125433415</c:v>
                </c:pt>
                <c:pt idx="628">
                  <c:v>-6.0050365170640649</c:v>
                </c:pt>
                <c:pt idx="629">
                  <c:v>-6.0117139812472713</c:v>
                </c:pt>
                <c:pt idx="630">
                  <c:v>-6.0183915050922598</c:v>
                </c:pt>
                <c:pt idx="631">
                  <c:v>-6.0250690885983298</c:v>
                </c:pt>
                <c:pt idx="632">
                  <c:v>-6.0317467317647795</c:v>
                </c:pt>
                <c:pt idx="633">
                  <c:v>-6.0384244345909073</c:v>
                </c:pt>
                <c:pt idx="634">
                  <c:v>-6.0451021970760124</c:v>
                </c:pt>
                <c:pt idx="635">
                  <c:v>-6.0517800192193931</c:v>
                </c:pt>
                <c:pt idx="636">
                  <c:v>-6.0584579010203488</c:v>
                </c:pt>
                <c:pt idx="637">
                  <c:v>-6.0651358424781776</c:v>
                </c:pt>
                <c:pt idx="638">
                  <c:v>-6.0718138435921789</c:v>
                </c:pt>
                <c:pt idx="639">
                  <c:v>-6.078491904361651</c:v>
                </c:pt>
                <c:pt idx="640">
                  <c:v>-6.0851700247858931</c:v>
                </c:pt>
                <c:pt idx="641">
                  <c:v>-6.0918482048642035</c:v>
                </c:pt>
                <c:pt idx="642">
                  <c:v>-6.0985264445958807</c:v>
                </c:pt>
                <c:pt idx="643">
                  <c:v>-6.1052047439802237</c:v>
                </c:pt>
                <c:pt idx="644">
                  <c:v>-6.111883103016531</c:v>
                </c:pt>
                <c:pt idx="645">
                  <c:v>-6.1185615217041018</c:v>
                </c:pt>
                <c:pt idx="646">
                  <c:v>-6.1252400000422345</c:v>
                </c:pt>
                <c:pt idx="647">
                  <c:v>-6.1319185380302281</c:v>
                </c:pt>
                <c:pt idx="648">
                  <c:v>-6.1385971356673812</c:v>
                </c:pt>
                <c:pt idx="649">
                  <c:v>-6.1452757929529929</c:v>
                </c:pt>
                <c:pt idx="650">
                  <c:v>-6.1519545098863615</c:v>
                </c:pt>
                <c:pt idx="651">
                  <c:v>-6.1586332864667863</c:v>
                </c:pt>
                <c:pt idx="652">
                  <c:v>-6.1653121226935657</c:v>
                </c:pt>
                <c:pt idx="653">
                  <c:v>-6.1719910185659979</c:v>
                </c:pt>
                <c:pt idx="654">
                  <c:v>-6.1786699740833821</c:v>
                </c:pt>
                <c:pt idx="655">
                  <c:v>-6.1853489892450177</c:v>
                </c:pt>
                <c:pt idx="656">
                  <c:v>-6.192028064050203</c:v>
                </c:pt>
                <c:pt idx="657">
                  <c:v>-6.1987071984982363</c:v>
                </c:pt>
                <c:pt idx="658">
                  <c:v>-6.2053863925884167</c:v>
                </c:pt>
                <c:pt idx="659">
                  <c:v>-6.2120656463200428</c:v>
                </c:pt>
                <c:pt idx="660">
                  <c:v>-6.2187449596924136</c:v>
                </c:pt>
                <c:pt idx="661">
                  <c:v>-6.2254243327048275</c:v>
                </c:pt>
                <c:pt idx="662">
                  <c:v>-6.2321037653565838</c:v>
                </c:pt>
                <c:pt idx="663">
                  <c:v>-6.2387832576469808</c:v>
                </c:pt>
                <c:pt idx="664">
                  <c:v>-6.2454628095753177</c:v>
                </c:pt>
                <c:pt idx="665">
                  <c:v>-6.2521424211408929</c:v>
                </c:pt>
                <c:pt idx="666">
                  <c:v>-6.2588220923430056</c:v>
                </c:pt>
                <c:pt idx="667">
                  <c:v>-6.2655018231809541</c:v>
                </c:pt>
                <c:pt idx="668">
                  <c:v>-6.2721816136540367</c:v>
                </c:pt>
                <c:pt idx="669">
                  <c:v>-6.2788614637615527</c:v>
                </c:pt>
                <c:pt idx="670">
                  <c:v>-6.2855413735028014</c:v>
                </c:pt>
                <c:pt idx="671">
                  <c:v>-6.292221342877081</c:v>
                </c:pt>
                <c:pt idx="672">
                  <c:v>-6.2989013718836899</c:v>
                </c:pt>
                <c:pt idx="673">
                  <c:v>-6.3055814605219274</c:v>
                </c:pt>
                <c:pt idx="674">
                  <c:v>-6.3122616087910925</c:v>
                </c:pt>
                <c:pt idx="675">
                  <c:v>-6.3189418166904838</c:v>
                </c:pt>
                <c:pt idx="676">
                  <c:v>-6.3256220842193995</c:v>
                </c:pt>
                <c:pt idx="677">
                  <c:v>-6.3323024113771389</c:v>
                </c:pt>
                <c:pt idx="678">
                  <c:v>-6.3389827981630003</c:v>
                </c:pt>
                <c:pt idx="679">
                  <c:v>-6.3456632445762828</c:v>
                </c:pt>
                <c:pt idx="680">
                  <c:v>-6.3523437506162859</c:v>
                </c:pt>
                <c:pt idx="681">
                  <c:v>-6.3590243162823068</c:v>
                </c:pt>
                <c:pt idx="682">
                  <c:v>-6.3657049415736457</c:v>
                </c:pt>
                <c:pt idx="683">
                  <c:v>-6.3723856264896011</c:v>
                </c:pt>
                <c:pt idx="684">
                  <c:v>-6.379066371029471</c:v>
                </c:pt>
                <c:pt idx="685">
                  <c:v>-6.385747175192555</c:v>
                </c:pt>
                <c:pt idx="686">
                  <c:v>-6.3924280389781512</c:v>
                </c:pt>
                <c:pt idx="687">
                  <c:v>-6.3991089623855588</c:v>
                </c:pt>
                <c:pt idx="688">
                  <c:v>-6.4057899454140763</c:v>
                </c:pt>
                <c:pt idx="689">
                  <c:v>-6.4124709880630029</c:v>
                </c:pt>
                <c:pt idx="690">
                  <c:v>-6.4191520903316368</c:v>
                </c:pt>
                <c:pt idx="691">
                  <c:v>-6.4258332522192774</c:v>
                </c:pt>
                <c:pt idx="692">
                  <c:v>-6.4325144737252229</c:v>
                </c:pt>
                <c:pt idx="693">
                  <c:v>-6.4391957548487726</c:v>
                </c:pt>
                <c:pt idx="694">
                  <c:v>-6.4458770955892248</c:v>
                </c:pt>
                <c:pt idx="695">
                  <c:v>-6.4525584959458788</c:v>
                </c:pt>
                <c:pt idx="696">
                  <c:v>-6.4592399559180329</c:v>
                </c:pt>
                <c:pt idx="697">
                  <c:v>-6.4659214755049863</c:v>
                </c:pt>
                <c:pt idx="698">
                  <c:v>-6.4726030547060374</c:v>
                </c:pt>
                <c:pt idx="699">
                  <c:v>-6.4792846935204853</c:v>
                </c:pt>
                <c:pt idx="700">
                  <c:v>-6.4859663919476285</c:v>
                </c:pt>
                <c:pt idx="701">
                  <c:v>-6.4926481499867661</c:v>
                </c:pt>
                <c:pt idx="702">
                  <c:v>-6.4993299676371965</c:v>
                </c:pt>
                <c:pt idx="703">
                  <c:v>-6.5060118448982189</c:v>
                </c:pt>
                <c:pt idx="704">
                  <c:v>-6.5126937817691317</c:v>
                </c:pt>
                <c:pt idx="705">
                  <c:v>-6.5193757782492341</c:v>
                </c:pt>
                <c:pt idx="706">
                  <c:v>-6.5260578343378244</c:v>
                </c:pt>
                <c:pt idx="707">
                  <c:v>-6.5327399500342018</c:v>
                </c:pt>
                <c:pt idx="708">
                  <c:v>-6.5394221253376656</c:v>
                </c:pt>
                <c:pt idx="709">
                  <c:v>-6.5461043602475142</c:v>
                </c:pt>
                <c:pt idx="710">
                  <c:v>-6.5527866547630458</c:v>
                </c:pt>
                <c:pt idx="711">
                  <c:v>-6.5594690088835597</c:v>
                </c:pt>
                <c:pt idx="712">
                  <c:v>-6.5661514226083542</c:v>
                </c:pt>
                <c:pt idx="713">
                  <c:v>-6.5728338959367285</c:v>
                </c:pt>
                <c:pt idx="714">
                  <c:v>-6.579516428867981</c:v>
                </c:pt>
                <c:pt idx="715">
                  <c:v>-6.586199021401411</c:v>
                </c:pt>
                <c:pt idx="716">
                  <c:v>-6.5928816735363176</c:v>
                </c:pt>
                <c:pt idx="717">
                  <c:v>-6.5995643852719992</c:v>
                </c:pt>
                <c:pt idx="718">
                  <c:v>-6.6062471566077541</c:v>
                </c:pt>
                <c:pt idx="719">
                  <c:v>-6.6129299875428815</c:v>
                </c:pt>
                <c:pt idx="720">
                  <c:v>-6.6196128780766808</c:v>
                </c:pt>
                <c:pt idx="721">
                  <c:v>-6.6262958282084501</c:v>
                </c:pt>
                <c:pt idx="722">
                  <c:v>-6.6329788379374888</c:v>
                </c:pt>
                <c:pt idx="723">
                  <c:v>-6.6396619072630951</c:v>
                </c:pt>
                <c:pt idx="724">
                  <c:v>-6.6463450361845675</c:v>
                </c:pt>
                <c:pt idx="725">
                  <c:v>-6.653028224701206</c:v>
                </c:pt>
                <c:pt idx="726">
                  <c:v>-6.6597114728123081</c:v>
                </c:pt>
                <c:pt idx="727">
                  <c:v>-6.666394780517173</c:v>
                </c:pt>
                <c:pt idx="728">
                  <c:v>-6.6730781478151</c:v>
                </c:pt>
                <c:pt idx="729">
                  <c:v>-6.6797615747053873</c:v>
                </c:pt>
                <c:pt idx="730">
                  <c:v>-6.6864450611873343</c:v>
                </c:pt>
                <c:pt idx="731">
                  <c:v>-6.6931286072602401</c:v>
                </c:pt>
                <c:pt idx="732">
                  <c:v>-6.6998122129234021</c:v>
                </c:pt>
                <c:pt idx="733">
                  <c:v>-6.7064958781761206</c:v>
                </c:pt>
                <c:pt idx="734">
                  <c:v>-6.7131796030176938</c:v>
                </c:pt>
                <c:pt idx="735">
                  <c:v>-6.7198633874474201</c:v>
                </c:pt>
                <c:pt idx="736">
                  <c:v>-6.7265472314645987</c:v>
                </c:pt>
                <c:pt idx="737">
                  <c:v>-6.7332311350685288</c:v>
                </c:pt>
                <c:pt idx="738">
                  <c:v>-6.7399150982585088</c:v>
                </c:pt>
                <c:pt idx="739">
                  <c:v>-6.7465991210338379</c:v>
                </c:pt>
                <c:pt idx="740">
                  <c:v>-6.7532832033938144</c:v>
                </c:pt>
                <c:pt idx="741">
                  <c:v>-6.7599673453377367</c:v>
                </c:pt>
                <c:pt idx="742">
                  <c:v>-6.7666515468649049</c:v>
                </c:pt>
                <c:pt idx="743">
                  <c:v>-6.7733358079746164</c:v>
                </c:pt>
                <c:pt idx="744">
                  <c:v>-6.7800201286661714</c:v>
                </c:pt>
                <c:pt idx="745">
                  <c:v>-6.7867045089388682</c:v>
                </c:pt>
                <c:pt idx="746">
                  <c:v>-6.7933889487920052</c:v>
                </c:pt>
                <c:pt idx="747">
                  <c:v>-6.8000734482248815</c:v>
                </c:pt>
                <c:pt idx="748">
                  <c:v>-6.8067580072367964</c:v>
                </c:pt>
                <c:pt idx="749">
                  <c:v>-6.8134426258270482</c:v>
                </c:pt>
                <c:pt idx="750">
                  <c:v>-6.8201273039949353</c:v>
                </c:pt>
                <c:pt idx="751">
                  <c:v>-6.8268120417397569</c:v>
                </c:pt>
                <c:pt idx="752">
                  <c:v>-6.8334968390608122</c:v>
                </c:pt>
                <c:pt idx="753">
                  <c:v>-6.8401816959573996</c:v>
                </c:pt>
                <c:pt idx="754">
                  <c:v>-6.8468666124288182</c:v>
                </c:pt>
                <c:pt idx="755">
                  <c:v>-6.8535515884743674</c:v>
                </c:pt>
                <c:pt idx="756">
                  <c:v>-6.8602366240933446</c:v>
                </c:pt>
                <c:pt idx="757">
                  <c:v>-6.8669217192850498</c:v>
                </c:pt>
                <c:pt idx="758">
                  <c:v>-6.8736068740487815</c:v>
                </c:pt>
                <c:pt idx="759">
                  <c:v>-6.8802920883838388</c:v>
                </c:pt>
                <c:pt idx="760">
                  <c:v>-6.8869773622895201</c:v>
                </c:pt>
                <c:pt idx="761">
                  <c:v>-6.8936626957651237</c:v>
                </c:pt>
                <c:pt idx="762">
                  <c:v>-6.9003480888099498</c:v>
                </c:pt>
                <c:pt idx="763">
                  <c:v>-6.9070335414232957</c:v>
                </c:pt>
                <c:pt idx="764">
                  <c:v>-6.9137190536044617</c:v>
                </c:pt>
                <c:pt idx="765">
                  <c:v>-6.920404625352746</c:v>
                </c:pt>
                <c:pt idx="766">
                  <c:v>-6.927090256667447</c:v>
                </c:pt>
                <c:pt idx="767">
                  <c:v>-6.933775947547864</c:v>
                </c:pt>
                <c:pt idx="768">
                  <c:v>-6.940461697993296</c:v>
                </c:pt>
                <c:pt idx="769">
                  <c:v>-6.9471475080030416</c:v>
                </c:pt>
                <c:pt idx="770">
                  <c:v>-6.9538333775763999</c:v>
                </c:pt>
                <c:pt idx="771">
                  <c:v>-6.9605193067126692</c:v>
                </c:pt>
                <c:pt idx="772">
                  <c:v>-6.9672052954111487</c:v>
                </c:pt>
                <c:pt idx="773">
                  <c:v>-6.9738913436711378</c:v>
                </c:pt>
                <c:pt idx="774">
                  <c:v>-6.9805774514919348</c:v>
                </c:pt>
                <c:pt idx="775">
                  <c:v>-6.9872636188728379</c:v>
                </c:pt>
                <c:pt idx="776">
                  <c:v>-6.9939498458131464</c:v>
                </c:pt>
                <c:pt idx="777">
                  <c:v>-7.0006361323121595</c:v>
                </c:pt>
                <c:pt idx="778">
                  <c:v>-7.0073224783691757</c:v>
                </c:pt>
                <c:pt idx="779">
                  <c:v>-7.014008883983494</c:v>
                </c:pt>
                <c:pt idx="780">
                  <c:v>-7.0206953491544137</c:v>
                </c:pt>
                <c:pt idx="781">
                  <c:v>-7.0273818738812333</c:v>
                </c:pt>
                <c:pt idx="782">
                  <c:v>-7.0340684581632509</c:v>
                </c:pt>
                <c:pt idx="783">
                  <c:v>-7.0407551019997667</c:v>
                </c:pt>
                <c:pt idx="784">
                  <c:v>-7.0474418053900783</c:v>
                </c:pt>
                <c:pt idx="785">
                  <c:v>-7.0541285683334856</c:v>
                </c:pt>
                <c:pt idx="786">
                  <c:v>-7.060815390829287</c:v>
                </c:pt>
                <c:pt idx="787">
                  <c:v>-7.0675022728767809</c:v>
                </c:pt>
                <c:pt idx="788">
                  <c:v>-7.0741892144752665</c:v>
                </c:pt>
                <c:pt idx="789">
                  <c:v>-7.080876215624043</c:v>
                </c:pt>
                <c:pt idx="790">
                  <c:v>-7.0875632763224088</c:v>
                </c:pt>
                <c:pt idx="791">
                  <c:v>-7.0942503965696631</c:v>
                </c:pt>
                <c:pt idx="792">
                  <c:v>-7.100937576365105</c:v>
                </c:pt>
                <c:pt idx="793">
                  <c:v>-7.1076248157080331</c:v>
                </c:pt>
                <c:pt idx="794">
                  <c:v>-7.1143121145977455</c:v>
                </c:pt>
                <c:pt idx="795">
                  <c:v>-7.1209994730335415</c:v>
                </c:pt>
                <c:pt idx="796">
                  <c:v>-7.1276868910147204</c:v>
                </c:pt>
                <c:pt idx="797">
                  <c:v>-7.1343743685405814</c:v>
                </c:pt>
                <c:pt idx="798">
                  <c:v>-7.1410619056104219</c:v>
                </c:pt>
                <c:pt idx="799">
                  <c:v>-7.147749502223542</c:v>
                </c:pt>
                <c:pt idx="800">
                  <c:v>-7.1544371583792401</c:v>
                </c:pt>
                <c:pt idx="801">
                  <c:v>-7.1611248740768154</c:v>
                </c:pt>
                <c:pt idx="802">
                  <c:v>-7.1678126493155663</c:v>
                </c:pt>
                <c:pt idx="803">
                  <c:v>-7.1745004840947919</c:v>
                </c:pt>
                <c:pt idx="804">
                  <c:v>-7.1811883784137915</c:v>
                </c:pt>
                <c:pt idx="805">
                  <c:v>-7.1878763322718635</c:v>
                </c:pt>
                <c:pt idx="806">
                  <c:v>-7.194564345668307</c:v>
                </c:pt>
                <c:pt idx="807">
                  <c:v>-7.2012524186024205</c:v>
                </c:pt>
                <c:pt idx="808">
                  <c:v>-7.2079405510735031</c:v>
                </c:pt>
                <c:pt idx="809">
                  <c:v>-7.2146287430808531</c:v>
                </c:pt>
                <c:pt idx="810">
                  <c:v>-7.2213169946237699</c:v>
                </c:pt>
                <c:pt idx="811">
                  <c:v>-7.2280053057015525</c:v>
                </c:pt>
                <c:pt idx="812">
                  <c:v>-7.2346936763135004</c:v>
                </c:pt>
                <c:pt idx="813">
                  <c:v>-7.2413821064589108</c:v>
                </c:pt>
                <c:pt idx="814">
                  <c:v>-7.2480705961370839</c:v>
                </c:pt>
                <c:pt idx="815">
                  <c:v>-7.2547591453473181</c:v>
                </c:pt>
                <c:pt idx="816">
                  <c:v>-7.2614477540889126</c:v>
                </c:pt>
                <c:pt idx="817">
                  <c:v>-7.2681364223611657</c:v>
                </c:pt>
                <c:pt idx="818">
                  <c:v>-7.2748251501633767</c:v>
                </c:pt>
                <c:pt idx="819">
                  <c:v>-7.2815139374948448</c:v>
                </c:pt>
                <c:pt idx="820">
                  <c:v>-7.2882027843548682</c:v>
                </c:pt>
                <c:pt idx="821">
                  <c:v>-7.2948916907427463</c:v>
                </c:pt>
                <c:pt idx="822">
                  <c:v>-7.3015806566577774</c:v>
                </c:pt>
                <c:pt idx="823">
                  <c:v>-7.3082696820992608</c:v>
                </c:pt>
                <c:pt idx="824">
                  <c:v>-7.3149587670664955</c:v>
                </c:pt>
                <c:pt idx="825">
                  <c:v>-7.32164791155878</c:v>
                </c:pt>
                <c:pt idx="826">
                  <c:v>-7.3283371155754136</c:v>
                </c:pt>
                <c:pt idx="827">
                  <c:v>-7.3350263791156953</c:v>
                </c:pt>
                <c:pt idx="828">
                  <c:v>-7.3417157021789237</c:v>
                </c:pt>
                <c:pt idx="829">
                  <c:v>-7.3484050847643969</c:v>
                </c:pt>
                <c:pt idx="830">
                  <c:v>-7.3550945268714152</c:v>
                </c:pt>
                <c:pt idx="831">
                  <c:v>-7.3617840284992768</c:v>
                </c:pt>
                <c:pt idx="832">
                  <c:v>-7.3684735896472802</c:v>
                </c:pt>
                <c:pt idx="833">
                  <c:v>-7.3751632103147244</c:v>
                </c:pt>
                <c:pt idx="834">
                  <c:v>-7.3818528905009089</c:v>
                </c:pt>
                <c:pt idx="835">
                  <c:v>-7.3885426302051327</c:v>
                </c:pt>
                <c:pt idx="836">
                  <c:v>-7.3952324294266942</c:v>
                </c:pt>
                <c:pt idx="837">
                  <c:v>-7.4019222881648927</c:v>
                </c:pt>
                <c:pt idx="838">
                  <c:v>-7.4086122064190265</c:v>
                </c:pt>
                <c:pt idx="839">
                  <c:v>-7.4153021841883948</c:v>
                </c:pt>
                <c:pt idx="840">
                  <c:v>-7.421992221472296</c:v>
                </c:pt>
                <c:pt idx="841">
                  <c:v>-7.4286823182700301</c:v>
                </c:pt>
                <c:pt idx="842">
                  <c:v>-7.4353724745808956</c:v>
                </c:pt>
                <c:pt idx="843">
                  <c:v>-7.4420626904041907</c:v>
                </c:pt>
                <c:pt idx="844">
                  <c:v>-7.4487529657392146</c:v>
                </c:pt>
                <c:pt idx="845">
                  <c:v>-7.4554433005852667</c:v>
                </c:pt>
                <c:pt idx="846">
                  <c:v>-7.4621336949416452</c:v>
                </c:pt>
                <c:pt idx="847">
                  <c:v>-7.4688241488076494</c:v>
                </c:pt>
                <c:pt idx="848">
                  <c:v>-7.4755146621825785</c:v>
                </c:pt>
                <c:pt idx="849">
                  <c:v>-7.4822052350657309</c:v>
                </c:pt>
                <c:pt idx="850">
                  <c:v>-7.4888958674564057</c:v>
                </c:pt>
                <c:pt idx="851">
                  <c:v>-7.4955865593539022</c:v>
                </c:pt>
                <c:pt idx="852">
                  <c:v>-7.5022773107575187</c:v>
                </c:pt>
                <c:pt idx="853">
                  <c:v>-7.5089681216665545</c:v>
                </c:pt>
                <c:pt idx="854">
                  <c:v>-7.5156589920803079</c:v>
                </c:pt>
                <c:pt idx="855">
                  <c:v>-7.5223499219980781</c:v>
                </c:pt>
                <c:pt idx="856">
                  <c:v>-7.5290409114191643</c:v>
                </c:pt>
                <c:pt idx="857">
                  <c:v>-7.5357319603428659</c:v>
                </c:pt>
                <c:pt idx="858">
                  <c:v>-7.542423068768481</c:v>
                </c:pt>
                <c:pt idx="859">
                  <c:v>-7.5491142366953081</c:v>
                </c:pt>
                <c:pt idx="860">
                  <c:v>-7.5558054641226473</c:v>
                </c:pt>
                <c:pt idx="861">
                  <c:v>-7.5624967510497969</c:v>
                </c:pt>
                <c:pt idx="862">
                  <c:v>-7.5691880974760553</c:v>
                </c:pt>
                <c:pt idx="863">
                  <c:v>-7.5758795034007225</c:v>
                </c:pt>
                <c:pt idx="864">
                  <c:v>-7.5825709688230969</c:v>
                </c:pt>
                <c:pt idx="865">
                  <c:v>-7.5892624937424769</c:v>
                </c:pt>
                <c:pt idx="866">
                  <c:v>-7.5959540781581625</c:v>
                </c:pt>
                <c:pt idx="867">
                  <c:v>-7.6026457220694521</c:v>
                </c:pt>
                <c:pt idx="868">
                  <c:v>-7.6093374254756441</c:v>
                </c:pt>
                <c:pt idx="869">
                  <c:v>-7.6160291883760376</c:v>
                </c:pt>
                <c:pt idx="870">
                  <c:v>-7.6227210107699319</c:v>
                </c:pt>
                <c:pt idx="871">
                  <c:v>-7.6294128926566263</c:v>
                </c:pt>
                <c:pt idx="872">
                  <c:v>-7.636104834035419</c:v>
                </c:pt>
                <c:pt idx="873">
                  <c:v>-7.6427968349056092</c:v>
                </c:pt>
                <c:pt idx="874">
                  <c:v>-7.6494888952664954</c:v>
                </c:pt>
                <c:pt idx="875">
                  <c:v>-7.6561810151173768</c:v>
                </c:pt>
                <c:pt idx="876">
                  <c:v>-7.6628731944575526</c:v>
                </c:pt>
                <c:pt idx="877">
                  <c:v>-7.6695654332863219</c:v>
                </c:pt>
                <c:pt idx="878">
                  <c:v>-7.6762577316029832</c:v>
                </c:pt>
                <c:pt idx="879">
                  <c:v>-7.6829500894068357</c:v>
                </c:pt>
                <c:pt idx="880">
                  <c:v>-7.6896425066971776</c:v>
                </c:pt>
                <c:pt idx="881">
                  <c:v>-7.6963349834733084</c:v>
                </c:pt>
                <c:pt idx="882">
                  <c:v>-7.703027519734527</c:v>
                </c:pt>
                <c:pt idx="883">
                  <c:v>-7.7097201154801329</c:v>
                </c:pt>
                <c:pt idx="884">
                  <c:v>-7.7164127707094243</c:v>
                </c:pt>
                <c:pt idx="885">
                  <c:v>-7.7231054854217005</c:v>
                </c:pt>
                <c:pt idx="886">
                  <c:v>-7.7297982596162598</c:v>
                </c:pt>
                <c:pt idx="887">
                  <c:v>-7.7364910932924014</c:v>
                </c:pt>
                <c:pt idx="888">
                  <c:v>-7.7431839864494245</c:v>
                </c:pt>
                <c:pt idx="889">
                  <c:v>-7.7498769390866284</c:v>
                </c:pt>
                <c:pt idx="890">
                  <c:v>-7.7565699512033115</c:v>
                </c:pt>
                <c:pt idx="891">
                  <c:v>-7.7632630227987729</c:v>
                </c:pt>
                <c:pt idx="892">
                  <c:v>-7.769956153872311</c:v>
                </c:pt>
                <c:pt idx="893">
                  <c:v>-7.776649344423225</c:v>
                </c:pt>
                <c:pt idx="894">
                  <c:v>-7.7833425944508141</c:v>
                </c:pt>
                <c:pt idx="895">
                  <c:v>-7.7900359039543776</c:v>
                </c:pt>
                <c:pt idx="896">
                  <c:v>-7.7967292729332138</c:v>
                </c:pt>
                <c:pt idx="897">
                  <c:v>-7.803422701386622</c:v>
                </c:pt>
                <c:pt idx="898">
                  <c:v>-7.8101161893139013</c:v>
                </c:pt>
                <c:pt idx="899">
                  <c:v>-7.8168097367143501</c:v>
                </c:pt>
                <c:pt idx="900">
                  <c:v>-7.8235033435872676</c:v>
                </c:pt>
                <c:pt idx="901">
                  <c:v>-7.8301970099319531</c:v>
                </c:pt>
                <c:pt idx="902">
                  <c:v>-7.8368907357477049</c:v>
                </c:pt>
                <c:pt idx="903">
                  <c:v>-7.8435845210338222</c:v>
                </c:pt>
                <c:pt idx="904">
                  <c:v>-7.8502783657896043</c:v>
                </c:pt>
                <c:pt idx="905">
                  <c:v>-7.8569722700143494</c:v>
                </c:pt>
                <c:pt idx="906">
                  <c:v>-7.8636662337073568</c:v>
                </c:pt>
                <c:pt idx="907">
                  <c:v>-7.8703602568679258</c:v>
                </c:pt>
                <c:pt idx="908">
                  <c:v>-7.8770543394953556</c:v>
                </c:pt>
                <c:pt idx="909">
                  <c:v>-7.8837484815889445</c:v>
                </c:pt>
                <c:pt idx="910">
                  <c:v>-7.8904426831479917</c:v>
                </c:pt>
                <c:pt idx="911">
                  <c:v>-7.8971369441717956</c:v>
                </c:pt>
                <c:pt idx="912">
                  <c:v>-7.9038312646596554</c:v>
                </c:pt>
                <c:pt idx="913">
                  <c:v>-7.9105256446108703</c:v>
                </c:pt>
                <c:pt idx="914">
                  <c:v>-7.9172200840247395</c:v>
                </c:pt>
                <c:pt idx="915">
                  <c:v>-7.9239145829005615</c:v>
                </c:pt>
                <c:pt idx="916">
                  <c:v>-7.9306091412376354</c:v>
                </c:pt>
                <c:pt idx="917">
                  <c:v>-7.9373037590352604</c:v>
                </c:pt>
                <c:pt idx="918">
                  <c:v>-7.9439984362927358</c:v>
                </c:pt>
                <c:pt idx="919">
                  <c:v>-7.95069317300936</c:v>
                </c:pt>
                <c:pt idx="920">
                  <c:v>-7.957387969184432</c:v>
                </c:pt>
                <c:pt idx="921">
                  <c:v>-7.9640828248172504</c:v>
                </c:pt>
                <c:pt idx="922">
                  <c:v>-7.9707777399071142</c:v>
                </c:pt>
                <c:pt idx="923">
                  <c:v>-7.9774727144533228</c:v>
                </c:pt>
                <c:pt idx="924">
                  <c:v>-7.9841677484551754</c:v>
                </c:pt>
                <c:pt idx="925">
                  <c:v>-7.9908628419119703</c:v>
                </c:pt>
                <c:pt idx="926">
                  <c:v>-7.9975579948230067</c:v>
                </c:pt>
                <c:pt idx="927">
                  <c:v>-8.0042532071875847</c:v>
                </c:pt>
                <c:pt idx="928">
                  <c:v>-8.0109484790050018</c:v>
                </c:pt>
                <c:pt idx="929">
                  <c:v>-8.0176438102745564</c:v>
                </c:pt>
                <c:pt idx="930">
                  <c:v>-8.0243392009955485</c:v>
                </c:pt>
                <c:pt idx="931">
                  <c:v>-8.0310346511672783</c:v>
                </c:pt>
                <c:pt idx="932">
                  <c:v>-8.0377301607890423</c:v>
                </c:pt>
                <c:pt idx="933">
                  <c:v>-8.0444257298601407</c:v>
                </c:pt>
                <c:pt idx="934">
                  <c:v>-8.0511213583798735</c:v>
                </c:pt>
                <c:pt idx="935">
                  <c:v>-8.0578170463475374</c:v>
                </c:pt>
                <c:pt idx="936">
                  <c:v>-8.0645127937624341</c:v>
                </c:pt>
                <c:pt idx="937">
                  <c:v>-8.0712086006238604</c:v>
                </c:pt>
                <c:pt idx="938">
                  <c:v>-8.0779044669311162</c:v>
                </c:pt>
                <c:pt idx="939">
                  <c:v>-8.0846003926834999</c:v>
                </c:pt>
                <c:pt idx="940">
                  <c:v>-8.0912963778803118</c:v>
                </c:pt>
                <c:pt idx="941">
                  <c:v>-8.0979924225208482</c:v>
                </c:pt>
                <c:pt idx="942">
                  <c:v>-8.1046885266044111</c:v>
                </c:pt>
                <c:pt idx="943">
                  <c:v>-8.1113846901302971</c:v>
                </c:pt>
                <c:pt idx="944">
                  <c:v>-8.1180809130978062</c:v>
                </c:pt>
                <c:pt idx="945">
                  <c:v>-8.1247771955062387</c:v>
                </c:pt>
                <c:pt idx="946">
                  <c:v>-8.131473537354891</c:v>
                </c:pt>
                <c:pt idx="947">
                  <c:v>-8.1381699386430633</c:v>
                </c:pt>
                <c:pt idx="948">
                  <c:v>-8.1448663993700556</c:v>
                </c:pt>
                <c:pt idx="949">
                  <c:v>-8.1515629195351664</c:v>
                </c:pt>
                <c:pt idx="950">
                  <c:v>-8.158259499137694</c:v>
                </c:pt>
                <c:pt idx="951">
                  <c:v>-8.1649561381769367</c:v>
                </c:pt>
                <c:pt idx="952">
                  <c:v>-8.1716528366521946</c:v>
                </c:pt>
                <c:pt idx="953">
                  <c:v>-8.178349594562766</c:v>
                </c:pt>
                <c:pt idx="954">
                  <c:v>-8.1850464119079511</c:v>
                </c:pt>
                <c:pt idx="955">
                  <c:v>-8.1917432886870483</c:v>
                </c:pt>
                <c:pt idx="956">
                  <c:v>-8.1984402248993558</c:v>
                </c:pt>
                <c:pt idx="957">
                  <c:v>-8.2051372205441737</c:v>
                </c:pt>
                <c:pt idx="958">
                  <c:v>-8.2118342756208005</c:v>
                </c:pt>
                <c:pt idx="959">
                  <c:v>-8.2185313901285362</c:v>
                </c:pt>
                <c:pt idx="960">
                  <c:v>-8.2252285640666791</c:v>
                </c:pt>
                <c:pt idx="961">
                  <c:v>-8.2319257974345277</c:v>
                </c:pt>
                <c:pt idx="962">
                  <c:v>-8.2386230902313802</c:v>
                </c:pt>
                <c:pt idx="963">
                  <c:v>-8.2453204424565367</c:v>
                </c:pt>
                <c:pt idx="964">
                  <c:v>-8.2520178541092974</c:v>
                </c:pt>
                <c:pt idx="965">
                  <c:v>-8.2587153251889589</c:v>
                </c:pt>
                <c:pt idx="966">
                  <c:v>-8.2654128556948212</c:v>
                </c:pt>
                <c:pt idx="967">
                  <c:v>-8.2721104456261845</c:v>
                </c:pt>
                <c:pt idx="968">
                  <c:v>-8.278808094982347</c:v>
                </c:pt>
                <c:pt idx="969">
                  <c:v>-8.2855058037626073</c:v>
                </c:pt>
                <c:pt idx="970">
                  <c:v>-8.2922035719662635</c:v>
                </c:pt>
                <c:pt idx="971">
                  <c:v>-8.2989013995926157</c:v>
                </c:pt>
                <c:pt idx="972">
                  <c:v>-8.3055992866409643</c:v>
                </c:pt>
                <c:pt idx="973">
                  <c:v>-8.3122972331106055</c:v>
                </c:pt>
                <c:pt idx="974">
                  <c:v>-8.3189952390008397</c:v>
                </c:pt>
                <c:pt idx="975">
                  <c:v>-8.3256933043109669</c:v>
                </c:pt>
                <c:pt idx="976">
                  <c:v>-8.3323914290402854</c:v>
                </c:pt>
                <c:pt idx="977">
                  <c:v>-8.3390896131880936</c:v>
                </c:pt>
                <c:pt idx="978">
                  <c:v>-8.3457878567536898</c:v>
                </c:pt>
                <c:pt idx="979">
                  <c:v>-8.3524861597363742</c:v>
                </c:pt>
                <c:pt idx="980">
                  <c:v>-8.3591845221354468</c:v>
                </c:pt>
                <c:pt idx="981">
                  <c:v>-8.3658829439502043</c:v>
                </c:pt>
                <c:pt idx="982">
                  <c:v>-8.3725814251799466</c:v>
                </c:pt>
                <c:pt idx="983">
                  <c:v>-8.3792799658239741</c:v>
                </c:pt>
                <c:pt idx="984">
                  <c:v>-8.3859785658815849</c:v>
                </c:pt>
                <c:pt idx="985">
                  <c:v>-8.3926772253520774</c:v>
                </c:pt>
                <c:pt idx="986">
                  <c:v>-8.39937594423475</c:v>
                </c:pt>
                <c:pt idx="987">
                  <c:v>-8.4060747225289028</c:v>
                </c:pt>
                <c:pt idx="988">
                  <c:v>-8.4127735602338358</c:v>
                </c:pt>
                <c:pt idx="989">
                  <c:v>-8.4194724573488475</c:v>
                </c:pt>
                <c:pt idx="990">
                  <c:v>-8.4261714138732362</c:v>
                </c:pt>
                <c:pt idx="991">
                  <c:v>-8.4328704298063002</c:v>
                </c:pt>
                <c:pt idx="992">
                  <c:v>-8.4395695051473396</c:v>
                </c:pt>
                <c:pt idx="993">
                  <c:v>-8.4462686398956528</c:v>
                </c:pt>
                <c:pt idx="994">
                  <c:v>-8.4529678340505399</c:v>
                </c:pt>
                <c:pt idx="995">
                  <c:v>-8.4596670876112992</c:v>
                </c:pt>
                <c:pt idx="996">
                  <c:v>-8.4663664005772308</c:v>
                </c:pt>
                <c:pt idx="997">
                  <c:v>-8.4730657729476313</c:v>
                </c:pt>
                <c:pt idx="998">
                  <c:v>-8.4797652047218026</c:v>
                </c:pt>
                <c:pt idx="999">
                  <c:v>-8.4864646958990413</c:v>
                </c:pt>
                <c:pt idx="1000">
                  <c:v>-8.4931642464786474</c:v>
                </c:pt>
              </c:numCache>
            </c:numRef>
          </c:yVal>
          <c:smooth val="1"/>
          <c:extLst>
            <c:ext xmlns:c16="http://schemas.microsoft.com/office/drawing/2014/chart" uri="{C3380CC4-5D6E-409C-BE32-E72D297353CC}">
              <c16:uniqueId val="{00000002-2D93-4A70-848A-B241BE71CA10}"/>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D93-4A70-848A-B241BE71CA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2D93-4A70-848A-B241BE71CA10}"/>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2.4733681936185822E-4</c:v>
                </c:pt>
                <c:pt idx="2">
                  <c:v>1.6523851771565153E-3</c:v>
                </c:pt>
                <c:pt idx="3">
                  <c:v>5.1575534632956246E-3</c:v>
                </c:pt>
                <c:pt idx="4">
                  <c:v>1.093687033726265E-2</c:v>
                </c:pt>
                <c:pt idx="5">
                  <c:v>1.8830297531210832E-2</c:v>
                </c:pt>
                <c:pt idx="6">
                  <c:v>2.8779233377834022E-2</c:v>
                </c:pt>
                <c:pt idx="7">
                  <c:v>4.0775839458927189E-2</c:v>
                </c:pt>
                <c:pt idx="8">
                  <c:v>5.4812221647415865E-2</c:v>
                </c:pt>
                <c:pt idx="9">
                  <c:v>7.0880430523417109E-2</c:v>
                </c:pt>
                <c:pt idx="10">
                  <c:v>8.8972461795073399E-2</c:v>
                </c:pt>
                <c:pt idx="11">
                  <c:v>0.10908025672407436</c:v>
                </c:pt>
                <c:pt idx="12">
                  <c:v>0.13119570255578028</c:v>
                </c:pt>
                <c:pt idx="13">
                  <c:v>0.15531063295386047</c:v>
                </c:pt>
                <c:pt idx="14">
                  <c:v>0.18141682843935875</c:v>
                </c:pt>
                <c:pt idx="15">
                  <c:v>0.20950601683409731</c:v>
                </c:pt>
                <c:pt idx="16">
                  <c:v>0.23956987370832988</c:v>
                </c:pt>
                <c:pt idx="17">
                  <c:v>0.27160002283255397</c:v>
                </c:pt>
                <c:pt idx="18">
                  <c:v>0.30558803663339124</c:v>
                </c:pt>
                <c:pt idx="19">
                  <c:v>0.34152543665344459</c:v>
                </c:pt>
                <c:pt idx="20">
                  <c:v>0.37940369401504004</c:v>
                </c:pt>
                <c:pt idx="21">
                  <c:v>0.41921422988776036</c:v>
                </c:pt>
                <c:pt idx="22">
                  <c:v>0.46094841595967706</c:v>
                </c:pt>
                <c:pt idx="23">
                  <c:v>0.50468150886236818</c:v>
                </c:pt>
                <c:pt idx="24">
                  <c:v>0.55049255302931022</c:v>
                </c:pt>
                <c:pt idx="25">
                  <c:v>0.59838032449026124</c:v>
                </c:pt>
                <c:pt idx="26">
                  <c:v>0.64834326406062237</c:v>
                </c:pt>
                <c:pt idx="27">
                  <c:v>0.70037944725150125</c:v>
                </c:pt>
                <c:pt idx="28">
                  <c:v>0.75448660668628786</c:v>
                </c:pt>
                <c:pt idx="29">
                  <c:v>0.81066215215186821</c:v>
                </c:pt>
                <c:pt idx="30">
                  <c:v>0.86890318861732241</c:v>
                </c:pt>
                <c:pt idx="31">
                  <c:v>0.92920653249617413</c:v>
                </c:pt>
                <c:pt idx="32">
                  <c:v>0.99156872638274673</c:v>
                </c:pt>
                <c:pt idx="33">
                  <c:v>1.0559860524564153</c:v>
                </c:pt>
                <c:pt idx="34">
                  <c:v>1.1224545447176153</c:v>
                </c:pt>
                <c:pt idx="35">
                  <c:v>1.1909700001949335</c:v>
                </c:pt>
                <c:pt idx="36">
                  <c:v>1.2615279892423676</c:v>
                </c:pt>
                <c:pt idx="37">
                  <c:v>1.3341238650290372</c:v>
                </c:pt>
                <c:pt idx="38">
                  <c:v>1.4087527723095974</c:v>
                </c:pt>
                <c:pt idx="39">
                  <c:v>1.4854096555518341</c:v>
                </c:pt>
                <c:pt idx="40">
                  <c:v>1.5640892664879815</c:v>
                </c:pt>
                <c:pt idx="41">
                  <c:v>1.6447861711478817</c:v>
                </c:pt>
                <c:pt idx="42">
                  <c:v>1.7274947564249319</c:v>
                </c:pt>
                <c:pt idx="43">
                  <c:v>1.8122092362196334</c:v>
                </c:pt>
                <c:pt idx="44">
                  <c:v>1.8989236572002872</c:v>
                </c:pt>
                <c:pt idx="45">
                  <c:v>1.9876319042158395</c:v>
                </c:pt>
                <c:pt idx="46">
                  <c:v>2.078327705391954</c:v>
                </c:pt>
                <c:pt idx="47">
                  <c:v>2.1710046369379765</c:v>
                </c:pt>
                <c:pt idx="48">
                  <c:v>2.2656561276894851</c:v>
                </c:pt>
                <c:pt idx="49">
                  <c:v>2.362275463408523</c:v>
                </c:pt>
                <c:pt idx="50">
                  <c:v>2.460855790861336</c:v>
                </c:pt>
                <c:pt idx="51">
                  <c:v>2.5613901216914372</c:v>
                </c:pt>
                <c:pt idx="52">
                  <c:v>2.6638713361040534</c:v>
                </c:pt>
                <c:pt idx="53">
                  <c:v>2.7682921863764545</c:v>
                </c:pt>
                <c:pt idx="54">
                  <c:v>2.8746453002072854</c:v>
                </c:pt>
                <c:pt idx="55">
                  <c:v>2.9829231839167862</c:v>
                </c:pt>
                <c:pt idx="56">
                  <c:v>3.0931182255087077</c:v>
                </c:pt>
                <c:pt idx="57">
                  <c:v>3.2052226976037397</c:v>
                </c:pt>
                <c:pt idx="58">
                  <c:v>3.319228760253409</c:v>
                </c:pt>
                <c:pt idx="59">
                  <c:v>3.4351284636426214</c:v>
                </c:pt>
                <c:pt idx="60">
                  <c:v>3.5529137506883135</c:v>
                </c:pt>
                <c:pt idx="61">
                  <c:v>3.6725764595410597</c:v>
                </c:pt>
                <c:pt idx="62">
                  <c:v>3.7941083259959036</c:v>
                </c:pt>
                <c:pt idx="63">
                  <c:v>3.917496048120729</c:v>
                </c:pt>
                <c:pt idx="64">
                  <c:v>4.0427163242127273</c:v>
                </c:pt>
                <c:pt idx="65">
                  <c:v>4.1697407602713668</c:v>
                </c:pt>
                <c:pt idx="66">
                  <c:v>4.2985408054077832</c:v>
                </c:pt>
                <c:pt idx="67">
                  <c:v>4.4290831993679376</c:v>
                </c:pt>
                <c:pt idx="68">
                  <c:v>4.561325397406705</c:v>
                </c:pt>
                <c:pt idx="69">
                  <c:v>4.6952119733493651</c:v>
                </c:pt>
                <c:pt idx="70">
                  <c:v>4.8306710086435158</c:v>
                </c:pt>
                <c:pt idx="71">
                  <c:v>4.9676221874647384</c:v>
                </c:pt>
                <c:pt idx="72">
                  <c:v>5.1059849323957689</c:v>
                </c:pt>
                <c:pt idx="73">
                  <c:v>5.2456784168900583</c:v>
                </c:pt>
                <c:pt idx="74">
                  <c:v>5.3866215772210824</c:v>
                </c:pt>
                <c:pt idx="75">
                  <c:v>5.528733123936207</c:v>
                </c:pt>
                <c:pt idx="76">
                  <c:v>5.6719315528314951</c:v>
                </c:pt>
                <c:pt idx="77">
                  <c:v>5.8161351554616489</c:v>
                </c:pt>
                <c:pt idx="78">
                  <c:v>5.9612620291973553</c:v>
                </c:pt>
                <c:pt idx="79">
                  <c:v>6.1072300868405573</c:v>
                </c:pt>
                <c:pt idx="80">
                  <c:v>6.2539570658066062</c:v>
                </c:pt>
                <c:pt idx="81">
                  <c:v>6.4013703824296009</c:v>
                </c:pt>
                <c:pt idx="82">
                  <c:v>6.549417017138131</c:v>
                </c:pt>
                <c:pt idx="83">
                  <c:v>6.6980537092987333</c:v>
                </c:pt>
                <c:pt idx="84">
                  <c:v>6.8472371180141396</c:v>
                </c:pt>
                <c:pt idx="85">
                  <c:v>6.9969238246839112</c:v>
                </c:pt>
                <c:pt idx="86">
                  <c:v>7.1470703354507741</c:v>
                </c:pt>
                <c:pt idx="87">
                  <c:v>7.2976330835334755</c:v>
                </c:pt>
                <c:pt idx="88">
                  <c:v>7.4485684314468585</c:v>
                </c:pt>
                <c:pt idx="89">
                  <c:v>7.5998358172169214</c:v>
                </c:pt>
                <c:pt idx="90">
                  <c:v>7.7514009092493268</c:v>
                </c:pt>
                <c:pt idx="91">
                  <c:v>7.9032324729050245</c:v>
                </c:pt>
                <c:pt idx="92">
                  <c:v>8.0552992278138085</c:v>
                </c:pt>
                <c:pt idx="93">
                  <c:v>8.2075706390161649</c:v>
                </c:pt>
                <c:pt idx="94">
                  <c:v>8.3600177101543132</c:v>
                </c:pt>
                <c:pt idx="95">
                  <c:v>8.5126121961407506</c:v>
                </c:pt>
                <c:pt idx="96">
                  <c:v>8.6653258135961124</c:v>
                </c:pt>
                <c:pt idx="97">
                  <c:v>8.8181334187900422</c:v>
                </c:pt>
                <c:pt idx="98">
                  <c:v>8.9710161937069852</c:v>
                </c:pt>
                <c:pt idx="99">
                  <c:v>9.1239584771680597</c:v>
                </c:pt>
                <c:pt idx="100">
                  <c:v>9.2769445875761036</c:v>
                </c:pt>
                <c:pt idx="101">
                  <c:v>9.4299588229882936</c:v>
                </c:pt>
                <c:pt idx="102">
                  <c:v>9.5829854611742267</c:v>
                </c:pt>
                <c:pt idx="103">
                  <c:v>9.7360087596594163</c:v>
                </c:pt>
                <c:pt idx="104">
                  <c:v>9.8890129557540938</c:v>
                </c:pt>
                <c:pt idx="105">
                  <c:v>10.041982266567238</c:v>
                </c:pt>
                <c:pt idx="106">
                  <c:v>10.194900889005725</c:v>
                </c:pt>
                <c:pt idx="107">
                  <c:v>10.347752999758482</c:v>
                </c:pt>
                <c:pt idx="108">
                  <c:v>10.500522755265555</c:v>
                </c:pt>
                <c:pt idx="109">
                  <c:v>10.653198324660133</c:v>
                </c:pt>
                <c:pt idx="110">
                  <c:v>10.805775932726542</c:v>
                </c:pt>
                <c:pt idx="111">
                  <c:v>10.9582558367185</c:v>
                </c:pt>
                <c:pt idx="112">
                  <c:v>11.110638293182168</c:v>
                </c:pt>
                <c:pt idx="113">
                  <c:v>11.262923557959095</c:v>
                </c:pt>
                <c:pt idx="114">
                  <c:v>11.415111886189163</c:v>
                </c:pt>
                <c:pt idx="115">
                  <c:v>11.567203532313503</c:v>
                </c:pt>
                <c:pt idx="116">
                  <c:v>11.71919875007741</c:v>
                </c:pt>
                <c:pt idx="117">
                  <c:v>11.871097792533234</c:v>
                </c:pt>
                <c:pt idx="118">
                  <c:v>12.022900912043259</c:v>
                </c:pt>
                <c:pt idx="119">
                  <c:v>12.174608360282566</c:v>
                </c:pt>
                <c:pt idx="120">
                  <c:v>12.326220388241888</c:v>
                </c:pt>
                <c:pt idx="121">
                  <c:v>12.477737246230443</c:v>
                </c:pt>
                <c:pt idx="122">
                  <c:v>12.629159183878759</c:v>
                </c:pt>
                <c:pt idx="123">
                  <c:v>12.780486450141474</c:v>
                </c:pt>
                <c:pt idx="124">
                  <c:v>12.931719293300141</c:v>
                </c:pt>
                <c:pt idx="125">
                  <c:v>13.082857960965999</c:v>
                </c:pt>
                <c:pt idx="126">
                  <c:v>13.233902700082742</c:v>
                </c:pt>
                <c:pt idx="127">
                  <c:v>13.384853756929274</c:v>
                </c:pt>
                <c:pt idx="128">
                  <c:v>13.535711377122443</c:v>
                </c:pt>
                <c:pt idx="129">
                  <c:v>13.686475805619764</c:v>
                </c:pt>
                <c:pt idx="130">
                  <c:v>13.837147286722141</c:v>
                </c:pt>
                <c:pt idx="131">
                  <c:v>13.987726064076554</c:v>
                </c:pt>
                <c:pt idx="132">
                  <c:v>14.138212380678747</c:v>
                </c:pt>
                <c:pt idx="133">
                  <c:v>14.2886064788759</c:v>
                </c:pt>
                <c:pt idx="134">
                  <c:v>14.438908600369288</c:v>
                </c:pt>
                <c:pt idx="135">
                  <c:v>14.589118986216922</c:v>
                </c:pt>
                <c:pt idx="136">
                  <c:v>14.739237876836185</c:v>
                </c:pt>
                <c:pt idx="137">
                  <c:v>14.889265512006446</c:v>
                </c:pt>
                <c:pt idx="138">
                  <c:v>15.039202130871672</c:v>
                </c:pt>
                <c:pt idx="139">
                  <c:v>15.189047971943014</c:v>
                </c:pt>
                <c:pt idx="140">
                  <c:v>15.338803273101393</c:v>
                </c:pt>
                <c:pt idx="141">
                  <c:v>15.488468271600064</c:v>
                </c:pt>
                <c:pt idx="142">
                  <c:v>15.638043204067174</c:v>
                </c:pt>
                <c:pt idx="143">
                  <c:v>15.787528306508298</c:v>
                </c:pt>
                <c:pt idx="144">
                  <c:v>15.936923814308978</c:v>
                </c:pt>
                <c:pt idx="145">
                  <c:v>16.086229962237233</c:v>
                </c:pt>
                <c:pt idx="146">
                  <c:v>16.235446984446067</c:v>
                </c:pt>
                <c:pt idx="147">
                  <c:v>16.384575114475965</c:v>
                </c:pt>
                <c:pt idx="148">
                  <c:v>16.533614585257361</c:v>
                </c:pt>
                <c:pt idx="149">
                  <c:v>16.682565629113125</c:v>
                </c:pt>
                <c:pt idx="150">
                  <c:v>16.831428477761008</c:v>
                </c:pt>
                <c:pt idx="151">
                  <c:v>16.98020336231609</c:v>
                </c:pt>
                <c:pt idx="152">
                  <c:v>17.128890513293204</c:v>
                </c:pt>
                <c:pt idx="153">
                  <c:v>17.277490160609371</c:v>
                </c:pt>
                <c:pt idx="154">
                  <c:v>17.426002533586203</c:v>
                </c:pt>
                <c:pt idx="155">
                  <c:v>17.574427860952294</c:v>
                </c:pt>
                <c:pt idx="156">
                  <c:v>17.722766370845612</c:v>
                </c:pt>
                <c:pt idx="157">
                  <c:v>17.871018290815876</c:v>
                </c:pt>
                <c:pt idx="158">
                  <c:v>18.019183847826909</c:v>
                </c:pt>
                <c:pt idx="159">
                  <c:v>18.167263268258999</c:v>
                </c:pt>
                <c:pt idx="160">
                  <c:v>18.31525677791123</c:v>
                </c:pt>
                <c:pt idx="161">
                  <c:v>18.463164602003818</c:v>
                </c:pt>
                <c:pt idx="162">
                  <c:v>18.610986965180423</c:v>
                </c:pt>
                <c:pt idx="163">
                  <c:v>18.758724091510459</c:v>
                </c:pt>
                <c:pt idx="164">
                  <c:v>18.90637620449138</c:v>
                </c:pt>
                <c:pt idx="165">
                  <c:v>19.053943527050976</c:v>
                </c:pt>
                <c:pt idx="166">
                  <c:v>19.201426281549637</c:v>
                </c:pt>
                <c:pt idx="167">
                  <c:v>19.348824689782617</c:v>
                </c:pt>
                <c:pt idx="168">
                  <c:v>19.496138972982287</c:v>
                </c:pt>
                <c:pt idx="169">
                  <c:v>19.643369351820375</c:v>
                </c:pt>
                <c:pt idx="170">
                  <c:v>19.79051604641019</c:v>
                </c:pt>
                <c:pt idx="171">
                  <c:v>19.937579276308842</c:v>
                </c:pt>
                <c:pt idx="172">
                  <c:v>20.084559260519459</c:v>
                </c:pt>
                <c:pt idx="173">
                  <c:v>20.231456217493374</c:v>
                </c:pt>
                <c:pt idx="174">
                  <c:v>20.37827036513232</c:v>
                </c:pt>
                <c:pt idx="175">
                  <c:v>20.525001920790594</c:v>
                </c:pt>
                <c:pt idx="176">
                  <c:v>20.671651101277234</c:v>
                </c:pt>
                <c:pt idx="177">
                  <c:v>20.818218122858173</c:v>
                </c:pt>
                <c:pt idx="178">
                  <c:v>20.964703201258384</c:v>
                </c:pt>
                <c:pt idx="179">
                  <c:v>21.111106551664008</c:v>
                </c:pt>
                <c:pt idx="180">
                  <c:v>21.257428388724492</c:v>
                </c:pt>
                <c:pt idx="181">
                  <c:v>21.403668926554694</c:v>
                </c:pt>
                <c:pt idx="182">
                  <c:v>21.54982837873699</c:v>
                </c:pt>
                <c:pt idx="183">
                  <c:v>21.695906958323366</c:v>
                </c:pt>
                <c:pt idx="184">
                  <c:v>21.841904877837511</c:v>
                </c:pt>
                <c:pt idx="185">
                  <c:v>21.987822349276883</c:v>
                </c:pt>
                <c:pt idx="186">
                  <c:v>22.133659584114778</c:v>
                </c:pt>
                <c:pt idx="187">
                  <c:v>22.279416793302389</c:v>
                </c:pt>
                <c:pt idx="188">
                  <c:v>22.425094187270844</c:v>
                </c:pt>
                <c:pt idx="189">
                  <c:v>22.570691975933244</c:v>
                </c:pt>
                <c:pt idx="190">
                  <c:v>22.716210368686689</c:v>
                </c:pt>
                <c:pt idx="191">
                  <c:v>22.861649574414301</c:v>
                </c:pt>
                <c:pt idx="192">
                  <c:v>23.007009801487222</c:v>
                </c:pt>
                <c:pt idx="193">
                  <c:v>23.152291257766613</c:v>
                </c:pt>
                <c:pt idx="194">
                  <c:v>23.297494150605651</c:v>
                </c:pt>
                <c:pt idx="195">
                  <c:v>23.442618686851493</c:v>
                </c:pt>
                <c:pt idx="196">
                  <c:v>23.587665072847258</c:v>
                </c:pt>
                <c:pt idx="197">
                  <c:v>23.732633514433985</c:v>
                </c:pt>
                <c:pt idx="198">
                  <c:v>23.877524216952573</c:v>
                </c:pt>
                <c:pt idx="199">
                  <c:v>24.022337385245734</c:v>
                </c:pt>
                <c:pt idx="200">
                  <c:v>24.167073223659926</c:v>
                </c:pt>
                <c:pt idx="201">
                  <c:v>25.610194257447382</c:v>
                </c:pt>
                <c:pt idx="202">
                  <c:v>27.04571394894532</c:v>
                </c:pt>
                <c:pt idx="203">
                  <c:v>28.473832054426985</c:v>
                </c:pt>
                <c:pt idx="204">
                  <c:v>29.894743613360628</c:v>
                </c:pt>
                <c:pt idx="205">
                  <c:v>31.308639126493681</c:v>
                </c:pt>
                <c:pt idx="206">
                  <c:v>32.715704725738377</c:v>
                </c:pt>
                <c:pt idx="207">
                  <c:v>34.116122336258215</c:v>
                </c:pt>
                <c:pt idx="208">
                  <c:v>35.510069831124959</c:v>
                </c:pt>
                <c:pt idx="209">
                  <c:v>36.897721178887487</c:v>
                </c:pt>
                <c:pt idx="210">
                  <c:v>38.279246584366774</c:v>
                </c:pt>
                <c:pt idx="211">
                  <c:v>39.654812622965302</c:v>
                </c:pt>
                <c:pt idx="212">
                  <c:v>41.024582368753926</c:v>
                </c:pt>
                <c:pt idx="213">
                  <c:v>42.388715516574798</c:v>
                </c:pt>
                <c:pt idx="214">
                  <c:v>43.747368498374811</c:v>
                </c:pt>
                <c:pt idx="215">
                  <c:v>45.1006945939601</c:v>
                </c:pt>
                <c:pt idx="216">
                  <c:v>46.448844036338258</c:v>
                </c:pt>
                <c:pt idx="217">
                  <c:v>47.791964111790726</c:v>
                </c:pt>
                <c:pt idx="218">
                  <c:v>49.130199254793006</c:v>
                </c:pt>
                <c:pt idx="219">
                  <c:v>50.463691137874811</c:v>
                </c:pt>
                <c:pt idx="220">
                  <c:v>51.792578756485369</c:v>
                </c:pt>
                <c:pt idx="221">
                  <c:v>53.116998508900764</c:v>
                </c:pt>
                <c:pt idx="222">
                  <c:v>54.437084271179678</c:v>
                </c:pt>
                <c:pt idx="223">
                  <c:v>55.752967467140984</c:v>
                </c:pt>
                <c:pt idx="224">
                  <c:v>57.06477713330051</c:v>
                </c:pt>
                <c:pt idx="225">
                  <c:v>58.372639978664353</c:v>
                </c:pt>
                <c:pt idx="226">
                  <c:v>59.676680439231703</c:v>
                </c:pt>
                <c:pt idx="227">
                  <c:v>60.97702072701</c:v>
                </c:pt>
                <c:pt idx="228">
                  <c:v>62.273780873288729</c:v>
                </c:pt>
                <c:pt idx="229">
                  <c:v>63.567078765853623</c:v>
                </c:pt>
                <c:pt idx="230">
                  <c:v>64.857030179749344</c:v>
                </c:pt>
                <c:pt idx="231">
                  <c:v>66.143748801113986</c:v>
                </c:pt>
                <c:pt idx="232">
                  <c:v>67.427346243511053</c:v>
                </c:pt>
                <c:pt idx="233">
                  <c:v>68.707932056072153</c:v>
                </c:pt>
                <c:pt idx="234">
                  <c:v>69.985613722633445</c:v>
                </c:pt>
                <c:pt idx="235">
                  <c:v>71.260496650899029</c:v>
                </c:pt>
                <c:pt idx="236">
                  <c:v>72.532684150492074</c:v>
                </c:pt>
                <c:pt idx="237">
                  <c:v>73.80227739855701</c:v>
                </c:pt>
                <c:pt idx="238">
                  <c:v>75.069375391352125</c:v>
                </c:pt>
                <c:pt idx="239">
                  <c:v>76.334074880020339</c:v>
                </c:pt>
                <c:pt idx="240">
                  <c:v>77.596470288448629</c:v>
                </c:pt>
                <c:pt idx="241">
                  <c:v>78.856653610828772</c:v>
                </c:pt>
                <c:pt idx="242">
                  <c:v>80.114714286224412</c:v>
                </c:pt>
                <c:pt idx="243">
                  <c:v>81.37073904715335</c:v>
                </c:pt>
                <c:pt idx="244">
                  <c:v>82.624811738942171</c:v>
                </c:pt>
                <c:pt idx="245">
                  <c:v>83.877013106456999</c:v>
                </c:pt>
                <c:pt idx="246">
                  <c:v>85.127420544838913</c:v>
                </c:pt>
                <c:pt idx="247">
                  <c:v>86.376107811187723</c:v>
                </c:pt>
                <c:pt idx="248">
                  <c:v>87.623144694896197</c:v>
                </c:pt>
                <c:pt idx="249">
                  <c:v>88.868596645725077</c:v>
                </c:pt>
                <c:pt idx="250">
                  <c:v>90.112524360937513</c:v>
                </c:pt>
                <c:pt idx="251">
                  <c:v>91.354983336067477</c:v>
                </c:pt>
                <c:pt idx="252">
                  <c:v>92.596023388274858</c:v>
                </c:pt>
                <c:pt idx="253">
                  <c:v>93.835688166624095</c:v>
                </c:pt>
                <c:pt idx="254">
                  <c:v>95.074014669556718</c:v>
                </c:pt>
                <c:pt idx="255">
                  <c:v>96.311032795414846</c:v>
                </c:pt>
                <c:pt idx="256">
                  <c:v>97.5467649558001</c:v>
                </c:pt>
                <c:pt idx="257">
                  <c:v>98.781225782338637</c:v>
                </c:pt>
                <c:pt idx="258">
                  <c:v>100.01442195389393</c:v>
                </c:pt>
                <c:pt idx="259">
                  <c:v>101.24635216313746</c:v>
                </c:pt>
                <c:pt idx="260">
                  <c:v>102.47700722963823</c:v>
                </c:pt>
                <c:pt idx="261">
                  <c:v>103.7063703534139</c:v>
                </c:pt>
                <c:pt idx="262">
                  <c:v>104.93441749085994</c:v>
                </c:pt>
                <c:pt idx="263">
                  <c:v>106.16111782639283</c:v>
                </c:pt>
                <c:pt idx="264">
                  <c:v>107.38643430914735</c:v>
                </c:pt>
                <c:pt idx="265">
                  <c:v>108.6103242245004</c:v>
                </c:pt>
                <c:pt idx="266">
                  <c:v>109.8327397739414</c:v>
                </c:pt>
                <c:pt idx="267">
                  <c:v>111.05362864238195</c:v>
                </c:pt>
                <c:pt idx="268">
                  <c:v>112.27293453803208</c:v>
                </c:pt>
                <c:pt idx="269">
                  <c:v>113.49059769550941</c:v>
                </c:pt>
                <c:pt idx="270">
                  <c:v>114.70655533738721</c:v>
                </c:pt>
                <c:pt idx="271">
                  <c:v>115.92074209278127</c:v>
                </c:pt>
                <c:pt idx="272">
                  <c:v>117.13309037390725</c:v>
                </c:pt>
                <c:pt idx="273">
                  <c:v>118.34353071299832</c:v>
                </c:pt>
                <c:pt idx="274">
                  <c:v>119.55199206277048</c:v>
                </c:pt>
                <c:pt idx="275">
                  <c:v>120.75840206395837</c:v>
                </c:pt>
                <c:pt idx="276">
                  <c:v>121.96268728347303</c:v>
                </c:pt>
                <c:pt idx="277">
                  <c:v>123.16477342657674</c:v>
                </c:pt>
                <c:pt idx="278">
                  <c:v>124.36458552621006</c:v>
                </c:pt>
                <c:pt idx="279">
                  <c:v>125.56204811230009</c:v>
                </c:pt>
                <c:pt idx="280">
                  <c:v>126.7570853635622</c:v>
                </c:pt>
                <c:pt idx="281">
                  <c:v>127.94962124400065</c:v>
                </c:pt>
                <c:pt idx="282">
                  <c:v>129.13957962602939</c:v>
                </c:pt>
                <c:pt idx="283">
                  <c:v>130.32688440187709</c:v>
                </c:pt>
                <c:pt idx="284">
                  <c:v>131.51145958471341</c:v>
                </c:pt>
                <c:pt idx="285">
                  <c:v>132.693229400733</c:v>
                </c:pt>
                <c:pt idx="286">
                  <c:v>133.87211837326174</c:v>
                </c:pt>
                <c:pt idx="287">
                  <c:v>135.04805139979985</c:v>
                </c:pt>
                <c:pt idx="288">
                  <c:v>136.2209538227884</c:v>
                </c:pt>
                <c:pt idx="289">
                  <c:v>137.39075149477634</c:v>
                </c:pt>
                <c:pt idx="290">
                  <c:v>138.55737083857085</c:v>
                </c:pt>
                <c:pt idx="291">
                  <c:v>139.72073890287439</c:v>
                </c:pt>
                <c:pt idx="292">
                  <c:v>140.88078341384289</c:v>
                </c:pt>
                <c:pt idx="293">
                  <c:v>142.03743282294153</c:v>
                </c:pt>
                <c:pt idx="294">
                  <c:v>143.19061635142467</c:v>
                </c:pt>
                <c:pt idx="295">
                  <c:v>144.34026403172379</c:v>
                </c:pt>
                <c:pt idx="296">
                  <c:v>145.48630674599124</c:v>
                </c:pt>
                <c:pt idx="297">
                  <c:v>146.62867626201592</c:v>
                </c:pt>
                <c:pt idx="298">
                  <c:v>147.76730526670079</c:v>
                </c:pt>
                <c:pt idx="299">
                  <c:v>148.902127397269</c:v>
                </c:pt>
                <c:pt idx="300">
                  <c:v>150.03307727034567</c:v>
                </c:pt>
                <c:pt idx="301">
                  <c:v>151.16009050904563</c:v>
                </c:pt>
                <c:pt idx="302">
                  <c:v>152.28310376818251</c:v>
                </c:pt>
                <c:pt idx="303">
                  <c:v>153.4020547577027</c:v>
                </c:pt>
                <c:pt idx="304">
                  <c:v>154.51688226443605</c:v>
                </c:pt>
                <c:pt idx="305">
                  <c:v>155.62752617224655</c:v>
                </c:pt>
                <c:pt idx="306">
                  <c:v>156.73392748065751</c:v>
                </c:pt>
                <c:pt idx="307">
                  <c:v>157.83602832201959</c:v>
                </c:pt>
                <c:pt idx="308">
                  <c:v>158.9337719772831</c:v>
                </c:pt>
                <c:pt idx="309">
                  <c:v>160.02710289043145</c:v>
                </c:pt>
                <c:pt idx="310">
                  <c:v>161.11596668162781</c:v>
                </c:pt>
                <c:pt idx="311">
                  <c:v>162.20031015912301</c:v>
                </c:pt>
                <c:pt idx="312">
                  <c:v>163.28008132996979</c:v>
                </c:pt>
                <c:pt idx="313">
                  <c:v>164.35522940958472</c:v>
                </c:pt>
                <c:pt idx="314">
                  <c:v>165.42570483019762</c:v>
                </c:pt>
                <c:pt idx="315">
                  <c:v>166.49145924822503</c:v>
                </c:pt>
                <c:pt idx="316">
                  <c:v>167.55244555060304</c:v>
                </c:pt>
                <c:pt idx="317">
                  <c:v>168.60861786011296</c:v>
                </c:pt>
                <c:pt idx="318">
                  <c:v>169.65993153973164</c:v>
                </c:pt>
                <c:pt idx="319">
                  <c:v>170.70634319603718</c:v>
                </c:pt>
                <c:pt idx="320">
                  <c:v>171.74781068169949</c:v>
                </c:pt>
                <c:pt idx="321">
                  <c:v>172.78429309708449</c:v>
                </c:pt>
                <c:pt idx="322">
                  <c:v>173.81575079099935</c:v>
                </c:pt>
                <c:pt idx="323">
                  <c:v>174.84214536060614</c:v>
                </c:pt>
                <c:pt idx="324">
                  <c:v>175.86343965052981</c:v>
                </c:pt>
                <c:pt idx="325">
                  <c:v>176.87959775118642</c:v>
                </c:pt>
                <c:pt idx="326">
                  <c:v>177.89058499635672</c:v>
                </c:pt>
                <c:pt idx="327">
                  <c:v>178.89636796002998</c:v>
                </c:pt>
                <c:pt idx="328">
                  <c:v>179.89691445254189</c:v>
                </c:pt>
                <c:pt idx="329">
                  <c:v>180.89219351603109</c:v>
                </c:pt>
                <c:pt idx="330">
                  <c:v>181.88217541923709</c:v>
                </c:pt>
                <c:pt idx="331">
                  <c:v>182.86683165166349</c:v>
                </c:pt>
                <c:pt idx="332">
                  <c:v>183.84613491712884</c:v>
                </c:pt>
                <c:pt idx="333">
                  <c:v>184.8200591267279</c:v>
                </c:pt>
                <c:pt idx="334">
                  <c:v>185.78857939122562</c:v>
                </c:pt>
                <c:pt idx="335">
                  <c:v>186.75167201290583</c:v>
                </c:pt>
                <c:pt idx="336">
                  <c:v>187.70931447689617</c:v>
                </c:pt>
                <c:pt idx="337">
                  <c:v>187.70931447689617</c:v>
                </c:pt>
                <c:pt idx="338">
                  <c:v>187.70931447689617</c:v>
                </c:pt>
                <c:pt idx="339">
                  <c:v>187.70931447689617</c:v>
                </c:pt>
                <c:pt idx="340">
                  <c:v>187.70931447689617</c:v>
                </c:pt>
                <c:pt idx="341">
                  <c:v>187.70931447689617</c:v>
                </c:pt>
                <c:pt idx="342">
                  <c:v>187.70931447689617</c:v>
                </c:pt>
                <c:pt idx="343">
                  <c:v>187.70931447689617</c:v>
                </c:pt>
                <c:pt idx="344">
                  <c:v>187.70931447689617</c:v>
                </c:pt>
                <c:pt idx="345">
                  <c:v>187.70931447689617</c:v>
                </c:pt>
                <c:pt idx="346">
                  <c:v>187.70931447689617</c:v>
                </c:pt>
                <c:pt idx="347">
                  <c:v>187.70931447689617</c:v>
                </c:pt>
                <c:pt idx="348">
                  <c:v>187.70931447689617</c:v>
                </c:pt>
                <c:pt idx="349">
                  <c:v>187.70931447689617</c:v>
                </c:pt>
                <c:pt idx="350">
                  <c:v>187.70931447689617</c:v>
                </c:pt>
                <c:pt idx="351">
                  <c:v>187.70931447689617</c:v>
                </c:pt>
                <c:pt idx="352">
                  <c:v>187.70931447689617</c:v>
                </c:pt>
                <c:pt idx="353">
                  <c:v>187.70931447689617</c:v>
                </c:pt>
                <c:pt idx="354">
                  <c:v>187.70931447689617</c:v>
                </c:pt>
                <c:pt idx="355">
                  <c:v>187.70931447689617</c:v>
                </c:pt>
                <c:pt idx="356">
                  <c:v>187.70931447689617</c:v>
                </c:pt>
                <c:pt idx="357">
                  <c:v>187.70931447689617</c:v>
                </c:pt>
                <c:pt idx="358">
                  <c:v>187.70931447689617</c:v>
                </c:pt>
                <c:pt idx="359">
                  <c:v>187.70931447689617</c:v>
                </c:pt>
                <c:pt idx="360">
                  <c:v>187.70931447689617</c:v>
                </c:pt>
                <c:pt idx="361">
                  <c:v>187.70931447689617</c:v>
                </c:pt>
                <c:pt idx="362">
                  <c:v>187.70931447689617</c:v>
                </c:pt>
                <c:pt idx="363">
                  <c:v>187.70931447689617</c:v>
                </c:pt>
                <c:pt idx="364">
                  <c:v>187.70931447689617</c:v>
                </c:pt>
                <c:pt idx="365">
                  <c:v>187.70931447689617</c:v>
                </c:pt>
                <c:pt idx="366">
                  <c:v>187.70931447689617</c:v>
                </c:pt>
                <c:pt idx="367">
                  <c:v>187.70931447689617</c:v>
                </c:pt>
                <c:pt idx="368">
                  <c:v>187.70931447689617</c:v>
                </c:pt>
                <c:pt idx="369">
                  <c:v>187.70931447689617</c:v>
                </c:pt>
                <c:pt idx="370">
                  <c:v>187.70931447689617</c:v>
                </c:pt>
                <c:pt idx="371">
                  <c:v>187.70931447689617</c:v>
                </c:pt>
                <c:pt idx="372">
                  <c:v>187.70931447689617</c:v>
                </c:pt>
                <c:pt idx="373">
                  <c:v>187.70931447689617</c:v>
                </c:pt>
                <c:pt idx="374">
                  <c:v>187.70931447689617</c:v>
                </c:pt>
                <c:pt idx="375">
                  <c:v>187.70931447689617</c:v>
                </c:pt>
                <c:pt idx="376">
                  <c:v>187.70931447689617</c:v>
                </c:pt>
                <c:pt idx="377">
                  <c:v>187.70931447689617</c:v>
                </c:pt>
                <c:pt idx="378">
                  <c:v>187.70931447689617</c:v>
                </c:pt>
                <c:pt idx="379">
                  <c:v>187.70931447689617</c:v>
                </c:pt>
                <c:pt idx="380">
                  <c:v>187.70931447689617</c:v>
                </c:pt>
                <c:pt idx="381">
                  <c:v>187.70931447689617</c:v>
                </c:pt>
                <c:pt idx="382">
                  <c:v>187.70931447689617</c:v>
                </c:pt>
                <c:pt idx="383">
                  <c:v>187.70931447689617</c:v>
                </c:pt>
                <c:pt idx="384">
                  <c:v>187.70931447689617</c:v>
                </c:pt>
                <c:pt idx="385">
                  <c:v>187.70931447689617</c:v>
                </c:pt>
                <c:pt idx="386">
                  <c:v>187.70931447689617</c:v>
                </c:pt>
                <c:pt idx="387">
                  <c:v>187.70931447689617</c:v>
                </c:pt>
                <c:pt idx="388">
                  <c:v>187.70931447689617</c:v>
                </c:pt>
                <c:pt idx="389">
                  <c:v>187.70931447689617</c:v>
                </c:pt>
                <c:pt idx="390">
                  <c:v>187.70931447689617</c:v>
                </c:pt>
                <c:pt idx="391">
                  <c:v>187.70931447689617</c:v>
                </c:pt>
                <c:pt idx="392">
                  <c:v>187.70931447689617</c:v>
                </c:pt>
                <c:pt idx="393">
                  <c:v>187.70931447689617</c:v>
                </c:pt>
                <c:pt idx="394">
                  <c:v>187.70931447689617</c:v>
                </c:pt>
                <c:pt idx="395">
                  <c:v>187.70931447689617</c:v>
                </c:pt>
                <c:pt idx="396">
                  <c:v>187.70931447689617</c:v>
                </c:pt>
                <c:pt idx="397">
                  <c:v>187.70931447689617</c:v>
                </c:pt>
                <c:pt idx="398">
                  <c:v>187.70931447689617</c:v>
                </c:pt>
                <c:pt idx="399">
                  <c:v>187.70931447689617</c:v>
                </c:pt>
                <c:pt idx="400">
                  <c:v>187.70931447689617</c:v>
                </c:pt>
                <c:pt idx="401">
                  <c:v>187.70931447689617</c:v>
                </c:pt>
                <c:pt idx="402">
                  <c:v>187.70931447689617</c:v>
                </c:pt>
                <c:pt idx="403">
                  <c:v>187.70931447689617</c:v>
                </c:pt>
                <c:pt idx="404">
                  <c:v>187.70931447689617</c:v>
                </c:pt>
                <c:pt idx="405">
                  <c:v>187.70931447689617</c:v>
                </c:pt>
                <c:pt idx="406">
                  <c:v>187.70931447689617</c:v>
                </c:pt>
                <c:pt idx="407">
                  <c:v>187.70931447689617</c:v>
                </c:pt>
                <c:pt idx="408">
                  <c:v>187.70931447689617</c:v>
                </c:pt>
                <c:pt idx="409">
                  <c:v>187.70931447689617</c:v>
                </c:pt>
                <c:pt idx="410">
                  <c:v>187.70931447689617</c:v>
                </c:pt>
                <c:pt idx="411">
                  <c:v>187.70931447689617</c:v>
                </c:pt>
                <c:pt idx="412">
                  <c:v>187.70931447689617</c:v>
                </c:pt>
                <c:pt idx="413">
                  <c:v>187.70931447689617</c:v>
                </c:pt>
                <c:pt idx="414">
                  <c:v>187.70931447689617</c:v>
                </c:pt>
                <c:pt idx="415">
                  <c:v>187.70931447689617</c:v>
                </c:pt>
                <c:pt idx="416">
                  <c:v>187.70931447689617</c:v>
                </c:pt>
                <c:pt idx="417">
                  <c:v>187.70931447689617</c:v>
                </c:pt>
                <c:pt idx="418">
                  <c:v>187.70931447689617</c:v>
                </c:pt>
                <c:pt idx="419">
                  <c:v>187.70931447689617</c:v>
                </c:pt>
                <c:pt idx="420">
                  <c:v>187.70931447689617</c:v>
                </c:pt>
                <c:pt idx="421">
                  <c:v>187.70931447689617</c:v>
                </c:pt>
                <c:pt idx="422">
                  <c:v>187.70931447689617</c:v>
                </c:pt>
                <c:pt idx="423">
                  <c:v>187.70931447689617</c:v>
                </c:pt>
                <c:pt idx="424">
                  <c:v>187.70931447689617</c:v>
                </c:pt>
                <c:pt idx="425">
                  <c:v>187.70931447689617</c:v>
                </c:pt>
                <c:pt idx="426">
                  <c:v>187.70931447689617</c:v>
                </c:pt>
                <c:pt idx="427">
                  <c:v>187.70931447689617</c:v>
                </c:pt>
                <c:pt idx="428">
                  <c:v>187.70931447689617</c:v>
                </c:pt>
                <c:pt idx="429">
                  <c:v>187.70931447689617</c:v>
                </c:pt>
                <c:pt idx="430">
                  <c:v>187.70931447689617</c:v>
                </c:pt>
                <c:pt idx="431">
                  <c:v>187.70931447689617</c:v>
                </c:pt>
                <c:pt idx="432">
                  <c:v>187.70931447689617</c:v>
                </c:pt>
                <c:pt idx="433">
                  <c:v>187.70931447689617</c:v>
                </c:pt>
                <c:pt idx="434">
                  <c:v>187.70931447689617</c:v>
                </c:pt>
                <c:pt idx="435">
                  <c:v>187.70931447689617</c:v>
                </c:pt>
                <c:pt idx="436">
                  <c:v>187.70931447689617</c:v>
                </c:pt>
                <c:pt idx="437">
                  <c:v>187.70931447689617</c:v>
                </c:pt>
                <c:pt idx="438">
                  <c:v>187.70931447689617</c:v>
                </c:pt>
                <c:pt idx="439">
                  <c:v>187.70931447689617</c:v>
                </c:pt>
                <c:pt idx="440">
                  <c:v>187.70931447689617</c:v>
                </c:pt>
                <c:pt idx="441">
                  <c:v>187.70931447689617</c:v>
                </c:pt>
                <c:pt idx="442">
                  <c:v>187.70931447689617</c:v>
                </c:pt>
                <c:pt idx="443">
                  <c:v>187.70931447689617</c:v>
                </c:pt>
                <c:pt idx="444">
                  <c:v>187.70931447689617</c:v>
                </c:pt>
                <c:pt idx="445">
                  <c:v>187.70931447689617</c:v>
                </c:pt>
                <c:pt idx="446">
                  <c:v>187.70931447689617</c:v>
                </c:pt>
                <c:pt idx="447">
                  <c:v>187.70931447689617</c:v>
                </c:pt>
                <c:pt idx="448">
                  <c:v>187.70931447689617</c:v>
                </c:pt>
                <c:pt idx="449">
                  <c:v>187.70931447689617</c:v>
                </c:pt>
                <c:pt idx="450">
                  <c:v>187.70931447689617</c:v>
                </c:pt>
                <c:pt idx="451">
                  <c:v>187.70931447689617</c:v>
                </c:pt>
                <c:pt idx="452">
                  <c:v>187.70931447689617</c:v>
                </c:pt>
                <c:pt idx="453">
                  <c:v>187.70931447689617</c:v>
                </c:pt>
                <c:pt idx="454">
                  <c:v>187.70931447689617</c:v>
                </c:pt>
                <c:pt idx="455">
                  <c:v>187.70931447689617</c:v>
                </c:pt>
                <c:pt idx="456">
                  <c:v>187.70931447689617</c:v>
                </c:pt>
                <c:pt idx="457">
                  <c:v>187.70931447689617</c:v>
                </c:pt>
                <c:pt idx="458">
                  <c:v>187.70931447689617</c:v>
                </c:pt>
                <c:pt idx="459">
                  <c:v>187.70931447689617</c:v>
                </c:pt>
                <c:pt idx="460">
                  <c:v>187.70931447689617</c:v>
                </c:pt>
                <c:pt idx="461">
                  <c:v>187.70931447689617</c:v>
                </c:pt>
                <c:pt idx="462">
                  <c:v>187.70931447689617</c:v>
                </c:pt>
                <c:pt idx="463">
                  <c:v>187.70931447689617</c:v>
                </c:pt>
                <c:pt idx="464">
                  <c:v>187.70931447689617</c:v>
                </c:pt>
                <c:pt idx="465">
                  <c:v>187.70931447689617</c:v>
                </c:pt>
                <c:pt idx="466">
                  <c:v>187.70931447689617</c:v>
                </c:pt>
                <c:pt idx="467">
                  <c:v>187.70931447689617</c:v>
                </c:pt>
                <c:pt idx="468">
                  <c:v>187.70931447689617</c:v>
                </c:pt>
                <c:pt idx="469">
                  <c:v>187.70931447689617</c:v>
                </c:pt>
                <c:pt idx="470">
                  <c:v>187.70931447689617</c:v>
                </c:pt>
                <c:pt idx="471">
                  <c:v>187.70931447689617</c:v>
                </c:pt>
                <c:pt idx="472">
                  <c:v>187.70931447689617</c:v>
                </c:pt>
                <c:pt idx="473">
                  <c:v>187.70931447689617</c:v>
                </c:pt>
                <c:pt idx="474">
                  <c:v>187.70931447689617</c:v>
                </c:pt>
                <c:pt idx="475">
                  <c:v>187.70931447689617</c:v>
                </c:pt>
                <c:pt idx="476">
                  <c:v>187.70931447689617</c:v>
                </c:pt>
                <c:pt idx="477">
                  <c:v>187.70931447689617</c:v>
                </c:pt>
                <c:pt idx="478">
                  <c:v>187.70931447689617</c:v>
                </c:pt>
                <c:pt idx="479">
                  <c:v>187.70931447689617</c:v>
                </c:pt>
                <c:pt idx="480">
                  <c:v>187.70931447689617</c:v>
                </c:pt>
                <c:pt idx="481">
                  <c:v>187.70931447689617</c:v>
                </c:pt>
                <c:pt idx="482">
                  <c:v>187.70931447689617</c:v>
                </c:pt>
                <c:pt idx="483">
                  <c:v>187.70931447689617</c:v>
                </c:pt>
                <c:pt idx="484">
                  <c:v>187.70931447689617</c:v>
                </c:pt>
                <c:pt idx="485">
                  <c:v>187.70931447689617</c:v>
                </c:pt>
                <c:pt idx="486">
                  <c:v>187.70931447689617</c:v>
                </c:pt>
                <c:pt idx="487">
                  <c:v>187.70931447689617</c:v>
                </c:pt>
                <c:pt idx="488">
                  <c:v>187.70931447689617</c:v>
                </c:pt>
                <c:pt idx="489">
                  <c:v>187.70931447689617</c:v>
                </c:pt>
                <c:pt idx="490">
                  <c:v>187.70931447689617</c:v>
                </c:pt>
                <c:pt idx="491">
                  <c:v>187.70931447689617</c:v>
                </c:pt>
                <c:pt idx="492">
                  <c:v>187.70931447689617</c:v>
                </c:pt>
                <c:pt idx="493">
                  <c:v>187.70931447689617</c:v>
                </c:pt>
                <c:pt idx="494">
                  <c:v>187.70931447689617</c:v>
                </c:pt>
                <c:pt idx="495">
                  <c:v>187.70931447689617</c:v>
                </c:pt>
                <c:pt idx="496">
                  <c:v>187.70931447689617</c:v>
                </c:pt>
                <c:pt idx="497">
                  <c:v>187.70931447689617</c:v>
                </c:pt>
                <c:pt idx="498">
                  <c:v>187.70931447689617</c:v>
                </c:pt>
                <c:pt idx="499">
                  <c:v>187.70931447689617</c:v>
                </c:pt>
                <c:pt idx="500">
                  <c:v>187.70931447689617</c:v>
                </c:pt>
                <c:pt idx="501">
                  <c:v>187.70931447689617</c:v>
                </c:pt>
                <c:pt idx="502">
                  <c:v>187.70931447689617</c:v>
                </c:pt>
                <c:pt idx="503">
                  <c:v>187.70931447689617</c:v>
                </c:pt>
                <c:pt idx="504">
                  <c:v>187.70931447689617</c:v>
                </c:pt>
                <c:pt idx="505">
                  <c:v>187.70931447689617</c:v>
                </c:pt>
                <c:pt idx="506">
                  <c:v>187.70931447689617</c:v>
                </c:pt>
                <c:pt idx="507">
                  <c:v>187.70931447689617</c:v>
                </c:pt>
                <c:pt idx="508">
                  <c:v>187.70931447689617</c:v>
                </c:pt>
                <c:pt idx="509">
                  <c:v>187.70931447689617</c:v>
                </c:pt>
                <c:pt idx="510">
                  <c:v>187.70931447689617</c:v>
                </c:pt>
                <c:pt idx="511">
                  <c:v>187.70931447689617</c:v>
                </c:pt>
                <c:pt idx="512">
                  <c:v>187.70931447689617</c:v>
                </c:pt>
                <c:pt idx="513">
                  <c:v>187.70931447689617</c:v>
                </c:pt>
                <c:pt idx="514">
                  <c:v>187.70931447689617</c:v>
                </c:pt>
                <c:pt idx="515">
                  <c:v>187.70931447689617</c:v>
                </c:pt>
                <c:pt idx="516">
                  <c:v>187.70931447689617</c:v>
                </c:pt>
                <c:pt idx="517">
                  <c:v>187.70931447689617</c:v>
                </c:pt>
                <c:pt idx="518">
                  <c:v>187.70931447689617</c:v>
                </c:pt>
                <c:pt idx="519">
                  <c:v>187.70931447689617</c:v>
                </c:pt>
                <c:pt idx="520">
                  <c:v>187.70931447689617</c:v>
                </c:pt>
                <c:pt idx="521">
                  <c:v>187.70931447689617</c:v>
                </c:pt>
                <c:pt idx="522">
                  <c:v>187.70931447689617</c:v>
                </c:pt>
                <c:pt idx="523">
                  <c:v>187.70931447689617</c:v>
                </c:pt>
                <c:pt idx="524">
                  <c:v>187.70931447689617</c:v>
                </c:pt>
                <c:pt idx="525">
                  <c:v>187.70931447689617</c:v>
                </c:pt>
                <c:pt idx="526">
                  <c:v>187.70931447689617</c:v>
                </c:pt>
                <c:pt idx="527">
                  <c:v>187.70931447689617</c:v>
                </c:pt>
                <c:pt idx="528">
                  <c:v>187.70931447689617</c:v>
                </c:pt>
                <c:pt idx="529">
                  <c:v>187.70931447689617</c:v>
                </c:pt>
                <c:pt idx="530">
                  <c:v>187.70931447689617</c:v>
                </c:pt>
                <c:pt idx="531">
                  <c:v>187.70931447689617</c:v>
                </c:pt>
                <c:pt idx="532">
                  <c:v>187.70931447689617</c:v>
                </c:pt>
                <c:pt idx="533">
                  <c:v>187.70931447689617</c:v>
                </c:pt>
                <c:pt idx="534">
                  <c:v>187.70931447689617</c:v>
                </c:pt>
                <c:pt idx="535">
                  <c:v>187.70931447689617</c:v>
                </c:pt>
                <c:pt idx="536">
                  <c:v>187.70931447689617</c:v>
                </c:pt>
                <c:pt idx="537">
                  <c:v>187.70931447689617</c:v>
                </c:pt>
                <c:pt idx="538">
                  <c:v>187.70931447689617</c:v>
                </c:pt>
                <c:pt idx="539">
                  <c:v>187.70931447689617</c:v>
                </c:pt>
                <c:pt idx="540">
                  <c:v>187.70931447689617</c:v>
                </c:pt>
                <c:pt idx="541">
                  <c:v>187.70931447689617</c:v>
                </c:pt>
                <c:pt idx="542">
                  <c:v>187.70931447689617</c:v>
                </c:pt>
                <c:pt idx="543">
                  <c:v>187.70931447689617</c:v>
                </c:pt>
                <c:pt idx="544">
                  <c:v>187.70931447689617</c:v>
                </c:pt>
                <c:pt idx="545">
                  <c:v>187.70931447689617</c:v>
                </c:pt>
                <c:pt idx="546">
                  <c:v>187.70931447689617</c:v>
                </c:pt>
                <c:pt idx="547">
                  <c:v>187.70931447689617</c:v>
                </c:pt>
                <c:pt idx="548">
                  <c:v>187.70931447689617</c:v>
                </c:pt>
                <c:pt idx="549">
                  <c:v>187.70931447689617</c:v>
                </c:pt>
                <c:pt idx="550">
                  <c:v>187.70931447689617</c:v>
                </c:pt>
                <c:pt idx="551">
                  <c:v>187.70931447689617</c:v>
                </c:pt>
                <c:pt idx="552">
                  <c:v>187.70931447689617</c:v>
                </c:pt>
                <c:pt idx="553">
                  <c:v>187.70931447689617</c:v>
                </c:pt>
                <c:pt idx="554">
                  <c:v>187.70931447689617</c:v>
                </c:pt>
                <c:pt idx="555">
                  <c:v>187.70931447689617</c:v>
                </c:pt>
                <c:pt idx="556">
                  <c:v>187.70931447689617</c:v>
                </c:pt>
                <c:pt idx="557">
                  <c:v>187.70931447689617</c:v>
                </c:pt>
                <c:pt idx="558">
                  <c:v>187.70931447689617</c:v>
                </c:pt>
                <c:pt idx="559">
                  <c:v>187.70931447689617</c:v>
                </c:pt>
                <c:pt idx="560">
                  <c:v>187.70931447689617</c:v>
                </c:pt>
                <c:pt idx="561">
                  <c:v>187.70931447689617</c:v>
                </c:pt>
                <c:pt idx="562">
                  <c:v>187.70931447689617</c:v>
                </c:pt>
                <c:pt idx="563">
                  <c:v>187.70931447689617</c:v>
                </c:pt>
                <c:pt idx="564">
                  <c:v>187.70931447689617</c:v>
                </c:pt>
                <c:pt idx="565">
                  <c:v>187.70931447689617</c:v>
                </c:pt>
                <c:pt idx="566">
                  <c:v>187.70931447689617</c:v>
                </c:pt>
                <c:pt idx="567">
                  <c:v>187.70931447689617</c:v>
                </c:pt>
                <c:pt idx="568">
                  <c:v>187.70931447689617</c:v>
                </c:pt>
                <c:pt idx="569">
                  <c:v>187.70931447689617</c:v>
                </c:pt>
                <c:pt idx="570">
                  <c:v>187.70931447689617</c:v>
                </c:pt>
                <c:pt idx="571">
                  <c:v>187.70931447689617</c:v>
                </c:pt>
                <c:pt idx="572">
                  <c:v>187.70931447689617</c:v>
                </c:pt>
                <c:pt idx="573">
                  <c:v>187.70931447689617</c:v>
                </c:pt>
                <c:pt idx="574">
                  <c:v>187.70931447689617</c:v>
                </c:pt>
                <c:pt idx="575">
                  <c:v>187.70931447689617</c:v>
                </c:pt>
                <c:pt idx="576">
                  <c:v>187.70931447689617</c:v>
                </c:pt>
                <c:pt idx="577">
                  <c:v>187.70931447689617</c:v>
                </c:pt>
                <c:pt idx="578">
                  <c:v>187.70931447689617</c:v>
                </c:pt>
                <c:pt idx="579">
                  <c:v>187.70931447689617</c:v>
                </c:pt>
                <c:pt idx="580">
                  <c:v>187.70931447689617</c:v>
                </c:pt>
                <c:pt idx="581">
                  <c:v>187.70931447689617</c:v>
                </c:pt>
                <c:pt idx="582">
                  <c:v>187.70931447689617</c:v>
                </c:pt>
                <c:pt idx="583">
                  <c:v>187.70931447689617</c:v>
                </c:pt>
                <c:pt idx="584">
                  <c:v>187.70931447689617</c:v>
                </c:pt>
                <c:pt idx="585">
                  <c:v>187.70931447689617</c:v>
                </c:pt>
                <c:pt idx="586">
                  <c:v>187.70931447689617</c:v>
                </c:pt>
                <c:pt idx="587">
                  <c:v>187.70931447689617</c:v>
                </c:pt>
                <c:pt idx="588">
                  <c:v>187.70931447689617</c:v>
                </c:pt>
                <c:pt idx="589">
                  <c:v>187.70931447689617</c:v>
                </c:pt>
                <c:pt idx="590">
                  <c:v>187.70931447689617</c:v>
                </c:pt>
                <c:pt idx="591">
                  <c:v>187.70931447689617</c:v>
                </c:pt>
                <c:pt idx="592">
                  <c:v>187.70931447689617</c:v>
                </c:pt>
                <c:pt idx="593">
                  <c:v>187.70931447689617</c:v>
                </c:pt>
                <c:pt idx="594">
                  <c:v>187.70931447689617</c:v>
                </c:pt>
                <c:pt idx="595">
                  <c:v>187.70931447689617</c:v>
                </c:pt>
                <c:pt idx="596">
                  <c:v>187.70931447689617</c:v>
                </c:pt>
                <c:pt idx="597">
                  <c:v>187.70931447689617</c:v>
                </c:pt>
                <c:pt idx="598">
                  <c:v>187.70931447689617</c:v>
                </c:pt>
                <c:pt idx="599">
                  <c:v>187.70931447689617</c:v>
                </c:pt>
                <c:pt idx="600">
                  <c:v>187.70931447689617</c:v>
                </c:pt>
                <c:pt idx="601">
                  <c:v>187.70931447689617</c:v>
                </c:pt>
                <c:pt idx="602">
                  <c:v>187.70931447689617</c:v>
                </c:pt>
                <c:pt idx="603">
                  <c:v>187.70931447689617</c:v>
                </c:pt>
                <c:pt idx="604">
                  <c:v>187.70931447689617</c:v>
                </c:pt>
                <c:pt idx="605">
                  <c:v>187.70931447689617</c:v>
                </c:pt>
                <c:pt idx="606">
                  <c:v>187.70931447689617</c:v>
                </c:pt>
                <c:pt idx="607">
                  <c:v>187.70931447689617</c:v>
                </c:pt>
                <c:pt idx="608">
                  <c:v>187.70931447689617</c:v>
                </c:pt>
                <c:pt idx="609">
                  <c:v>187.70931447689617</c:v>
                </c:pt>
                <c:pt idx="610">
                  <c:v>187.70931447689617</c:v>
                </c:pt>
                <c:pt idx="611">
                  <c:v>187.70931447689617</c:v>
                </c:pt>
                <c:pt idx="612">
                  <c:v>187.70931447689617</c:v>
                </c:pt>
                <c:pt idx="613">
                  <c:v>187.70931447689617</c:v>
                </c:pt>
                <c:pt idx="614">
                  <c:v>187.70931447689617</c:v>
                </c:pt>
                <c:pt idx="615">
                  <c:v>187.70931447689617</c:v>
                </c:pt>
                <c:pt idx="616">
                  <c:v>187.70931447689617</c:v>
                </c:pt>
                <c:pt idx="617">
                  <c:v>187.70931447689617</c:v>
                </c:pt>
                <c:pt idx="618">
                  <c:v>187.70931447689617</c:v>
                </c:pt>
                <c:pt idx="619">
                  <c:v>187.70931447689617</c:v>
                </c:pt>
                <c:pt idx="620">
                  <c:v>187.70931447689617</c:v>
                </c:pt>
                <c:pt idx="621">
                  <c:v>187.70931447689617</c:v>
                </c:pt>
                <c:pt idx="622">
                  <c:v>187.70931447689617</c:v>
                </c:pt>
                <c:pt idx="623">
                  <c:v>187.70931447689617</c:v>
                </c:pt>
                <c:pt idx="624">
                  <c:v>187.70931447689617</c:v>
                </c:pt>
                <c:pt idx="625">
                  <c:v>187.70931447689617</c:v>
                </c:pt>
                <c:pt idx="626">
                  <c:v>187.70931447689617</c:v>
                </c:pt>
                <c:pt idx="627">
                  <c:v>187.70931447689617</c:v>
                </c:pt>
                <c:pt idx="628">
                  <c:v>187.70931447689617</c:v>
                </c:pt>
                <c:pt idx="629">
                  <c:v>187.70931447689617</c:v>
                </c:pt>
                <c:pt idx="630">
                  <c:v>187.70931447689617</c:v>
                </c:pt>
                <c:pt idx="631">
                  <c:v>187.70931447689617</c:v>
                </c:pt>
                <c:pt idx="632">
                  <c:v>187.70931447689617</c:v>
                </c:pt>
                <c:pt idx="633">
                  <c:v>187.70931447689617</c:v>
                </c:pt>
                <c:pt idx="634">
                  <c:v>187.70931447689617</c:v>
                </c:pt>
                <c:pt idx="635">
                  <c:v>187.70931447689617</c:v>
                </c:pt>
                <c:pt idx="636">
                  <c:v>187.70931447689617</c:v>
                </c:pt>
                <c:pt idx="637">
                  <c:v>187.70931447689617</c:v>
                </c:pt>
                <c:pt idx="638">
                  <c:v>187.70931447689617</c:v>
                </c:pt>
                <c:pt idx="639">
                  <c:v>187.70931447689617</c:v>
                </c:pt>
                <c:pt idx="640">
                  <c:v>187.70931447689617</c:v>
                </c:pt>
                <c:pt idx="641">
                  <c:v>187.70931447689617</c:v>
                </c:pt>
                <c:pt idx="642">
                  <c:v>187.70931447689617</c:v>
                </c:pt>
                <c:pt idx="643">
                  <c:v>187.70931447689617</c:v>
                </c:pt>
                <c:pt idx="644">
                  <c:v>187.70931447689617</c:v>
                </c:pt>
                <c:pt idx="645">
                  <c:v>187.70931447689617</c:v>
                </c:pt>
                <c:pt idx="646">
                  <c:v>187.70931447689617</c:v>
                </c:pt>
                <c:pt idx="647">
                  <c:v>187.70931447689617</c:v>
                </c:pt>
                <c:pt idx="648">
                  <c:v>187.70931447689617</c:v>
                </c:pt>
                <c:pt idx="649">
                  <c:v>187.70931447689617</c:v>
                </c:pt>
                <c:pt idx="650">
                  <c:v>187.70931447689617</c:v>
                </c:pt>
                <c:pt idx="651">
                  <c:v>187.70931447689617</c:v>
                </c:pt>
                <c:pt idx="652">
                  <c:v>187.70931447689617</c:v>
                </c:pt>
                <c:pt idx="653">
                  <c:v>187.70931447689617</c:v>
                </c:pt>
                <c:pt idx="654">
                  <c:v>187.70931447689617</c:v>
                </c:pt>
                <c:pt idx="655">
                  <c:v>187.70931447689617</c:v>
                </c:pt>
                <c:pt idx="656">
                  <c:v>187.70931447689617</c:v>
                </c:pt>
                <c:pt idx="657">
                  <c:v>187.70931447689617</c:v>
                </c:pt>
                <c:pt idx="658">
                  <c:v>187.70931447689617</c:v>
                </c:pt>
                <c:pt idx="659">
                  <c:v>187.70931447689617</c:v>
                </c:pt>
                <c:pt idx="660">
                  <c:v>187.70931447689617</c:v>
                </c:pt>
                <c:pt idx="661">
                  <c:v>187.70931447689617</c:v>
                </c:pt>
                <c:pt idx="662">
                  <c:v>187.70931447689617</c:v>
                </c:pt>
                <c:pt idx="663">
                  <c:v>187.70931447689617</c:v>
                </c:pt>
                <c:pt idx="664">
                  <c:v>187.70931447689617</c:v>
                </c:pt>
                <c:pt idx="665">
                  <c:v>187.70931447689617</c:v>
                </c:pt>
                <c:pt idx="666">
                  <c:v>187.70931447689617</c:v>
                </c:pt>
                <c:pt idx="667">
                  <c:v>187.70931447689617</c:v>
                </c:pt>
                <c:pt idx="668">
                  <c:v>187.70931447689617</c:v>
                </c:pt>
                <c:pt idx="669">
                  <c:v>187.70931447689617</c:v>
                </c:pt>
                <c:pt idx="670">
                  <c:v>187.70931447689617</c:v>
                </c:pt>
                <c:pt idx="671">
                  <c:v>187.70931447689617</c:v>
                </c:pt>
                <c:pt idx="672">
                  <c:v>187.70931447689617</c:v>
                </c:pt>
                <c:pt idx="673">
                  <c:v>187.70931447689617</c:v>
                </c:pt>
                <c:pt idx="674">
                  <c:v>187.70931447689617</c:v>
                </c:pt>
                <c:pt idx="675">
                  <c:v>187.70931447689617</c:v>
                </c:pt>
                <c:pt idx="676">
                  <c:v>187.70931447689617</c:v>
                </c:pt>
                <c:pt idx="677">
                  <c:v>187.70931447689617</c:v>
                </c:pt>
                <c:pt idx="678">
                  <c:v>187.70931447689617</c:v>
                </c:pt>
                <c:pt idx="679">
                  <c:v>187.70931447689617</c:v>
                </c:pt>
                <c:pt idx="680">
                  <c:v>187.70931447689617</c:v>
                </c:pt>
                <c:pt idx="681">
                  <c:v>187.70931447689617</c:v>
                </c:pt>
                <c:pt idx="682">
                  <c:v>187.70931447689617</c:v>
                </c:pt>
                <c:pt idx="683">
                  <c:v>187.70931447689617</c:v>
                </c:pt>
                <c:pt idx="684">
                  <c:v>187.70931447689617</c:v>
                </c:pt>
                <c:pt idx="685">
                  <c:v>187.70931447689617</c:v>
                </c:pt>
                <c:pt idx="686">
                  <c:v>187.70931447689617</c:v>
                </c:pt>
                <c:pt idx="687">
                  <c:v>187.70931447689617</c:v>
                </c:pt>
                <c:pt idx="688">
                  <c:v>187.70931447689617</c:v>
                </c:pt>
                <c:pt idx="689">
                  <c:v>187.70931447689617</c:v>
                </c:pt>
                <c:pt idx="690">
                  <c:v>187.70931447689617</c:v>
                </c:pt>
                <c:pt idx="691">
                  <c:v>187.70931447689617</c:v>
                </c:pt>
                <c:pt idx="692">
                  <c:v>187.70931447689617</c:v>
                </c:pt>
                <c:pt idx="693">
                  <c:v>187.70931447689617</c:v>
                </c:pt>
                <c:pt idx="694">
                  <c:v>187.70931447689617</c:v>
                </c:pt>
                <c:pt idx="695">
                  <c:v>187.70931447689617</c:v>
                </c:pt>
                <c:pt idx="696">
                  <c:v>187.70931447689617</c:v>
                </c:pt>
                <c:pt idx="697">
                  <c:v>187.70931447689617</c:v>
                </c:pt>
                <c:pt idx="698">
                  <c:v>187.70931447689617</c:v>
                </c:pt>
                <c:pt idx="699">
                  <c:v>187.70931447689617</c:v>
                </c:pt>
                <c:pt idx="700">
                  <c:v>187.70931447689617</c:v>
                </c:pt>
                <c:pt idx="701">
                  <c:v>187.70931447689617</c:v>
                </c:pt>
                <c:pt idx="702">
                  <c:v>187.70931447689617</c:v>
                </c:pt>
                <c:pt idx="703">
                  <c:v>187.70931447689617</c:v>
                </c:pt>
                <c:pt idx="704">
                  <c:v>187.70931447689617</c:v>
                </c:pt>
                <c:pt idx="705">
                  <c:v>187.70931447689617</c:v>
                </c:pt>
                <c:pt idx="706">
                  <c:v>187.70931447689617</c:v>
                </c:pt>
                <c:pt idx="707">
                  <c:v>187.70931447689617</c:v>
                </c:pt>
                <c:pt idx="708">
                  <c:v>187.70931447689617</c:v>
                </c:pt>
                <c:pt idx="709">
                  <c:v>187.70931447689617</c:v>
                </c:pt>
                <c:pt idx="710">
                  <c:v>187.70931447689617</c:v>
                </c:pt>
                <c:pt idx="711">
                  <c:v>187.70931447689617</c:v>
                </c:pt>
                <c:pt idx="712">
                  <c:v>187.70931447689617</c:v>
                </c:pt>
                <c:pt idx="713">
                  <c:v>187.70931447689617</c:v>
                </c:pt>
                <c:pt idx="714">
                  <c:v>187.70931447689617</c:v>
                </c:pt>
                <c:pt idx="715">
                  <c:v>187.70931447689617</c:v>
                </c:pt>
                <c:pt idx="716">
                  <c:v>187.70931447689617</c:v>
                </c:pt>
                <c:pt idx="717">
                  <c:v>187.70931447689617</c:v>
                </c:pt>
                <c:pt idx="718">
                  <c:v>187.70931447689617</c:v>
                </c:pt>
                <c:pt idx="719">
                  <c:v>187.70931447689617</c:v>
                </c:pt>
                <c:pt idx="720">
                  <c:v>187.70931447689617</c:v>
                </c:pt>
                <c:pt idx="721">
                  <c:v>187.70931447689617</c:v>
                </c:pt>
                <c:pt idx="722">
                  <c:v>187.70931447689617</c:v>
                </c:pt>
                <c:pt idx="723">
                  <c:v>187.70931447689617</c:v>
                </c:pt>
                <c:pt idx="724">
                  <c:v>187.70931447689617</c:v>
                </c:pt>
                <c:pt idx="725">
                  <c:v>187.70931447689617</c:v>
                </c:pt>
                <c:pt idx="726">
                  <c:v>187.70931447689617</c:v>
                </c:pt>
                <c:pt idx="727">
                  <c:v>187.70931447689617</c:v>
                </c:pt>
                <c:pt idx="728">
                  <c:v>187.70931447689617</c:v>
                </c:pt>
                <c:pt idx="729">
                  <c:v>187.70931447689617</c:v>
                </c:pt>
                <c:pt idx="730">
                  <c:v>187.70931447689617</c:v>
                </c:pt>
                <c:pt idx="731">
                  <c:v>187.70931447689617</c:v>
                </c:pt>
                <c:pt idx="732">
                  <c:v>187.70931447689617</c:v>
                </c:pt>
                <c:pt idx="733">
                  <c:v>187.70931447689617</c:v>
                </c:pt>
                <c:pt idx="734">
                  <c:v>187.70931447689617</c:v>
                </c:pt>
                <c:pt idx="735">
                  <c:v>187.70931447689617</c:v>
                </c:pt>
                <c:pt idx="736">
                  <c:v>187.70931447689617</c:v>
                </c:pt>
                <c:pt idx="737">
                  <c:v>187.70931447689617</c:v>
                </c:pt>
                <c:pt idx="738">
                  <c:v>187.70931447689617</c:v>
                </c:pt>
                <c:pt idx="739">
                  <c:v>187.70931447689617</c:v>
                </c:pt>
                <c:pt idx="740">
                  <c:v>187.70931447689617</c:v>
                </c:pt>
                <c:pt idx="741">
                  <c:v>187.70931447689617</c:v>
                </c:pt>
                <c:pt idx="742">
                  <c:v>187.70931447689617</c:v>
                </c:pt>
                <c:pt idx="743">
                  <c:v>187.70931447689617</c:v>
                </c:pt>
                <c:pt idx="744">
                  <c:v>187.70931447689617</c:v>
                </c:pt>
                <c:pt idx="745">
                  <c:v>187.70931447689617</c:v>
                </c:pt>
                <c:pt idx="746">
                  <c:v>187.70931447689617</c:v>
                </c:pt>
                <c:pt idx="747">
                  <c:v>187.70931447689617</c:v>
                </c:pt>
                <c:pt idx="748">
                  <c:v>187.70931447689617</c:v>
                </c:pt>
                <c:pt idx="749">
                  <c:v>187.70931447689617</c:v>
                </c:pt>
                <c:pt idx="750">
                  <c:v>187.70931447689617</c:v>
                </c:pt>
                <c:pt idx="751">
                  <c:v>187.70931447689617</c:v>
                </c:pt>
                <c:pt idx="752">
                  <c:v>187.70931447689617</c:v>
                </c:pt>
                <c:pt idx="753">
                  <c:v>187.70931447689617</c:v>
                </c:pt>
                <c:pt idx="754">
                  <c:v>187.70931447689617</c:v>
                </c:pt>
                <c:pt idx="755">
                  <c:v>187.70931447689617</c:v>
                </c:pt>
                <c:pt idx="756">
                  <c:v>187.70931447689617</c:v>
                </c:pt>
                <c:pt idx="757">
                  <c:v>187.70931447689617</c:v>
                </c:pt>
                <c:pt idx="758">
                  <c:v>187.70931447689617</c:v>
                </c:pt>
                <c:pt idx="759">
                  <c:v>187.70931447689617</c:v>
                </c:pt>
                <c:pt idx="760">
                  <c:v>187.70931447689617</c:v>
                </c:pt>
                <c:pt idx="761">
                  <c:v>187.70931447689617</c:v>
                </c:pt>
                <c:pt idx="762">
                  <c:v>187.70931447689617</c:v>
                </c:pt>
                <c:pt idx="763">
                  <c:v>187.70931447689617</c:v>
                </c:pt>
                <c:pt idx="764">
                  <c:v>187.70931447689617</c:v>
                </c:pt>
                <c:pt idx="765">
                  <c:v>187.70931447689617</c:v>
                </c:pt>
                <c:pt idx="766">
                  <c:v>187.70931447689617</c:v>
                </c:pt>
                <c:pt idx="767">
                  <c:v>187.70931447689617</c:v>
                </c:pt>
                <c:pt idx="768">
                  <c:v>187.70931447689617</c:v>
                </c:pt>
                <c:pt idx="769">
                  <c:v>187.70931447689617</c:v>
                </c:pt>
                <c:pt idx="770">
                  <c:v>187.70931447689617</c:v>
                </c:pt>
                <c:pt idx="771">
                  <c:v>187.70931447689617</c:v>
                </c:pt>
                <c:pt idx="772">
                  <c:v>187.70931447689617</c:v>
                </c:pt>
                <c:pt idx="773">
                  <c:v>187.70931447689617</c:v>
                </c:pt>
                <c:pt idx="774">
                  <c:v>187.70931447689617</c:v>
                </c:pt>
                <c:pt idx="775">
                  <c:v>187.70931447689617</c:v>
                </c:pt>
                <c:pt idx="776">
                  <c:v>187.70931447689617</c:v>
                </c:pt>
                <c:pt idx="777">
                  <c:v>187.70931447689617</c:v>
                </c:pt>
                <c:pt idx="778">
                  <c:v>187.70931447689617</c:v>
                </c:pt>
                <c:pt idx="779">
                  <c:v>187.70931447689617</c:v>
                </c:pt>
                <c:pt idx="780">
                  <c:v>187.70931447689617</c:v>
                </c:pt>
                <c:pt idx="781">
                  <c:v>187.70931447689617</c:v>
                </c:pt>
                <c:pt idx="782">
                  <c:v>187.70931447689617</c:v>
                </c:pt>
                <c:pt idx="783">
                  <c:v>187.70931447689617</c:v>
                </c:pt>
                <c:pt idx="784">
                  <c:v>187.70931447689617</c:v>
                </c:pt>
                <c:pt idx="785">
                  <c:v>187.70931447689617</c:v>
                </c:pt>
                <c:pt idx="786">
                  <c:v>187.70931447689617</c:v>
                </c:pt>
                <c:pt idx="787">
                  <c:v>187.70931447689617</c:v>
                </c:pt>
                <c:pt idx="788">
                  <c:v>187.70931447689617</c:v>
                </c:pt>
                <c:pt idx="789">
                  <c:v>187.70931447689617</c:v>
                </c:pt>
                <c:pt idx="790">
                  <c:v>187.70931447689617</c:v>
                </c:pt>
                <c:pt idx="791">
                  <c:v>187.70931447689617</c:v>
                </c:pt>
                <c:pt idx="792">
                  <c:v>187.70931447689617</c:v>
                </c:pt>
                <c:pt idx="793">
                  <c:v>187.70931447689617</c:v>
                </c:pt>
                <c:pt idx="794">
                  <c:v>187.70931447689617</c:v>
                </c:pt>
                <c:pt idx="795">
                  <c:v>187.70931447689617</c:v>
                </c:pt>
                <c:pt idx="796">
                  <c:v>187.70931447689617</c:v>
                </c:pt>
                <c:pt idx="797">
                  <c:v>187.70931447689617</c:v>
                </c:pt>
                <c:pt idx="798">
                  <c:v>187.70931447689617</c:v>
                </c:pt>
                <c:pt idx="799">
                  <c:v>187.70931447689617</c:v>
                </c:pt>
                <c:pt idx="800">
                  <c:v>187.70931447689617</c:v>
                </c:pt>
                <c:pt idx="801">
                  <c:v>187.70931447689617</c:v>
                </c:pt>
                <c:pt idx="802">
                  <c:v>187.70931447689617</c:v>
                </c:pt>
                <c:pt idx="803">
                  <c:v>187.70931447689617</c:v>
                </c:pt>
                <c:pt idx="804">
                  <c:v>187.70931447689617</c:v>
                </c:pt>
                <c:pt idx="805">
                  <c:v>187.70931447689617</c:v>
                </c:pt>
                <c:pt idx="806">
                  <c:v>187.70931447689617</c:v>
                </c:pt>
                <c:pt idx="807">
                  <c:v>187.70931447689617</c:v>
                </c:pt>
                <c:pt idx="808">
                  <c:v>187.70931447689617</c:v>
                </c:pt>
                <c:pt idx="809">
                  <c:v>187.70931447689617</c:v>
                </c:pt>
                <c:pt idx="810">
                  <c:v>187.70931447689617</c:v>
                </c:pt>
                <c:pt idx="811">
                  <c:v>187.70931447689617</c:v>
                </c:pt>
                <c:pt idx="812">
                  <c:v>187.70931447689617</c:v>
                </c:pt>
                <c:pt idx="813">
                  <c:v>187.70931447689617</c:v>
                </c:pt>
                <c:pt idx="814">
                  <c:v>187.70931447689617</c:v>
                </c:pt>
                <c:pt idx="815">
                  <c:v>187.70931447689617</c:v>
                </c:pt>
                <c:pt idx="816">
                  <c:v>187.70931447689617</c:v>
                </c:pt>
                <c:pt idx="817">
                  <c:v>187.70931447689617</c:v>
                </c:pt>
                <c:pt idx="818">
                  <c:v>187.70931447689617</c:v>
                </c:pt>
                <c:pt idx="819">
                  <c:v>187.70931447689617</c:v>
                </c:pt>
                <c:pt idx="820">
                  <c:v>187.70931447689617</c:v>
                </c:pt>
                <c:pt idx="821">
                  <c:v>187.70931447689617</c:v>
                </c:pt>
                <c:pt idx="822">
                  <c:v>187.70931447689617</c:v>
                </c:pt>
                <c:pt idx="823">
                  <c:v>187.70931447689617</c:v>
                </c:pt>
                <c:pt idx="824">
                  <c:v>187.70931447689617</c:v>
                </c:pt>
                <c:pt idx="825">
                  <c:v>187.70931447689617</c:v>
                </c:pt>
                <c:pt idx="826">
                  <c:v>187.70931447689617</c:v>
                </c:pt>
                <c:pt idx="827">
                  <c:v>187.70931447689617</c:v>
                </c:pt>
                <c:pt idx="828">
                  <c:v>187.70931447689617</c:v>
                </c:pt>
                <c:pt idx="829">
                  <c:v>187.70931447689617</c:v>
                </c:pt>
                <c:pt idx="830">
                  <c:v>187.70931447689617</c:v>
                </c:pt>
                <c:pt idx="831">
                  <c:v>187.70931447689617</c:v>
                </c:pt>
                <c:pt idx="832">
                  <c:v>187.70931447689617</c:v>
                </c:pt>
                <c:pt idx="833">
                  <c:v>187.70931447689617</c:v>
                </c:pt>
                <c:pt idx="834">
                  <c:v>187.70931447689617</c:v>
                </c:pt>
                <c:pt idx="835">
                  <c:v>187.70931447689617</c:v>
                </c:pt>
                <c:pt idx="836">
                  <c:v>187.70931447689617</c:v>
                </c:pt>
                <c:pt idx="837">
                  <c:v>187.70931447689617</c:v>
                </c:pt>
                <c:pt idx="838">
                  <c:v>187.70931447689617</c:v>
                </c:pt>
                <c:pt idx="839">
                  <c:v>187.70931447689617</c:v>
                </c:pt>
                <c:pt idx="840">
                  <c:v>187.70931447689617</c:v>
                </c:pt>
                <c:pt idx="841">
                  <c:v>187.70931447689617</c:v>
                </c:pt>
                <c:pt idx="842">
                  <c:v>187.70931447689617</c:v>
                </c:pt>
                <c:pt idx="843">
                  <c:v>187.70931447689617</c:v>
                </c:pt>
                <c:pt idx="844">
                  <c:v>187.70931447689617</c:v>
                </c:pt>
                <c:pt idx="845">
                  <c:v>187.70931447689617</c:v>
                </c:pt>
                <c:pt idx="846">
                  <c:v>187.70931447689617</c:v>
                </c:pt>
                <c:pt idx="847">
                  <c:v>187.70931447689617</c:v>
                </c:pt>
                <c:pt idx="848">
                  <c:v>187.70931447689617</c:v>
                </c:pt>
                <c:pt idx="849">
                  <c:v>187.70931447689617</c:v>
                </c:pt>
                <c:pt idx="850">
                  <c:v>187.70931447689617</c:v>
                </c:pt>
                <c:pt idx="851">
                  <c:v>187.70931447689617</c:v>
                </c:pt>
                <c:pt idx="852">
                  <c:v>187.70931447689617</c:v>
                </c:pt>
                <c:pt idx="853">
                  <c:v>187.70931447689617</c:v>
                </c:pt>
                <c:pt idx="854">
                  <c:v>187.70931447689617</c:v>
                </c:pt>
                <c:pt idx="855">
                  <c:v>187.70931447689617</c:v>
                </c:pt>
                <c:pt idx="856">
                  <c:v>187.70931447689617</c:v>
                </c:pt>
                <c:pt idx="857">
                  <c:v>187.70931447689617</c:v>
                </c:pt>
                <c:pt idx="858">
                  <c:v>187.70931447689617</c:v>
                </c:pt>
                <c:pt idx="859">
                  <c:v>187.70931447689617</c:v>
                </c:pt>
                <c:pt idx="860">
                  <c:v>187.70931447689617</c:v>
                </c:pt>
                <c:pt idx="861">
                  <c:v>187.70931447689617</c:v>
                </c:pt>
                <c:pt idx="862">
                  <c:v>187.70931447689617</c:v>
                </c:pt>
                <c:pt idx="863">
                  <c:v>187.70931447689617</c:v>
                </c:pt>
                <c:pt idx="864">
                  <c:v>187.70931447689617</c:v>
                </c:pt>
                <c:pt idx="865">
                  <c:v>187.70931447689617</c:v>
                </c:pt>
                <c:pt idx="866">
                  <c:v>187.70931447689617</c:v>
                </c:pt>
                <c:pt idx="867">
                  <c:v>187.70931447689617</c:v>
                </c:pt>
                <c:pt idx="868">
                  <c:v>187.70931447689617</c:v>
                </c:pt>
                <c:pt idx="869">
                  <c:v>187.70931447689617</c:v>
                </c:pt>
                <c:pt idx="870">
                  <c:v>187.70931447689617</c:v>
                </c:pt>
                <c:pt idx="871">
                  <c:v>187.70931447689617</c:v>
                </c:pt>
                <c:pt idx="872">
                  <c:v>187.70931447689617</c:v>
                </c:pt>
                <c:pt idx="873">
                  <c:v>187.70931447689617</c:v>
                </c:pt>
                <c:pt idx="874">
                  <c:v>187.70931447689617</c:v>
                </c:pt>
                <c:pt idx="875">
                  <c:v>187.70931447689617</c:v>
                </c:pt>
                <c:pt idx="876">
                  <c:v>187.70931447689617</c:v>
                </c:pt>
                <c:pt idx="877">
                  <c:v>187.70931447689617</c:v>
                </c:pt>
                <c:pt idx="878">
                  <c:v>187.70931447689617</c:v>
                </c:pt>
                <c:pt idx="879">
                  <c:v>187.70931447689617</c:v>
                </c:pt>
                <c:pt idx="880">
                  <c:v>187.70931447689617</c:v>
                </c:pt>
                <c:pt idx="881">
                  <c:v>187.70931447689617</c:v>
                </c:pt>
                <c:pt idx="882">
                  <c:v>187.70931447689617</c:v>
                </c:pt>
                <c:pt idx="883">
                  <c:v>187.70931447689617</c:v>
                </c:pt>
                <c:pt idx="884">
                  <c:v>187.70931447689617</c:v>
                </c:pt>
                <c:pt idx="885">
                  <c:v>187.70931447689617</c:v>
                </c:pt>
                <c:pt idx="886">
                  <c:v>187.70931447689617</c:v>
                </c:pt>
                <c:pt idx="887">
                  <c:v>187.70931447689617</c:v>
                </c:pt>
                <c:pt idx="888">
                  <c:v>187.70931447689617</c:v>
                </c:pt>
                <c:pt idx="889">
                  <c:v>187.70931447689617</c:v>
                </c:pt>
                <c:pt idx="890">
                  <c:v>187.70931447689617</c:v>
                </c:pt>
                <c:pt idx="891">
                  <c:v>187.70931447689617</c:v>
                </c:pt>
                <c:pt idx="892">
                  <c:v>187.70931447689617</c:v>
                </c:pt>
                <c:pt idx="893">
                  <c:v>187.70931447689617</c:v>
                </c:pt>
                <c:pt idx="894">
                  <c:v>187.70931447689617</c:v>
                </c:pt>
                <c:pt idx="895">
                  <c:v>187.70931447689617</c:v>
                </c:pt>
                <c:pt idx="896">
                  <c:v>187.70931447689617</c:v>
                </c:pt>
                <c:pt idx="897">
                  <c:v>187.70931447689617</c:v>
                </c:pt>
                <c:pt idx="898">
                  <c:v>187.70931447689617</c:v>
                </c:pt>
                <c:pt idx="899">
                  <c:v>187.70931447689617</c:v>
                </c:pt>
                <c:pt idx="900">
                  <c:v>187.70931447689617</c:v>
                </c:pt>
                <c:pt idx="901">
                  <c:v>187.70931447689617</c:v>
                </c:pt>
                <c:pt idx="902">
                  <c:v>187.70931447689617</c:v>
                </c:pt>
                <c:pt idx="903">
                  <c:v>187.70931447689617</c:v>
                </c:pt>
                <c:pt idx="904">
                  <c:v>187.70931447689617</c:v>
                </c:pt>
                <c:pt idx="905">
                  <c:v>187.70931447689617</c:v>
                </c:pt>
                <c:pt idx="906">
                  <c:v>187.70931447689617</c:v>
                </c:pt>
                <c:pt idx="907">
                  <c:v>187.70931447689617</c:v>
                </c:pt>
                <c:pt idx="908">
                  <c:v>187.70931447689617</c:v>
                </c:pt>
                <c:pt idx="909">
                  <c:v>187.70931447689617</c:v>
                </c:pt>
                <c:pt idx="910">
                  <c:v>187.70931447689617</c:v>
                </c:pt>
                <c:pt idx="911">
                  <c:v>187.70931447689617</c:v>
                </c:pt>
                <c:pt idx="912">
                  <c:v>187.70931447689617</c:v>
                </c:pt>
                <c:pt idx="913">
                  <c:v>187.70931447689617</c:v>
                </c:pt>
                <c:pt idx="914">
                  <c:v>187.70931447689617</c:v>
                </c:pt>
                <c:pt idx="915">
                  <c:v>187.70931447689617</c:v>
                </c:pt>
                <c:pt idx="916">
                  <c:v>187.70931447689617</c:v>
                </c:pt>
                <c:pt idx="917">
                  <c:v>187.70931447689617</c:v>
                </c:pt>
                <c:pt idx="918">
                  <c:v>187.70931447689617</c:v>
                </c:pt>
                <c:pt idx="919">
                  <c:v>187.70931447689617</c:v>
                </c:pt>
                <c:pt idx="920">
                  <c:v>187.70931447689617</c:v>
                </c:pt>
                <c:pt idx="921">
                  <c:v>187.70931447689617</c:v>
                </c:pt>
                <c:pt idx="922">
                  <c:v>187.70931447689617</c:v>
                </c:pt>
                <c:pt idx="923">
                  <c:v>187.70931447689617</c:v>
                </c:pt>
                <c:pt idx="924">
                  <c:v>187.70931447689617</c:v>
                </c:pt>
                <c:pt idx="925">
                  <c:v>187.70931447689617</c:v>
                </c:pt>
                <c:pt idx="926">
                  <c:v>187.70931447689617</c:v>
                </c:pt>
                <c:pt idx="927">
                  <c:v>187.70931447689617</c:v>
                </c:pt>
                <c:pt idx="928">
                  <c:v>187.70931447689617</c:v>
                </c:pt>
                <c:pt idx="929">
                  <c:v>187.70931447689617</c:v>
                </c:pt>
                <c:pt idx="930">
                  <c:v>187.70931447689617</c:v>
                </c:pt>
                <c:pt idx="931">
                  <c:v>187.70931447689617</c:v>
                </c:pt>
                <c:pt idx="932">
                  <c:v>187.70931447689617</c:v>
                </c:pt>
                <c:pt idx="933">
                  <c:v>187.70931447689617</c:v>
                </c:pt>
                <c:pt idx="934">
                  <c:v>187.70931447689617</c:v>
                </c:pt>
                <c:pt idx="935">
                  <c:v>187.70931447689617</c:v>
                </c:pt>
                <c:pt idx="936">
                  <c:v>187.70931447689617</c:v>
                </c:pt>
                <c:pt idx="937">
                  <c:v>187.70931447689617</c:v>
                </c:pt>
                <c:pt idx="938">
                  <c:v>187.70931447689617</c:v>
                </c:pt>
                <c:pt idx="939">
                  <c:v>187.70931447689617</c:v>
                </c:pt>
                <c:pt idx="940">
                  <c:v>187.70931447689617</c:v>
                </c:pt>
                <c:pt idx="941">
                  <c:v>187.70931447689617</c:v>
                </c:pt>
                <c:pt idx="942">
                  <c:v>187.70931447689617</c:v>
                </c:pt>
                <c:pt idx="943">
                  <c:v>187.70931447689617</c:v>
                </c:pt>
                <c:pt idx="944">
                  <c:v>187.70931447689617</c:v>
                </c:pt>
                <c:pt idx="945">
                  <c:v>187.70931447689617</c:v>
                </c:pt>
                <c:pt idx="946">
                  <c:v>187.70931447689617</c:v>
                </c:pt>
                <c:pt idx="947">
                  <c:v>187.70931447689617</c:v>
                </c:pt>
                <c:pt idx="948">
                  <c:v>187.70931447689617</c:v>
                </c:pt>
                <c:pt idx="949">
                  <c:v>187.70931447689617</c:v>
                </c:pt>
                <c:pt idx="950">
                  <c:v>187.70931447689617</c:v>
                </c:pt>
                <c:pt idx="951">
                  <c:v>187.70931447689617</c:v>
                </c:pt>
                <c:pt idx="952">
                  <c:v>187.70931447689617</c:v>
                </c:pt>
                <c:pt idx="953">
                  <c:v>187.70931447689617</c:v>
                </c:pt>
                <c:pt idx="954">
                  <c:v>187.70931447689617</c:v>
                </c:pt>
                <c:pt idx="955">
                  <c:v>187.70931447689617</c:v>
                </c:pt>
                <c:pt idx="956">
                  <c:v>187.70931447689617</c:v>
                </c:pt>
                <c:pt idx="957">
                  <c:v>187.70931447689617</c:v>
                </c:pt>
                <c:pt idx="958">
                  <c:v>187.70931447689617</c:v>
                </c:pt>
                <c:pt idx="959">
                  <c:v>187.70931447689617</c:v>
                </c:pt>
                <c:pt idx="960">
                  <c:v>187.70931447689617</c:v>
                </c:pt>
                <c:pt idx="961">
                  <c:v>187.70931447689617</c:v>
                </c:pt>
                <c:pt idx="962">
                  <c:v>187.70931447689617</c:v>
                </c:pt>
                <c:pt idx="963">
                  <c:v>187.70931447689617</c:v>
                </c:pt>
                <c:pt idx="964">
                  <c:v>187.70931447689617</c:v>
                </c:pt>
                <c:pt idx="965">
                  <c:v>187.70931447689617</c:v>
                </c:pt>
                <c:pt idx="966">
                  <c:v>187.70931447689617</c:v>
                </c:pt>
                <c:pt idx="967">
                  <c:v>187.70931447689617</c:v>
                </c:pt>
                <c:pt idx="968">
                  <c:v>187.70931447689617</c:v>
                </c:pt>
                <c:pt idx="969">
                  <c:v>187.70931447689617</c:v>
                </c:pt>
                <c:pt idx="970">
                  <c:v>187.70931447689617</c:v>
                </c:pt>
                <c:pt idx="971">
                  <c:v>187.70931447689617</c:v>
                </c:pt>
                <c:pt idx="972">
                  <c:v>187.70931447689617</c:v>
                </c:pt>
                <c:pt idx="973">
                  <c:v>187.70931447689617</c:v>
                </c:pt>
                <c:pt idx="974">
                  <c:v>187.70931447689617</c:v>
                </c:pt>
                <c:pt idx="975">
                  <c:v>187.70931447689617</c:v>
                </c:pt>
                <c:pt idx="976">
                  <c:v>187.70931447689617</c:v>
                </c:pt>
                <c:pt idx="977">
                  <c:v>187.70931447689617</c:v>
                </c:pt>
                <c:pt idx="978">
                  <c:v>187.70931447689617</c:v>
                </c:pt>
                <c:pt idx="979">
                  <c:v>187.70931447689617</c:v>
                </c:pt>
                <c:pt idx="980">
                  <c:v>187.70931447689617</c:v>
                </c:pt>
                <c:pt idx="981">
                  <c:v>187.70931447689617</c:v>
                </c:pt>
                <c:pt idx="982">
                  <c:v>187.70931447689617</c:v>
                </c:pt>
                <c:pt idx="983">
                  <c:v>187.70931447689617</c:v>
                </c:pt>
                <c:pt idx="984">
                  <c:v>187.70931447689617</c:v>
                </c:pt>
                <c:pt idx="985">
                  <c:v>187.70931447689617</c:v>
                </c:pt>
                <c:pt idx="986">
                  <c:v>187.70931447689617</c:v>
                </c:pt>
                <c:pt idx="987">
                  <c:v>187.70931447689617</c:v>
                </c:pt>
                <c:pt idx="988">
                  <c:v>187.70931447689617</c:v>
                </c:pt>
                <c:pt idx="989">
                  <c:v>187.70931447689617</c:v>
                </c:pt>
                <c:pt idx="990">
                  <c:v>187.70931447689617</c:v>
                </c:pt>
                <c:pt idx="991">
                  <c:v>187.70931447689617</c:v>
                </c:pt>
                <c:pt idx="992">
                  <c:v>187.70931447689617</c:v>
                </c:pt>
                <c:pt idx="993">
                  <c:v>187.70931447689617</c:v>
                </c:pt>
                <c:pt idx="994">
                  <c:v>187.70931447689617</c:v>
                </c:pt>
                <c:pt idx="995">
                  <c:v>187.70931447689617</c:v>
                </c:pt>
                <c:pt idx="996">
                  <c:v>187.70931447689617</c:v>
                </c:pt>
                <c:pt idx="997">
                  <c:v>187.70931447689617</c:v>
                </c:pt>
                <c:pt idx="998">
                  <c:v>187.70931447689617</c:v>
                </c:pt>
                <c:pt idx="999">
                  <c:v>187.70931447689617</c:v>
                </c:pt>
                <c:pt idx="1000">
                  <c:v>187.70931447689617</c:v>
                </c:pt>
              </c:numCache>
            </c:numRef>
          </c:xVal>
          <c:yVal>
            <c:numRef>
              <c:f>Calculs!$AE$4:$AE$1004</c:f>
              <c:numCache>
                <c:formatCode>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2D93-4A70-848A-B241BE71CA10}"/>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28.676638834346804</c:v>
                </c:pt>
              </c:numCache>
            </c:numRef>
          </c:xVal>
          <c:yVal>
            <c:numRef>
              <c:f>Trajecto!$C$155</c:f>
              <c:numCache>
                <c:formatCode>0</c:formatCode>
                <c:ptCount val="1"/>
                <c:pt idx="0">
                  <c:v>136.28374761093633</c:v>
                </c:pt>
              </c:numCache>
            </c:numRef>
          </c:yVal>
          <c:smooth val="0"/>
          <c:extLst>
            <c:ext xmlns:c16="http://schemas.microsoft.com/office/drawing/2014/chart" uri="{C3380CC4-5D6E-409C-BE32-E72D297353CC}">
              <c16:uniqueId val="{00000006-2D93-4A70-848A-B241BE71CA10}"/>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157.65513130319749</c:v>
                </c:pt>
              </c:numCache>
            </c:numRef>
          </c:xVal>
          <c:yVal>
            <c:numRef>
              <c:f>Trajecto!$C$156</c:f>
              <c:numCache>
                <c:formatCode>0</c:formatCode>
                <c:ptCount val="1"/>
                <c:pt idx="0">
                  <c:v>140.71938871560357</c:v>
                </c:pt>
              </c:numCache>
            </c:numRef>
          </c:yVal>
          <c:smooth val="0"/>
          <c:extLst>
            <c:ext xmlns:c16="http://schemas.microsoft.com/office/drawing/2014/chart" uri="{C3380CC4-5D6E-409C-BE32-E72D297353CC}">
              <c16:uniqueId val="{00000007-2D93-4A70-848A-B241BE71CA10}"/>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{B445260A-5165-4F2C-AEFF-80E10473FD72}</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2D93-4A70-848A-B241BE71CA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97.5467649558001</c:v>
                </c:pt>
                <c:pt idx="1">
                  <c:v>120.5467649558001</c:v>
                </c:pt>
                <c:pt idx="2">
                  <c:v>120.5467649558001</c:v>
                </c:pt>
                <c:pt idx="3">
                  <c:v>97.5467649558001</c:v>
                </c:pt>
                <c:pt idx="4">
                  <c:v>120.5467649558001</c:v>
                </c:pt>
                <c:pt idx="5">
                  <c:v>120.5467649558001</c:v>
                </c:pt>
                <c:pt idx="6">
                  <c:v>105.5467649558001</c:v>
                </c:pt>
                <c:pt idx="7">
                  <c:v>105.5467649558001</c:v>
                </c:pt>
                <c:pt idx="8">
                  <c:v>120.5467649558001</c:v>
                </c:pt>
                <c:pt idx="9">
                  <c:v>105.5467649558001</c:v>
                </c:pt>
                <c:pt idx="10">
                  <c:v>105.14676495580009</c:v>
                </c:pt>
                <c:pt idx="11">
                  <c:v>104.3467649558001</c:v>
                </c:pt>
                <c:pt idx="12">
                  <c:v>103.5467649558001</c:v>
                </c:pt>
                <c:pt idx="13">
                  <c:v>102.5467649558001</c:v>
                </c:pt>
                <c:pt idx="14">
                  <c:v>101.3467649558001</c:v>
                </c:pt>
                <c:pt idx="15">
                  <c:v>97.5467649558001</c:v>
                </c:pt>
              </c:numCache>
            </c:numRef>
          </c:xVal>
          <c:yVal>
            <c:numRef>
              <c:f>Trajecto!$B$161:$B$176</c:f>
              <c:numCache>
                <c:formatCode>General</c:formatCode>
                <c:ptCount val="16"/>
                <c:pt idx="0">
                  <c:v>49</c:v>
                </c:pt>
                <c:pt idx="1">
                  <c:v>49</c:v>
                </c:pt>
                <c:pt idx="2">
                  <c:v>43</c:v>
                </c:pt>
                <c:pt idx="3">
                  <c:v>43</c:v>
                </c:pt>
                <c:pt idx="4">
                  <c:v>43</c:v>
                </c:pt>
                <c:pt idx="5">
                  <c:v>0.5</c:v>
                </c:pt>
                <c:pt idx="6">
                  <c:v>0.5</c:v>
                </c:pt>
                <c:pt idx="7">
                  <c:v>27</c:v>
                </c:pt>
                <c:pt idx="8">
                  <c:v>27</c:v>
                </c:pt>
                <c:pt idx="9">
                  <c:v>27</c:v>
                </c:pt>
                <c:pt idx="10">
                  <c:v>29</c:v>
                </c:pt>
                <c:pt idx="11">
                  <c:v>31</c:v>
                </c:pt>
                <c:pt idx="12">
                  <c:v>32</c:v>
                </c:pt>
                <c:pt idx="13">
                  <c:v>33</c:v>
                </c:pt>
                <c:pt idx="14">
                  <c:v>34</c:v>
                </c:pt>
                <c:pt idx="15">
                  <c:v>35</c:v>
                </c:pt>
              </c:numCache>
            </c:numRef>
          </c:yVal>
          <c:smooth val="0"/>
          <c:extLst>
            <c:ext xmlns:c16="http://schemas.microsoft.com/office/drawing/2014/chart" uri="{C3380CC4-5D6E-409C-BE32-E72D297353CC}">
              <c16:uniqueId val="{00000009-2D93-4A70-848A-B241BE71CA10}"/>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97.5467649558001</c:v>
                </c:pt>
                <c:pt idx="1">
                  <c:v>74.5467649558001</c:v>
                </c:pt>
                <c:pt idx="2">
                  <c:v>74.5467649558001</c:v>
                </c:pt>
                <c:pt idx="3">
                  <c:v>97.5467649558001</c:v>
                </c:pt>
                <c:pt idx="4">
                  <c:v>74.5467649558001</c:v>
                </c:pt>
                <c:pt idx="5">
                  <c:v>74.5467649558001</c:v>
                </c:pt>
                <c:pt idx="6">
                  <c:v>89.5467649558001</c:v>
                </c:pt>
                <c:pt idx="7">
                  <c:v>89.5467649558001</c:v>
                </c:pt>
                <c:pt idx="8">
                  <c:v>74.5467649558001</c:v>
                </c:pt>
                <c:pt idx="9">
                  <c:v>89.5467649558001</c:v>
                </c:pt>
                <c:pt idx="10">
                  <c:v>89.946764955800106</c:v>
                </c:pt>
                <c:pt idx="11">
                  <c:v>90.746764955800103</c:v>
                </c:pt>
                <c:pt idx="12">
                  <c:v>91.5467649558001</c:v>
                </c:pt>
                <c:pt idx="13">
                  <c:v>92.5467649558001</c:v>
                </c:pt>
                <c:pt idx="14">
                  <c:v>93.746764955800103</c:v>
                </c:pt>
                <c:pt idx="15">
                  <c:v>97.5467649558001</c:v>
                </c:pt>
              </c:numCache>
            </c:numRef>
          </c:xVal>
          <c:yVal>
            <c:numRef>
              <c:f>Trajecto!$B$161:$B$176</c:f>
              <c:numCache>
                <c:formatCode>General</c:formatCode>
                <c:ptCount val="16"/>
                <c:pt idx="0">
                  <c:v>49</c:v>
                </c:pt>
                <c:pt idx="1">
                  <c:v>49</c:v>
                </c:pt>
                <c:pt idx="2">
                  <c:v>43</c:v>
                </c:pt>
                <c:pt idx="3">
                  <c:v>43</c:v>
                </c:pt>
                <c:pt idx="4">
                  <c:v>43</c:v>
                </c:pt>
                <c:pt idx="5">
                  <c:v>0.5</c:v>
                </c:pt>
                <c:pt idx="6">
                  <c:v>0.5</c:v>
                </c:pt>
                <c:pt idx="7">
                  <c:v>27</c:v>
                </c:pt>
                <c:pt idx="8">
                  <c:v>27</c:v>
                </c:pt>
                <c:pt idx="9">
                  <c:v>27</c:v>
                </c:pt>
                <c:pt idx="10">
                  <c:v>29</c:v>
                </c:pt>
                <c:pt idx="11">
                  <c:v>31</c:v>
                </c:pt>
                <c:pt idx="12">
                  <c:v>32</c:v>
                </c:pt>
                <c:pt idx="13">
                  <c:v>33</c:v>
                </c:pt>
                <c:pt idx="14">
                  <c:v>34</c:v>
                </c:pt>
                <c:pt idx="15">
                  <c:v>35</c:v>
                </c:pt>
              </c:numCache>
            </c:numRef>
          </c:yVal>
          <c:smooth val="0"/>
          <c:extLst>
            <c:ext xmlns:c16="http://schemas.microsoft.com/office/drawing/2014/chart" uri="{C3380CC4-5D6E-409C-BE32-E72D297353CC}">
              <c16:uniqueId val="{0000000A-2D93-4A70-848A-B241BE71CA10}"/>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{CED6456C-8ECF-410A-8CA9-48A668B86C4F}</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2D93-4A70-848A-B241BE71CA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97.5467649558001</c:v>
                </c:pt>
                <c:pt idx="1">
                  <c:v>97.5467649558001</c:v>
                </c:pt>
                <c:pt idx="2">
                  <c:v>107.5467649558001</c:v>
                </c:pt>
                <c:pt idx="3">
                  <c:v>97.5467649558001</c:v>
                </c:pt>
                <c:pt idx="4">
                  <c:v>107.5467649558001</c:v>
                </c:pt>
                <c:pt idx="5">
                  <c:v>110.5467649558001</c:v>
                </c:pt>
                <c:pt idx="6">
                  <c:v>114.5467649558001</c:v>
                </c:pt>
                <c:pt idx="7">
                  <c:v>117.5467649558001</c:v>
                </c:pt>
                <c:pt idx="8">
                  <c:v>122.5467649558001</c:v>
                </c:pt>
                <c:pt idx="9">
                  <c:v>127.5467649558001</c:v>
                </c:pt>
                <c:pt idx="10">
                  <c:v>133.54676495580009</c:v>
                </c:pt>
                <c:pt idx="11">
                  <c:v>145.54676495580009</c:v>
                </c:pt>
                <c:pt idx="12">
                  <c:v>159.54676495580009</c:v>
                </c:pt>
                <c:pt idx="13">
                  <c:v>134.54676495580009</c:v>
                </c:pt>
                <c:pt idx="14">
                  <c:v>127.5467649558001</c:v>
                </c:pt>
                <c:pt idx="15">
                  <c:v>112.5467649558001</c:v>
                </c:pt>
                <c:pt idx="16">
                  <c:v>97.5467649558001</c:v>
                </c:pt>
              </c:numCache>
            </c:numRef>
          </c:xVal>
          <c:yVal>
            <c:numRef>
              <c:f>Trajecto!$B$179:$B$195</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C-2D93-4A70-848A-B241BE71CA10}"/>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97.5467649558001</c:v>
                </c:pt>
                <c:pt idx="1">
                  <c:v>97.5467649558001</c:v>
                </c:pt>
                <c:pt idx="2">
                  <c:v>87.5467649558001</c:v>
                </c:pt>
                <c:pt idx="3">
                  <c:v>97.5467649558001</c:v>
                </c:pt>
                <c:pt idx="4">
                  <c:v>87.5467649558001</c:v>
                </c:pt>
                <c:pt idx="5">
                  <c:v>84.5467649558001</c:v>
                </c:pt>
                <c:pt idx="6">
                  <c:v>80.5467649558001</c:v>
                </c:pt>
                <c:pt idx="7">
                  <c:v>77.5467649558001</c:v>
                </c:pt>
                <c:pt idx="8">
                  <c:v>72.5467649558001</c:v>
                </c:pt>
                <c:pt idx="9">
                  <c:v>67.5467649558001</c:v>
                </c:pt>
                <c:pt idx="10">
                  <c:v>61.5467649558001</c:v>
                </c:pt>
                <c:pt idx="11">
                  <c:v>49.5467649558001</c:v>
                </c:pt>
                <c:pt idx="12">
                  <c:v>35.5467649558001</c:v>
                </c:pt>
                <c:pt idx="13">
                  <c:v>60.5467649558001</c:v>
                </c:pt>
                <c:pt idx="14">
                  <c:v>67.5467649558001</c:v>
                </c:pt>
                <c:pt idx="15">
                  <c:v>82.5467649558001</c:v>
                </c:pt>
                <c:pt idx="16">
                  <c:v>97.5467649558001</c:v>
                </c:pt>
              </c:numCache>
            </c:numRef>
          </c:xVal>
          <c:yVal>
            <c:numRef>
              <c:f>Trajecto!$B$179:$B$195</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D-2D93-4A70-848A-B241BE71CA10}"/>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97.5467649558001</c:v>
                </c:pt>
                <c:pt idx="1">
                  <c:v>114.5467649558001</c:v>
                </c:pt>
                <c:pt idx="2">
                  <c:v>108.5467649558001</c:v>
                </c:pt>
                <c:pt idx="3">
                  <c:v>97.5467649558001</c:v>
                </c:pt>
              </c:numCache>
            </c:numRef>
          </c:xVal>
          <c:yVal>
            <c:numRef>
              <c:f>Trajecto!$B$196:$B$199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E-2D93-4A70-848A-B241BE71CA10}"/>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97.5467649558001</c:v>
                </c:pt>
                <c:pt idx="1">
                  <c:v>80.5467649558001</c:v>
                </c:pt>
                <c:pt idx="2">
                  <c:v>86.5467649558001</c:v>
                </c:pt>
                <c:pt idx="3">
                  <c:v>97.5467649558001</c:v>
                </c:pt>
              </c:numCache>
            </c:numRef>
          </c:xVal>
          <c:yVal>
            <c:numRef>
              <c:f>Trajecto!$B$196:$B$199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F-2D93-4A70-848A-B241BE71CA10}"/>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{6CEB64CC-2ED5-47C0-AA42-7DF9F91CA64F}</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2D93-4A70-848A-B241BE71CA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114.70655533738721</c:v>
                </c:pt>
                <c:pt idx="1">
                  <c:v>114.70655533738721</c:v>
                </c:pt>
                <c:pt idx="2">
                  <c:v>114.70655533738721</c:v>
                </c:pt>
                <c:pt idx="3">
                  <c:v>121.52074271793403</c:v>
                </c:pt>
                <c:pt idx="4">
                  <c:v>114.70655533738721</c:v>
                </c:pt>
                <c:pt idx="5">
                  <c:v>107.8923679568404</c:v>
                </c:pt>
                <c:pt idx="6">
                  <c:v>114.70655533738721</c:v>
                </c:pt>
              </c:numCache>
            </c:numRef>
          </c:xVal>
          <c:yVal>
            <c:numRef>
              <c:f>Trajecto!$C$121:$C$127</c:f>
              <c:numCache>
                <c:formatCode>0</c:formatCode>
                <c:ptCount val="7"/>
                <c:pt idx="0">
                  <c:v>272.56749522187266</c:v>
                </c:pt>
                <c:pt idx="1">
                  <c:v>136.28374761093633</c:v>
                </c:pt>
                <c:pt idx="2">
                  <c:v>0</c:v>
                </c:pt>
                <c:pt idx="3">
                  <c:v>13.628374761093633</c:v>
                </c:pt>
                <c:pt idx="4">
                  <c:v>0</c:v>
                </c:pt>
                <c:pt idx="5">
                  <c:v>13.628374761093633</c:v>
                </c:pt>
                <c:pt idx="6" formatCode="General">
                  <c:v>0</c:v>
                </c:pt>
              </c:numCache>
            </c:numRef>
          </c:yVal>
          <c:smooth val="0"/>
          <c:extLst>
            <c:ext xmlns:c16="http://schemas.microsoft.com/office/drawing/2014/chart" uri="{C3380CC4-5D6E-409C-BE32-E72D297353CC}">
              <c16:uniqueId val="{00000011-2D93-4A70-848A-B241BE71CA10}"/>
            </c:ext>
          </c:extLst>
        </c:ser>
        <c:dLbls>
          <c:showLegendKey val="0"/>
          <c:showVal val="0"/>
          <c:showCatName val="0"/>
          <c:showSerName val="0"/>
          <c:showPercent val="0"/>
          <c:showBubbleSize val="0"/>
        </c:dLbls>
        <c:axId val="679017424"/>
        <c:axId val="1"/>
      </c:scatterChart>
      <c:valAx>
        <c:axId val="6790174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14650441425"/>
              <c:y val="0.84829688858552121"/>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181818181818E-2"/>
              <c:y val="6.8111455108359129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6790174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701662292208"/>
          <c:y val="3.7151702786377708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65"/>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281.43877743120714</c:v>
                </c:pt>
              </c:numCache>
            </c:numRef>
          </c:yVal>
          <c:smooth val="0"/>
          <c:extLst>
            <c:ext xmlns:c16="http://schemas.microsoft.com/office/drawing/2014/chart" uri="{C3380CC4-5D6E-409C-BE32-E72D297353CC}">
              <c16:uniqueId val="{00000000-E96A-45DC-8C10-0DCBDEA9B00D}"/>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271.20637985814369</c:v>
                </c:pt>
                <c:pt idx="272">
                  <c:v>269.74922688428325</c:v>
                </c:pt>
                <c:pt idx="273">
                  <c:v>268.19626859910807</c:v>
                </c:pt>
                <c:pt idx="274">
                  <c:v>266.54775081693504</c:v>
                </c:pt>
                <c:pt idx="275">
                  <c:v>264.80393292506653</c:v>
                </c:pt>
                <c:pt idx="276">
                  <c:v>262.96508789968931</c:v>
                </c:pt>
                <c:pt idx="277">
                  <c:v>261.03150228669551</c:v>
                </c:pt>
                <c:pt idx="278">
                  <c:v>259.00347615272733</c:v>
                </c:pt>
                <c:pt idx="279">
                  <c:v>256.88132301076087</c:v>
                </c:pt>
                <c:pt idx="280">
                  <c:v>254.6653697237478</c:v>
                </c:pt>
                <c:pt idx="281">
                  <c:v>252.35595638919114</c:v>
                </c:pt>
                <c:pt idx="282">
                  <c:v>249.95343620701888</c:v>
                </c:pt>
                <c:pt idx="283">
                  <c:v>247.45817533270966</c:v>
                </c:pt>
                <c:pt idx="284">
                  <c:v>244.87055271729773</c:v>
                </c:pt>
                <c:pt idx="285">
                  <c:v>242.19095993562416</c:v>
                </c:pt>
                <c:pt idx="286">
                  <c:v>239.41980100399337</c:v>
                </c:pt>
                <c:pt idx="287">
                  <c:v>236.5574921882274</c:v>
                </c:pt>
                <c:pt idx="288">
                  <c:v>233.60446180297765</c:v>
                </c:pt>
                <c:pt idx="289">
                  <c:v>230.56115000304678</c:v>
                </c:pt>
                <c:pt idx="290">
                  <c:v>227.4280085673868</c:v>
                </c:pt>
                <c:pt idx="291">
                  <c:v>224.20550067637046</c:v>
                </c:pt>
                <c:pt idx="292">
                  <c:v>220.894100682876</c:v>
                </c:pt>
                <c:pt idx="293">
                  <c:v>217.49429387767935</c:v>
                </c:pt>
                <c:pt idx="294">
                  <c:v>214.00657624961065</c:v>
                </c:pt>
                <c:pt idx="295">
                  <c:v>210.43145424089968</c:v>
                </c:pt>
                <c:pt idx="296">
                  <c:v>206.76944449811074</c:v>
                </c:pt>
                <c:pt idx="297">
                  <c:v>203.02107361904396</c:v>
                </c:pt>
                <c:pt idx="298">
                  <c:v>199.18687789596376</c:v>
                </c:pt>
                <c:pt idx="299">
                  <c:v>195.26740305549816</c:v>
                </c:pt>
                <c:pt idx="300">
                  <c:v>191.26320399554029</c:v>
                </c:pt>
                <c:pt idx="301">
                  <c:v>187.17484451947126</c:v>
                </c:pt>
                <c:pt idx="302">
                  <c:v>183.00289706801351</c:v>
                </c:pt>
                <c:pt idx="303">
                  <c:v>178.74794244901446</c:v>
                </c:pt>
                <c:pt idx="304">
                  <c:v>174.41056956545168</c:v>
                </c:pt>
                <c:pt idx="305">
                  <c:v>169.99137514194342</c:v>
                </c:pt>
                <c:pt idx="306">
                  <c:v>165.49096345004054</c:v>
                </c:pt>
                <c:pt idx="307">
                  <c:v>160.90994603256934</c:v>
                </c:pt>
                <c:pt idx="308">
                  <c:v>156.24894142728803</c:v>
                </c:pt>
                <c:pt idx="309">
                  <c:v>151.50857489011298</c:v>
                </c:pt>
                <c:pt idx="310">
                  <c:v>146.68947811816463</c:v>
                </c:pt>
                <c:pt idx="311">
                  <c:v>141.79228897287683</c:v>
                </c:pt>
                <c:pt idx="312">
                  <c:v>136.81765120340674</c:v>
                </c:pt>
                <c:pt idx="313">
                  <c:v>131.76621417057666</c:v>
                </c:pt>
                <c:pt idx="314">
                  <c:v>126.63863257157261</c:v>
                </c:pt>
                <c:pt idx="315">
                  <c:v>121.43556616561844</c:v>
                </c:pt>
                <c:pt idx="316">
                  <c:v>116.15767950083752</c:v>
                </c:pt>
                <c:pt idx="317">
                  <c:v>110.80564164250836</c:v>
                </c:pt>
                <c:pt idx="318">
                  <c:v>105.38012590291351</c:v>
                </c:pt>
                <c:pt idx="319">
                  <c:v>99.88180957297476</c:v>
                </c:pt>
                <c:pt idx="320">
                  <c:v>94.311373655861502</c:v>
                </c:pt>
                <c:pt idx="321">
                  <c:v>88.669502602751919</c:v>
                </c:pt>
                <c:pt idx="322">
                  <c:v>82.956884050920578</c:v>
                </c:pt>
                <c:pt idx="323">
                  <c:v>77.174208564319102</c:v>
                </c:pt>
                <c:pt idx="324">
                  <c:v>71.32216937680991</c:v>
                </c:pt>
                <c:pt idx="325">
                  <c:v>65.401462138206242</c:v>
                </c:pt>
                <c:pt idx="326">
                  <c:v>59.412784663265199</c:v>
                </c:pt>
                <c:pt idx="327">
                  <c:v>53.356836683773444</c:v>
                </c:pt>
                <c:pt idx="328">
                  <c:v>47.23431960385863</c:v>
                </c:pt>
                <c:pt idx="329">
                  <c:v>41.045936258652951</c:v>
                </c:pt>
                <c:pt idx="330">
                  <c:v>34.792390676428305</c:v>
                </c:pt>
                <c:pt idx="331">
                  <c:v>28.474387844316006</c:v>
                </c:pt>
                <c:pt idx="332">
                  <c:v>22.092633477717278</c:v>
                </c:pt>
                <c:pt idx="333">
                  <c:v>15.647833793504127</c:v>
                </c:pt>
                <c:pt idx="334">
                  <c:v>9.1406952871036502</c:v>
                </c:pt>
                <c:pt idx="335">
                  <c:v>2.5719245135523625</c:v>
                </c:pt>
                <c:pt idx="336">
                  <c:v>-4.0577721273993133</c:v>
                </c:pt>
                <c:pt idx="337">
                  <c:v>-4.0644321403402088</c:v>
                </c:pt>
                <c:pt idx="338">
                  <c:v>-4.0710922131476881</c:v>
                </c:pt>
                <c:pt idx="339">
                  <c:v>-4.0777523458210494</c:v>
                </c:pt>
                <c:pt idx="340">
                  <c:v>-4.0844125383595919</c:v>
                </c:pt>
                <c:pt idx="341">
                  <c:v>-4.0910727907626132</c:v>
                </c:pt>
                <c:pt idx="342">
                  <c:v>-4.0977331030294124</c:v>
                </c:pt>
                <c:pt idx="343">
                  <c:v>-4.1043934751592879</c:v>
                </c:pt>
                <c:pt idx="344">
                  <c:v>-4.111053907151538</c:v>
                </c:pt>
                <c:pt idx="345">
                  <c:v>-4.1177143990054619</c:v>
                </c:pt>
                <c:pt idx="346">
                  <c:v>-4.124374950720358</c:v>
                </c:pt>
                <c:pt idx="347">
                  <c:v>-4.1310355622955237</c:v>
                </c:pt>
                <c:pt idx="348">
                  <c:v>-4.1376962337302592</c:v>
                </c:pt>
                <c:pt idx="349">
                  <c:v>-4.1443569650238619</c:v>
                </c:pt>
                <c:pt idx="350">
                  <c:v>-4.1510177561756301</c:v>
                </c:pt>
                <c:pt idx="351">
                  <c:v>-4.157678607184863</c:v>
                </c:pt>
                <c:pt idx="352">
                  <c:v>-4.1643395180508591</c:v>
                </c:pt>
                <c:pt idx="353">
                  <c:v>-4.1710004887729166</c:v>
                </c:pt>
                <c:pt idx="354">
                  <c:v>-4.1776615193503348</c:v>
                </c:pt>
                <c:pt idx="355">
                  <c:v>-4.1843226097824111</c:v>
                </c:pt>
                <c:pt idx="356">
                  <c:v>-4.1909837600684448</c:v>
                </c:pt>
                <c:pt idx="357">
                  <c:v>-4.1976449702077341</c:v>
                </c:pt>
                <c:pt idx="358">
                  <c:v>-4.2043062401995774</c:v>
                </c:pt>
                <c:pt idx="359">
                  <c:v>-4.210967570043274</c:v>
                </c:pt>
                <c:pt idx="360">
                  <c:v>-4.2176289597381222</c:v>
                </c:pt>
                <c:pt idx="361">
                  <c:v>-4.2242904092834195</c:v>
                </c:pt>
                <c:pt idx="362">
                  <c:v>-4.2309519186784659</c:v>
                </c:pt>
                <c:pt idx="363">
                  <c:v>-4.2376134879225589</c:v>
                </c:pt>
                <c:pt idx="364">
                  <c:v>-4.2442751170149977</c:v>
                </c:pt>
                <c:pt idx="365">
                  <c:v>-4.2509368059550798</c:v>
                </c:pt>
                <c:pt idx="366">
                  <c:v>-4.2575985547421045</c:v>
                </c:pt>
                <c:pt idx="367">
                  <c:v>-4.2642603633753708</c:v>
                </c:pt>
                <c:pt idx="368">
                  <c:v>-4.2709222318541764</c:v>
                </c:pt>
                <c:pt idx="369">
                  <c:v>-4.2775841601778204</c:v>
                </c:pt>
                <c:pt idx="370">
                  <c:v>-4.2842461483456011</c:v>
                </c:pt>
                <c:pt idx="371">
                  <c:v>-4.290908196356817</c:v>
                </c:pt>
                <c:pt idx="372">
                  <c:v>-4.2975703042107662</c:v>
                </c:pt>
                <c:pt idx="373">
                  <c:v>-4.3042324719067482</c:v>
                </c:pt>
                <c:pt idx="374">
                  <c:v>-4.3108946994440611</c:v>
                </c:pt>
                <c:pt idx="375">
                  <c:v>-4.3175569868220034</c:v>
                </c:pt>
                <c:pt idx="376">
                  <c:v>-4.3242193340398734</c:v>
                </c:pt>
                <c:pt idx="377">
                  <c:v>-4.3308817410969702</c:v>
                </c:pt>
                <c:pt idx="378">
                  <c:v>-4.3375442079925923</c:v>
                </c:pt>
                <c:pt idx="379">
                  <c:v>-4.344206734726038</c:v>
                </c:pt>
                <c:pt idx="380">
                  <c:v>-4.3508693212966056</c:v>
                </c:pt>
                <c:pt idx="381">
                  <c:v>-4.3575319677035935</c:v>
                </c:pt>
                <c:pt idx="382">
                  <c:v>-4.3641946739463009</c:v>
                </c:pt>
                <c:pt idx="383">
                  <c:v>-4.3708574400240261</c:v>
                </c:pt>
                <c:pt idx="384">
                  <c:v>-4.3775202659360675</c:v>
                </c:pt>
                <c:pt idx="385">
                  <c:v>-4.3841831516817242</c:v>
                </c:pt>
                <c:pt idx="386">
                  <c:v>-4.3908460972602947</c:v>
                </c:pt>
                <c:pt idx="387">
                  <c:v>-4.3975091026710773</c:v>
                </c:pt>
                <c:pt idx="388">
                  <c:v>-4.4041721679133703</c:v>
                </c:pt>
                <c:pt idx="389">
                  <c:v>-4.410835292986472</c:v>
                </c:pt>
                <c:pt idx="390">
                  <c:v>-4.4174984778896818</c:v>
                </c:pt>
                <c:pt idx="391">
                  <c:v>-4.4241617226222978</c:v>
                </c:pt>
                <c:pt idx="392">
                  <c:v>-4.4308250271836185</c:v>
                </c:pt>
                <c:pt idx="393">
                  <c:v>-4.4374883915729422</c:v>
                </c:pt>
                <c:pt idx="394">
                  <c:v>-4.4441518157895681</c:v>
                </c:pt>
                <c:pt idx="395">
                  <c:v>-4.4508152998327946</c:v>
                </c:pt>
                <c:pt idx="396">
                  <c:v>-4.4574788437019199</c:v>
                </c:pt>
                <c:pt idx="397">
                  <c:v>-4.4641424473962426</c:v>
                </c:pt>
                <c:pt idx="398">
                  <c:v>-4.4708061109150616</c:v>
                </c:pt>
                <c:pt idx="399">
                  <c:v>-4.4774698342576755</c:v>
                </c:pt>
                <c:pt idx="400">
                  <c:v>-4.4841336174233826</c:v>
                </c:pt>
                <c:pt idx="401">
                  <c:v>-4.490797460411482</c:v>
                </c:pt>
                <c:pt idx="402">
                  <c:v>-4.4974613632212712</c:v>
                </c:pt>
                <c:pt idx="403">
                  <c:v>-4.5041253258520495</c:v>
                </c:pt>
                <c:pt idx="404">
                  <c:v>-4.5107893483031152</c:v>
                </c:pt>
                <c:pt idx="405">
                  <c:v>-4.5174534305737675</c:v>
                </c:pt>
                <c:pt idx="406">
                  <c:v>-4.5241175726633047</c:v>
                </c:pt>
                <c:pt idx="407">
                  <c:v>-4.5307817745710244</c:v>
                </c:pt>
                <c:pt idx="408">
                  <c:v>-4.5374460362962266</c:v>
                </c:pt>
                <c:pt idx="409">
                  <c:v>-4.5441103578382087</c:v>
                </c:pt>
                <c:pt idx="410">
                  <c:v>-4.5507747391962701</c:v>
                </c:pt>
                <c:pt idx="411">
                  <c:v>-4.557439180369709</c:v>
                </c:pt>
                <c:pt idx="412">
                  <c:v>-4.5641036813578237</c:v>
                </c:pt>
                <c:pt idx="413">
                  <c:v>-4.5707682421599136</c:v>
                </c:pt>
                <c:pt idx="414">
                  <c:v>-4.5774328627752761</c:v>
                </c:pt>
                <c:pt idx="415">
                  <c:v>-4.5840975432032103</c:v>
                </c:pt>
                <c:pt idx="416">
                  <c:v>-4.5907622834430155</c:v>
                </c:pt>
                <c:pt idx="417">
                  <c:v>-4.5974270834939892</c:v>
                </c:pt>
                <c:pt idx="418">
                  <c:v>-4.6040919433554306</c:v>
                </c:pt>
                <c:pt idx="419">
                  <c:v>-4.610756863026638</c:v>
                </c:pt>
                <c:pt idx="420">
                  <c:v>-4.6174218425069107</c:v>
                </c:pt>
                <c:pt idx="421">
                  <c:v>-4.6240868817955461</c:v>
                </c:pt>
                <c:pt idx="422">
                  <c:v>-4.6307519808918434</c:v>
                </c:pt>
                <c:pt idx="423">
                  <c:v>-4.637417139795101</c:v>
                </c:pt>
                <c:pt idx="424">
                  <c:v>-4.644082358504618</c:v>
                </c:pt>
                <c:pt idx="425">
                  <c:v>-4.650747637019693</c:v>
                </c:pt>
                <c:pt idx="426">
                  <c:v>-4.6574129753396241</c:v>
                </c:pt>
                <c:pt idx="427">
                  <c:v>-4.6640783734637097</c:v>
                </c:pt>
                <c:pt idx="428">
                  <c:v>-4.6707438313912482</c:v>
                </c:pt>
                <c:pt idx="429">
                  <c:v>-4.6774093491215387</c:v>
                </c:pt>
                <c:pt idx="430">
                  <c:v>-4.6840749266538797</c:v>
                </c:pt>
                <c:pt idx="431">
                  <c:v>-4.6907405639875703</c:v>
                </c:pt>
                <c:pt idx="432">
                  <c:v>-4.6974062611219081</c:v>
                </c:pt>
                <c:pt idx="433">
                  <c:v>-4.7040720180561921</c:v>
                </c:pt>
                <c:pt idx="434">
                  <c:v>-4.7107378347897217</c:v>
                </c:pt>
                <c:pt idx="435">
                  <c:v>-4.7174037113217944</c:v>
                </c:pt>
                <c:pt idx="436">
                  <c:v>-4.7240696476517092</c:v>
                </c:pt>
                <c:pt idx="437">
                  <c:v>-4.7307356437787647</c:v>
                </c:pt>
                <c:pt idx="438">
                  <c:v>-4.737401699702259</c:v>
                </c:pt>
                <c:pt idx="439">
                  <c:v>-4.7440678154214915</c:v>
                </c:pt>
                <c:pt idx="440">
                  <c:v>-4.7507339909357604</c:v>
                </c:pt>
                <c:pt idx="441">
                  <c:v>-4.7574002262443642</c:v>
                </c:pt>
                <c:pt idx="442">
                  <c:v>-4.764066521346602</c:v>
                </c:pt>
                <c:pt idx="443">
                  <c:v>-4.7707328762417713</c:v>
                </c:pt>
                <c:pt idx="444">
                  <c:v>-4.7773992909291714</c:v>
                </c:pt>
                <c:pt idx="445">
                  <c:v>-4.7840657654081014</c:v>
                </c:pt>
                <c:pt idx="446">
                  <c:v>-4.7907322996778587</c:v>
                </c:pt>
                <c:pt idx="447">
                  <c:v>-4.7973988937377428</c:v>
                </c:pt>
                <c:pt idx="448">
                  <c:v>-4.8040655475870526</c:v>
                </c:pt>
                <c:pt idx="449">
                  <c:v>-4.8107322612250858</c:v>
                </c:pt>
                <c:pt idx="450">
                  <c:v>-4.8173990346511415</c:v>
                </c:pt>
                <c:pt idx="451">
                  <c:v>-4.8240658678645181</c:v>
                </c:pt>
                <c:pt idx="452">
                  <c:v>-4.8307327608645139</c:v>
                </c:pt>
                <c:pt idx="453">
                  <c:v>-4.8373997136504281</c:v>
                </c:pt>
                <c:pt idx="454">
                  <c:v>-4.8440667262215591</c:v>
                </c:pt>
                <c:pt idx="455">
                  <c:v>-4.8507337985772052</c:v>
                </c:pt>
                <c:pt idx="456">
                  <c:v>-4.8574009307166657</c:v>
                </c:pt>
                <c:pt idx="457">
                  <c:v>-4.8640681226392388</c:v>
                </c:pt>
                <c:pt idx="458">
                  <c:v>-4.870735374344223</c:v>
                </c:pt>
                <c:pt idx="459">
                  <c:v>-4.8774026858309165</c:v>
                </c:pt>
                <c:pt idx="460">
                  <c:v>-4.8840700570986186</c:v>
                </c:pt>
                <c:pt idx="461">
                  <c:v>-4.8907374881466277</c:v>
                </c:pt>
                <c:pt idx="462">
                  <c:v>-4.8974049789742429</c:v>
                </c:pt>
                <c:pt idx="463">
                  <c:v>-4.9040725295807617</c:v>
                </c:pt>
                <c:pt idx="464">
                  <c:v>-4.9107401399654833</c:v>
                </c:pt>
                <c:pt idx="465">
                  <c:v>-4.917407810127707</c:v>
                </c:pt>
                <c:pt idx="466">
                  <c:v>-4.9240755400667302</c:v>
                </c:pt>
                <c:pt idx="467">
                  <c:v>-4.9307433297818521</c:v>
                </c:pt>
                <c:pt idx="468">
                  <c:v>-4.9374111792723712</c:v>
                </c:pt>
                <c:pt idx="469">
                  <c:v>-4.9440790885375865</c:v>
                </c:pt>
                <c:pt idx="470">
                  <c:v>-4.9507470575767965</c:v>
                </c:pt>
                <c:pt idx="471">
                  <c:v>-4.9574150863892994</c:v>
                </c:pt>
                <c:pt idx="472">
                  <c:v>-4.9640831749743937</c:v>
                </c:pt>
                <c:pt idx="473">
                  <c:v>-4.9707513233313785</c:v>
                </c:pt>
                <c:pt idx="474">
                  <c:v>-4.9774195314595522</c:v>
                </c:pt>
                <c:pt idx="475">
                  <c:v>-4.984087799358214</c:v>
                </c:pt>
                <c:pt idx="476">
                  <c:v>-4.9907561270266614</c:v>
                </c:pt>
                <c:pt idx="477">
                  <c:v>-4.9974245144641936</c:v>
                </c:pt>
                <c:pt idx="478">
                  <c:v>-5.0040929616701098</c:v>
                </c:pt>
                <c:pt idx="479">
                  <c:v>-5.0107614686437074</c:v>
                </c:pt>
                <c:pt idx="480">
                  <c:v>-5.0174300353842858</c:v>
                </c:pt>
                <c:pt idx="481">
                  <c:v>-5.0240986618911441</c:v>
                </c:pt>
                <c:pt idx="482">
                  <c:v>-5.0307673481635797</c:v>
                </c:pt>
                <c:pt idx="483">
                  <c:v>-5.037436094200892</c:v>
                </c:pt>
                <c:pt idx="484">
                  <c:v>-5.0441049000023801</c:v>
                </c:pt>
                <c:pt idx="485">
                  <c:v>-5.0507737655673415</c:v>
                </c:pt>
                <c:pt idx="486">
                  <c:v>-5.0574426908950754</c:v>
                </c:pt>
                <c:pt idx="487">
                  <c:v>-5.0641116759848801</c:v>
                </c:pt>
                <c:pt idx="488">
                  <c:v>-5.0707807208360549</c:v>
                </c:pt>
                <c:pt idx="489">
                  <c:v>-5.0774498254478981</c:v>
                </c:pt>
                <c:pt idx="490">
                  <c:v>-5.0841189898197081</c:v>
                </c:pt>
                <c:pt idx="491">
                  <c:v>-5.0907882139507832</c:v>
                </c:pt>
                <c:pt idx="492">
                  <c:v>-5.0974574978404226</c:v>
                </c:pt>
                <c:pt idx="493">
                  <c:v>-5.1041268414879246</c:v>
                </c:pt>
                <c:pt idx="494">
                  <c:v>-5.1107962448925885</c:v>
                </c:pt>
                <c:pt idx="495">
                  <c:v>-5.1174657080537127</c:v>
                </c:pt>
                <c:pt idx="496">
                  <c:v>-5.1241352309705954</c:v>
                </c:pt>
                <c:pt idx="497">
                  <c:v>-5.130804813642535</c:v>
                </c:pt>
                <c:pt idx="498">
                  <c:v>-5.1374744560688308</c:v>
                </c:pt>
                <c:pt idx="499">
                  <c:v>-5.144144158248781</c:v>
                </c:pt>
                <c:pt idx="500">
                  <c:v>-5.1508139201816849</c:v>
                </c:pt>
                <c:pt idx="501">
                  <c:v>-5.1574837418668409</c:v>
                </c:pt>
                <c:pt idx="502">
                  <c:v>-5.1641536233035472</c:v>
                </c:pt>
                <c:pt idx="503">
                  <c:v>-5.1708235644911031</c:v>
                </c:pt>
                <c:pt idx="504">
                  <c:v>-5.1774935654288061</c:v>
                </c:pt>
                <c:pt idx="505">
                  <c:v>-5.1841636261159563</c:v>
                </c:pt>
                <c:pt idx="506">
                  <c:v>-5.190833746551851</c:v>
                </c:pt>
                <c:pt idx="507">
                  <c:v>-5.1975039267357896</c:v>
                </c:pt>
                <c:pt idx="508">
                  <c:v>-5.2041741666670704</c:v>
                </c:pt>
                <c:pt idx="509">
                  <c:v>-5.2108444663449927</c:v>
                </c:pt>
                <c:pt idx="510">
                  <c:v>-5.2175148257688546</c:v>
                </c:pt>
                <c:pt idx="511">
                  <c:v>-5.2241852449379547</c:v>
                </c:pt>
                <c:pt idx="512">
                  <c:v>-5.2308557238515911</c:v>
                </c:pt>
                <c:pt idx="513">
                  <c:v>-5.2375262625090633</c:v>
                </c:pt>
                <c:pt idx="514">
                  <c:v>-5.2441968609096703</c:v>
                </c:pt>
                <c:pt idx="515">
                  <c:v>-5.2508675190527097</c:v>
                </c:pt>
                <c:pt idx="516">
                  <c:v>-5.2575382369374806</c:v>
                </c:pt>
                <c:pt idx="517">
                  <c:v>-5.2642090145632814</c:v>
                </c:pt>
                <c:pt idx="518">
                  <c:v>-5.2708798519294113</c:v>
                </c:pt>
                <c:pt idx="519">
                  <c:v>-5.2775507490351687</c:v>
                </c:pt>
                <c:pt idx="520">
                  <c:v>-5.284221705879852</c:v>
                </c:pt>
                <c:pt idx="521">
                  <c:v>-5.2908927224627602</c:v>
                </c:pt>
                <c:pt idx="522">
                  <c:v>-5.2975637987831918</c:v>
                </c:pt>
                <c:pt idx="523">
                  <c:v>-5.3042349348404461</c:v>
                </c:pt>
                <c:pt idx="524">
                  <c:v>-5.3109061306338203</c:v>
                </c:pt>
                <c:pt idx="525">
                  <c:v>-5.3175773861626148</c:v>
                </c:pt>
                <c:pt idx="526">
                  <c:v>-5.3242487014261268</c:v>
                </c:pt>
                <c:pt idx="527">
                  <c:v>-5.3309200764236557</c:v>
                </c:pt>
                <c:pt idx="528">
                  <c:v>-5.3375915111544998</c:v>
                </c:pt>
                <c:pt idx="529">
                  <c:v>-5.3442630056179583</c:v>
                </c:pt>
                <c:pt idx="530">
                  <c:v>-5.3509345598133295</c:v>
                </c:pt>
                <c:pt idx="531">
                  <c:v>-5.3576061737399119</c:v>
                </c:pt>
                <c:pt idx="532">
                  <c:v>-5.3642778473970036</c:v>
                </c:pt>
                <c:pt idx="533">
                  <c:v>-5.3709495807839041</c:v>
                </c:pt>
                <c:pt idx="534">
                  <c:v>-5.3776213738999123</c:v>
                </c:pt>
                <c:pt idx="535">
                  <c:v>-5.3842932267443269</c:v>
                </c:pt>
                <c:pt idx="536">
                  <c:v>-5.3909651393164459</c:v>
                </c:pt>
                <c:pt idx="537">
                  <c:v>-5.3976371116155679</c:v>
                </c:pt>
                <c:pt idx="538">
                  <c:v>-5.404309143640992</c:v>
                </c:pt>
                <c:pt idx="539">
                  <c:v>-5.4109812353920166</c:v>
                </c:pt>
                <c:pt idx="540">
                  <c:v>-5.4176533868679408</c:v>
                </c:pt>
                <c:pt idx="541">
                  <c:v>-5.4243255980680622</c:v>
                </c:pt>
                <c:pt idx="542">
                  <c:v>-5.4309978689916809</c:v>
                </c:pt>
                <c:pt idx="543">
                  <c:v>-5.4376701996380943</c:v>
                </c:pt>
                <c:pt idx="544">
                  <c:v>-5.4443425900066016</c:v>
                </c:pt>
                <c:pt idx="545">
                  <c:v>-5.4510150400965021</c:v>
                </c:pt>
                <c:pt idx="546">
                  <c:v>-5.457687549907094</c:v>
                </c:pt>
                <c:pt idx="547">
                  <c:v>-5.4643601194376759</c:v>
                </c:pt>
                <c:pt idx="548">
                  <c:v>-5.4710327486875459</c:v>
                </c:pt>
                <c:pt idx="549">
                  <c:v>-5.4777054376560033</c:v>
                </c:pt>
                <c:pt idx="550">
                  <c:v>-5.4843781863423464</c:v>
                </c:pt>
                <c:pt idx="551">
                  <c:v>-5.4910509947458745</c:v>
                </c:pt>
                <c:pt idx="552">
                  <c:v>-5.497723862865886</c:v>
                </c:pt>
                <c:pt idx="553">
                  <c:v>-5.50439679070168</c:v>
                </c:pt>
                <c:pt idx="554">
                  <c:v>-5.511069778252554</c:v>
                </c:pt>
                <c:pt idx="555">
                  <c:v>-5.5177428255178071</c:v>
                </c:pt>
                <c:pt idx="556">
                  <c:v>-5.5244159324967388</c:v>
                </c:pt>
                <c:pt idx="557">
                  <c:v>-5.5310890991886472</c:v>
                </c:pt>
                <c:pt idx="558">
                  <c:v>-5.5377623255928308</c:v>
                </c:pt>
                <c:pt idx="559">
                  <c:v>-5.5444356117085887</c:v>
                </c:pt>
                <c:pt idx="560">
                  <c:v>-5.5511089575352193</c:v>
                </c:pt>
                <c:pt idx="561">
                  <c:v>-5.5577823630720209</c:v>
                </c:pt>
                <c:pt idx="562">
                  <c:v>-5.5644558283182928</c:v>
                </c:pt>
                <c:pt idx="563">
                  <c:v>-5.5711293532733341</c:v>
                </c:pt>
                <c:pt idx="564">
                  <c:v>-5.5778029379364424</c:v>
                </c:pt>
                <c:pt idx="565">
                  <c:v>-5.5844765823069169</c:v>
                </c:pt>
                <c:pt idx="566">
                  <c:v>-5.5911502863840568</c:v>
                </c:pt>
                <c:pt idx="567">
                  <c:v>-5.5978240501671594</c:v>
                </c:pt>
                <c:pt idx="568">
                  <c:v>-5.6044978736555242</c:v>
                </c:pt>
                <c:pt idx="569">
                  <c:v>-5.6111717568484503</c:v>
                </c:pt>
                <c:pt idx="570">
                  <c:v>-5.617845699745236</c:v>
                </c:pt>
                <c:pt idx="571">
                  <c:v>-5.6245197023451796</c:v>
                </c:pt>
                <c:pt idx="572">
                  <c:v>-5.6311937646475805</c:v>
                </c:pt>
                <c:pt idx="573">
                  <c:v>-5.6378678866517369</c:v>
                </c:pt>
                <c:pt idx="574">
                  <c:v>-5.6445420683569481</c:v>
                </c:pt>
                <c:pt idx="575">
                  <c:v>-5.6512163097625123</c:v>
                </c:pt>
                <c:pt idx="576">
                  <c:v>-5.657890610867728</c:v>
                </c:pt>
                <c:pt idx="577">
                  <c:v>-5.6645649716718944</c:v>
                </c:pt>
                <c:pt idx="578">
                  <c:v>-5.6712393921743098</c:v>
                </c:pt>
                <c:pt idx="579">
                  <c:v>-5.6779138723742726</c:v>
                </c:pt>
                <c:pt idx="580">
                  <c:v>-5.6845884122710819</c:v>
                </c:pt>
                <c:pt idx="581">
                  <c:v>-5.691263011864037</c:v>
                </c:pt>
                <c:pt idx="582">
                  <c:v>-5.6979376711524354</c:v>
                </c:pt>
                <c:pt idx="583">
                  <c:v>-5.7046123901355772</c:v>
                </c:pt>
                <c:pt idx="584">
                  <c:v>-5.7112871688127598</c:v>
                </c:pt>
                <c:pt idx="585">
                  <c:v>-5.7179620071832824</c:v>
                </c:pt>
                <c:pt idx="586">
                  <c:v>-5.7246369052464434</c:v>
                </c:pt>
                <c:pt idx="587">
                  <c:v>-5.7313118630015421</c:v>
                </c:pt>
                <c:pt idx="588">
                  <c:v>-5.7379868804478766</c:v>
                </c:pt>
                <c:pt idx="589">
                  <c:v>-5.7446619575847464</c:v>
                </c:pt>
                <c:pt idx="590">
                  <c:v>-5.7513370944114497</c:v>
                </c:pt>
                <c:pt idx="591">
                  <c:v>-5.7580122909272848</c:v>
                </c:pt>
                <c:pt idx="592">
                  <c:v>-5.7646875471315511</c:v>
                </c:pt>
                <c:pt idx="593">
                  <c:v>-5.7713628630235467</c:v>
                </c:pt>
                <c:pt idx="594">
                  <c:v>-5.778038238602571</c:v>
                </c:pt>
                <c:pt idx="595">
                  <c:v>-5.7847136738679223</c:v>
                </c:pt>
                <c:pt idx="596">
                  <c:v>-5.7913891688188999</c:v>
                </c:pt>
                <c:pt idx="597">
                  <c:v>-5.7980647234548011</c:v>
                </c:pt>
                <c:pt idx="598">
                  <c:v>-5.804740337774926</c:v>
                </c:pt>
                <c:pt idx="599">
                  <c:v>-5.8114160117785723</c:v>
                </c:pt>
                <c:pt idx="600">
                  <c:v>-5.8180917454650398</c:v>
                </c:pt>
                <c:pt idx="601">
                  <c:v>-5.8247675388336262</c:v>
                </c:pt>
                <c:pt idx="602">
                  <c:v>-5.8314433918836306</c:v>
                </c:pt>
                <c:pt idx="603">
                  <c:v>-5.8381193046143522</c:v>
                </c:pt>
                <c:pt idx="604">
                  <c:v>-5.8447952770250886</c:v>
                </c:pt>
                <c:pt idx="605">
                  <c:v>-5.8514713091151398</c:v>
                </c:pt>
                <c:pt idx="606">
                  <c:v>-5.8581474008838033</c:v>
                </c:pt>
                <c:pt idx="607">
                  <c:v>-5.8648235523303782</c:v>
                </c:pt>
                <c:pt idx="608">
                  <c:v>-5.8714997634541639</c:v>
                </c:pt>
                <c:pt idx="609">
                  <c:v>-5.8781760342544587</c:v>
                </c:pt>
                <c:pt idx="610">
                  <c:v>-5.8848523647305608</c:v>
                </c:pt>
                <c:pt idx="611">
                  <c:v>-5.8915287548817696</c:v>
                </c:pt>
                <c:pt idx="612">
                  <c:v>-5.8982052047073834</c:v>
                </c:pt>
                <c:pt idx="613">
                  <c:v>-5.9048817142067014</c:v>
                </c:pt>
                <c:pt idx="614">
                  <c:v>-5.9115582833790219</c:v>
                </c:pt>
                <c:pt idx="615">
                  <c:v>-5.9182349122236433</c:v>
                </c:pt>
                <c:pt idx="616">
                  <c:v>-5.9249116007398648</c:v>
                </c:pt>
                <c:pt idx="617">
                  <c:v>-5.9315883489269856</c:v>
                </c:pt>
                <c:pt idx="618">
                  <c:v>-5.9382651567843032</c:v>
                </c:pt>
                <c:pt idx="619">
                  <c:v>-5.9449420243111177</c:v>
                </c:pt>
                <c:pt idx="620">
                  <c:v>-5.9516189515067266</c:v>
                </c:pt>
                <c:pt idx="621">
                  <c:v>-5.958295938370429</c:v>
                </c:pt>
                <c:pt idx="622">
                  <c:v>-5.9649729849015243</c:v>
                </c:pt>
                <c:pt idx="623">
                  <c:v>-5.9716500910993107</c:v>
                </c:pt>
                <c:pt idx="624">
                  <c:v>-5.9783272569630865</c:v>
                </c:pt>
                <c:pt idx="625">
                  <c:v>-5.9850044824921511</c:v>
                </c:pt>
                <c:pt idx="626">
                  <c:v>-5.9916817676858036</c:v>
                </c:pt>
                <c:pt idx="627">
                  <c:v>-5.9983591125433415</c:v>
                </c:pt>
                <c:pt idx="628">
                  <c:v>-6.0050365170640649</c:v>
                </c:pt>
                <c:pt idx="629">
                  <c:v>-6.0117139812472713</c:v>
                </c:pt>
                <c:pt idx="630">
                  <c:v>-6.0183915050922598</c:v>
                </c:pt>
                <c:pt idx="631">
                  <c:v>-6.0250690885983298</c:v>
                </c:pt>
                <c:pt idx="632">
                  <c:v>-6.0317467317647795</c:v>
                </c:pt>
                <c:pt idx="633">
                  <c:v>-6.0384244345909073</c:v>
                </c:pt>
                <c:pt idx="634">
                  <c:v>-6.0451021970760124</c:v>
                </c:pt>
                <c:pt idx="635">
                  <c:v>-6.0517800192193931</c:v>
                </c:pt>
                <c:pt idx="636">
                  <c:v>-6.0584579010203488</c:v>
                </c:pt>
                <c:pt idx="637">
                  <c:v>-6.0651358424781776</c:v>
                </c:pt>
                <c:pt idx="638">
                  <c:v>-6.0718138435921789</c:v>
                </c:pt>
                <c:pt idx="639">
                  <c:v>-6.078491904361651</c:v>
                </c:pt>
                <c:pt idx="640">
                  <c:v>-6.0851700247858931</c:v>
                </c:pt>
                <c:pt idx="641">
                  <c:v>-6.0918482048642035</c:v>
                </c:pt>
                <c:pt idx="642">
                  <c:v>-6.0985264445958807</c:v>
                </c:pt>
                <c:pt idx="643">
                  <c:v>-6.1052047439802237</c:v>
                </c:pt>
                <c:pt idx="644">
                  <c:v>-6.111883103016531</c:v>
                </c:pt>
                <c:pt idx="645">
                  <c:v>-6.1185615217041018</c:v>
                </c:pt>
                <c:pt idx="646">
                  <c:v>-6.1252400000422345</c:v>
                </c:pt>
                <c:pt idx="647">
                  <c:v>-6.1319185380302281</c:v>
                </c:pt>
                <c:pt idx="648">
                  <c:v>-6.1385971356673812</c:v>
                </c:pt>
                <c:pt idx="649">
                  <c:v>-6.1452757929529929</c:v>
                </c:pt>
                <c:pt idx="650">
                  <c:v>-6.1519545098863615</c:v>
                </c:pt>
                <c:pt idx="651">
                  <c:v>-6.1586332864667863</c:v>
                </c:pt>
                <c:pt idx="652">
                  <c:v>-6.1653121226935657</c:v>
                </c:pt>
                <c:pt idx="653">
                  <c:v>-6.1719910185659979</c:v>
                </c:pt>
                <c:pt idx="654">
                  <c:v>-6.1786699740833821</c:v>
                </c:pt>
                <c:pt idx="655">
                  <c:v>-6.1853489892450177</c:v>
                </c:pt>
                <c:pt idx="656">
                  <c:v>-6.192028064050203</c:v>
                </c:pt>
                <c:pt idx="657">
                  <c:v>-6.1987071984982363</c:v>
                </c:pt>
                <c:pt idx="658">
                  <c:v>-6.2053863925884167</c:v>
                </c:pt>
                <c:pt idx="659">
                  <c:v>-6.2120656463200428</c:v>
                </c:pt>
                <c:pt idx="660">
                  <c:v>-6.2187449596924136</c:v>
                </c:pt>
                <c:pt idx="661">
                  <c:v>-6.2254243327048275</c:v>
                </c:pt>
                <c:pt idx="662">
                  <c:v>-6.2321037653565838</c:v>
                </c:pt>
                <c:pt idx="663">
                  <c:v>-6.2387832576469808</c:v>
                </c:pt>
                <c:pt idx="664">
                  <c:v>-6.2454628095753177</c:v>
                </c:pt>
                <c:pt idx="665">
                  <c:v>-6.2521424211408929</c:v>
                </c:pt>
                <c:pt idx="666">
                  <c:v>-6.2588220923430056</c:v>
                </c:pt>
                <c:pt idx="667">
                  <c:v>-6.2655018231809541</c:v>
                </c:pt>
                <c:pt idx="668">
                  <c:v>-6.2721816136540367</c:v>
                </c:pt>
                <c:pt idx="669">
                  <c:v>-6.2788614637615527</c:v>
                </c:pt>
                <c:pt idx="670">
                  <c:v>-6.2855413735028014</c:v>
                </c:pt>
                <c:pt idx="671">
                  <c:v>-6.292221342877081</c:v>
                </c:pt>
                <c:pt idx="672">
                  <c:v>-6.2989013718836899</c:v>
                </c:pt>
                <c:pt idx="673">
                  <c:v>-6.3055814605219274</c:v>
                </c:pt>
                <c:pt idx="674">
                  <c:v>-6.3122616087910925</c:v>
                </c:pt>
                <c:pt idx="675">
                  <c:v>-6.3189418166904838</c:v>
                </c:pt>
                <c:pt idx="676">
                  <c:v>-6.3256220842193995</c:v>
                </c:pt>
                <c:pt idx="677">
                  <c:v>-6.3323024113771389</c:v>
                </c:pt>
                <c:pt idx="678">
                  <c:v>-6.3389827981630003</c:v>
                </c:pt>
                <c:pt idx="679">
                  <c:v>-6.3456632445762828</c:v>
                </c:pt>
                <c:pt idx="680">
                  <c:v>-6.3523437506162859</c:v>
                </c:pt>
                <c:pt idx="681">
                  <c:v>-6.3590243162823068</c:v>
                </c:pt>
                <c:pt idx="682">
                  <c:v>-6.3657049415736457</c:v>
                </c:pt>
                <c:pt idx="683">
                  <c:v>-6.3723856264896011</c:v>
                </c:pt>
                <c:pt idx="684">
                  <c:v>-6.379066371029471</c:v>
                </c:pt>
                <c:pt idx="685">
                  <c:v>-6.385747175192555</c:v>
                </c:pt>
                <c:pt idx="686">
                  <c:v>-6.3924280389781512</c:v>
                </c:pt>
                <c:pt idx="687">
                  <c:v>-6.3991089623855588</c:v>
                </c:pt>
                <c:pt idx="688">
                  <c:v>-6.4057899454140763</c:v>
                </c:pt>
                <c:pt idx="689">
                  <c:v>-6.4124709880630029</c:v>
                </c:pt>
                <c:pt idx="690">
                  <c:v>-6.4191520903316368</c:v>
                </c:pt>
                <c:pt idx="691">
                  <c:v>-6.4258332522192774</c:v>
                </c:pt>
                <c:pt idx="692">
                  <c:v>-6.4325144737252229</c:v>
                </c:pt>
                <c:pt idx="693">
                  <c:v>-6.4391957548487726</c:v>
                </c:pt>
                <c:pt idx="694">
                  <c:v>-6.4458770955892248</c:v>
                </c:pt>
                <c:pt idx="695">
                  <c:v>-6.4525584959458788</c:v>
                </c:pt>
                <c:pt idx="696">
                  <c:v>-6.4592399559180329</c:v>
                </c:pt>
                <c:pt idx="697">
                  <c:v>-6.4659214755049863</c:v>
                </c:pt>
                <c:pt idx="698">
                  <c:v>-6.4726030547060374</c:v>
                </c:pt>
                <c:pt idx="699">
                  <c:v>-6.4792846935204853</c:v>
                </c:pt>
                <c:pt idx="700">
                  <c:v>-6.4859663919476285</c:v>
                </c:pt>
                <c:pt idx="701">
                  <c:v>-6.4926481499867661</c:v>
                </c:pt>
                <c:pt idx="702">
                  <c:v>-6.4993299676371965</c:v>
                </c:pt>
                <c:pt idx="703">
                  <c:v>-6.5060118448982189</c:v>
                </c:pt>
                <c:pt idx="704">
                  <c:v>-6.5126937817691317</c:v>
                </c:pt>
                <c:pt idx="705">
                  <c:v>-6.5193757782492341</c:v>
                </c:pt>
                <c:pt idx="706">
                  <c:v>-6.5260578343378244</c:v>
                </c:pt>
                <c:pt idx="707">
                  <c:v>-6.5327399500342018</c:v>
                </c:pt>
                <c:pt idx="708">
                  <c:v>-6.5394221253376656</c:v>
                </c:pt>
                <c:pt idx="709">
                  <c:v>-6.5461043602475142</c:v>
                </c:pt>
                <c:pt idx="710">
                  <c:v>-6.5527866547630458</c:v>
                </c:pt>
                <c:pt idx="711">
                  <c:v>-6.5594690088835597</c:v>
                </c:pt>
                <c:pt idx="712">
                  <c:v>-6.5661514226083542</c:v>
                </c:pt>
                <c:pt idx="713">
                  <c:v>-6.5728338959367285</c:v>
                </c:pt>
                <c:pt idx="714">
                  <c:v>-6.579516428867981</c:v>
                </c:pt>
                <c:pt idx="715">
                  <c:v>-6.586199021401411</c:v>
                </c:pt>
                <c:pt idx="716">
                  <c:v>-6.5928816735363176</c:v>
                </c:pt>
                <c:pt idx="717">
                  <c:v>-6.5995643852719992</c:v>
                </c:pt>
                <c:pt idx="718">
                  <c:v>-6.6062471566077541</c:v>
                </c:pt>
                <c:pt idx="719">
                  <c:v>-6.6129299875428815</c:v>
                </c:pt>
                <c:pt idx="720">
                  <c:v>-6.6196128780766808</c:v>
                </c:pt>
                <c:pt idx="721">
                  <c:v>-6.6262958282084501</c:v>
                </c:pt>
                <c:pt idx="722">
                  <c:v>-6.6329788379374888</c:v>
                </c:pt>
                <c:pt idx="723">
                  <c:v>-6.6396619072630951</c:v>
                </c:pt>
                <c:pt idx="724">
                  <c:v>-6.6463450361845675</c:v>
                </c:pt>
                <c:pt idx="725">
                  <c:v>-6.653028224701206</c:v>
                </c:pt>
                <c:pt idx="726">
                  <c:v>-6.6597114728123081</c:v>
                </c:pt>
                <c:pt idx="727">
                  <c:v>-6.666394780517173</c:v>
                </c:pt>
                <c:pt idx="728">
                  <c:v>-6.6730781478151</c:v>
                </c:pt>
                <c:pt idx="729">
                  <c:v>-6.6797615747053873</c:v>
                </c:pt>
                <c:pt idx="730">
                  <c:v>-6.6864450611873343</c:v>
                </c:pt>
                <c:pt idx="731">
                  <c:v>-6.6931286072602401</c:v>
                </c:pt>
                <c:pt idx="732">
                  <c:v>-6.6998122129234021</c:v>
                </c:pt>
                <c:pt idx="733">
                  <c:v>-6.7064958781761206</c:v>
                </c:pt>
                <c:pt idx="734">
                  <c:v>-6.7131796030176938</c:v>
                </c:pt>
                <c:pt idx="735">
                  <c:v>-6.7198633874474201</c:v>
                </c:pt>
                <c:pt idx="736">
                  <c:v>-6.7265472314645987</c:v>
                </c:pt>
                <c:pt idx="737">
                  <c:v>-6.7332311350685288</c:v>
                </c:pt>
                <c:pt idx="738">
                  <c:v>-6.7399150982585088</c:v>
                </c:pt>
                <c:pt idx="739">
                  <c:v>-6.7465991210338379</c:v>
                </c:pt>
                <c:pt idx="740">
                  <c:v>-6.7532832033938144</c:v>
                </c:pt>
                <c:pt idx="741">
                  <c:v>-6.7599673453377367</c:v>
                </c:pt>
                <c:pt idx="742">
                  <c:v>-6.7666515468649049</c:v>
                </c:pt>
                <c:pt idx="743">
                  <c:v>-6.7733358079746164</c:v>
                </c:pt>
                <c:pt idx="744">
                  <c:v>-6.7800201286661714</c:v>
                </c:pt>
                <c:pt idx="745">
                  <c:v>-6.7867045089388682</c:v>
                </c:pt>
                <c:pt idx="746">
                  <c:v>-6.7933889487920052</c:v>
                </c:pt>
                <c:pt idx="747">
                  <c:v>-6.8000734482248815</c:v>
                </c:pt>
                <c:pt idx="748">
                  <c:v>-6.8067580072367964</c:v>
                </c:pt>
                <c:pt idx="749">
                  <c:v>-6.8134426258270482</c:v>
                </c:pt>
                <c:pt idx="750">
                  <c:v>-6.8201273039949353</c:v>
                </c:pt>
                <c:pt idx="751">
                  <c:v>-6.8268120417397569</c:v>
                </c:pt>
                <c:pt idx="752">
                  <c:v>-6.8334968390608122</c:v>
                </c:pt>
                <c:pt idx="753">
                  <c:v>-6.8401816959573996</c:v>
                </c:pt>
                <c:pt idx="754">
                  <c:v>-6.8468666124288182</c:v>
                </c:pt>
                <c:pt idx="755">
                  <c:v>-6.8535515884743674</c:v>
                </c:pt>
                <c:pt idx="756">
                  <c:v>-6.8602366240933446</c:v>
                </c:pt>
                <c:pt idx="757">
                  <c:v>-6.8669217192850498</c:v>
                </c:pt>
                <c:pt idx="758">
                  <c:v>-6.8736068740487815</c:v>
                </c:pt>
                <c:pt idx="759">
                  <c:v>-6.8802920883838388</c:v>
                </c:pt>
                <c:pt idx="760">
                  <c:v>-6.8869773622895201</c:v>
                </c:pt>
                <c:pt idx="761">
                  <c:v>-6.8936626957651237</c:v>
                </c:pt>
                <c:pt idx="762">
                  <c:v>-6.9003480888099498</c:v>
                </c:pt>
                <c:pt idx="763">
                  <c:v>-6.9070335414232957</c:v>
                </c:pt>
                <c:pt idx="764">
                  <c:v>-6.9137190536044617</c:v>
                </c:pt>
                <c:pt idx="765">
                  <c:v>-6.920404625352746</c:v>
                </c:pt>
                <c:pt idx="766">
                  <c:v>-6.927090256667447</c:v>
                </c:pt>
                <c:pt idx="767">
                  <c:v>-6.933775947547864</c:v>
                </c:pt>
                <c:pt idx="768">
                  <c:v>-6.940461697993296</c:v>
                </c:pt>
                <c:pt idx="769">
                  <c:v>-6.9471475080030416</c:v>
                </c:pt>
                <c:pt idx="770">
                  <c:v>-6.9538333775763999</c:v>
                </c:pt>
                <c:pt idx="771">
                  <c:v>-6.9605193067126692</c:v>
                </c:pt>
                <c:pt idx="772">
                  <c:v>-6.9672052954111487</c:v>
                </c:pt>
                <c:pt idx="773">
                  <c:v>-6.9738913436711378</c:v>
                </c:pt>
                <c:pt idx="774">
                  <c:v>-6.9805774514919348</c:v>
                </c:pt>
                <c:pt idx="775">
                  <c:v>-6.9872636188728379</c:v>
                </c:pt>
                <c:pt idx="776">
                  <c:v>-6.9939498458131464</c:v>
                </c:pt>
                <c:pt idx="777">
                  <c:v>-7.0006361323121595</c:v>
                </c:pt>
                <c:pt idx="778">
                  <c:v>-7.0073224783691757</c:v>
                </c:pt>
                <c:pt idx="779">
                  <c:v>-7.014008883983494</c:v>
                </c:pt>
                <c:pt idx="780">
                  <c:v>-7.0206953491544137</c:v>
                </c:pt>
                <c:pt idx="781">
                  <c:v>-7.0273818738812333</c:v>
                </c:pt>
                <c:pt idx="782">
                  <c:v>-7.0340684581632509</c:v>
                </c:pt>
                <c:pt idx="783">
                  <c:v>-7.0407551019997667</c:v>
                </c:pt>
                <c:pt idx="784">
                  <c:v>-7.0474418053900783</c:v>
                </c:pt>
                <c:pt idx="785">
                  <c:v>-7.0541285683334856</c:v>
                </c:pt>
                <c:pt idx="786">
                  <c:v>-7.060815390829287</c:v>
                </c:pt>
                <c:pt idx="787">
                  <c:v>-7.0675022728767809</c:v>
                </c:pt>
                <c:pt idx="788">
                  <c:v>-7.0741892144752665</c:v>
                </c:pt>
                <c:pt idx="789">
                  <c:v>-7.080876215624043</c:v>
                </c:pt>
                <c:pt idx="790">
                  <c:v>-7.0875632763224088</c:v>
                </c:pt>
                <c:pt idx="791">
                  <c:v>-7.0942503965696631</c:v>
                </c:pt>
                <c:pt idx="792">
                  <c:v>-7.100937576365105</c:v>
                </c:pt>
                <c:pt idx="793">
                  <c:v>-7.1076248157080331</c:v>
                </c:pt>
                <c:pt idx="794">
                  <c:v>-7.1143121145977455</c:v>
                </c:pt>
                <c:pt idx="795">
                  <c:v>-7.1209994730335415</c:v>
                </c:pt>
                <c:pt idx="796">
                  <c:v>-7.1276868910147204</c:v>
                </c:pt>
                <c:pt idx="797">
                  <c:v>-7.1343743685405814</c:v>
                </c:pt>
                <c:pt idx="798">
                  <c:v>-7.1410619056104219</c:v>
                </c:pt>
                <c:pt idx="799">
                  <c:v>-7.147749502223542</c:v>
                </c:pt>
                <c:pt idx="800">
                  <c:v>-7.1544371583792401</c:v>
                </c:pt>
                <c:pt idx="801">
                  <c:v>-7.1611248740768154</c:v>
                </c:pt>
                <c:pt idx="802">
                  <c:v>-7.1678126493155663</c:v>
                </c:pt>
                <c:pt idx="803">
                  <c:v>-7.1745004840947919</c:v>
                </c:pt>
                <c:pt idx="804">
                  <c:v>-7.1811883784137915</c:v>
                </c:pt>
                <c:pt idx="805">
                  <c:v>-7.1878763322718635</c:v>
                </c:pt>
                <c:pt idx="806">
                  <c:v>-7.194564345668307</c:v>
                </c:pt>
                <c:pt idx="807">
                  <c:v>-7.2012524186024205</c:v>
                </c:pt>
                <c:pt idx="808">
                  <c:v>-7.2079405510735031</c:v>
                </c:pt>
                <c:pt idx="809">
                  <c:v>-7.2146287430808531</c:v>
                </c:pt>
                <c:pt idx="810">
                  <c:v>-7.2213169946237699</c:v>
                </c:pt>
                <c:pt idx="811">
                  <c:v>-7.2280053057015525</c:v>
                </c:pt>
                <c:pt idx="812">
                  <c:v>-7.2346936763135004</c:v>
                </c:pt>
                <c:pt idx="813">
                  <c:v>-7.2413821064589108</c:v>
                </c:pt>
                <c:pt idx="814">
                  <c:v>-7.2480705961370839</c:v>
                </c:pt>
                <c:pt idx="815">
                  <c:v>-7.2547591453473181</c:v>
                </c:pt>
                <c:pt idx="816">
                  <c:v>-7.2614477540889126</c:v>
                </c:pt>
                <c:pt idx="817">
                  <c:v>-7.2681364223611657</c:v>
                </c:pt>
                <c:pt idx="818">
                  <c:v>-7.2748251501633767</c:v>
                </c:pt>
                <c:pt idx="819">
                  <c:v>-7.2815139374948448</c:v>
                </c:pt>
                <c:pt idx="820">
                  <c:v>-7.2882027843548682</c:v>
                </c:pt>
                <c:pt idx="821">
                  <c:v>-7.2948916907427463</c:v>
                </c:pt>
                <c:pt idx="822">
                  <c:v>-7.3015806566577774</c:v>
                </c:pt>
                <c:pt idx="823">
                  <c:v>-7.3082696820992608</c:v>
                </c:pt>
                <c:pt idx="824">
                  <c:v>-7.3149587670664955</c:v>
                </c:pt>
                <c:pt idx="825">
                  <c:v>-7.32164791155878</c:v>
                </c:pt>
                <c:pt idx="826">
                  <c:v>-7.3283371155754136</c:v>
                </c:pt>
                <c:pt idx="827">
                  <c:v>-7.3350263791156953</c:v>
                </c:pt>
                <c:pt idx="828">
                  <c:v>-7.3417157021789237</c:v>
                </c:pt>
                <c:pt idx="829">
                  <c:v>-7.3484050847643969</c:v>
                </c:pt>
                <c:pt idx="830">
                  <c:v>-7.3550945268714152</c:v>
                </c:pt>
                <c:pt idx="831">
                  <c:v>-7.3617840284992768</c:v>
                </c:pt>
                <c:pt idx="832">
                  <c:v>-7.3684735896472802</c:v>
                </c:pt>
                <c:pt idx="833">
                  <c:v>-7.3751632103147244</c:v>
                </c:pt>
                <c:pt idx="834">
                  <c:v>-7.3818528905009089</c:v>
                </c:pt>
                <c:pt idx="835">
                  <c:v>-7.3885426302051327</c:v>
                </c:pt>
                <c:pt idx="836">
                  <c:v>-7.3952324294266942</c:v>
                </c:pt>
                <c:pt idx="837">
                  <c:v>-7.4019222881648927</c:v>
                </c:pt>
                <c:pt idx="838">
                  <c:v>-7.4086122064190265</c:v>
                </c:pt>
                <c:pt idx="839">
                  <c:v>-7.4153021841883948</c:v>
                </c:pt>
                <c:pt idx="840">
                  <c:v>-7.421992221472296</c:v>
                </c:pt>
                <c:pt idx="841">
                  <c:v>-7.4286823182700301</c:v>
                </c:pt>
                <c:pt idx="842">
                  <c:v>-7.4353724745808956</c:v>
                </c:pt>
                <c:pt idx="843">
                  <c:v>-7.4420626904041907</c:v>
                </c:pt>
                <c:pt idx="844">
                  <c:v>-7.4487529657392146</c:v>
                </c:pt>
                <c:pt idx="845">
                  <c:v>-7.4554433005852667</c:v>
                </c:pt>
                <c:pt idx="846">
                  <c:v>-7.4621336949416452</c:v>
                </c:pt>
                <c:pt idx="847">
                  <c:v>-7.4688241488076494</c:v>
                </c:pt>
                <c:pt idx="848">
                  <c:v>-7.4755146621825785</c:v>
                </c:pt>
                <c:pt idx="849">
                  <c:v>-7.4822052350657309</c:v>
                </c:pt>
                <c:pt idx="850">
                  <c:v>-7.4888958674564057</c:v>
                </c:pt>
                <c:pt idx="851">
                  <c:v>-7.4955865593539022</c:v>
                </c:pt>
                <c:pt idx="852">
                  <c:v>-7.5022773107575187</c:v>
                </c:pt>
                <c:pt idx="853">
                  <c:v>-7.5089681216665545</c:v>
                </c:pt>
                <c:pt idx="854">
                  <c:v>-7.5156589920803079</c:v>
                </c:pt>
                <c:pt idx="855">
                  <c:v>-7.5223499219980781</c:v>
                </c:pt>
                <c:pt idx="856">
                  <c:v>-7.5290409114191643</c:v>
                </c:pt>
                <c:pt idx="857">
                  <c:v>-7.5357319603428659</c:v>
                </c:pt>
                <c:pt idx="858">
                  <c:v>-7.542423068768481</c:v>
                </c:pt>
                <c:pt idx="859">
                  <c:v>-7.5491142366953081</c:v>
                </c:pt>
                <c:pt idx="860">
                  <c:v>-7.5558054641226473</c:v>
                </c:pt>
                <c:pt idx="861">
                  <c:v>-7.5624967510497969</c:v>
                </c:pt>
                <c:pt idx="862">
                  <c:v>-7.5691880974760553</c:v>
                </c:pt>
                <c:pt idx="863">
                  <c:v>-7.5758795034007225</c:v>
                </c:pt>
                <c:pt idx="864">
                  <c:v>-7.5825709688230969</c:v>
                </c:pt>
                <c:pt idx="865">
                  <c:v>-7.5892624937424769</c:v>
                </c:pt>
                <c:pt idx="866">
                  <c:v>-7.5959540781581625</c:v>
                </c:pt>
                <c:pt idx="867">
                  <c:v>-7.6026457220694521</c:v>
                </c:pt>
                <c:pt idx="868">
                  <c:v>-7.6093374254756441</c:v>
                </c:pt>
                <c:pt idx="869">
                  <c:v>-7.6160291883760376</c:v>
                </c:pt>
                <c:pt idx="870">
                  <c:v>-7.6227210107699319</c:v>
                </c:pt>
                <c:pt idx="871">
                  <c:v>-7.6294128926566263</c:v>
                </c:pt>
                <c:pt idx="872">
                  <c:v>-7.636104834035419</c:v>
                </c:pt>
                <c:pt idx="873">
                  <c:v>-7.6427968349056092</c:v>
                </c:pt>
                <c:pt idx="874">
                  <c:v>-7.6494888952664954</c:v>
                </c:pt>
                <c:pt idx="875">
                  <c:v>-7.6561810151173768</c:v>
                </c:pt>
                <c:pt idx="876">
                  <c:v>-7.6628731944575526</c:v>
                </c:pt>
                <c:pt idx="877">
                  <c:v>-7.6695654332863219</c:v>
                </c:pt>
                <c:pt idx="878">
                  <c:v>-7.6762577316029832</c:v>
                </c:pt>
                <c:pt idx="879">
                  <c:v>-7.6829500894068357</c:v>
                </c:pt>
                <c:pt idx="880">
                  <c:v>-7.6896425066971776</c:v>
                </c:pt>
                <c:pt idx="881">
                  <c:v>-7.6963349834733084</c:v>
                </c:pt>
                <c:pt idx="882">
                  <c:v>-7.703027519734527</c:v>
                </c:pt>
                <c:pt idx="883">
                  <c:v>-7.7097201154801329</c:v>
                </c:pt>
                <c:pt idx="884">
                  <c:v>-7.7164127707094243</c:v>
                </c:pt>
                <c:pt idx="885">
                  <c:v>-7.7231054854217005</c:v>
                </c:pt>
                <c:pt idx="886">
                  <c:v>-7.7297982596162598</c:v>
                </c:pt>
                <c:pt idx="887">
                  <c:v>-7.7364910932924014</c:v>
                </c:pt>
                <c:pt idx="888">
                  <c:v>-7.7431839864494245</c:v>
                </c:pt>
                <c:pt idx="889">
                  <c:v>-7.7498769390866284</c:v>
                </c:pt>
                <c:pt idx="890">
                  <c:v>-7.7565699512033115</c:v>
                </c:pt>
                <c:pt idx="891">
                  <c:v>-7.7632630227987729</c:v>
                </c:pt>
                <c:pt idx="892">
                  <c:v>-7.769956153872311</c:v>
                </c:pt>
                <c:pt idx="893">
                  <c:v>-7.776649344423225</c:v>
                </c:pt>
                <c:pt idx="894">
                  <c:v>-7.7833425944508141</c:v>
                </c:pt>
                <c:pt idx="895">
                  <c:v>-7.7900359039543776</c:v>
                </c:pt>
                <c:pt idx="896">
                  <c:v>-7.7967292729332138</c:v>
                </c:pt>
                <c:pt idx="897">
                  <c:v>-7.803422701386622</c:v>
                </c:pt>
                <c:pt idx="898">
                  <c:v>-7.8101161893139013</c:v>
                </c:pt>
                <c:pt idx="899">
                  <c:v>-7.8168097367143501</c:v>
                </c:pt>
                <c:pt idx="900">
                  <c:v>-7.8235033435872676</c:v>
                </c:pt>
                <c:pt idx="901">
                  <c:v>-7.8301970099319531</c:v>
                </c:pt>
                <c:pt idx="902">
                  <c:v>-7.8368907357477049</c:v>
                </c:pt>
                <c:pt idx="903">
                  <c:v>-7.8435845210338222</c:v>
                </c:pt>
                <c:pt idx="904">
                  <c:v>-7.8502783657896043</c:v>
                </c:pt>
                <c:pt idx="905">
                  <c:v>-7.8569722700143494</c:v>
                </c:pt>
                <c:pt idx="906">
                  <c:v>-7.8636662337073568</c:v>
                </c:pt>
                <c:pt idx="907">
                  <c:v>-7.8703602568679258</c:v>
                </c:pt>
                <c:pt idx="908">
                  <c:v>-7.8770543394953556</c:v>
                </c:pt>
                <c:pt idx="909">
                  <c:v>-7.8837484815889445</c:v>
                </c:pt>
                <c:pt idx="910">
                  <c:v>-7.8904426831479917</c:v>
                </c:pt>
                <c:pt idx="911">
                  <c:v>-7.8971369441717956</c:v>
                </c:pt>
                <c:pt idx="912">
                  <c:v>-7.9038312646596554</c:v>
                </c:pt>
                <c:pt idx="913">
                  <c:v>-7.9105256446108703</c:v>
                </c:pt>
                <c:pt idx="914">
                  <c:v>-7.9172200840247395</c:v>
                </c:pt>
                <c:pt idx="915">
                  <c:v>-7.9239145829005615</c:v>
                </c:pt>
                <c:pt idx="916">
                  <c:v>-7.9306091412376354</c:v>
                </c:pt>
                <c:pt idx="917">
                  <c:v>-7.9373037590352604</c:v>
                </c:pt>
                <c:pt idx="918">
                  <c:v>-7.9439984362927358</c:v>
                </c:pt>
                <c:pt idx="919">
                  <c:v>-7.95069317300936</c:v>
                </c:pt>
                <c:pt idx="920">
                  <c:v>-7.957387969184432</c:v>
                </c:pt>
                <c:pt idx="921">
                  <c:v>-7.9640828248172504</c:v>
                </c:pt>
                <c:pt idx="922">
                  <c:v>-7.9707777399071142</c:v>
                </c:pt>
                <c:pt idx="923">
                  <c:v>-7.9774727144533228</c:v>
                </c:pt>
                <c:pt idx="924">
                  <c:v>-7.9841677484551754</c:v>
                </c:pt>
                <c:pt idx="925">
                  <c:v>-7.9908628419119703</c:v>
                </c:pt>
                <c:pt idx="926">
                  <c:v>-7.9975579948230067</c:v>
                </c:pt>
                <c:pt idx="927">
                  <c:v>-8.0042532071875847</c:v>
                </c:pt>
                <c:pt idx="928">
                  <c:v>-8.0109484790050018</c:v>
                </c:pt>
                <c:pt idx="929">
                  <c:v>-8.0176438102745564</c:v>
                </c:pt>
                <c:pt idx="930">
                  <c:v>-8.0243392009955485</c:v>
                </c:pt>
                <c:pt idx="931">
                  <c:v>-8.0310346511672783</c:v>
                </c:pt>
                <c:pt idx="932">
                  <c:v>-8.0377301607890423</c:v>
                </c:pt>
                <c:pt idx="933">
                  <c:v>-8.0444257298601407</c:v>
                </c:pt>
                <c:pt idx="934">
                  <c:v>-8.0511213583798735</c:v>
                </c:pt>
                <c:pt idx="935">
                  <c:v>-8.0578170463475374</c:v>
                </c:pt>
                <c:pt idx="936">
                  <c:v>-8.0645127937624341</c:v>
                </c:pt>
                <c:pt idx="937">
                  <c:v>-8.0712086006238604</c:v>
                </c:pt>
                <c:pt idx="938">
                  <c:v>-8.0779044669311162</c:v>
                </c:pt>
                <c:pt idx="939">
                  <c:v>-8.0846003926834999</c:v>
                </c:pt>
                <c:pt idx="940">
                  <c:v>-8.0912963778803118</c:v>
                </c:pt>
                <c:pt idx="941">
                  <c:v>-8.0979924225208482</c:v>
                </c:pt>
                <c:pt idx="942">
                  <c:v>-8.1046885266044111</c:v>
                </c:pt>
                <c:pt idx="943">
                  <c:v>-8.1113846901302971</c:v>
                </c:pt>
                <c:pt idx="944">
                  <c:v>-8.1180809130978062</c:v>
                </c:pt>
                <c:pt idx="945">
                  <c:v>-8.1247771955062387</c:v>
                </c:pt>
                <c:pt idx="946">
                  <c:v>-8.131473537354891</c:v>
                </c:pt>
                <c:pt idx="947">
                  <c:v>-8.1381699386430633</c:v>
                </c:pt>
                <c:pt idx="948">
                  <c:v>-8.1448663993700556</c:v>
                </c:pt>
                <c:pt idx="949">
                  <c:v>-8.1515629195351664</c:v>
                </c:pt>
                <c:pt idx="950">
                  <c:v>-8.158259499137694</c:v>
                </c:pt>
                <c:pt idx="951">
                  <c:v>-8.1649561381769367</c:v>
                </c:pt>
                <c:pt idx="952">
                  <c:v>-8.1716528366521946</c:v>
                </c:pt>
                <c:pt idx="953">
                  <c:v>-8.178349594562766</c:v>
                </c:pt>
                <c:pt idx="954">
                  <c:v>-8.1850464119079511</c:v>
                </c:pt>
                <c:pt idx="955">
                  <c:v>-8.1917432886870483</c:v>
                </c:pt>
                <c:pt idx="956">
                  <c:v>-8.1984402248993558</c:v>
                </c:pt>
                <c:pt idx="957">
                  <c:v>-8.2051372205441737</c:v>
                </c:pt>
                <c:pt idx="958">
                  <c:v>-8.2118342756208005</c:v>
                </c:pt>
                <c:pt idx="959">
                  <c:v>-8.2185313901285362</c:v>
                </c:pt>
                <c:pt idx="960">
                  <c:v>-8.2252285640666791</c:v>
                </c:pt>
                <c:pt idx="961">
                  <c:v>-8.2319257974345277</c:v>
                </c:pt>
                <c:pt idx="962">
                  <c:v>-8.2386230902313802</c:v>
                </c:pt>
                <c:pt idx="963">
                  <c:v>-8.2453204424565367</c:v>
                </c:pt>
                <c:pt idx="964">
                  <c:v>-8.2520178541092974</c:v>
                </c:pt>
                <c:pt idx="965">
                  <c:v>-8.2587153251889589</c:v>
                </c:pt>
                <c:pt idx="966">
                  <c:v>-8.2654128556948212</c:v>
                </c:pt>
                <c:pt idx="967">
                  <c:v>-8.2721104456261845</c:v>
                </c:pt>
                <c:pt idx="968">
                  <c:v>-8.278808094982347</c:v>
                </c:pt>
                <c:pt idx="969">
                  <c:v>-8.2855058037626073</c:v>
                </c:pt>
                <c:pt idx="970">
                  <c:v>-8.2922035719662635</c:v>
                </c:pt>
                <c:pt idx="971">
                  <c:v>-8.2989013995926157</c:v>
                </c:pt>
                <c:pt idx="972">
                  <c:v>-8.3055992866409643</c:v>
                </c:pt>
                <c:pt idx="973">
                  <c:v>-8.3122972331106055</c:v>
                </c:pt>
                <c:pt idx="974">
                  <c:v>-8.3189952390008397</c:v>
                </c:pt>
                <c:pt idx="975">
                  <c:v>-8.3256933043109669</c:v>
                </c:pt>
                <c:pt idx="976">
                  <c:v>-8.3323914290402854</c:v>
                </c:pt>
                <c:pt idx="977">
                  <c:v>-8.3390896131880936</c:v>
                </c:pt>
                <c:pt idx="978">
                  <c:v>-8.3457878567536898</c:v>
                </c:pt>
                <c:pt idx="979">
                  <c:v>-8.3524861597363742</c:v>
                </c:pt>
                <c:pt idx="980">
                  <c:v>-8.3591845221354468</c:v>
                </c:pt>
                <c:pt idx="981">
                  <c:v>-8.3658829439502043</c:v>
                </c:pt>
                <c:pt idx="982">
                  <c:v>-8.3725814251799466</c:v>
                </c:pt>
                <c:pt idx="983">
                  <c:v>-8.3792799658239741</c:v>
                </c:pt>
                <c:pt idx="984">
                  <c:v>-8.3859785658815849</c:v>
                </c:pt>
                <c:pt idx="985">
                  <c:v>-8.3926772253520774</c:v>
                </c:pt>
                <c:pt idx="986">
                  <c:v>-8.39937594423475</c:v>
                </c:pt>
                <c:pt idx="987">
                  <c:v>-8.4060747225289028</c:v>
                </c:pt>
                <c:pt idx="988">
                  <c:v>-8.4127735602338358</c:v>
                </c:pt>
                <c:pt idx="989">
                  <c:v>-8.4194724573488475</c:v>
                </c:pt>
                <c:pt idx="990">
                  <c:v>-8.4261714138732362</c:v>
                </c:pt>
                <c:pt idx="991">
                  <c:v>-8.4328704298063002</c:v>
                </c:pt>
                <c:pt idx="992">
                  <c:v>-8.4395695051473396</c:v>
                </c:pt>
                <c:pt idx="993">
                  <c:v>-8.4462686398956528</c:v>
                </c:pt>
                <c:pt idx="994">
                  <c:v>-8.4529678340505399</c:v>
                </c:pt>
                <c:pt idx="995">
                  <c:v>-8.4596670876112992</c:v>
                </c:pt>
                <c:pt idx="996">
                  <c:v>-8.4663664005772308</c:v>
                </c:pt>
                <c:pt idx="997">
                  <c:v>-8.4730657729476313</c:v>
                </c:pt>
                <c:pt idx="998">
                  <c:v>-8.4797652047218026</c:v>
                </c:pt>
                <c:pt idx="999">
                  <c:v>-8.4864646958990413</c:v>
                </c:pt>
                <c:pt idx="1000">
                  <c:v>-8.4931642464786474</c:v>
                </c:pt>
              </c:numCache>
            </c:numRef>
          </c:yVal>
          <c:smooth val="1"/>
          <c:extLst>
            <c:ext xmlns:c16="http://schemas.microsoft.com/office/drawing/2014/chart" uri="{C3380CC4-5D6E-409C-BE32-E72D297353CC}">
              <c16:uniqueId val="{00000001-E96A-45DC-8C10-0DCBDEA9B00D}"/>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Calculs!$K$4:$K$1004</c:f>
              <c:numCache>
                <c:formatCode>0.00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271.20637985814369</c:v>
                </c:pt>
                <c:pt idx="272">
                  <c:v>269.74922688428325</c:v>
                </c:pt>
                <c:pt idx="273">
                  <c:v>268.19626859910807</c:v>
                </c:pt>
                <c:pt idx="274">
                  <c:v>266.54775081693504</c:v>
                </c:pt>
                <c:pt idx="275">
                  <c:v>264.80393292506653</c:v>
                </c:pt>
                <c:pt idx="276">
                  <c:v>262.96508789968931</c:v>
                </c:pt>
                <c:pt idx="277">
                  <c:v>261.03150228669551</c:v>
                </c:pt>
                <c:pt idx="278">
                  <c:v>259.00347615272733</c:v>
                </c:pt>
                <c:pt idx="279">
                  <c:v>256.88132301076087</c:v>
                </c:pt>
                <c:pt idx="280">
                  <c:v>254.6653697237478</c:v>
                </c:pt>
                <c:pt idx="281">
                  <c:v>252.35595638919114</c:v>
                </c:pt>
                <c:pt idx="282">
                  <c:v>249.95343620701888</c:v>
                </c:pt>
                <c:pt idx="283">
                  <c:v>247.45817533270966</c:v>
                </c:pt>
                <c:pt idx="284">
                  <c:v>244.87055271729773</c:v>
                </c:pt>
                <c:pt idx="285">
                  <c:v>242.19095993562416</c:v>
                </c:pt>
                <c:pt idx="286">
                  <c:v>239.41980100399337</c:v>
                </c:pt>
                <c:pt idx="287">
                  <c:v>236.5574921882274</c:v>
                </c:pt>
                <c:pt idx="288">
                  <c:v>233.60446180297765</c:v>
                </c:pt>
                <c:pt idx="289">
                  <c:v>230.56115000304678</c:v>
                </c:pt>
                <c:pt idx="290">
                  <c:v>227.4280085673868</c:v>
                </c:pt>
                <c:pt idx="291">
                  <c:v>224.20550067637046</c:v>
                </c:pt>
                <c:pt idx="292">
                  <c:v>220.894100682876</c:v>
                </c:pt>
                <c:pt idx="293">
                  <c:v>217.49429387767935</c:v>
                </c:pt>
                <c:pt idx="294">
                  <c:v>214.00657624961065</c:v>
                </c:pt>
                <c:pt idx="295">
                  <c:v>210.43145424089968</c:v>
                </c:pt>
                <c:pt idx="296">
                  <c:v>206.76944449811074</c:v>
                </c:pt>
                <c:pt idx="297">
                  <c:v>203.02107361904396</c:v>
                </c:pt>
                <c:pt idx="298">
                  <c:v>199.18687789596376</c:v>
                </c:pt>
                <c:pt idx="299">
                  <c:v>195.26740305549816</c:v>
                </c:pt>
                <c:pt idx="300">
                  <c:v>191.26320399554029</c:v>
                </c:pt>
                <c:pt idx="301">
                  <c:v>187.17484451947126</c:v>
                </c:pt>
                <c:pt idx="302">
                  <c:v>183.00289706801351</c:v>
                </c:pt>
                <c:pt idx="303">
                  <c:v>178.74794244901446</c:v>
                </c:pt>
                <c:pt idx="304">
                  <c:v>174.41056956545168</c:v>
                </c:pt>
                <c:pt idx="305">
                  <c:v>169.99137514194342</c:v>
                </c:pt>
                <c:pt idx="306">
                  <c:v>165.49096345004054</c:v>
                </c:pt>
                <c:pt idx="307">
                  <c:v>160.90994603256934</c:v>
                </c:pt>
                <c:pt idx="308">
                  <c:v>156.24894142728803</c:v>
                </c:pt>
                <c:pt idx="309">
                  <c:v>151.50857489011298</c:v>
                </c:pt>
                <c:pt idx="310">
                  <c:v>146.68947811816463</c:v>
                </c:pt>
                <c:pt idx="311">
                  <c:v>141.79228897287683</c:v>
                </c:pt>
                <c:pt idx="312">
                  <c:v>136.81765120340674</c:v>
                </c:pt>
                <c:pt idx="313">
                  <c:v>131.76621417057666</c:v>
                </c:pt>
                <c:pt idx="314">
                  <c:v>126.63863257157261</c:v>
                </c:pt>
                <c:pt idx="315">
                  <c:v>121.43556616561844</c:v>
                </c:pt>
                <c:pt idx="316">
                  <c:v>116.15767950083752</c:v>
                </c:pt>
                <c:pt idx="317">
                  <c:v>110.80564164250836</c:v>
                </c:pt>
                <c:pt idx="318">
                  <c:v>105.38012590291351</c:v>
                </c:pt>
                <c:pt idx="319">
                  <c:v>99.88180957297476</c:v>
                </c:pt>
                <c:pt idx="320">
                  <c:v>94.311373655861502</c:v>
                </c:pt>
                <c:pt idx="321">
                  <c:v>88.669502602751919</c:v>
                </c:pt>
                <c:pt idx="322">
                  <c:v>82.956884050920578</c:v>
                </c:pt>
                <c:pt idx="323">
                  <c:v>77.174208564319102</c:v>
                </c:pt>
                <c:pt idx="324">
                  <c:v>71.32216937680991</c:v>
                </c:pt>
                <c:pt idx="325">
                  <c:v>65.401462138206242</c:v>
                </c:pt>
                <c:pt idx="326">
                  <c:v>59.412784663265199</c:v>
                </c:pt>
                <c:pt idx="327">
                  <c:v>53.356836683773444</c:v>
                </c:pt>
                <c:pt idx="328">
                  <c:v>47.23431960385863</c:v>
                </c:pt>
                <c:pt idx="329">
                  <c:v>41.045936258652951</c:v>
                </c:pt>
                <c:pt idx="330">
                  <c:v>34.792390676428305</c:v>
                </c:pt>
                <c:pt idx="331">
                  <c:v>28.474387844316006</c:v>
                </c:pt>
                <c:pt idx="332">
                  <c:v>22.092633477717278</c:v>
                </c:pt>
                <c:pt idx="333">
                  <c:v>15.647833793504127</c:v>
                </c:pt>
                <c:pt idx="334">
                  <c:v>9.1406952871036502</c:v>
                </c:pt>
                <c:pt idx="335">
                  <c:v>2.5719245135523625</c:v>
                </c:pt>
                <c:pt idx="336">
                  <c:v>-4.0577721273993133</c:v>
                </c:pt>
                <c:pt idx="337">
                  <c:v>-4.0644321403402088</c:v>
                </c:pt>
                <c:pt idx="338">
                  <c:v>-4.0710922131476881</c:v>
                </c:pt>
                <c:pt idx="339">
                  <c:v>-4.0777523458210494</c:v>
                </c:pt>
                <c:pt idx="340">
                  <c:v>-4.0844125383595919</c:v>
                </c:pt>
                <c:pt idx="341">
                  <c:v>-4.0910727907626132</c:v>
                </c:pt>
                <c:pt idx="342">
                  <c:v>-4.0977331030294124</c:v>
                </c:pt>
                <c:pt idx="343">
                  <c:v>-4.1043934751592879</c:v>
                </c:pt>
                <c:pt idx="344">
                  <c:v>-4.111053907151538</c:v>
                </c:pt>
                <c:pt idx="345">
                  <c:v>-4.1177143990054619</c:v>
                </c:pt>
                <c:pt idx="346">
                  <c:v>-4.124374950720358</c:v>
                </c:pt>
                <c:pt idx="347">
                  <c:v>-4.1310355622955237</c:v>
                </c:pt>
                <c:pt idx="348">
                  <c:v>-4.1376962337302592</c:v>
                </c:pt>
                <c:pt idx="349">
                  <c:v>-4.1443569650238619</c:v>
                </c:pt>
                <c:pt idx="350">
                  <c:v>-4.1510177561756301</c:v>
                </c:pt>
                <c:pt idx="351">
                  <c:v>-4.157678607184863</c:v>
                </c:pt>
                <c:pt idx="352">
                  <c:v>-4.1643395180508591</c:v>
                </c:pt>
                <c:pt idx="353">
                  <c:v>-4.1710004887729166</c:v>
                </c:pt>
                <c:pt idx="354">
                  <c:v>-4.1776615193503348</c:v>
                </c:pt>
                <c:pt idx="355">
                  <c:v>-4.1843226097824111</c:v>
                </c:pt>
                <c:pt idx="356">
                  <c:v>-4.1909837600684448</c:v>
                </c:pt>
                <c:pt idx="357">
                  <c:v>-4.1976449702077341</c:v>
                </c:pt>
                <c:pt idx="358">
                  <c:v>-4.2043062401995774</c:v>
                </c:pt>
                <c:pt idx="359">
                  <c:v>-4.210967570043274</c:v>
                </c:pt>
                <c:pt idx="360">
                  <c:v>-4.2176289597381222</c:v>
                </c:pt>
                <c:pt idx="361">
                  <c:v>-4.2242904092834195</c:v>
                </c:pt>
                <c:pt idx="362">
                  <c:v>-4.2309519186784659</c:v>
                </c:pt>
                <c:pt idx="363">
                  <c:v>-4.2376134879225589</c:v>
                </c:pt>
                <c:pt idx="364">
                  <c:v>-4.2442751170149977</c:v>
                </c:pt>
                <c:pt idx="365">
                  <c:v>-4.2509368059550798</c:v>
                </c:pt>
                <c:pt idx="366">
                  <c:v>-4.2575985547421045</c:v>
                </c:pt>
                <c:pt idx="367">
                  <c:v>-4.2642603633753708</c:v>
                </c:pt>
                <c:pt idx="368">
                  <c:v>-4.2709222318541764</c:v>
                </c:pt>
                <c:pt idx="369">
                  <c:v>-4.2775841601778204</c:v>
                </c:pt>
                <c:pt idx="370">
                  <c:v>-4.2842461483456011</c:v>
                </c:pt>
                <c:pt idx="371">
                  <c:v>-4.290908196356817</c:v>
                </c:pt>
                <c:pt idx="372">
                  <c:v>-4.2975703042107662</c:v>
                </c:pt>
                <c:pt idx="373">
                  <c:v>-4.3042324719067482</c:v>
                </c:pt>
                <c:pt idx="374">
                  <c:v>-4.3108946994440611</c:v>
                </c:pt>
                <c:pt idx="375">
                  <c:v>-4.3175569868220034</c:v>
                </c:pt>
                <c:pt idx="376">
                  <c:v>-4.3242193340398734</c:v>
                </c:pt>
                <c:pt idx="377">
                  <c:v>-4.3308817410969702</c:v>
                </c:pt>
                <c:pt idx="378">
                  <c:v>-4.3375442079925923</c:v>
                </c:pt>
                <c:pt idx="379">
                  <c:v>-4.344206734726038</c:v>
                </c:pt>
                <c:pt idx="380">
                  <c:v>-4.3508693212966056</c:v>
                </c:pt>
                <c:pt idx="381">
                  <c:v>-4.3575319677035935</c:v>
                </c:pt>
                <c:pt idx="382">
                  <c:v>-4.3641946739463009</c:v>
                </c:pt>
                <c:pt idx="383">
                  <c:v>-4.3708574400240261</c:v>
                </c:pt>
                <c:pt idx="384">
                  <c:v>-4.3775202659360675</c:v>
                </c:pt>
                <c:pt idx="385">
                  <c:v>-4.3841831516817242</c:v>
                </c:pt>
                <c:pt idx="386">
                  <c:v>-4.3908460972602947</c:v>
                </c:pt>
                <c:pt idx="387">
                  <c:v>-4.3975091026710773</c:v>
                </c:pt>
                <c:pt idx="388">
                  <c:v>-4.4041721679133703</c:v>
                </c:pt>
                <c:pt idx="389">
                  <c:v>-4.410835292986472</c:v>
                </c:pt>
                <c:pt idx="390">
                  <c:v>-4.4174984778896818</c:v>
                </c:pt>
                <c:pt idx="391">
                  <c:v>-4.4241617226222978</c:v>
                </c:pt>
                <c:pt idx="392">
                  <c:v>-4.4308250271836185</c:v>
                </c:pt>
                <c:pt idx="393">
                  <c:v>-4.4374883915729422</c:v>
                </c:pt>
                <c:pt idx="394">
                  <c:v>-4.4441518157895681</c:v>
                </c:pt>
                <c:pt idx="395">
                  <c:v>-4.4508152998327946</c:v>
                </c:pt>
                <c:pt idx="396">
                  <c:v>-4.4574788437019199</c:v>
                </c:pt>
                <c:pt idx="397">
                  <c:v>-4.4641424473962426</c:v>
                </c:pt>
                <c:pt idx="398">
                  <c:v>-4.4708061109150616</c:v>
                </c:pt>
                <c:pt idx="399">
                  <c:v>-4.4774698342576755</c:v>
                </c:pt>
                <c:pt idx="400">
                  <c:v>-4.4841336174233826</c:v>
                </c:pt>
                <c:pt idx="401">
                  <c:v>-4.490797460411482</c:v>
                </c:pt>
                <c:pt idx="402">
                  <c:v>-4.4974613632212712</c:v>
                </c:pt>
                <c:pt idx="403">
                  <c:v>-4.5041253258520495</c:v>
                </c:pt>
                <c:pt idx="404">
                  <c:v>-4.5107893483031152</c:v>
                </c:pt>
                <c:pt idx="405">
                  <c:v>-4.5174534305737675</c:v>
                </c:pt>
                <c:pt idx="406">
                  <c:v>-4.5241175726633047</c:v>
                </c:pt>
                <c:pt idx="407">
                  <c:v>-4.5307817745710244</c:v>
                </c:pt>
                <c:pt idx="408">
                  <c:v>-4.5374460362962266</c:v>
                </c:pt>
                <c:pt idx="409">
                  <c:v>-4.5441103578382087</c:v>
                </c:pt>
                <c:pt idx="410">
                  <c:v>-4.5507747391962701</c:v>
                </c:pt>
                <c:pt idx="411">
                  <c:v>-4.557439180369709</c:v>
                </c:pt>
                <c:pt idx="412">
                  <c:v>-4.5641036813578237</c:v>
                </c:pt>
                <c:pt idx="413">
                  <c:v>-4.5707682421599136</c:v>
                </c:pt>
                <c:pt idx="414">
                  <c:v>-4.5774328627752761</c:v>
                </c:pt>
                <c:pt idx="415">
                  <c:v>-4.5840975432032103</c:v>
                </c:pt>
                <c:pt idx="416">
                  <c:v>-4.5907622834430155</c:v>
                </c:pt>
                <c:pt idx="417">
                  <c:v>-4.5974270834939892</c:v>
                </c:pt>
                <c:pt idx="418">
                  <c:v>-4.6040919433554306</c:v>
                </c:pt>
                <c:pt idx="419">
                  <c:v>-4.610756863026638</c:v>
                </c:pt>
                <c:pt idx="420">
                  <c:v>-4.6174218425069107</c:v>
                </c:pt>
                <c:pt idx="421">
                  <c:v>-4.6240868817955461</c:v>
                </c:pt>
                <c:pt idx="422">
                  <c:v>-4.6307519808918434</c:v>
                </c:pt>
                <c:pt idx="423">
                  <c:v>-4.637417139795101</c:v>
                </c:pt>
                <c:pt idx="424">
                  <c:v>-4.644082358504618</c:v>
                </c:pt>
                <c:pt idx="425">
                  <c:v>-4.650747637019693</c:v>
                </c:pt>
                <c:pt idx="426">
                  <c:v>-4.6574129753396241</c:v>
                </c:pt>
                <c:pt idx="427">
                  <c:v>-4.6640783734637097</c:v>
                </c:pt>
                <c:pt idx="428">
                  <c:v>-4.6707438313912482</c:v>
                </c:pt>
                <c:pt idx="429">
                  <c:v>-4.6774093491215387</c:v>
                </c:pt>
                <c:pt idx="430">
                  <c:v>-4.6840749266538797</c:v>
                </c:pt>
                <c:pt idx="431">
                  <c:v>-4.6907405639875703</c:v>
                </c:pt>
                <c:pt idx="432">
                  <c:v>-4.6974062611219081</c:v>
                </c:pt>
                <c:pt idx="433">
                  <c:v>-4.7040720180561921</c:v>
                </c:pt>
                <c:pt idx="434">
                  <c:v>-4.7107378347897217</c:v>
                </c:pt>
                <c:pt idx="435">
                  <c:v>-4.7174037113217944</c:v>
                </c:pt>
                <c:pt idx="436">
                  <c:v>-4.7240696476517092</c:v>
                </c:pt>
                <c:pt idx="437">
                  <c:v>-4.7307356437787647</c:v>
                </c:pt>
                <c:pt idx="438">
                  <c:v>-4.737401699702259</c:v>
                </c:pt>
                <c:pt idx="439">
                  <c:v>-4.7440678154214915</c:v>
                </c:pt>
                <c:pt idx="440">
                  <c:v>-4.7507339909357604</c:v>
                </c:pt>
                <c:pt idx="441">
                  <c:v>-4.7574002262443642</c:v>
                </c:pt>
                <c:pt idx="442">
                  <c:v>-4.764066521346602</c:v>
                </c:pt>
                <c:pt idx="443">
                  <c:v>-4.7707328762417713</c:v>
                </c:pt>
                <c:pt idx="444">
                  <c:v>-4.7773992909291714</c:v>
                </c:pt>
                <c:pt idx="445">
                  <c:v>-4.7840657654081014</c:v>
                </c:pt>
                <c:pt idx="446">
                  <c:v>-4.7907322996778587</c:v>
                </c:pt>
                <c:pt idx="447">
                  <c:v>-4.7973988937377428</c:v>
                </c:pt>
                <c:pt idx="448">
                  <c:v>-4.8040655475870526</c:v>
                </c:pt>
                <c:pt idx="449">
                  <c:v>-4.8107322612250858</c:v>
                </c:pt>
                <c:pt idx="450">
                  <c:v>-4.8173990346511415</c:v>
                </c:pt>
                <c:pt idx="451">
                  <c:v>-4.8240658678645181</c:v>
                </c:pt>
                <c:pt idx="452">
                  <c:v>-4.8307327608645139</c:v>
                </c:pt>
                <c:pt idx="453">
                  <c:v>-4.8373997136504281</c:v>
                </c:pt>
                <c:pt idx="454">
                  <c:v>-4.8440667262215591</c:v>
                </c:pt>
                <c:pt idx="455">
                  <c:v>-4.8507337985772052</c:v>
                </c:pt>
                <c:pt idx="456">
                  <c:v>-4.8574009307166657</c:v>
                </c:pt>
                <c:pt idx="457">
                  <c:v>-4.8640681226392388</c:v>
                </c:pt>
                <c:pt idx="458">
                  <c:v>-4.870735374344223</c:v>
                </c:pt>
                <c:pt idx="459">
                  <c:v>-4.8774026858309165</c:v>
                </c:pt>
                <c:pt idx="460">
                  <c:v>-4.8840700570986186</c:v>
                </c:pt>
                <c:pt idx="461">
                  <c:v>-4.8907374881466277</c:v>
                </c:pt>
                <c:pt idx="462">
                  <c:v>-4.8974049789742429</c:v>
                </c:pt>
                <c:pt idx="463">
                  <c:v>-4.9040725295807617</c:v>
                </c:pt>
                <c:pt idx="464">
                  <c:v>-4.9107401399654833</c:v>
                </c:pt>
                <c:pt idx="465">
                  <c:v>-4.917407810127707</c:v>
                </c:pt>
                <c:pt idx="466">
                  <c:v>-4.9240755400667302</c:v>
                </c:pt>
                <c:pt idx="467">
                  <c:v>-4.9307433297818521</c:v>
                </c:pt>
                <c:pt idx="468">
                  <c:v>-4.9374111792723712</c:v>
                </c:pt>
                <c:pt idx="469">
                  <c:v>-4.9440790885375865</c:v>
                </c:pt>
                <c:pt idx="470">
                  <c:v>-4.9507470575767965</c:v>
                </c:pt>
                <c:pt idx="471">
                  <c:v>-4.9574150863892994</c:v>
                </c:pt>
                <c:pt idx="472">
                  <c:v>-4.9640831749743937</c:v>
                </c:pt>
                <c:pt idx="473">
                  <c:v>-4.9707513233313785</c:v>
                </c:pt>
                <c:pt idx="474">
                  <c:v>-4.9774195314595522</c:v>
                </c:pt>
                <c:pt idx="475">
                  <c:v>-4.984087799358214</c:v>
                </c:pt>
                <c:pt idx="476">
                  <c:v>-4.9907561270266614</c:v>
                </c:pt>
                <c:pt idx="477">
                  <c:v>-4.9974245144641936</c:v>
                </c:pt>
                <c:pt idx="478">
                  <c:v>-5.0040929616701098</c:v>
                </c:pt>
                <c:pt idx="479">
                  <c:v>-5.0107614686437074</c:v>
                </c:pt>
                <c:pt idx="480">
                  <c:v>-5.0174300353842858</c:v>
                </c:pt>
                <c:pt idx="481">
                  <c:v>-5.0240986618911441</c:v>
                </c:pt>
                <c:pt idx="482">
                  <c:v>-5.0307673481635797</c:v>
                </c:pt>
                <c:pt idx="483">
                  <c:v>-5.037436094200892</c:v>
                </c:pt>
                <c:pt idx="484">
                  <c:v>-5.0441049000023801</c:v>
                </c:pt>
                <c:pt idx="485">
                  <c:v>-5.0507737655673415</c:v>
                </c:pt>
                <c:pt idx="486">
                  <c:v>-5.0574426908950754</c:v>
                </c:pt>
                <c:pt idx="487">
                  <c:v>-5.0641116759848801</c:v>
                </c:pt>
                <c:pt idx="488">
                  <c:v>-5.0707807208360549</c:v>
                </c:pt>
                <c:pt idx="489">
                  <c:v>-5.0774498254478981</c:v>
                </c:pt>
                <c:pt idx="490">
                  <c:v>-5.0841189898197081</c:v>
                </c:pt>
                <c:pt idx="491">
                  <c:v>-5.0907882139507832</c:v>
                </c:pt>
                <c:pt idx="492">
                  <c:v>-5.0974574978404226</c:v>
                </c:pt>
                <c:pt idx="493">
                  <c:v>-5.1041268414879246</c:v>
                </c:pt>
                <c:pt idx="494">
                  <c:v>-5.1107962448925885</c:v>
                </c:pt>
                <c:pt idx="495">
                  <c:v>-5.1174657080537127</c:v>
                </c:pt>
                <c:pt idx="496">
                  <c:v>-5.1241352309705954</c:v>
                </c:pt>
                <c:pt idx="497">
                  <c:v>-5.130804813642535</c:v>
                </c:pt>
                <c:pt idx="498">
                  <c:v>-5.1374744560688308</c:v>
                </c:pt>
                <c:pt idx="499">
                  <c:v>-5.144144158248781</c:v>
                </c:pt>
                <c:pt idx="500">
                  <c:v>-5.1508139201816849</c:v>
                </c:pt>
                <c:pt idx="501">
                  <c:v>-5.1574837418668409</c:v>
                </c:pt>
                <c:pt idx="502">
                  <c:v>-5.1641536233035472</c:v>
                </c:pt>
                <c:pt idx="503">
                  <c:v>-5.1708235644911031</c:v>
                </c:pt>
                <c:pt idx="504">
                  <c:v>-5.1774935654288061</c:v>
                </c:pt>
                <c:pt idx="505">
                  <c:v>-5.1841636261159563</c:v>
                </c:pt>
                <c:pt idx="506">
                  <c:v>-5.190833746551851</c:v>
                </c:pt>
                <c:pt idx="507">
                  <c:v>-5.1975039267357896</c:v>
                </c:pt>
                <c:pt idx="508">
                  <c:v>-5.2041741666670704</c:v>
                </c:pt>
                <c:pt idx="509">
                  <c:v>-5.2108444663449927</c:v>
                </c:pt>
                <c:pt idx="510">
                  <c:v>-5.2175148257688546</c:v>
                </c:pt>
                <c:pt idx="511">
                  <c:v>-5.2241852449379547</c:v>
                </c:pt>
                <c:pt idx="512">
                  <c:v>-5.2308557238515911</c:v>
                </c:pt>
                <c:pt idx="513">
                  <c:v>-5.2375262625090633</c:v>
                </c:pt>
                <c:pt idx="514">
                  <c:v>-5.2441968609096703</c:v>
                </c:pt>
                <c:pt idx="515">
                  <c:v>-5.2508675190527097</c:v>
                </c:pt>
                <c:pt idx="516">
                  <c:v>-5.2575382369374806</c:v>
                </c:pt>
                <c:pt idx="517">
                  <c:v>-5.2642090145632814</c:v>
                </c:pt>
                <c:pt idx="518">
                  <c:v>-5.2708798519294113</c:v>
                </c:pt>
                <c:pt idx="519">
                  <c:v>-5.2775507490351687</c:v>
                </c:pt>
                <c:pt idx="520">
                  <c:v>-5.284221705879852</c:v>
                </c:pt>
                <c:pt idx="521">
                  <c:v>-5.2908927224627602</c:v>
                </c:pt>
                <c:pt idx="522">
                  <c:v>-5.2975637987831918</c:v>
                </c:pt>
                <c:pt idx="523">
                  <c:v>-5.3042349348404461</c:v>
                </c:pt>
                <c:pt idx="524">
                  <c:v>-5.3109061306338203</c:v>
                </c:pt>
                <c:pt idx="525">
                  <c:v>-5.3175773861626148</c:v>
                </c:pt>
                <c:pt idx="526">
                  <c:v>-5.3242487014261268</c:v>
                </c:pt>
                <c:pt idx="527">
                  <c:v>-5.3309200764236557</c:v>
                </c:pt>
                <c:pt idx="528">
                  <c:v>-5.3375915111544998</c:v>
                </c:pt>
                <c:pt idx="529">
                  <c:v>-5.3442630056179583</c:v>
                </c:pt>
                <c:pt idx="530">
                  <c:v>-5.3509345598133295</c:v>
                </c:pt>
                <c:pt idx="531">
                  <c:v>-5.3576061737399119</c:v>
                </c:pt>
                <c:pt idx="532">
                  <c:v>-5.3642778473970036</c:v>
                </c:pt>
                <c:pt idx="533">
                  <c:v>-5.3709495807839041</c:v>
                </c:pt>
                <c:pt idx="534">
                  <c:v>-5.3776213738999123</c:v>
                </c:pt>
                <c:pt idx="535">
                  <c:v>-5.3842932267443269</c:v>
                </c:pt>
                <c:pt idx="536">
                  <c:v>-5.3909651393164459</c:v>
                </c:pt>
                <c:pt idx="537">
                  <c:v>-5.3976371116155679</c:v>
                </c:pt>
                <c:pt idx="538">
                  <c:v>-5.404309143640992</c:v>
                </c:pt>
                <c:pt idx="539">
                  <c:v>-5.4109812353920166</c:v>
                </c:pt>
                <c:pt idx="540">
                  <c:v>-5.4176533868679408</c:v>
                </c:pt>
                <c:pt idx="541">
                  <c:v>-5.4243255980680622</c:v>
                </c:pt>
                <c:pt idx="542">
                  <c:v>-5.4309978689916809</c:v>
                </c:pt>
                <c:pt idx="543">
                  <c:v>-5.4376701996380943</c:v>
                </c:pt>
                <c:pt idx="544">
                  <c:v>-5.4443425900066016</c:v>
                </c:pt>
                <c:pt idx="545">
                  <c:v>-5.4510150400965021</c:v>
                </c:pt>
                <c:pt idx="546">
                  <c:v>-5.457687549907094</c:v>
                </c:pt>
                <c:pt idx="547">
                  <c:v>-5.4643601194376759</c:v>
                </c:pt>
                <c:pt idx="548">
                  <c:v>-5.4710327486875459</c:v>
                </c:pt>
                <c:pt idx="549">
                  <c:v>-5.4777054376560033</c:v>
                </c:pt>
                <c:pt idx="550">
                  <c:v>-5.4843781863423464</c:v>
                </c:pt>
                <c:pt idx="551">
                  <c:v>-5.4910509947458745</c:v>
                </c:pt>
                <c:pt idx="552">
                  <c:v>-5.497723862865886</c:v>
                </c:pt>
                <c:pt idx="553">
                  <c:v>-5.50439679070168</c:v>
                </c:pt>
                <c:pt idx="554">
                  <c:v>-5.511069778252554</c:v>
                </c:pt>
                <c:pt idx="555">
                  <c:v>-5.5177428255178071</c:v>
                </c:pt>
                <c:pt idx="556">
                  <c:v>-5.5244159324967388</c:v>
                </c:pt>
                <c:pt idx="557">
                  <c:v>-5.5310890991886472</c:v>
                </c:pt>
                <c:pt idx="558">
                  <c:v>-5.5377623255928308</c:v>
                </c:pt>
                <c:pt idx="559">
                  <c:v>-5.5444356117085887</c:v>
                </c:pt>
                <c:pt idx="560">
                  <c:v>-5.5511089575352193</c:v>
                </c:pt>
                <c:pt idx="561">
                  <c:v>-5.5577823630720209</c:v>
                </c:pt>
                <c:pt idx="562">
                  <c:v>-5.5644558283182928</c:v>
                </c:pt>
                <c:pt idx="563">
                  <c:v>-5.5711293532733341</c:v>
                </c:pt>
                <c:pt idx="564">
                  <c:v>-5.5778029379364424</c:v>
                </c:pt>
                <c:pt idx="565">
                  <c:v>-5.5844765823069169</c:v>
                </c:pt>
                <c:pt idx="566">
                  <c:v>-5.5911502863840568</c:v>
                </c:pt>
                <c:pt idx="567">
                  <c:v>-5.5978240501671594</c:v>
                </c:pt>
                <c:pt idx="568">
                  <c:v>-5.6044978736555242</c:v>
                </c:pt>
                <c:pt idx="569">
                  <c:v>-5.6111717568484503</c:v>
                </c:pt>
                <c:pt idx="570">
                  <c:v>-5.617845699745236</c:v>
                </c:pt>
                <c:pt idx="571">
                  <c:v>-5.6245197023451796</c:v>
                </c:pt>
                <c:pt idx="572">
                  <c:v>-5.6311937646475805</c:v>
                </c:pt>
                <c:pt idx="573">
                  <c:v>-5.6378678866517369</c:v>
                </c:pt>
                <c:pt idx="574">
                  <c:v>-5.6445420683569481</c:v>
                </c:pt>
                <c:pt idx="575">
                  <c:v>-5.6512163097625123</c:v>
                </c:pt>
                <c:pt idx="576">
                  <c:v>-5.657890610867728</c:v>
                </c:pt>
                <c:pt idx="577">
                  <c:v>-5.6645649716718944</c:v>
                </c:pt>
                <c:pt idx="578">
                  <c:v>-5.6712393921743098</c:v>
                </c:pt>
                <c:pt idx="579">
                  <c:v>-5.6779138723742726</c:v>
                </c:pt>
                <c:pt idx="580">
                  <c:v>-5.6845884122710819</c:v>
                </c:pt>
                <c:pt idx="581">
                  <c:v>-5.691263011864037</c:v>
                </c:pt>
                <c:pt idx="582">
                  <c:v>-5.6979376711524354</c:v>
                </c:pt>
                <c:pt idx="583">
                  <c:v>-5.7046123901355772</c:v>
                </c:pt>
                <c:pt idx="584">
                  <c:v>-5.7112871688127598</c:v>
                </c:pt>
                <c:pt idx="585">
                  <c:v>-5.7179620071832824</c:v>
                </c:pt>
                <c:pt idx="586">
                  <c:v>-5.7246369052464434</c:v>
                </c:pt>
                <c:pt idx="587">
                  <c:v>-5.7313118630015421</c:v>
                </c:pt>
                <c:pt idx="588">
                  <c:v>-5.7379868804478766</c:v>
                </c:pt>
                <c:pt idx="589">
                  <c:v>-5.7446619575847464</c:v>
                </c:pt>
                <c:pt idx="590">
                  <c:v>-5.7513370944114497</c:v>
                </c:pt>
                <c:pt idx="591">
                  <c:v>-5.7580122909272848</c:v>
                </c:pt>
                <c:pt idx="592">
                  <c:v>-5.7646875471315511</c:v>
                </c:pt>
                <c:pt idx="593">
                  <c:v>-5.7713628630235467</c:v>
                </c:pt>
                <c:pt idx="594">
                  <c:v>-5.778038238602571</c:v>
                </c:pt>
                <c:pt idx="595">
                  <c:v>-5.7847136738679223</c:v>
                </c:pt>
                <c:pt idx="596">
                  <c:v>-5.7913891688188999</c:v>
                </c:pt>
                <c:pt idx="597">
                  <c:v>-5.7980647234548011</c:v>
                </c:pt>
                <c:pt idx="598">
                  <c:v>-5.804740337774926</c:v>
                </c:pt>
                <c:pt idx="599">
                  <c:v>-5.8114160117785723</c:v>
                </c:pt>
                <c:pt idx="600">
                  <c:v>-5.8180917454650398</c:v>
                </c:pt>
                <c:pt idx="601">
                  <c:v>-5.8247675388336262</c:v>
                </c:pt>
                <c:pt idx="602">
                  <c:v>-5.8314433918836306</c:v>
                </c:pt>
                <c:pt idx="603">
                  <c:v>-5.8381193046143522</c:v>
                </c:pt>
                <c:pt idx="604">
                  <c:v>-5.8447952770250886</c:v>
                </c:pt>
                <c:pt idx="605">
                  <c:v>-5.8514713091151398</c:v>
                </c:pt>
                <c:pt idx="606">
                  <c:v>-5.8581474008838033</c:v>
                </c:pt>
                <c:pt idx="607">
                  <c:v>-5.8648235523303782</c:v>
                </c:pt>
                <c:pt idx="608">
                  <c:v>-5.8714997634541639</c:v>
                </c:pt>
                <c:pt idx="609">
                  <c:v>-5.8781760342544587</c:v>
                </c:pt>
                <c:pt idx="610">
                  <c:v>-5.8848523647305608</c:v>
                </c:pt>
                <c:pt idx="611">
                  <c:v>-5.8915287548817696</c:v>
                </c:pt>
                <c:pt idx="612">
                  <c:v>-5.8982052047073834</c:v>
                </c:pt>
                <c:pt idx="613">
                  <c:v>-5.9048817142067014</c:v>
                </c:pt>
                <c:pt idx="614">
                  <c:v>-5.9115582833790219</c:v>
                </c:pt>
                <c:pt idx="615">
                  <c:v>-5.9182349122236433</c:v>
                </c:pt>
                <c:pt idx="616">
                  <c:v>-5.9249116007398648</c:v>
                </c:pt>
                <c:pt idx="617">
                  <c:v>-5.9315883489269856</c:v>
                </c:pt>
                <c:pt idx="618">
                  <c:v>-5.9382651567843032</c:v>
                </c:pt>
                <c:pt idx="619">
                  <c:v>-5.9449420243111177</c:v>
                </c:pt>
                <c:pt idx="620">
                  <c:v>-5.9516189515067266</c:v>
                </c:pt>
                <c:pt idx="621">
                  <c:v>-5.958295938370429</c:v>
                </c:pt>
                <c:pt idx="622">
                  <c:v>-5.9649729849015243</c:v>
                </c:pt>
                <c:pt idx="623">
                  <c:v>-5.9716500910993107</c:v>
                </c:pt>
                <c:pt idx="624">
                  <c:v>-5.9783272569630865</c:v>
                </c:pt>
                <c:pt idx="625">
                  <c:v>-5.9850044824921511</c:v>
                </c:pt>
                <c:pt idx="626">
                  <c:v>-5.9916817676858036</c:v>
                </c:pt>
                <c:pt idx="627">
                  <c:v>-5.9983591125433415</c:v>
                </c:pt>
                <c:pt idx="628">
                  <c:v>-6.0050365170640649</c:v>
                </c:pt>
                <c:pt idx="629">
                  <c:v>-6.0117139812472713</c:v>
                </c:pt>
                <c:pt idx="630">
                  <c:v>-6.0183915050922598</c:v>
                </c:pt>
                <c:pt idx="631">
                  <c:v>-6.0250690885983298</c:v>
                </c:pt>
                <c:pt idx="632">
                  <c:v>-6.0317467317647795</c:v>
                </c:pt>
                <c:pt idx="633">
                  <c:v>-6.0384244345909073</c:v>
                </c:pt>
                <c:pt idx="634">
                  <c:v>-6.0451021970760124</c:v>
                </c:pt>
                <c:pt idx="635">
                  <c:v>-6.0517800192193931</c:v>
                </c:pt>
                <c:pt idx="636">
                  <c:v>-6.0584579010203488</c:v>
                </c:pt>
                <c:pt idx="637">
                  <c:v>-6.0651358424781776</c:v>
                </c:pt>
                <c:pt idx="638">
                  <c:v>-6.0718138435921789</c:v>
                </c:pt>
                <c:pt idx="639">
                  <c:v>-6.078491904361651</c:v>
                </c:pt>
                <c:pt idx="640">
                  <c:v>-6.0851700247858931</c:v>
                </c:pt>
                <c:pt idx="641">
                  <c:v>-6.0918482048642035</c:v>
                </c:pt>
                <c:pt idx="642">
                  <c:v>-6.0985264445958807</c:v>
                </c:pt>
                <c:pt idx="643">
                  <c:v>-6.1052047439802237</c:v>
                </c:pt>
                <c:pt idx="644">
                  <c:v>-6.111883103016531</c:v>
                </c:pt>
                <c:pt idx="645">
                  <c:v>-6.1185615217041018</c:v>
                </c:pt>
                <c:pt idx="646">
                  <c:v>-6.1252400000422345</c:v>
                </c:pt>
                <c:pt idx="647">
                  <c:v>-6.1319185380302281</c:v>
                </c:pt>
                <c:pt idx="648">
                  <c:v>-6.1385971356673812</c:v>
                </c:pt>
                <c:pt idx="649">
                  <c:v>-6.1452757929529929</c:v>
                </c:pt>
                <c:pt idx="650">
                  <c:v>-6.1519545098863615</c:v>
                </c:pt>
                <c:pt idx="651">
                  <c:v>-6.1586332864667863</c:v>
                </c:pt>
                <c:pt idx="652">
                  <c:v>-6.1653121226935657</c:v>
                </c:pt>
                <c:pt idx="653">
                  <c:v>-6.1719910185659979</c:v>
                </c:pt>
                <c:pt idx="654">
                  <c:v>-6.1786699740833821</c:v>
                </c:pt>
                <c:pt idx="655">
                  <c:v>-6.1853489892450177</c:v>
                </c:pt>
                <c:pt idx="656">
                  <c:v>-6.192028064050203</c:v>
                </c:pt>
                <c:pt idx="657">
                  <c:v>-6.1987071984982363</c:v>
                </c:pt>
                <c:pt idx="658">
                  <c:v>-6.2053863925884167</c:v>
                </c:pt>
                <c:pt idx="659">
                  <c:v>-6.2120656463200428</c:v>
                </c:pt>
                <c:pt idx="660">
                  <c:v>-6.2187449596924136</c:v>
                </c:pt>
                <c:pt idx="661">
                  <c:v>-6.2254243327048275</c:v>
                </c:pt>
                <c:pt idx="662">
                  <c:v>-6.2321037653565838</c:v>
                </c:pt>
                <c:pt idx="663">
                  <c:v>-6.2387832576469808</c:v>
                </c:pt>
                <c:pt idx="664">
                  <c:v>-6.2454628095753177</c:v>
                </c:pt>
                <c:pt idx="665">
                  <c:v>-6.2521424211408929</c:v>
                </c:pt>
                <c:pt idx="666">
                  <c:v>-6.2588220923430056</c:v>
                </c:pt>
                <c:pt idx="667">
                  <c:v>-6.2655018231809541</c:v>
                </c:pt>
                <c:pt idx="668">
                  <c:v>-6.2721816136540367</c:v>
                </c:pt>
                <c:pt idx="669">
                  <c:v>-6.2788614637615527</c:v>
                </c:pt>
                <c:pt idx="670">
                  <c:v>-6.2855413735028014</c:v>
                </c:pt>
                <c:pt idx="671">
                  <c:v>-6.292221342877081</c:v>
                </c:pt>
                <c:pt idx="672">
                  <c:v>-6.2989013718836899</c:v>
                </c:pt>
                <c:pt idx="673">
                  <c:v>-6.3055814605219274</c:v>
                </c:pt>
                <c:pt idx="674">
                  <c:v>-6.3122616087910925</c:v>
                </c:pt>
                <c:pt idx="675">
                  <c:v>-6.3189418166904838</c:v>
                </c:pt>
                <c:pt idx="676">
                  <c:v>-6.3256220842193995</c:v>
                </c:pt>
                <c:pt idx="677">
                  <c:v>-6.3323024113771389</c:v>
                </c:pt>
                <c:pt idx="678">
                  <c:v>-6.3389827981630003</c:v>
                </c:pt>
                <c:pt idx="679">
                  <c:v>-6.3456632445762828</c:v>
                </c:pt>
                <c:pt idx="680">
                  <c:v>-6.3523437506162859</c:v>
                </c:pt>
                <c:pt idx="681">
                  <c:v>-6.3590243162823068</c:v>
                </c:pt>
                <c:pt idx="682">
                  <c:v>-6.3657049415736457</c:v>
                </c:pt>
                <c:pt idx="683">
                  <c:v>-6.3723856264896011</c:v>
                </c:pt>
                <c:pt idx="684">
                  <c:v>-6.379066371029471</c:v>
                </c:pt>
                <c:pt idx="685">
                  <c:v>-6.385747175192555</c:v>
                </c:pt>
                <c:pt idx="686">
                  <c:v>-6.3924280389781512</c:v>
                </c:pt>
                <c:pt idx="687">
                  <c:v>-6.3991089623855588</c:v>
                </c:pt>
                <c:pt idx="688">
                  <c:v>-6.4057899454140763</c:v>
                </c:pt>
                <c:pt idx="689">
                  <c:v>-6.4124709880630029</c:v>
                </c:pt>
                <c:pt idx="690">
                  <c:v>-6.4191520903316368</c:v>
                </c:pt>
                <c:pt idx="691">
                  <c:v>-6.4258332522192774</c:v>
                </c:pt>
                <c:pt idx="692">
                  <c:v>-6.4325144737252229</c:v>
                </c:pt>
                <c:pt idx="693">
                  <c:v>-6.4391957548487726</c:v>
                </c:pt>
                <c:pt idx="694">
                  <c:v>-6.4458770955892248</c:v>
                </c:pt>
                <c:pt idx="695">
                  <c:v>-6.4525584959458788</c:v>
                </c:pt>
                <c:pt idx="696">
                  <c:v>-6.4592399559180329</c:v>
                </c:pt>
                <c:pt idx="697">
                  <c:v>-6.4659214755049863</c:v>
                </c:pt>
                <c:pt idx="698">
                  <c:v>-6.4726030547060374</c:v>
                </c:pt>
                <c:pt idx="699">
                  <c:v>-6.4792846935204853</c:v>
                </c:pt>
                <c:pt idx="700">
                  <c:v>-6.4859663919476285</c:v>
                </c:pt>
                <c:pt idx="701">
                  <c:v>-6.4926481499867661</c:v>
                </c:pt>
                <c:pt idx="702">
                  <c:v>-6.4993299676371965</c:v>
                </c:pt>
                <c:pt idx="703">
                  <c:v>-6.5060118448982189</c:v>
                </c:pt>
                <c:pt idx="704">
                  <c:v>-6.5126937817691317</c:v>
                </c:pt>
                <c:pt idx="705">
                  <c:v>-6.5193757782492341</c:v>
                </c:pt>
                <c:pt idx="706">
                  <c:v>-6.5260578343378244</c:v>
                </c:pt>
                <c:pt idx="707">
                  <c:v>-6.5327399500342018</c:v>
                </c:pt>
                <c:pt idx="708">
                  <c:v>-6.5394221253376656</c:v>
                </c:pt>
                <c:pt idx="709">
                  <c:v>-6.5461043602475142</c:v>
                </c:pt>
                <c:pt idx="710">
                  <c:v>-6.5527866547630458</c:v>
                </c:pt>
                <c:pt idx="711">
                  <c:v>-6.5594690088835597</c:v>
                </c:pt>
                <c:pt idx="712">
                  <c:v>-6.5661514226083542</c:v>
                </c:pt>
                <c:pt idx="713">
                  <c:v>-6.5728338959367285</c:v>
                </c:pt>
                <c:pt idx="714">
                  <c:v>-6.579516428867981</c:v>
                </c:pt>
                <c:pt idx="715">
                  <c:v>-6.586199021401411</c:v>
                </c:pt>
                <c:pt idx="716">
                  <c:v>-6.5928816735363176</c:v>
                </c:pt>
                <c:pt idx="717">
                  <c:v>-6.5995643852719992</c:v>
                </c:pt>
                <c:pt idx="718">
                  <c:v>-6.6062471566077541</c:v>
                </c:pt>
                <c:pt idx="719">
                  <c:v>-6.6129299875428815</c:v>
                </c:pt>
                <c:pt idx="720">
                  <c:v>-6.6196128780766808</c:v>
                </c:pt>
                <c:pt idx="721">
                  <c:v>-6.6262958282084501</c:v>
                </c:pt>
                <c:pt idx="722">
                  <c:v>-6.6329788379374888</c:v>
                </c:pt>
                <c:pt idx="723">
                  <c:v>-6.6396619072630951</c:v>
                </c:pt>
                <c:pt idx="724">
                  <c:v>-6.6463450361845675</c:v>
                </c:pt>
                <c:pt idx="725">
                  <c:v>-6.653028224701206</c:v>
                </c:pt>
                <c:pt idx="726">
                  <c:v>-6.6597114728123081</c:v>
                </c:pt>
                <c:pt idx="727">
                  <c:v>-6.666394780517173</c:v>
                </c:pt>
                <c:pt idx="728">
                  <c:v>-6.6730781478151</c:v>
                </c:pt>
                <c:pt idx="729">
                  <c:v>-6.6797615747053873</c:v>
                </c:pt>
                <c:pt idx="730">
                  <c:v>-6.6864450611873343</c:v>
                </c:pt>
                <c:pt idx="731">
                  <c:v>-6.6931286072602401</c:v>
                </c:pt>
                <c:pt idx="732">
                  <c:v>-6.6998122129234021</c:v>
                </c:pt>
                <c:pt idx="733">
                  <c:v>-6.7064958781761206</c:v>
                </c:pt>
                <c:pt idx="734">
                  <c:v>-6.7131796030176938</c:v>
                </c:pt>
                <c:pt idx="735">
                  <c:v>-6.7198633874474201</c:v>
                </c:pt>
                <c:pt idx="736">
                  <c:v>-6.7265472314645987</c:v>
                </c:pt>
                <c:pt idx="737">
                  <c:v>-6.7332311350685288</c:v>
                </c:pt>
                <c:pt idx="738">
                  <c:v>-6.7399150982585088</c:v>
                </c:pt>
                <c:pt idx="739">
                  <c:v>-6.7465991210338379</c:v>
                </c:pt>
                <c:pt idx="740">
                  <c:v>-6.7532832033938144</c:v>
                </c:pt>
                <c:pt idx="741">
                  <c:v>-6.7599673453377367</c:v>
                </c:pt>
                <c:pt idx="742">
                  <c:v>-6.7666515468649049</c:v>
                </c:pt>
                <c:pt idx="743">
                  <c:v>-6.7733358079746164</c:v>
                </c:pt>
                <c:pt idx="744">
                  <c:v>-6.7800201286661714</c:v>
                </c:pt>
                <c:pt idx="745">
                  <c:v>-6.7867045089388682</c:v>
                </c:pt>
                <c:pt idx="746">
                  <c:v>-6.7933889487920052</c:v>
                </c:pt>
                <c:pt idx="747">
                  <c:v>-6.8000734482248815</c:v>
                </c:pt>
                <c:pt idx="748">
                  <c:v>-6.8067580072367964</c:v>
                </c:pt>
                <c:pt idx="749">
                  <c:v>-6.8134426258270482</c:v>
                </c:pt>
                <c:pt idx="750">
                  <c:v>-6.8201273039949353</c:v>
                </c:pt>
                <c:pt idx="751">
                  <c:v>-6.8268120417397569</c:v>
                </c:pt>
                <c:pt idx="752">
                  <c:v>-6.8334968390608122</c:v>
                </c:pt>
                <c:pt idx="753">
                  <c:v>-6.8401816959573996</c:v>
                </c:pt>
                <c:pt idx="754">
                  <c:v>-6.8468666124288182</c:v>
                </c:pt>
                <c:pt idx="755">
                  <c:v>-6.8535515884743674</c:v>
                </c:pt>
                <c:pt idx="756">
                  <c:v>-6.8602366240933446</c:v>
                </c:pt>
                <c:pt idx="757">
                  <c:v>-6.8669217192850498</c:v>
                </c:pt>
                <c:pt idx="758">
                  <c:v>-6.8736068740487815</c:v>
                </c:pt>
                <c:pt idx="759">
                  <c:v>-6.8802920883838388</c:v>
                </c:pt>
                <c:pt idx="760">
                  <c:v>-6.8869773622895201</c:v>
                </c:pt>
                <c:pt idx="761">
                  <c:v>-6.8936626957651237</c:v>
                </c:pt>
                <c:pt idx="762">
                  <c:v>-6.9003480888099498</c:v>
                </c:pt>
                <c:pt idx="763">
                  <c:v>-6.9070335414232957</c:v>
                </c:pt>
                <c:pt idx="764">
                  <c:v>-6.9137190536044617</c:v>
                </c:pt>
                <c:pt idx="765">
                  <c:v>-6.920404625352746</c:v>
                </c:pt>
                <c:pt idx="766">
                  <c:v>-6.927090256667447</c:v>
                </c:pt>
                <c:pt idx="767">
                  <c:v>-6.933775947547864</c:v>
                </c:pt>
                <c:pt idx="768">
                  <c:v>-6.940461697993296</c:v>
                </c:pt>
                <c:pt idx="769">
                  <c:v>-6.9471475080030416</c:v>
                </c:pt>
                <c:pt idx="770">
                  <c:v>-6.9538333775763999</c:v>
                </c:pt>
                <c:pt idx="771">
                  <c:v>-6.9605193067126692</c:v>
                </c:pt>
                <c:pt idx="772">
                  <c:v>-6.9672052954111487</c:v>
                </c:pt>
                <c:pt idx="773">
                  <c:v>-6.9738913436711378</c:v>
                </c:pt>
                <c:pt idx="774">
                  <c:v>-6.9805774514919348</c:v>
                </c:pt>
                <c:pt idx="775">
                  <c:v>-6.9872636188728379</c:v>
                </c:pt>
                <c:pt idx="776">
                  <c:v>-6.9939498458131464</c:v>
                </c:pt>
                <c:pt idx="777">
                  <c:v>-7.0006361323121595</c:v>
                </c:pt>
                <c:pt idx="778">
                  <c:v>-7.0073224783691757</c:v>
                </c:pt>
                <c:pt idx="779">
                  <c:v>-7.014008883983494</c:v>
                </c:pt>
                <c:pt idx="780">
                  <c:v>-7.0206953491544137</c:v>
                </c:pt>
                <c:pt idx="781">
                  <c:v>-7.0273818738812333</c:v>
                </c:pt>
                <c:pt idx="782">
                  <c:v>-7.0340684581632509</c:v>
                </c:pt>
                <c:pt idx="783">
                  <c:v>-7.0407551019997667</c:v>
                </c:pt>
                <c:pt idx="784">
                  <c:v>-7.0474418053900783</c:v>
                </c:pt>
                <c:pt idx="785">
                  <c:v>-7.0541285683334856</c:v>
                </c:pt>
                <c:pt idx="786">
                  <c:v>-7.060815390829287</c:v>
                </c:pt>
                <c:pt idx="787">
                  <c:v>-7.0675022728767809</c:v>
                </c:pt>
                <c:pt idx="788">
                  <c:v>-7.0741892144752665</c:v>
                </c:pt>
                <c:pt idx="789">
                  <c:v>-7.080876215624043</c:v>
                </c:pt>
                <c:pt idx="790">
                  <c:v>-7.0875632763224088</c:v>
                </c:pt>
                <c:pt idx="791">
                  <c:v>-7.0942503965696631</c:v>
                </c:pt>
                <c:pt idx="792">
                  <c:v>-7.100937576365105</c:v>
                </c:pt>
                <c:pt idx="793">
                  <c:v>-7.1076248157080331</c:v>
                </c:pt>
                <c:pt idx="794">
                  <c:v>-7.1143121145977455</c:v>
                </c:pt>
                <c:pt idx="795">
                  <c:v>-7.1209994730335415</c:v>
                </c:pt>
                <c:pt idx="796">
                  <c:v>-7.1276868910147204</c:v>
                </c:pt>
                <c:pt idx="797">
                  <c:v>-7.1343743685405814</c:v>
                </c:pt>
                <c:pt idx="798">
                  <c:v>-7.1410619056104219</c:v>
                </c:pt>
                <c:pt idx="799">
                  <c:v>-7.147749502223542</c:v>
                </c:pt>
                <c:pt idx="800">
                  <c:v>-7.1544371583792401</c:v>
                </c:pt>
                <c:pt idx="801">
                  <c:v>-7.1611248740768154</c:v>
                </c:pt>
                <c:pt idx="802">
                  <c:v>-7.1678126493155663</c:v>
                </c:pt>
                <c:pt idx="803">
                  <c:v>-7.1745004840947919</c:v>
                </c:pt>
                <c:pt idx="804">
                  <c:v>-7.1811883784137915</c:v>
                </c:pt>
                <c:pt idx="805">
                  <c:v>-7.1878763322718635</c:v>
                </c:pt>
                <c:pt idx="806">
                  <c:v>-7.194564345668307</c:v>
                </c:pt>
                <c:pt idx="807">
                  <c:v>-7.2012524186024205</c:v>
                </c:pt>
                <c:pt idx="808">
                  <c:v>-7.2079405510735031</c:v>
                </c:pt>
                <c:pt idx="809">
                  <c:v>-7.2146287430808531</c:v>
                </c:pt>
                <c:pt idx="810">
                  <c:v>-7.2213169946237699</c:v>
                </c:pt>
                <c:pt idx="811">
                  <c:v>-7.2280053057015525</c:v>
                </c:pt>
                <c:pt idx="812">
                  <c:v>-7.2346936763135004</c:v>
                </c:pt>
                <c:pt idx="813">
                  <c:v>-7.2413821064589108</c:v>
                </c:pt>
                <c:pt idx="814">
                  <c:v>-7.2480705961370839</c:v>
                </c:pt>
                <c:pt idx="815">
                  <c:v>-7.2547591453473181</c:v>
                </c:pt>
                <c:pt idx="816">
                  <c:v>-7.2614477540889126</c:v>
                </c:pt>
                <c:pt idx="817">
                  <c:v>-7.2681364223611657</c:v>
                </c:pt>
                <c:pt idx="818">
                  <c:v>-7.2748251501633767</c:v>
                </c:pt>
                <c:pt idx="819">
                  <c:v>-7.2815139374948448</c:v>
                </c:pt>
                <c:pt idx="820">
                  <c:v>-7.2882027843548682</c:v>
                </c:pt>
                <c:pt idx="821">
                  <c:v>-7.2948916907427463</c:v>
                </c:pt>
                <c:pt idx="822">
                  <c:v>-7.3015806566577774</c:v>
                </c:pt>
                <c:pt idx="823">
                  <c:v>-7.3082696820992608</c:v>
                </c:pt>
                <c:pt idx="824">
                  <c:v>-7.3149587670664955</c:v>
                </c:pt>
                <c:pt idx="825">
                  <c:v>-7.32164791155878</c:v>
                </c:pt>
                <c:pt idx="826">
                  <c:v>-7.3283371155754136</c:v>
                </c:pt>
                <c:pt idx="827">
                  <c:v>-7.3350263791156953</c:v>
                </c:pt>
                <c:pt idx="828">
                  <c:v>-7.3417157021789237</c:v>
                </c:pt>
                <c:pt idx="829">
                  <c:v>-7.3484050847643969</c:v>
                </c:pt>
                <c:pt idx="830">
                  <c:v>-7.3550945268714152</c:v>
                </c:pt>
                <c:pt idx="831">
                  <c:v>-7.3617840284992768</c:v>
                </c:pt>
                <c:pt idx="832">
                  <c:v>-7.3684735896472802</c:v>
                </c:pt>
                <c:pt idx="833">
                  <c:v>-7.3751632103147244</c:v>
                </c:pt>
                <c:pt idx="834">
                  <c:v>-7.3818528905009089</c:v>
                </c:pt>
                <c:pt idx="835">
                  <c:v>-7.3885426302051327</c:v>
                </c:pt>
                <c:pt idx="836">
                  <c:v>-7.3952324294266942</c:v>
                </c:pt>
                <c:pt idx="837">
                  <c:v>-7.4019222881648927</c:v>
                </c:pt>
                <c:pt idx="838">
                  <c:v>-7.4086122064190265</c:v>
                </c:pt>
                <c:pt idx="839">
                  <c:v>-7.4153021841883948</c:v>
                </c:pt>
                <c:pt idx="840">
                  <c:v>-7.421992221472296</c:v>
                </c:pt>
                <c:pt idx="841">
                  <c:v>-7.4286823182700301</c:v>
                </c:pt>
                <c:pt idx="842">
                  <c:v>-7.4353724745808956</c:v>
                </c:pt>
                <c:pt idx="843">
                  <c:v>-7.4420626904041907</c:v>
                </c:pt>
                <c:pt idx="844">
                  <c:v>-7.4487529657392146</c:v>
                </c:pt>
                <c:pt idx="845">
                  <c:v>-7.4554433005852667</c:v>
                </c:pt>
                <c:pt idx="846">
                  <c:v>-7.4621336949416452</c:v>
                </c:pt>
                <c:pt idx="847">
                  <c:v>-7.4688241488076494</c:v>
                </c:pt>
                <c:pt idx="848">
                  <c:v>-7.4755146621825785</c:v>
                </c:pt>
                <c:pt idx="849">
                  <c:v>-7.4822052350657309</c:v>
                </c:pt>
                <c:pt idx="850">
                  <c:v>-7.4888958674564057</c:v>
                </c:pt>
                <c:pt idx="851">
                  <c:v>-7.4955865593539022</c:v>
                </c:pt>
                <c:pt idx="852">
                  <c:v>-7.5022773107575187</c:v>
                </c:pt>
                <c:pt idx="853">
                  <c:v>-7.5089681216665545</c:v>
                </c:pt>
                <c:pt idx="854">
                  <c:v>-7.5156589920803079</c:v>
                </c:pt>
                <c:pt idx="855">
                  <c:v>-7.5223499219980781</c:v>
                </c:pt>
                <c:pt idx="856">
                  <c:v>-7.5290409114191643</c:v>
                </c:pt>
                <c:pt idx="857">
                  <c:v>-7.5357319603428659</c:v>
                </c:pt>
                <c:pt idx="858">
                  <c:v>-7.542423068768481</c:v>
                </c:pt>
                <c:pt idx="859">
                  <c:v>-7.5491142366953081</c:v>
                </c:pt>
                <c:pt idx="860">
                  <c:v>-7.5558054641226473</c:v>
                </c:pt>
                <c:pt idx="861">
                  <c:v>-7.5624967510497969</c:v>
                </c:pt>
                <c:pt idx="862">
                  <c:v>-7.5691880974760553</c:v>
                </c:pt>
                <c:pt idx="863">
                  <c:v>-7.5758795034007225</c:v>
                </c:pt>
                <c:pt idx="864">
                  <c:v>-7.5825709688230969</c:v>
                </c:pt>
                <c:pt idx="865">
                  <c:v>-7.5892624937424769</c:v>
                </c:pt>
                <c:pt idx="866">
                  <c:v>-7.5959540781581625</c:v>
                </c:pt>
                <c:pt idx="867">
                  <c:v>-7.6026457220694521</c:v>
                </c:pt>
                <c:pt idx="868">
                  <c:v>-7.6093374254756441</c:v>
                </c:pt>
                <c:pt idx="869">
                  <c:v>-7.6160291883760376</c:v>
                </c:pt>
                <c:pt idx="870">
                  <c:v>-7.6227210107699319</c:v>
                </c:pt>
                <c:pt idx="871">
                  <c:v>-7.6294128926566263</c:v>
                </c:pt>
                <c:pt idx="872">
                  <c:v>-7.636104834035419</c:v>
                </c:pt>
                <c:pt idx="873">
                  <c:v>-7.6427968349056092</c:v>
                </c:pt>
                <c:pt idx="874">
                  <c:v>-7.6494888952664954</c:v>
                </c:pt>
                <c:pt idx="875">
                  <c:v>-7.6561810151173768</c:v>
                </c:pt>
                <c:pt idx="876">
                  <c:v>-7.6628731944575526</c:v>
                </c:pt>
                <c:pt idx="877">
                  <c:v>-7.6695654332863219</c:v>
                </c:pt>
                <c:pt idx="878">
                  <c:v>-7.6762577316029832</c:v>
                </c:pt>
                <c:pt idx="879">
                  <c:v>-7.6829500894068357</c:v>
                </c:pt>
                <c:pt idx="880">
                  <c:v>-7.6896425066971776</c:v>
                </c:pt>
                <c:pt idx="881">
                  <c:v>-7.6963349834733084</c:v>
                </c:pt>
                <c:pt idx="882">
                  <c:v>-7.703027519734527</c:v>
                </c:pt>
                <c:pt idx="883">
                  <c:v>-7.7097201154801329</c:v>
                </c:pt>
                <c:pt idx="884">
                  <c:v>-7.7164127707094243</c:v>
                </c:pt>
                <c:pt idx="885">
                  <c:v>-7.7231054854217005</c:v>
                </c:pt>
                <c:pt idx="886">
                  <c:v>-7.7297982596162598</c:v>
                </c:pt>
                <c:pt idx="887">
                  <c:v>-7.7364910932924014</c:v>
                </c:pt>
                <c:pt idx="888">
                  <c:v>-7.7431839864494245</c:v>
                </c:pt>
                <c:pt idx="889">
                  <c:v>-7.7498769390866284</c:v>
                </c:pt>
                <c:pt idx="890">
                  <c:v>-7.7565699512033115</c:v>
                </c:pt>
                <c:pt idx="891">
                  <c:v>-7.7632630227987729</c:v>
                </c:pt>
                <c:pt idx="892">
                  <c:v>-7.769956153872311</c:v>
                </c:pt>
                <c:pt idx="893">
                  <c:v>-7.776649344423225</c:v>
                </c:pt>
                <c:pt idx="894">
                  <c:v>-7.7833425944508141</c:v>
                </c:pt>
                <c:pt idx="895">
                  <c:v>-7.7900359039543776</c:v>
                </c:pt>
                <c:pt idx="896">
                  <c:v>-7.7967292729332138</c:v>
                </c:pt>
                <c:pt idx="897">
                  <c:v>-7.803422701386622</c:v>
                </c:pt>
                <c:pt idx="898">
                  <c:v>-7.8101161893139013</c:v>
                </c:pt>
                <c:pt idx="899">
                  <c:v>-7.8168097367143501</c:v>
                </c:pt>
                <c:pt idx="900">
                  <c:v>-7.8235033435872676</c:v>
                </c:pt>
                <c:pt idx="901">
                  <c:v>-7.8301970099319531</c:v>
                </c:pt>
                <c:pt idx="902">
                  <c:v>-7.8368907357477049</c:v>
                </c:pt>
                <c:pt idx="903">
                  <c:v>-7.8435845210338222</c:v>
                </c:pt>
                <c:pt idx="904">
                  <c:v>-7.8502783657896043</c:v>
                </c:pt>
                <c:pt idx="905">
                  <c:v>-7.8569722700143494</c:v>
                </c:pt>
                <c:pt idx="906">
                  <c:v>-7.8636662337073568</c:v>
                </c:pt>
                <c:pt idx="907">
                  <c:v>-7.8703602568679258</c:v>
                </c:pt>
                <c:pt idx="908">
                  <c:v>-7.8770543394953556</c:v>
                </c:pt>
                <c:pt idx="909">
                  <c:v>-7.8837484815889445</c:v>
                </c:pt>
                <c:pt idx="910">
                  <c:v>-7.8904426831479917</c:v>
                </c:pt>
                <c:pt idx="911">
                  <c:v>-7.8971369441717956</c:v>
                </c:pt>
                <c:pt idx="912">
                  <c:v>-7.9038312646596554</c:v>
                </c:pt>
                <c:pt idx="913">
                  <c:v>-7.9105256446108703</c:v>
                </c:pt>
                <c:pt idx="914">
                  <c:v>-7.9172200840247395</c:v>
                </c:pt>
                <c:pt idx="915">
                  <c:v>-7.9239145829005615</c:v>
                </c:pt>
                <c:pt idx="916">
                  <c:v>-7.9306091412376354</c:v>
                </c:pt>
                <c:pt idx="917">
                  <c:v>-7.9373037590352604</c:v>
                </c:pt>
                <c:pt idx="918">
                  <c:v>-7.9439984362927358</c:v>
                </c:pt>
                <c:pt idx="919">
                  <c:v>-7.95069317300936</c:v>
                </c:pt>
                <c:pt idx="920">
                  <c:v>-7.957387969184432</c:v>
                </c:pt>
                <c:pt idx="921">
                  <c:v>-7.9640828248172504</c:v>
                </c:pt>
                <c:pt idx="922">
                  <c:v>-7.9707777399071142</c:v>
                </c:pt>
                <c:pt idx="923">
                  <c:v>-7.9774727144533228</c:v>
                </c:pt>
                <c:pt idx="924">
                  <c:v>-7.9841677484551754</c:v>
                </c:pt>
                <c:pt idx="925">
                  <c:v>-7.9908628419119703</c:v>
                </c:pt>
                <c:pt idx="926">
                  <c:v>-7.9975579948230067</c:v>
                </c:pt>
                <c:pt idx="927">
                  <c:v>-8.0042532071875847</c:v>
                </c:pt>
                <c:pt idx="928">
                  <c:v>-8.0109484790050018</c:v>
                </c:pt>
                <c:pt idx="929">
                  <c:v>-8.0176438102745564</c:v>
                </c:pt>
                <c:pt idx="930">
                  <c:v>-8.0243392009955485</c:v>
                </c:pt>
                <c:pt idx="931">
                  <c:v>-8.0310346511672783</c:v>
                </c:pt>
                <c:pt idx="932">
                  <c:v>-8.0377301607890423</c:v>
                </c:pt>
                <c:pt idx="933">
                  <c:v>-8.0444257298601407</c:v>
                </c:pt>
                <c:pt idx="934">
                  <c:v>-8.0511213583798735</c:v>
                </c:pt>
                <c:pt idx="935">
                  <c:v>-8.0578170463475374</c:v>
                </c:pt>
                <c:pt idx="936">
                  <c:v>-8.0645127937624341</c:v>
                </c:pt>
                <c:pt idx="937">
                  <c:v>-8.0712086006238604</c:v>
                </c:pt>
                <c:pt idx="938">
                  <c:v>-8.0779044669311162</c:v>
                </c:pt>
                <c:pt idx="939">
                  <c:v>-8.0846003926834999</c:v>
                </c:pt>
                <c:pt idx="940">
                  <c:v>-8.0912963778803118</c:v>
                </c:pt>
                <c:pt idx="941">
                  <c:v>-8.0979924225208482</c:v>
                </c:pt>
                <c:pt idx="942">
                  <c:v>-8.1046885266044111</c:v>
                </c:pt>
                <c:pt idx="943">
                  <c:v>-8.1113846901302971</c:v>
                </c:pt>
                <c:pt idx="944">
                  <c:v>-8.1180809130978062</c:v>
                </c:pt>
                <c:pt idx="945">
                  <c:v>-8.1247771955062387</c:v>
                </c:pt>
                <c:pt idx="946">
                  <c:v>-8.131473537354891</c:v>
                </c:pt>
                <c:pt idx="947">
                  <c:v>-8.1381699386430633</c:v>
                </c:pt>
                <c:pt idx="948">
                  <c:v>-8.1448663993700556</c:v>
                </c:pt>
                <c:pt idx="949">
                  <c:v>-8.1515629195351664</c:v>
                </c:pt>
                <c:pt idx="950">
                  <c:v>-8.158259499137694</c:v>
                </c:pt>
                <c:pt idx="951">
                  <c:v>-8.1649561381769367</c:v>
                </c:pt>
                <c:pt idx="952">
                  <c:v>-8.1716528366521946</c:v>
                </c:pt>
                <c:pt idx="953">
                  <c:v>-8.178349594562766</c:v>
                </c:pt>
                <c:pt idx="954">
                  <c:v>-8.1850464119079511</c:v>
                </c:pt>
                <c:pt idx="955">
                  <c:v>-8.1917432886870483</c:v>
                </c:pt>
                <c:pt idx="956">
                  <c:v>-8.1984402248993558</c:v>
                </c:pt>
                <c:pt idx="957">
                  <c:v>-8.2051372205441737</c:v>
                </c:pt>
                <c:pt idx="958">
                  <c:v>-8.2118342756208005</c:v>
                </c:pt>
                <c:pt idx="959">
                  <c:v>-8.2185313901285362</c:v>
                </c:pt>
                <c:pt idx="960">
                  <c:v>-8.2252285640666791</c:v>
                </c:pt>
                <c:pt idx="961">
                  <c:v>-8.2319257974345277</c:v>
                </c:pt>
                <c:pt idx="962">
                  <c:v>-8.2386230902313802</c:v>
                </c:pt>
                <c:pt idx="963">
                  <c:v>-8.2453204424565367</c:v>
                </c:pt>
                <c:pt idx="964">
                  <c:v>-8.2520178541092974</c:v>
                </c:pt>
                <c:pt idx="965">
                  <c:v>-8.2587153251889589</c:v>
                </c:pt>
                <c:pt idx="966">
                  <c:v>-8.2654128556948212</c:v>
                </c:pt>
                <c:pt idx="967">
                  <c:v>-8.2721104456261845</c:v>
                </c:pt>
                <c:pt idx="968">
                  <c:v>-8.278808094982347</c:v>
                </c:pt>
                <c:pt idx="969">
                  <c:v>-8.2855058037626073</c:v>
                </c:pt>
                <c:pt idx="970">
                  <c:v>-8.2922035719662635</c:v>
                </c:pt>
                <c:pt idx="971">
                  <c:v>-8.2989013995926157</c:v>
                </c:pt>
                <c:pt idx="972">
                  <c:v>-8.3055992866409643</c:v>
                </c:pt>
                <c:pt idx="973">
                  <c:v>-8.3122972331106055</c:v>
                </c:pt>
                <c:pt idx="974">
                  <c:v>-8.3189952390008397</c:v>
                </c:pt>
                <c:pt idx="975">
                  <c:v>-8.3256933043109669</c:v>
                </c:pt>
                <c:pt idx="976">
                  <c:v>-8.3323914290402854</c:v>
                </c:pt>
                <c:pt idx="977">
                  <c:v>-8.3390896131880936</c:v>
                </c:pt>
                <c:pt idx="978">
                  <c:v>-8.3457878567536898</c:v>
                </c:pt>
                <c:pt idx="979">
                  <c:v>-8.3524861597363742</c:v>
                </c:pt>
                <c:pt idx="980">
                  <c:v>-8.3591845221354468</c:v>
                </c:pt>
                <c:pt idx="981">
                  <c:v>-8.3658829439502043</c:v>
                </c:pt>
                <c:pt idx="982">
                  <c:v>-8.3725814251799466</c:v>
                </c:pt>
                <c:pt idx="983">
                  <c:v>-8.3792799658239741</c:v>
                </c:pt>
                <c:pt idx="984">
                  <c:v>-8.3859785658815849</c:v>
                </c:pt>
                <c:pt idx="985">
                  <c:v>-8.3926772253520774</c:v>
                </c:pt>
                <c:pt idx="986">
                  <c:v>-8.39937594423475</c:v>
                </c:pt>
                <c:pt idx="987">
                  <c:v>-8.4060747225289028</c:v>
                </c:pt>
                <c:pt idx="988">
                  <c:v>-8.4127735602338358</c:v>
                </c:pt>
                <c:pt idx="989">
                  <c:v>-8.4194724573488475</c:v>
                </c:pt>
                <c:pt idx="990">
                  <c:v>-8.4261714138732362</c:v>
                </c:pt>
                <c:pt idx="991">
                  <c:v>-8.4328704298063002</c:v>
                </c:pt>
                <c:pt idx="992">
                  <c:v>-8.4395695051473396</c:v>
                </c:pt>
                <c:pt idx="993">
                  <c:v>-8.4462686398956528</c:v>
                </c:pt>
                <c:pt idx="994">
                  <c:v>-8.4529678340505399</c:v>
                </c:pt>
                <c:pt idx="995">
                  <c:v>-8.4596670876112992</c:v>
                </c:pt>
                <c:pt idx="996">
                  <c:v>-8.4663664005772308</c:v>
                </c:pt>
                <c:pt idx="997">
                  <c:v>-8.4730657729476313</c:v>
                </c:pt>
                <c:pt idx="998">
                  <c:v>-8.4797652047218026</c:v>
                </c:pt>
                <c:pt idx="999">
                  <c:v>-8.4864646958990413</c:v>
                </c:pt>
                <c:pt idx="1000">
                  <c:v>-8.4931642464786474</c:v>
                </c:pt>
              </c:numCache>
            </c:numRef>
          </c:yVal>
          <c:smooth val="1"/>
          <c:extLst>
            <c:ext xmlns:c16="http://schemas.microsoft.com/office/drawing/2014/chart" uri="{C3380CC4-5D6E-409C-BE32-E72D297353CC}">
              <c16:uniqueId val="{00000002-E96A-45DC-8C10-0DCBDEA9B00D}"/>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96A-45DC-8C10-0DCBDEA9B00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9</c:v>
                </c:pt>
                <c:pt idx="1">
                  <c:v>23.617710792892318</c:v>
                </c:pt>
                <c:pt idx="2">
                  <c:v>38.235421585784636</c:v>
                </c:pt>
                <c:pt idx="3">
                  <c:v>37.822620361623947</c:v>
                </c:pt>
                <c:pt idx="4">
                  <c:v>38.235421585784636</c:v>
                </c:pt>
                <c:pt idx="5">
                  <c:v>36.262620361623945</c:v>
                </c:pt>
                <c:pt idx="6">
                  <c:v>38.235421585784636</c:v>
                </c:pt>
              </c:numCache>
            </c:numRef>
          </c:xVal>
          <c:yVal>
            <c:numRef>
              <c:f>Trajecto!$C$129:$C$135</c:f>
              <c:numCache>
                <c:formatCode>0</c:formatCode>
                <c:ptCount val="7"/>
                <c:pt idx="0">
                  <c:v>272.56749522187266</c:v>
                </c:pt>
                <c:pt idx="1">
                  <c:v>136.28374761093633</c:v>
                </c:pt>
                <c:pt idx="2">
                  <c:v>0</c:v>
                </c:pt>
                <c:pt idx="3">
                  <c:v>15.872579057463103</c:v>
                </c:pt>
                <c:pt idx="4">
                  <c:v>0</c:v>
                </c:pt>
                <c:pt idx="5">
                  <c:v>7.0927486195259428</c:v>
                </c:pt>
                <c:pt idx="6">
                  <c:v>0</c:v>
                </c:pt>
              </c:numCache>
            </c:numRef>
          </c:yVal>
          <c:smooth val="0"/>
          <c:extLst>
            <c:ext xmlns:c16="http://schemas.microsoft.com/office/drawing/2014/chart" uri="{C3380CC4-5D6E-409C-BE32-E72D297353CC}">
              <c16:uniqueId val="{00000004-E96A-45DC-8C10-0DCBDEA9B00D}"/>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96A-45DC-8C10-0DCBDEA9B00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E96A-45DC-8C10-0DCBDEA9B00D}"/>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Calculs!$AE$4:$AE$1004</c:f>
              <c:numCache>
                <c:formatCode>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E96A-45DC-8C10-0DCBDEA9B00D}"/>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2.25</c:v>
                </c:pt>
              </c:numCache>
            </c:numRef>
          </c:xVal>
          <c:yVal>
            <c:numRef>
              <c:f>Trajecto!$C$155</c:f>
              <c:numCache>
                <c:formatCode>0</c:formatCode>
                <c:ptCount val="1"/>
                <c:pt idx="0">
                  <c:v>136.28374761093633</c:v>
                </c:pt>
              </c:numCache>
            </c:numRef>
          </c:yVal>
          <c:smooth val="0"/>
          <c:extLst>
            <c:ext xmlns:c16="http://schemas.microsoft.com/office/drawing/2014/chart" uri="{C3380CC4-5D6E-409C-BE32-E72D297353CC}">
              <c16:uniqueId val="{00000008-E96A-45DC-8C10-0DCBDEA9B00D}"/>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11.599999999999977</c:v>
                </c:pt>
              </c:numCache>
            </c:numRef>
          </c:xVal>
          <c:yVal>
            <c:numRef>
              <c:f>Trajecto!$C$156</c:f>
              <c:numCache>
                <c:formatCode>0</c:formatCode>
                <c:ptCount val="1"/>
                <c:pt idx="0">
                  <c:v>140.71938871560357</c:v>
                </c:pt>
              </c:numCache>
            </c:numRef>
          </c:yVal>
          <c:smooth val="0"/>
          <c:extLst>
            <c:ext xmlns:c16="http://schemas.microsoft.com/office/drawing/2014/chart" uri="{C3380CC4-5D6E-409C-BE32-E72D297353CC}">
              <c16:uniqueId val="{00000009-E96A-45DC-8C10-0DCBDEA9B00D}"/>
            </c:ext>
          </c:extLst>
        </c:ser>
        <c:dLbls>
          <c:showLegendKey val="0"/>
          <c:showVal val="0"/>
          <c:showCatName val="0"/>
          <c:showSerName val="0"/>
          <c:showPercent val="0"/>
          <c:showBubbleSize val="0"/>
        </c:dLbls>
        <c:axId val="679020704"/>
        <c:axId val="1"/>
      </c:scatterChart>
      <c:valAx>
        <c:axId val="679020704"/>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5555555551"/>
              <c:y val="0.85139318885448911"/>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49956255471E-2"/>
              <c:y val="6.8111455108359129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67902070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Calculs!$Q$4:$Q$1004</c:f>
              <c:numCache>
                <c:formatCode>0.00</c:formatCode>
                <c:ptCount val="1001"/>
                <c:pt idx="0">
                  <c:v>0</c:v>
                </c:pt>
                <c:pt idx="1">
                  <c:v>62.5</c:v>
                </c:pt>
                <c:pt idx="2">
                  <c:v>187.5</c:v>
                </c:pt>
                <c:pt idx="3">
                  <c:v>240</c:v>
                </c:pt>
                <c:pt idx="4">
                  <c:v>220</c:v>
                </c:pt>
                <c:pt idx="5">
                  <c:v>209.56896551724137</c:v>
                </c:pt>
                <c:pt idx="6">
                  <c:v>208.70689655172413</c:v>
                </c:pt>
                <c:pt idx="7">
                  <c:v>207.84482758620689</c:v>
                </c:pt>
                <c:pt idx="8">
                  <c:v>206.98275862068965</c:v>
                </c:pt>
                <c:pt idx="9">
                  <c:v>206.12068965517241</c:v>
                </c:pt>
                <c:pt idx="10">
                  <c:v>205.25862068965517</c:v>
                </c:pt>
                <c:pt idx="11">
                  <c:v>204.39655172413794</c:v>
                </c:pt>
                <c:pt idx="12">
                  <c:v>203.5344827586207</c:v>
                </c:pt>
                <c:pt idx="13">
                  <c:v>202.67241379310346</c:v>
                </c:pt>
                <c:pt idx="14">
                  <c:v>201.81034482758622</c:v>
                </c:pt>
                <c:pt idx="15">
                  <c:v>200.94827586206895</c:v>
                </c:pt>
                <c:pt idx="16">
                  <c:v>200.08620689655172</c:v>
                </c:pt>
                <c:pt idx="17">
                  <c:v>199.22413793103448</c:v>
                </c:pt>
                <c:pt idx="18">
                  <c:v>198.36206896551724</c:v>
                </c:pt>
                <c:pt idx="19">
                  <c:v>197.5</c:v>
                </c:pt>
                <c:pt idx="20">
                  <c:v>196.63793103448276</c:v>
                </c:pt>
                <c:pt idx="21">
                  <c:v>195.77586206896552</c:v>
                </c:pt>
                <c:pt idx="22">
                  <c:v>194.91379310344826</c:v>
                </c:pt>
                <c:pt idx="23">
                  <c:v>194.05172413793102</c:v>
                </c:pt>
                <c:pt idx="24">
                  <c:v>193.18965517241378</c:v>
                </c:pt>
                <c:pt idx="25">
                  <c:v>192.32758620689654</c:v>
                </c:pt>
                <c:pt idx="26">
                  <c:v>191.4655172413793</c:v>
                </c:pt>
                <c:pt idx="27">
                  <c:v>190.60344827586206</c:v>
                </c:pt>
                <c:pt idx="28">
                  <c:v>189.74137931034483</c:v>
                </c:pt>
                <c:pt idx="29">
                  <c:v>188.87931034482759</c:v>
                </c:pt>
                <c:pt idx="30">
                  <c:v>188.01724137931035</c:v>
                </c:pt>
                <c:pt idx="31">
                  <c:v>187.15517241379308</c:v>
                </c:pt>
                <c:pt idx="32">
                  <c:v>186.29310344827584</c:v>
                </c:pt>
                <c:pt idx="33">
                  <c:v>185.43103448275861</c:v>
                </c:pt>
                <c:pt idx="34">
                  <c:v>184.56896551724137</c:v>
                </c:pt>
                <c:pt idx="35">
                  <c:v>183.70689655172413</c:v>
                </c:pt>
                <c:pt idx="36">
                  <c:v>182.84482758620689</c:v>
                </c:pt>
                <c:pt idx="37">
                  <c:v>181.98275862068965</c:v>
                </c:pt>
                <c:pt idx="38">
                  <c:v>181.12068965517238</c:v>
                </c:pt>
                <c:pt idx="39">
                  <c:v>180.25862068965515</c:v>
                </c:pt>
                <c:pt idx="40">
                  <c:v>179.39655172413791</c:v>
                </c:pt>
                <c:pt idx="41">
                  <c:v>178.53448275862067</c:v>
                </c:pt>
                <c:pt idx="42">
                  <c:v>177.67241379310343</c:v>
                </c:pt>
                <c:pt idx="43">
                  <c:v>176.81034482758619</c:v>
                </c:pt>
                <c:pt idx="44">
                  <c:v>175.94827586206895</c:v>
                </c:pt>
                <c:pt idx="45">
                  <c:v>175.08620689655169</c:v>
                </c:pt>
                <c:pt idx="46">
                  <c:v>174.22413793103445</c:v>
                </c:pt>
                <c:pt idx="47">
                  <c:v>173.36206896551721</c:v>
                </c:pt>
                <c:pt idx="48">
                  <c:v>172.49999999999997</c:v>
                </c:pt>
                <c:pt idx="49">
                  <c:v>171.63793103448273</c:v>
                </c:pt>
                <c:pt idx="50">
                  <c:v>170.77586206896549</c:v>
                </c:pt>
                <c:pt idx="51">
                  <c:v>169.91379310344826</c:v>
                </c:pt>
                <c:pt idx="52">
                  <c:v>169.05172413793102</c:v>
                </c:pt>
                <c:pt idx="53">
                  <c:v>168.18965517241378</c:v>
                </c:pt>
                <c:pt idx="54">
                  <c:v>167.32758620689651</c:v>
                </c:pt>
                <c:pt idx="55">
                  <c:v>166.4655172413793</c:v>
                </c:pt>
                <c:pt idx="56">
                  <c:v>165.60344827586204</c:v>
                </c:pt>
                <c:pt idx="57">
                  <c:v>164.7413793103448</c:v>
                </c:pt>
                <c:pt idx="58">
                  <c:v>163.87931034482756</c:v>
                </c:pt>
                <c:pt idx="59">
                  <c:v>163.01724137931032</c:v>
                </c:pt>
                <c:pt idx="60">
                  <c:v>162.15517241379308</c:v>
                </c:pt>
                <c:pt idx="61">
                  <c:v>161.29310344827584</c:v>
                </c:pt>
                <c:pt idx="62">
                  <c:v>160.43103448275861</c:v>
                </c:pt>
                <c:pt idx="63">
                  <c:v>158.74999999999991</c:v>
                </c:pt>
                <c:pt idx="64">
                  <c:v>156.24999999999991</c:v>
                </c:pt>
                <c:pt idx="65">
                  <c:v>153.74999999999991</c:v>
                </c:pt>
                <c:pt idx="66">
                  <c:v>151.24999999999991</c:v>
                </c:pt>
                <c:pt idx="67">
                  <c:v>147.99999999999986</c:v>
                </c:pt>
                <c:pt idx="68">
                  <c:v>143.99999999999986</c:v>
                </c:pt>
                <c:pt idx="69">
                  <c:v>138.66666666666643</c:v>
                </c:pt>
                <c:pt idx="70">
                  <c:v>131.99999999999977</c:v>
                </c:pt>
                <c:pt idx="71">
                  <c:v>125.33333333333309</c:v>
                </c:pt>
                <c:pt idx="72">
                  <c:v>118.66666666666643</c:v>
                </c:pt>
                <c:pt idx="73">
                  <c:v>111.99999999999974</c:v>
                </c:pt>
                <c:pt idx="74">
                  <c:v>105.33333333333307</c:v>
                </c:pt>
                <c:pt idx="75">
                  <c:v>98.666666666666401</c:v>
                </c:pt>
                <c:pt idx="76">
                  <c:v>91.99999999999973</c:v>
                </c:pt>
                <c:pt idx="77">
                  <c:v>85.333333333333059</c:v>
                </c:pt>
                <c:pt idx="78">
                  <c:v>78.666666666666373</c:v>
                </c:pt>
                <c:pt idx="79">
                  <c:v>71.999999999999702</c:v>
                </c:pt>
                <c:pt idx="80">
                  <c:v>65.33333333333303</c:v>
                </c:pt>
                <c:pt idx="81">
                  <c:v>60.249999999999837</c:v>
                </c:pt>
                <c:pt idx="82">
                  <c:v>56.749999999999829</c:v>
                </c:pt>
                <c:pt idx="83">
                  <c:v>53.249999999999822</c:v>
                </c:pt>
                <c:pt idx="84">
                  <c:v>49.749999999999808</c:v>
                </c:pt>
                <c:pt idx="85">
                  <c:v>46.249999999999808</c:v>
                </c:pt>
                <c:pt idx="86">
                  <c:v>42.749999999999808</c:v>
                </c:pt>
                <c:pt idx="87">
                  <c:v>39.249999999999801</c:v>
                </c:pt>
                <c:pt idx="88">
                  <c:v>35.749999999999801</c:v>
                </c:pt>
                <c:pt idx="89">
                  <c:v>32.749999999999858</c:v>
                </c:pt>
                <c:pt idx="90">
                  <c:v>30.249999999999861</c:v>
                </c:pt>
                <c:pt idx="91">
                  <c:v>27.749999999999861</c:v>
                </c:pt>
                <c:pt idx="92">
                  <c:v>25.249999999999861</c:v>
                </c:pt>
                <c:pt idx="93">
                  <c:v>22.874999999999872</c:v>
                </c:pt>
                <c:pt idx="94">
                  <c:v>20.624999999999865</c:v>
                </c:pt>
                <c:pt idx="95">
                  <c:v>18.374999999999858</c:v>
                </c:pt>
                <c:pt idx="96">
                  <c:v>16.124999999999854</c:v>
                </c:pt>
                <c:pt idx="97">
                  <c:v>14.374999999999917</c:v>
                </c:pt>
                <c:pt idx="98">
                  <c:v>13.124999999999917</c:v>
                </c:pt>
                <c:pt idx="99">
                  <c:v>11.874999999999917</c:v>
                </c:pt>
                <c:pt idx="100">
                  <c:v>10.624999999999917</c:v>
                </c:pt>
                <c:pt idx="101">
                  <c:v>9.3749999999999023</c:v>
                </c:pt>
                <c:pt idx="102">
                  <c:v>8.1249999999999023</c:v>
                </c:pt>
                <c:pt idx="103">
                  <c:v>6.8749999999999023</c:v>
                </c:pt>
                <c:pt idx="104">
                  <c:v>5.6249999999999032</c:v>
                </c:pt>
                <c:pt idx="105">
                  <c:v>4.3749999999999032</c:v>
                </c:pt>
                <c:pt idx="106">
                  <c:v>3.1249999999999032</c:v>
                </c:pt>
                <c:pt idx="107">
                  <c:v>1.8749999999999023</c:v>
                </c:pt>
                <c:pt idx="108">
                  <c:v>0.6249999999999023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C0A4-422D-8B8B-35A0AD0C72E1}"/>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Calculs!$T$4:$T$1004</c:f>
              <c:numCache>
                <c:formatCode>0.00</c:formatCode>
                <c:ptCount val="1001"/>
                <c:pt idx="0">
                  <c:v>16.074666000000001</c:v>
                </c:pt>
                <c:pt idx="1">
                  <c:v>16.071411840353836</c:v>
                </c:pt>
                <c:pt idx="2">
                  <c:v>16.061649361415334</c:v>
                </c:pt>
                <c:pt idx="3">
                  <c:v>16.049153388374055</c:v>
                </c:pt>
                <c:pt idx="4">
                  <c:v>16.037698746419547</c:v>
                </c:pt>
                <c:pt idx="5">
                  <c:v>16.026787212488745</c:v>
                </c:pt>
                <c:pt idx="6">
                  <c:v>16.015920563518581</c:v>
                </c:pt>
                <c:pt idx="7">
                  <c:v>16.005098799509053</c:v>
                </c:pt>
                <c:pt idx="8">
                  <c:v>15.994321920460161</c:v>
                </c:pt>
                <c:pt idx="9">
                  <c:v>15.983589926371906</c:v>
                </c:pt>
                <c:pt idx="10">
                  <c:v>15.972902817244288</c:v>
                </c:pt>
                <c:pt idx="11">
                  <c:v>15.962260593077307</c:v>
                </c:pt>
                <c:pt idx="12">
                  <c:v>15.951663253870962</c:v>
                </c:pt>
                <c:pt idx="13">
                  <c:v>15.941110799625255</c:v>
                </c:pt>
                <c:pt idx="14">
                  <c:v>15.930603230340184</c:v>
                </c:pt>
                <c:pt idx="15">
                  <c:v>15.92014054601575</c:v>
                </c:pt>
                <c:pt idx="16">
                  <c:v>15.909722746651951</c:v>
                </c:pt>
                <c:pt idx="17">
                  <c:v>15.899349832248792</c:v>
                </c:pt>
                <c:pt idx="18">
                  <c:v>15.889021802806267</c:v>
                </c:pt>
                <c:pt idx="19">
                  <c:v>15.87873865832438</c:v>
                </c:pt>
                <c:pt idx="20">
                  <c:v>15.86850039880313</c:v>
                </c:pt>
                <c:pt idx="21">
                  <c:v>15.858307024242517</c:v>
                </c:pt>
                <c:pt idx="22">
                  <c:v>15.84815853464254</c:v>
                </c:pt>
                <c:pt idx="23">
                  <c:v>15.838054930003199</c:v>
                </c:pt>
                <c:pt idx="24">
                  <c:v>15.827996210324496</c:v>
                </c:pt>
                <c:pt idx="25">
                  <c:v>15.81798237560643</c:v>
                </c:pt>
                <c:pt idx="26">
                  <c:v>15.808013425849001</c:v>
                </c:pt>
                <c:pt idx="27">
                  <c:v>15.798089361052208</c:v>
                </c:pt>
                <c:pt idx="28">
                  <c:v>15.788210181216051</c:v>
                </c:pt>
                <c:pt idx="29">
                  <c:v>15.778375886340532</c:v>
                </c:pt>
                <c:pt idx="30">
                  <c:v>15.768586476425648</c:v>
                </c:pt>
                <c:pt idx="31">
                  <c:v>15.758841951471403</c:v>
                </c:pt>
                <c:pt idx="32">
                  <c:v>15.749142311477794</c:v>
                </c:pt>
                <c:pt idx="33">
                  <c:v>15.739487556444821</c:v>
                </c:pt>
                <c:pt idx="34">
                  <c:v>15.729877686372486</c:v>
                </c:pt>
                <c:pt idx="35">
                  <c:v>15.720312701260786</c:v>
                </c:pt>
                <c:pt idx="36">
                  <c:v>15.710792601109725</c:v>
                </c:pt>
                <c:pt idx="37">
                  <c:v>15.7013173859193</c:v>
                </c:pt>
                <c:pt idx="38">
                  <c:v>15.691887055689511</c:v>
                </c:pt>
                <c:pt idx="39">
                  <c:v>15.682501610420358</c:v>
                </c:pt>
                <c:pt idx="40">
                  <c:v>15.673161050111844</c:v>
                </c:pt>
                <c:pt idx="41">
                  <c:v>15.663865374763965</c:v>
                </c:pt>
                <c:pt idx="42">
                  <c:v>15.654614584376723</c:v>
                </c:pt>
                <c:pt idx="43">
                  <c:v>15.645408678950119</c:v>
                </c:pt>
                <c:pt idx="44">
                  <c:v>15.63624765848415</c:v>
                </c:pt>
                <c:pt idx="45">
                  <c:v>15.62713152297882</c:v>
                </c:pt>
                <c:pt idx="46">
                  <c:v>15.618060272434125</c:v>
                </c:pt>
                <c:pt idx="47">
                  <c:v>15.609033906850067</c:v>
                </c:pt>
                <c:pt idx="48">
                  <c:v>15.600052426226647</c:v>
                </c:pt>
                <c:pt idx="49">
                  <c:v>15.591115830563862</c:v>
                </c:pt>
                <c:pt idx="50">
                  <c:v>15.582224119861714</c:v>
                </c:pt>
                <c:pt idx="51">
                  <c:v>15.573377294120203</c:v>
                </c:pt>
                <c:pt idx="52">
                  <c:v>15.564575353339329</c:v>
                </c:pt>
                <c:pt idx="53">
                  <c:v>15.555818297519092</c:v>
                </c:pt>
                <c:pt idx="54">
                  <c:v>15.547106126659491</c:v>
                </c:pt>
                <c:pt idx="55">
                  <c:v>15.538438840760527</c:v>
                </c:pt>
                <c:pt idx="56">
                  <c:v>15.5298164398222</c:v>
                </c:pt>
                <c:pt idx="57">
                  <c:v>15.521238923844511</c:v>
                </c:pt>
                <c:pt idx="58">
                  <c:v>15.512706292827458</c:v>
                </c:pt>
                <c:pt idx="59">
                  <c:v>15.504218546771041</c:v>
                </c:pt>
                <c:pt idx="60">
                  <c:v>15.495775685675261</c:v>
                </c:pt>
                <c:pt idx="61">
                  <c:v>15.487377709540118</c:v>
                </c:pt>
                <c:pt idx="62">
                  <c:v>15.47902461836561</c:v>
                </c:pt>
                <c:pt idx="63">
                  <c:v>15.470759052864347</c:v>
                </c:pt>
                <c:pt idx="64">
                  <c:v>15.462623653748931</c:v>
                </c:pt>
                <c:pt idx="65">
                  <c:v>15.45461842101936</c:v>
                </c:pt>
                <c:pt idx="66">
                  <c:v>15.446743354675636</c:v>
                </c:pt>
                <c:pt idx="67">
                  <c:v>15.439037504633513</c:v>
                </c:pt>
                <c:pt idx="68">
                  <c:v>15.431539920808744</c:v>
                </c:pt>
                <c:pt idx="69">
                  <c:v>15.424320025273781</c:v>
                </c:pt>
                <c:pt idx="70">
                  <c:v>15.417447240101076</c:v>
                </c:pt>
                <c:pt idx="71">
                  <c:v>15.410921565290629</c:v>
                </c:pt>
                <c:pt idx="72">
                  <c:v>15.404743000842439</c:v>
                </c:pt>
                <c:pt idx="73">
                  <c:v>15.39891154675651</c:v>
                </c:pt>
                <c:pt idx="74">
                  <c:v>15.393427203032838</c:v>
                </c:pt>
                <c:pt idx="75">
                  <c:v>15.388289969671423</c:v>
                </c:pt>
                <c:pt idx="76">
                  <c:v>15.383499846672265</c:v>
                </c:pt>
                <c:pt idx="77">
                  <c:v>15.379056834035365</c:v>
                </c:pt>
                <c:pt idx="78">
                  <c:v>15.374960931760723</c:v>
                </c:pt>
                <c:pt idx="79">
                  <c:v>15.371212139848339</c:v>
                </c:pt>
                <c:pt idx="80">
                  <c:v>15.367810458298212</c:v>
                </c:pt>
                <c:pt idx="81">
                  <c:v>15.364673448399309</c:v>
                </c:pt>
                <c:pt idx="82">
                  <c:v>15.36171867144059</c:v>
                </c:pt>
                <c:pt idx="83">
                  <c:v>15.358946127422055</c:v>
                </c:pt>
                <c:pt idx="84">
                  <c:v>15.356355816343708</c:v>
                </c:pt>
                <c:pt idx="85">
                  <c:v>15.353947738205543</c:v>
                </c:pt>
                <c:pt idx="86">
                  <c:v>15.351721893007566</c:v>
                </c:pt>
                <c:pt idx="87">
                  <c:v>15.349678280749773</c:v>
                </c:pt>
                <c:pt idx="88">
                  <c:v>15.347816901432166</c:v>
                </c:pt>
                <c:pt idx="89">
                  <c:v>15.346111721777575</c:v>
                </c:pt>
                <c:pt idx="90">
                  <c:v>15.344536708508828</c:v>
                </c:pt>
                <c:pt idx="91">
                  <c:v>15.343091861625931</c:v>
                </c:pt>
                <c:pt idx="92">
                  <c:v>15.341777181128879</c:v>
                </c:pt>
                <c:pt idx="93">
                  <c:v>15.340586158698382</c:v>
                </c:pt>
                <c:pt idx="94">
                  <c:v>15.339512286015147</c:v>
                </c:pt>
                <c:pt idx="95">
                  <c:v>15.338555563079174</c:v>
                </c:pt>
                <c:pt idx="96">
                  <c:v>15.337715989890462</c:v>
                </c:pt>
                <c:pt idx="97">
                  <c:v>15.336967533171844</c:v>
                </c:pt>
                <c:pt idx="98">
                  <c:v>15.33628415964615</c:v>
                </c:pt>
                <c:pt idx="99">
                  <c:v>15.335665869313377</c:v>
                </c:pt>
                <c:pt idx="100">
                  <c:v>15.335112662173529</c:v>
                </c:pt>
                <c:pt idx="101">
                  <c:v>15.334624538226604</c:v>
                </c:pt>
                <c:pt idx="102">
                  <c:v>15.334201497472604</c:v>
                </c:pt>
                <c:pt idx="103">
                  <c:v>15.333843539911525</c:v>
                </c:pt>
                <c:pt idx="104">
                  <c:v>15.333550665543369</c:v>
                </c:pt>
                <c:pt idx="105">
                  <c:v>15.333322874368138</c:v>
                </c:pt>
                <c:pt idx="106">
                  <c:v>15.333160166385831</c:v>
                </c:pt>
                <c:pt idx="107">
                  <c:v>15.333062541596446</c:v>
                </c:pt>
                <c:pt idx="108">
                  <c:v>15.333029999999983</c:v>
                </c:pt>
                <c:pt idx="109">
                  <c:v>15.333029999999983</c:v>
                </c:pt>
                <c:pt idx="110">
                  <c:v>15.333029999999983</c:v>
                </c:pt>
                <c:pt idx="111">
                  <c:v>15.333029999999983</c:v>
                </c:pt>
                <c:pt idx="112">
                  <c:v>15.333029999999983</c:v>
                </c:pt>
                <c:pt idx="113">
                  <c:v>15.333029999999983</c:v>
                </c:pt>
                <c:pt idx="114">
                  <c:v>15.333029999999983</c:v>
                </c:pt>
                <c:pt idx="115">
                  <c:v>15.333029999999983</c:v>
                </c:pt>
                <c:pt idx="116">
                  <c:v>15.333029999999983</c:v>
                </c:pt>
                <c:pt idx="117">
                  <c:v>15.333029999999983</c:v>
                </c:pt>
                <c:pt idx="118">
                  <c:v>15.333029999999983</c:v>
                </c:pt>
                <c:pt idx="119">
                  <c:v>15.333029999999983</c:v>
                </c:pt>
                <c:pt idx="120">
                  <c:v>15.333029999999983</c:v>
                </c:pt>
                <c:pt idx="121">
                  <c:v>15.333029999999983</c:v>
                </c:pt>
                <c:pt idx="122">
                  <c:v>15.333029999999983</c:v>
                </c:pt>
                <c:pt idx="123">
                  <c:v>15.333029999999983</c:v>
                </c:pt>
                <c:pt idx="124">
                  <c:v>15.333029999999983</c:v>
                </c:pt>
                <c:pt idx="125">
                  <c:v>15.333029999999983</c:v>
                </c:pt>
                <c:pt idx="126">
                  <c:v>15.333029999999983</c:v>
                </c:pt>
                <c:pt idx="127">
                  <c:v>15.333029999999983</c:v>
                </c:pt>
                <c:pt idx="128">
                  <c:v>15.333029999999983</c:v>
                </c:pt>
                <c:pt idx="129">
                  <c:v>15.333029999999983</c:v>
                </c:pt>
                <c:pt idx="130">
                  <c:v>15.333029999999983</c:v>
                </c:pt>
                <c:pt idx="131">
                  <c:v>15.333029999999983</c:v>
                </c:pt>
                <c:pt idx="132">
                  <c:v>15.333029999999983</c:v>
                </c:pt>
                <c:pt idx="133">
                  <c:v>15.333029999999983</c:v>
                </c:pt>
                <c:pt idx="134">
                  <c:v>15.333029999999983</c:v>
                </c:pt>
                <c:pt idx="135">
                  <c:v>15.333029999999983</c:v>
                </c:pt>
                <c:pt idx="136">
                  <c:v>15.333029999999983</c:v>
                </c:pt>
                <c:pt idx="137">
                  <c:v>15.333029999999983</c:v>
                </c:pt>
                <c:pt idx="138">
                  <c:v>15.333029999999983</c:v>
                </c:pt>
                <c:pt idx="139">
                  <c:v>15.333029999999983</c:v>
                </c:pt>
                <c:pt idx="140">
                  <c:v>15.333029999999983</c:v>
                </c:pt>
                <c:pt idx="141">
                  <c:v>15.333029999999983</c:v>
                </c:pt>
                <c:pt idx="142">
                  <c:v>15.333029999999983</c:v>
                </c:pt>
                <c:pt idx="143">
                  <c:v>15.333029999999983</c:v>
                </c:pt>
                <c:pt idx="144">
                  <c:v>15.333029999999983</c:v>
                </c:pt>
                <c:pt idx="145">
                  <c:v>15.333029999999983</c:v>
                </c:pt>
                <c:pt idx="146">
                  <c:v>15.333029999999983</c:v>
                </c:pt>
                <c:pt idx="147">
                  <c:v>15.333029999999983</c:v>
                </c:pt>
                <c:pt idx="148">
                  <c:v>15.333029999999983</c:v>
                </c:pt>
                <c:pt idx="149">
                  <c:v>15.333029999999983</c:v>
                </c:pt>
                <c:pt idx="150">
                  <c:v>15.333029999999983</c:v>
                </c:pt>
                <c:pt idx="151">
                  <c:v>15.333029999999983</c:v>
                </c:pt>
                <c:pt idx="152">
                  <c:v>15.333029999999983</c:v>
                </c:pt>
                <c:pt idx="153">
                  <c:v>15.333029999999983</c:v>
                </c:pt>
                <c:pt idx="154">
                  <c:v>15.333029999999983</c:v>
                </c:pt>
                <c:pt idx="155">
                  <c:v>15.333029999999983</c:v>
                </c:pt>
                <c:pt idx="156">
                  <c:v>15.333029999999983</c:v>
                </c:pt>
                <c:pt idx="157">
                  <c:v>15.333029999999983</c:v>
                </c:pt>
                <c:pt idx="158">
                  <c:v>15.333029999999983</c:v>
                </c:pt>
                <c:pt idx="159">
                  <c:v>15.333029999999983</c:v>
                </c:pt>
                <c:pt idx="160">
                  <c:v>15.333029999999983</c:v>
                </c:pt>
                <c:pt idx="161">
                  <c:v>15.333029999999983</c:v>
                </c:pt>
                <c:pt idx="162">
                  <c:v>15.333029999999983</c:v>
                </c:pt>
                <c:pt idx="163">
                  <c:v>15.333029999999983</c:v>
                </c:pt>
                <c:pt idx="164">
                  <c:v>15.333029999999983</c:v>
                </c:pt>
                <c:pt idx="165">
                  <c:v>15.333029999999983</c:v>
                </c:pt>
                <c:pt idx="166">
                  <c:v>15.333029999999983</c:v>
                </c:pt>
                <c:pt idx="167">
                  <c:v>15.333029999999983</c:v>
                </c:pt>
                <c:pt idx="168">
                  <c:v>15.333029999999983</c:v>
                </c:pt>
                <c:pt idx="169">
                  <c:v>15.333029999999983</c:v>
                </c:pt>
                <c:pt idx="170">
                  <c:v>15.333029999999983</c:v>
                </c:pt>
                <c:pt idx="171">
                  <c:v>15.333029999999983</c:v>
                </c:pt>
                <c:pt idx="172">
                  <c:v>15.333029999999983</c:v>
                </c:pt>
                <c:pt idx="173">
                  <c:v>15.333029999999983</c:v>
                </c:pt>
                <c:pt idx="174">
                  <c:v>15.333029999999983</c:v>
                </c:pt>
                <c:pt idx="175">
                  <c:v>15.333029999999983</c:v>
                </c:pt>
                <c:pt idx="176">
                  <c:v>15.333029999999983</c:v>
                </c:pt>
                <c:pt idx="177">
                  <c:v>15.333029999999983</c:v>
                </c:pt>
                <c:pt idx="178">
                  <c:v>15.333029999999983</c:v>
                </c:pt>
                <c:pt idx="179">
                  <c:v>15.333029999999983</c:v>
                </c:pt>
                <c:pt idx="180">
                  <c:v>15.333029999999983</c:v>
                </c:pt>
                <c:pt idx="181">
                  <c:v>15.333029999999983</c:v>
                </c:pt>
                <c:pt idx="182">
                  <c:v>15.333029999999983</c:v>
                </c:pt>
                <c:pt idx="183">
                  <c:v>15.333029999999983</c:v>
                </c:pt>
                <c:pt idx="184">
                  <c:v>15.333029999999983</c:v>
                </c:pt>
                <c:pt idx="185">
                  <c:v>15.333029999999983</c:v>
                </c:pt>
                <c:pt idx="186">
                  <c:v>15.333029999999983</c:v>
                </c:pt>
                <c:pt idx="187">
                  <c:v>15.333029999999983</c:v>
                </c:pt>
                <c:pt idx="188">
                  <c:v>15.333029999999983</c:v>
                </c:pt>
                <c:pt idx="189">
                  <c:v>15.333029999999983</c:v>
                </c:pt>
                <c:pt idx="190">
                  <c:v>15.333029999999983</c:v>
                </c:pt>
                <c:pt idx="191">
                  <c:v>15.333029999999983</c:v>
                </c:pt>
                <c:pt idx="192">
                  <c:v>15.333029999999983</c:v>
                </c:pt>
                <c:pt idx="193">
                  <c:v>15.333029999999983</c:v>
                </c:pt>
                <c:pt idx="194">
                  <c:v>15.333029999999983</c:v>
                </c:pt>
                <c:pt idx="195">
                  <c:v>15.333029999999983</c:v>
                </c:pt>
                <c:pt idx="196">
                  <c:v>15.333029999999983</c:v>
                </c:pt>
                <c:pt idx="197">
                  <c:v>15.333029999999983</c:v>
                </c:pt>
                <c:pt idx="198">
                  <c:v>15.333029999999983</c:v>
                </c:pt>
                <c:pt idx="199">
                  <c:v>15.333029999999983</c:v>
                </c:pt>
                <c:pt idx="200">
                  <c:v>15.333029999999983</c:v>
                </c:pt>
                <c:pt idx="201">
                  <c:v>15.333029999999983</c:v>
                </c:pt>
                <c:pt idx="202">
                  <c:v>15.333029999999983</c:v>
                </c:pt>
                <c:pt idx="203">
                  <c:v>15.333029999999983</c:v>
                </c:pt>
                <c:pt idx="204">
                  <c:v>15.333029999999983</c:v>
                </c:pt>
                <c:pt idx="205">
                  <c:v>15.333029999999983</c:v>
                </c:pt>
                <c:pt idx="206">
                  <c:v>15.333029999999983</c:v>
                </c:pt>
                <c:pt idx="207">
                  <c:v>15.333029999999983</c:v>
                </c:pt>
                <c:pt idx="208">
                  <c:v>15.333029999999983</c:v>
                </c:pt>
                <c:pt idx="209">
                  <c:v>15.333029999999983</c:v>
                </c:pt>
                <c:pt idx="210">
                  <c:v>15.333029999999983</c:v>
                </c:pt>
                <c:pt idx="211">
                  <c:v>15.333029999999983</c:v>
                </c:pt>
                <c:pt idx="212">
                  <c:v>15.333029999999983</c:v>
                </c:pt>
                <c:pt idx="213">
                  <c:v>15.333029999999983</c:v>
                </c:pt>
                <c:pt idx="214">
                  <c:v>15.333029999999983</c:v>
                </c:pt>
                <c:pt idx="215">
                  <c:v>15.333029999999983</c:v>
                </c:pt>
                <c:pt idx="216">
                  <c:v>15.333029999999983</c:v>
                </c:pt>
                <c:pt idx="217">
                  <c:v>15.333029999999983</c:v>
                </c:pt>
                <c:pt idx="218">
                  <c:v>15.333029999999983</c:v>
                </c:pt>
                <c:pt idx="219">
                  <c:v>15.333029999999983</c:v>
                </c:pt>
                <c:pt idx="220">
                  <c:v>15.333029999999983</c:v>
                </c:pt>
                <c:pt idx="221">
                  <c:v>15.333029999999983</c:v>
                </c:pt>
                <c:pt idx="222">
                  <c:v>15.333029999999983</c:v>
                </c:pt>
                <c:pt idx="223">
                  <c:v>15.333029999999983</c:v>
                </c:pt>
                <c:pt idx="224">
                  <c:v>15.333029999999983</c:v>
                </c:pt>
                <c:pt idx="225">
                  <c:v>15.333029999999983</c:v>
                </c:pt>
                <c:pt idx="226">
                  <c:v>15.333029999999983</c:v>
                </c:pt>
                <c:pt idx="227">
                  <c:v>15.333029999999983</c:v>
                </c:pt>
                <c:pt idx="228">
                  <c:v>15.333029999999983</c:v>
                </c:pt>
                <c:pt idx="229">
                  <c:v>15.333029999999983</c:v>
                </c:pt>
                <c:pt idx="230">
                  <c:v>15.333029999999983</c:v>
                </c:pt>
                <c:pt idx="231">
                  <c:v>15.333029999999983</c:v>
                </c:pt>
                <c:pt idx="232">
                  <c:v>15.333029999999983</c:v>
                </c:pt>
                <c:pt idx="233">
                  <c:v>15.333029999999983</c:v>
                </c:pt>
                <c:pt idx="234">
                  <c:v>15.333029999999983</c:v>
                </c:pt>
                <c:pt idx="235">
                  <c:v>15.333029999999983</c:v>
                </c:pt>
                <c:pt idx="236">
                  <c:v>15.333029999999983</c:v>
                </c:pt>
                <c:pt idx="237">
                  <c:v>15.333029999999983</c:v>
                </c:pt>
                <c:pt idx="238">
                  <c:v>15.333029999999983</c:v>
                </c:pt>
                <c:pt idx="239">
                  <c:v>15.333029999999983</c:v>
                </c:pt>
                <c:pt idx="240">
                  <c:v>15.333029999999983</c:v>
                </c:pt>
                <c:pt idx="241">
                  <c:v>15.333029999999983</c:v>
                </c:pt>
                <c:pt idx="242">
                  <c:v>15.333029999999983</c:v>
                </c:pt>
                <c:pt idx="243">
                  <c:v>15.333029999999983</c:v>
                </c:pt>
                <c:pt idx="244">
                  <c:v>15.333029999999983</c:v>
                </c:pt>
                <c:pt idx="245">
                  <c:v>15.333029999999983</c:v>
                </c:pt>
                <c:pt idx="246">
                  <c:v>15.333029999999983</c:v>
                </c:pt>
                <c:pt idx="247">
                  <c:v>15.333029999999983</c:v>
                </c:pt>
                <c:pt idx="248">
                  <c:v>15.333029999999983</c:v>
                </c:pt>
                <c:pt idx="249">
                  <c:v>15.333029999999983</c:v>
                </c:pt>
                <c:pt idx="250">
                  <c:v>15.333029999999983</c:v>
                </c:pt>
                <c:pt idx="251">
                  <c:v>15.333029999999983</c:v>
                </c:pt>
                <c:pt idx="252">
                  <c:v>15.333029999999983</c:v>
                </c:pt>
                <c:pt idx="253">
                  <c:v>15.333029999999983</c:v>
                </c:pt>
                <c:pt idx="254">
                  <c:v>15.333029999999983</c:v>
                </c:pt>
                <c:pt idx="255">
                  <c:v>15.333029999999983</c:v>
                </c:pt>
                <c:pt idx="256">
                  <c:v>15.333029999999983</c:v>
                </c:pt>
                <c:pt idx="257">
                  <c:v>15.333029999999983</c:v>
                </c:pt>
                <c:pt idx="258">
                  <c:v>15.333029999999983</c:v>
                </c:pt>
                <c:pt idx="259">
                  <c:v>15.333029999999983</c:v>
                </c:pt>
                <c:pt idx="260">
                  <c:v>15.333029999999983</c:v>
                </c:pt>
                <c:pt idx="261">
                  <c:v>15.333029999999983</c:v>
                </c:pt>
                <c:pt idx="262">
                  <c:v>15.333029999999983</c:v>
                </c:pt>
                <c:pt idx="263">
                  <c:v>15.333029999999983</c:v>
                </c:pt>
                <c:pt idx="264">
                  <c:v>15.333029999999983</c:v>
                </c:pt>
                <c:pt idx="265">
                  <c:v>15.333029999999983</c:v>
                </c:pt>
                <c:pt idx="266">
                  <c:v>15.333029999999983</c:v>
                </c:pt>
                <c:pt idx="267">
                  <c:v>15.333029999999983</c:v>
                </c:pt>
                <c:pt idx="268">
                  <c:v>15.333029999999983</c:v>
                </c:pt>
                <c:pt idx="269">
                  <c:v>15.333029999999983</c:v>
                </c:pt>
                <c:pt idx="270">
                  <c:v>15.333029999999983</c:v>
                </c:pt>
                <c:pt idx="271">
                  <c:v>15.333029999999983</c:v>
                </c:pt>
                <c:pt idx="272">
                  <c:v>15.333029999999983</c:v>
                </c:pt>
                <c:pt idx="273">
                  <c:v>15.333029999999983</c:v>
                </c:pt>
                <c:pt idx="274">
                  <c:v>15.333029999999983</c:v>
                </c:pt>
                <c:pt idx="275">
                  <c:v>15.333029999999983</c:v>
                </c:pt>
                <c:pt idx="276">
                  <c:v>15.333029999999983</c:v>
                </c:pt>
                <c:pt idx="277">
                  <c:v>15.333029999999983</c:v>
                </c:pt>
                <c:pt idx="278">
                  <c:v>15.333029999999983</c:v>
                </c:pt>
                <c:pt idx="279">
                  <c:v>15.333029999999983</c:v>
                </c:pt>
                <c:pt idx="280">
                  <c:v>15.333029999999983</c:v>
                </c:pt>
                <c:pt idx="281">
                  <c:v>15.333029999999983</c:v>
                </c:pt>
                <c:pt idx="282">
                  <c:v>15.333029999999983</c:v>
                </c:pt>
                <c:pt idx="283">
                  <c:v>15.333029999999983</c:v>
                </c:pt>
                <c:pt idx="284">
                  <c:v>15.333029999999983</c:v>
                </c:pt>
                <c:pt idx="285">
                  <c:v>15.333029999999983</c:v>
                </c:pt>
                <c:pt idx="286">
                  <c:v>15.333029999999983</c:v>
                </c:pt>
                <c:pt idx="287">
                  <c:v>15.333029999999983</c:v>
                </c:pt>
                <c:pt idx="288">
                  <c:v>15.333029999999983</c:v>
                </c:pt>
                <c:pt idx="289">
                  <c:v>15.333029999999983</c:v>
                </c:pt>
                <c:pt idx="290">
                  <c:v>15.333029999999983</c:v>
                </c:pt>
                <c:pt idx="291">
                  <c:v>15.333029999999983</c:v>
                </c:pt>
                <c:pt idx="292">
                  <c:v>15.333029999999983</c:v>
                </c:pt>
                <c:pt idx="293">
                  <c:v>15.333029999999983</c:v>
                </c:pt>
                <c:pt idx="294">
                  <c:v>15.333029999999983</c:v>
                </c:pt>
                <c:pt idx="295">
                  <c:v>15.333029999999983</c:v>
                </c:pt>
                <c:pt idx="296">
                  <c:v>15.333029999999983</c:v>
                </c:pt>
                <c:pt idx="297">
                  <c:v>15.333029999999983</c:v>
                </c:pt>
                <c:pt idx="298">
                  <c:v>15.333029999999983</c:v>
                </c:pt>
                <c:pt idx="299">
                  <c:v>15.333029999999983</c:v>
                </c:pt>
                <c:pt idx="300">
                  <c:v>15.333029999999983</c:v>
                </c:pt>
                <c:pt idx="301">
                  <c:v>15.333029999999983</c:v>
                </c:pt>
                <c:pt idx="302">
                  <c:v>15.333029999999983</c:v>
                </c:pt>
                <c:pt idx="303">
                  <c:v>15.333029999999983</c:v>
                </c:pt>
                <c:pt idx="304">
                  <c:v>15.333029999999983</c:v>
                </c:pt>
                <c:pt idx="305">
                  <c:v>15.333029999999983</c:v>
                </c:pt>
                <c:pt idx="306">
                  <c:v>15.333029999999983</c:v>
                </c:pt>
                <c:pt idx="307">
                  <c:v>15.333029999999983</c:v>
                </c:pt>
                <c:pt idx="308">
                  <c:v>15.333029999999983</c:v>
                </c:pt>
                <c:pt idx="309">
                  <c:v>15.333029999999983</c:v>
                </c:pt>
                <c:pt idx="310">
                  <c:v>15.333029999999983</c:v>
                </c:pt>
                <c:pt idx="311">
                  <c:v>15.333029999999983</c:v>
                </c:pt>
                <c:pt idx="312">
                  <c:v>15.333029999999983</c:v>
                </c:pt>
                <c:pt idx="313">
                  <c:v>15.333029999999983</c:v>
                </c:pt>
                <c:pt idx="314">
                  <c:v>15.333029999999983</c:v>
                </c:pt>
                <c:pt idx="315">
                  <c:v>15.333029999999983</c:v>
                </c:pt>
                <c:pt idx="316">
                  <c:v>15.333029999999983</c:v>
                </c:pt>
                <c:pt idx="317">
                  <c:v>15.333029999999983</c:v>
                </c:pt>
                <c:pt idx="318">
                  <c:v>15.333029999999983</c:v>
                </c:pt>
                <c:pt idx="319">
                  <c:v>15.333029999999983</c:v>
                </c:pt>
                <c:pt idx="320">
                  <c:v>15.333029999999983</c:v>
                </c:pt>
                <c:pt idx="321">
                  <c:v>15.333029999999983</c:v>
                </c:pt>
                <c:pt idx="322">
                  <c:v>15.333029999999983</c:v>
                </c:pt>
                <c:pt idx="323">
                  <c:v>15.333029999999983</c:v>
                </c:pt>
                <c:pt idx="324">
                  <c:v>15.333029999999983</c:v>
                </c:pt>
                <c:pt idx="325">
                  <c:v>15.333029999999983</c:v>
                </c:pt>
                <c:pt idx="326">
                  <c:v>15.333029999999983</c:v>
                </c:pt>
                <c:pt idx="327">
                  <c:v>15.333029999999983</c:v>
                </c:pt>
                <c:pt idx="328">
                  <c:v>15.333029999999983</c:v>
                </c:pt>
                <c:pt idx="329">
                  <c:v>15.333029999999983</c:v>
                </c:pt>
                <c:pt idx="330">
                  <c:v>15.333029999999983</c:v>
                </c:pt>
                <c:pt idx="331">
                  <c:v>15.333029999999983</c:v>
                </c:pt>
                <c:pt idx="332">
                  <c:v>15.333029999999983</c:v>
                </c:pt>
                <c:pt idx="333">
                  <c:v>15.333029999999983</c:v>
                </c:pt>
                <c:pt idx="334">
                  <c:v>15.333029999999983</c:v>
                </c:pt>
                <c:pt idx="335">
                  <c:v>15.333029999999983</c:v>
                </c:pt>
                <c:pt idx="336">
                  <c:v>15.333029999999983</c:v>
                </c:pt>
                <c:pt idx="337">
                  <c:v>15.333029999999983</c:v>
                </c:pt>
                <c:pt idx="338">
                  <c:v>15.333029999999983</c:v>
                </c:pt>
                <c:pt idx="339">
                  <c:v>15.333029999999983</c:v>
                </c:pt>
                <c:pt idx="340">
                  <c:v>15.333029999999983</c:v>
                </c:pt>
                <c:pt idx="341">
                  <c:v>15.333029999999983</c:v>
                </c:pt>
                <c:pt idx="342">
                  <c:v>15.333029999999983</c:v>
                </c:pt>
                <c:pt idx="343">
                  <c:v>15.333029999999983</c:v>
                </c:pt>
                <c:pt idx="344">
                  <c:v>15.333029999999983</c:v>
                </c:pt>
                <c:pt idx="345">
                  <c:v>15.333029999999983</c:v>
                </c:pt>
                <c:pt idx="346">
                  <c:v>15.333029999999983</c:v>
                </c:pt>
                <c:pt idx="347">
                  <c:v>15.333029999999983</c:v>
                </c:pt>
                <c:pt idx="348">
                  <c:v>15.333029999999983</c:v>
                </c:pt>
                <c:pt idx="349">
                  <c:v>15.333029999999983</c:v>
                </c:pt>
                <c:pt idx="350">
                  <c:v>15.333029999999983</c:v>
                </c:pt>
                <c:pt idx="351">
                  <c:v>15.333029999999983</c:v>
                </c:pt>
                <c:pt idx="352">
                  <c:v>15.333029999999983</c:v>
                </c:pt>
                <c:pt idx="353">
                  <c:v>15.333029999999983</c:v>
                </c:pt>
                <c:pt idx="354">
                  <c:v>15.333029999999983</c:v>
                </c:pt>
                <c:pt idx="355">
                  <c:v>15.333029999999983</c:v>
                </c:pt>
                <c:pt idx="356">
                  <c:v>15.333029999999983</c:v>
                </c:pt>
                <c:pt idx="357">
                  <c:v>15.333029999999983</c:v>
                </c:pt>
                <c:pt idx="358">
                  <c:v>15.333029999999983</c:v>
                </c:pt>
                <c:pt idx="359">
                  <c:v>15.333029999999983</c:v>
                </c:pt>
                <c:pt idx="360">
                  <c:v>15.333029999999983</c:v>
                </c:pt>
                <c:pt idx="361">
                  <c:v>15.333029999999983</c:v>
                </c:pt>
                <c:pt idx="362">
                  <c:v>15.333029999999983</c:v>
                </c:pt>
                <c:pt idx="363">
                  <c:v>15.333029999999983</c:v>
                </c:pt>
                <c:pt idx="364">
                  <c:v>15.333029999999983</c:v>
                </c:pt>
                <c:pt idx="365">
                  <c:v>15.333029999999983</c:v>
                </c:pt>
                <c:pt idx="366">
                  <c:v>15.333029999999983</c:v>
                </c:pt>
                <c:pt idx="367">
                  <c:v>15.333029999999983</c:v>
                </c:pt>
                <c:pt idx="368">
                  <c:v>15.333029999999983</c:v>
                </c:pt>
                <c:pt idx="369">
                  <c:v>15.333029999999983</c:v>
                </c:pt>
                <c:pt idx="370">
                  <c:v>15.333029999999983</c:v>
                </c:pt>
                <c:pt idx="371">
                  <c:v>15.333029999999983</c:v>
                </c:pt>
                <c:pt idx="372">
                  <c:v>15.333029999999983</c:v>
                </c:pt>
                <c:pt idx="373">
                  <c:v>15.333029999999983</c:v>
                </c:pt>
                <c:pt idx="374">
                  <c:v>15.333029999999983</c:v>
                </c:pt>
                <c:pt idx="375">
                  <c:v>15.333029999999983</c:v>
                </c:pt>
                <c:pt idx="376">
                  <c:v>15.333029999999983</c:v>
                </c:pt>
                <c:pt idx="377">
                  <c:v>15.333029999999983</c:v>
                </c:pt>
                <c:pt idx="378">
                  <c:v>15.333029999999983</c:v>
                </c:pt>
                <c:pt idx="379">
                  <c:v>15.333029999999983</c:v>
                </c:pt>
                <c:pt idx="380">
                  <c:v>15.333029999999983</c:v>
                </c:pt>
                <c:pt idx="381">
                  <c:v>15.333029999999983</c:v>
                </c:pt>
                <c:pt idx="382">
                  <c:v>15.333029999999983</c:v>
                </c:pt>
                <c:pt idx="383">
                  <c:v>15.333029999999983</c:v>
                </c:pt>
                <c:pt idx="384">
                  <c:v>15.333029999999983</c:v>
                </c:pt>
                <c:pt idx="385">
                  <c:v>15.333029999999983</c:v>
                </c:pt>
                <c:pt idx="386">
                  <c:v>15.333029999999983</c:v>
                </c:pt>
                <c:pt idx="387">
                  <c:v>15.333029999999983</c:v>
                </c:pt>
                <c:pt idx="388">
                  <c:v>15.333029999999983</c:v>
                </c:pt>
                <c:pt idx="389">
                  <c:v>15.333029999999983</c:v>
                </c:pt>
                <c:pt idx="390">
                  <c:v>15.333029999999983</c:v>
                </c:pt>
                <c:pt idx="391">
                  <c:v>15.333029999999983</c:v>
                </c:pt>
                <c:pt idx="392">
                  <c:v>15.333029999999983</c:v>
                </c:pt>
                <c:pt idx="393">
                  <c:v>15.333029999999983</c:v>
                </c:pt>
                <c:pt idx="394">
                  <c:v>15.333029999999983</c:v>
                </c:pt>
                <c:pt idx="395">
                  <c:v>15.333029999999983</c:v>
                </c:pt>
                <c:pt idx="396">
                  <c:v>15.333029999999983</c:v>
                </c:pt>
                <c:pt idx="397">
                  <c:v>15.333029999999983</c:v>
                </c:pt>
                <c:pt idx="398">
                  <c:v>15.333029999999983</c:v>
                </c:pt>
                <c:pt idx="399">
                  <c:v>15.333029999999983</c:v>
                </c:pt>
                <c:pt idx="400">
                  <c:v>15.333029999999983</c:v>
                </c:pt>
                <c:pt idx="401">
                  <c:v>15.333029999999983</c:v>
                </c:pt>
                <c:pt idx="402">
                  <c:v>15.333029999999983</c:v>
                </c:pt>
                <c:pt idx="403">
                  <c:v>15.333029999999983</c:v>
                </c:pt>
                <c:pt idx="404">
                  <c:v>15.333029999999983</c:v>
                </c:pt>
                <c:pt idx="405">
                  <c:v>15.333029999999983</c:v>
                </c:pt>
                <c:pt idx="406">
                  <c:v>15.333029999999983</c:v>
                </c:pt>
                <c:pt idx="407">
                  <c:v>15.333029999999983</c:v>
                </c:pt>
                <c:pt idx="408">
                  <c:v>15.333029999999983</c:v>
                </c:pt>
                <c:pt idx="409">
                  <c:v>15.333029999999983</c:v>
                </c:pt>
                <c:pt idx="410">
                  <c:v>15.333029999999983</c:v>
                </c:pt>
                <c:pt idx="411">
                  <c:v>15.333029999999983</c:v>
                </c:pt>
                <c:pt idx="412">
                  <c:v>15.333029999999983</c:v>
                </c:pt>
                <c:pt idx="413">
                  <c:v>15.333029999999983</c:v>
                </c:pt>
                <c:pt idx="414">
                  <c:v>15.333029999999983</c:v>
                </c:pt>
                <c:pt idx="415">
                  <c:v>15.333029999999983</c:v>
                </c:pt>
                <c:pt idx="416">
                  <c:v>15.333029999999983</c:v>
                </c:pt>
                <c:pt idx="417">
                  <c:v>15.333029999999983</c:v>
                </c:pt>
                <c:pt idx="418">
                  <c:v>15.333029999999983</c:v>
                </c:pt>
                <c:pt idx="419">
                  <c:v>15.333029999999983</c:v>
                </c:pt>
                <c:pt idx="420">
                  <c:v>15.333029999999983</c:v>
                </c:pt>
                <c:pt idx="421">
                  <c:v>15.333029999999983</c:v>
                </c:pt>
                <c:pt idx="422">
                  <c:v>15.333029999999983</c:v>
                </c:pt>
                <c:pt idx="423">
                  <c:v>15.333029999999983</c:v>
                </c:pt>
                <c:pt idx="424">
                  <c:v>15.333029999999983</c:v>
                </c:pt>
                <c:pt idx="425">
                  <c:v>15.333029999999983</c:v>
                </c:pt>
                <c:pt idx="426">
                  <c:v>15.333029999999983</c:v>
                </c:pt>
                <c:pt idx="427">
                  <c:v>15.333029999999983</c:v>
                </c:pt>
                <c:pt idx="428">
                  <c:v>15.333029999999983</c:v>
                </c:pt>
                <c:pt idx="429">
                  <c:v>15.333029999999983</c:v>
                </c:pt>
                <c:pt idx="430">
                  <c:v>15.333029999999983</c:v>
                </c:pt>
                <c:pt idx="431">
                  <c:v>15.333029999999983</c:v>
                </c:pt>
                <c:pt idx="432">
                  <c:v>15.333029999999983</c:v>
                </c:pt>
                <c:pt idx="433">
                  <c:v>15.333029999999983</c:v>
                </c:pt>
                <c:pt idx="434">
                  <c:v>15.333029999999983</c:v>
                </c:pt>
                <c:pt idx="435">
                  <c:v>15.333029999999983</c:v>
                </c:pt>
                <c:pt idx="436">
                  <c:v>15.333029999999983</c:v>
                </c:pt>
                <c:pt idx="437">
                  <c:v>15.333029999999983</c:v>
                </c:pt>
                <c:pt idx="438">
                  <c:v>15.333029999999983</c:v>
                </c:pt>
                <c:pt idx="439">
                  <c:v>15.333029999999983</c:v>
                </c:pt>
                <c:pt idx="440">
                  <c:v>15.333029999999983</c:v>
                </c:pt>
                <c:pt idx="441">
                  <c:v>15.333029999999983</c:v>
                </c:pt>
                <c:pt idx="442">
                  <c:v>15.333029999999983</c:v>
                </c:pt>
                <c:pt idx="443">
                  <c:v>15.333029999999983</c:v>
                </c:pt>
                <c:pt idx="444">
                  <c:v>15.333029999999983</c:v>
                </c:pt>
                <c:pt idx="445">
                  <c:v>15.333029999999983</c:v>
                </c:pt>
                <c:pt idx="446">
                  <c:v>15.333029999999983</c:v>
                </c:pt>
                <c:pt idx="447">
                  <c:v>15.333029999999983</c:v>
                </c:pt>
                <c:pt idx="448">
                  <c:v>15.333029999999983</c:v>
                </c:pt>
                <c:pt idx="449">
                  <c:v>15.333029999999983</c:v>
                </c:pt>
                <c:pt idx="450">
                  <c:v>15.333029999999983</c:v>
                </c:pt>
                <c:pt idx="451">
                  <c:v>15.333029999999983</c:v>
                </c:pt>
                <c:pt idx="452">
                  <c:v>15.333029999999983</c:v>
                </c:pt>
                <c:pt idx="453">
                  <c:v>15.333029999999983</c:v>
                </c:pt>
                <c:pt idx="454">
                  <c:v>15.333029999999983</c:v>
                </c:pt>
                <c:pt idx="455">
                  <c:v>15.333029999999983</c:v>
                </c:pt>
                <c:pt idx="456">
                  <c:v>15.333029999999983</c:v>
                </c:pt>
                <c:pt idx="457">
                  <c:v>15.333029999999983</c:v>
                </c:pt>
                <c:pt idx="458">
                  <c:v>15.333029999999983</c:v>
                </c:pt>
                <c:pt idx="459">
                  <c:v>15.333029999999983</c:v>
                </c:pt>
                <c:pt idx="460">
                  <c:v>15.333029999999983</c:v>
                </c:pt>
                <c:pt idx="461">
                  <c:v>15.333029999999983</c:v>
                </c:pt>
                <c:pt idx="462">
                  <c:v>15.333029999999983</c:v>
                </c:pt>
                <c:pt idx="463">
                  <c:v>15.333029999999983</c:v>
                </c:pt>
                <c:pt idx="464">
                  <c:v>15.333029999999983</c:v>
                </c:pt>
                <c:pt idx="465">
                  <c:v>15.333029999999983</c:v>
                </c:pt>
                <c:pt idx="466">
                  <c:v>15.333029999999983</c:v>
                </c:pt>
                <c:pt idx="467">
                  <c:v>15.333029999999983</c:v>
                </c:pt>
                <c:pt idx="468">
                  <c:v>15.333029999999983</c:v>
                </c:pt>
                <c:pt idx="469">
                  <c:v>15.333029999999983</c:v>
                </c:pt>
                <c:pt idx="470">
                  <c:v>15.333029999999983</c:v>
                </c:pt>
                <c:pt idx="471">
                  <c:v>15.333029999999983</c:v>
                </c:pt>
                <c:pt idx="472">
                  <c:v>15.333029999999983</c:v>
                </c:pt>
                <c:pt idx="473">
                  <c:v>15.333029999999983</c:v>
                </c:pt>
                <c:pt idx="474">
                  <c:v>15.333029999999983</c:v>
                </c:pt>
                <c:pt idx="475">
                  <c:v>15.333029999999983</c:v>
                </c:pt>
                <c:pt idx="476">
                  <c:v>15.333029999999983</c:v>
                </c:pt>
                <c:pt idx="477">
                  <c:v>15.333029999999983</c:v>
                </c:pt>
                <c:pt idx="478">
                  <c:v>15.333029999999983</c:v>
                </c:pt>
                <c:pt idx="479">
                  <c:v>15.333029999999983</c:v>
                </c:pt>
                <c:pt idx="480">
                  <c:v>15.333029999999983</c:v>
                </c:pt>
                <c:pt idx="481">
                  <c:v>15.333029999999983</c:v>
                </c:pt>
                <c:pt idx="482">
                  <c:v>15.333029999999983</c:v>
                </c:pt>
                <c:pt idx="483">
                  <c:v>15.333029999999983</c:v>
                </c:pt>
                <c:pt idx="484">
                  <c:v>15.333029999999983</c:v>
                </c:pt>
                <c:pt idx="485">
                  <c:v>15.333029999999983</c:v>
                </c:pt>
                <c:pt idx="486">
                  <c:v>15.333029999999983</c:v>
                </c:pt>
                <c:pt idx="487">
                  <c:v>15.333029999999983</c:v>
                </c:pt>
                <c:pt idx="488">
                  <c:v>15.333029999999983</c:v>
                </c:pt>
                <c:pt idx="489">
                  <c:v>15.333029999999983</c:v>
                </c:pt>
                <c:pt idx="490">
                  <c:v>15.333029999999983</c:v>
                </c:pt>
                <c:pt idx="491">
                  <c:v>15.333029999999983</c:v>
                </c:pt>
                <c:pt idx="492">
                  <c:v>15.333029999999983</c:v>
                </c:pt>
                <c:pt idx="493">
                  <c:v>15.333029999999983</c:v>
                </c:pt>
                <c:pt idx="494">
                  <c:v>15.333029999999983</c:v>
                </c:pt>
                <c:pt idx="495">
                  <c:v>15.333029999999983</c:v>
                </c:pt>
                <c:pt idx="496">
                  <c:v>15.333029999999983</c:v>
                </c:pt>
                <c:pt idx="497">
                  <c:v>15.333029999999983</c:v>
                </c:pt>
                <c:pt idx="498">
                  <c:v>15.333029999999983</c:v>
                </c:pt>
                <c:pt idx="499">
                  <c:v>15.333029999999983</c:v>
                </c:pt>
                <c:pt idx="500">
                  <c:v>15.333029999999983</c:v>
                </c:pt>
                <c:pt idx="501">
                  <c:v>15.333029999999983</c:v>
                </c:pt>
                <c:pt idx="502">
                  <c:v>15.333029999999983</c:v>
                </c:pt>
                <c:pt idx="503">
                  <c:v>15.333029999999983</c:v>
                </c:pt>
                <c:pt idx="504">
                  <c:v>15.333029999999983</c:v>
                </c:pt>
                <c:pt idx="505">
                  <c:v>15.333029999999983</c:v>
                </c:pt>
                <c:pt idx="506">
                  <c:v>15.333029999999983</c:v>
                </c:pt>
                <c:pt idx="507">
                  <c:v>15.333029999999983</c:v>
                </c:pt>
                <c:pt idx="508">
                  <c:v>15.333029999999983</c:v>
                </c:pt>
                <c:pt idx="509">
                  <c:v>15.333029999999983</c:v>
                </c:pt>
                <c:pt idx="510">
                  <c:v>15.333029999999983</c:v>
                </c:pt>
                <c:pt idx="511">
                  <c:v>15.333029999999983</c:v>
                </c:pt>
                <c:pt idx="512">
                  <c:v>15.333029999999983</c:v>
                </c:pt>
                <c:pt idx="513">
                  <c:v>15.333029999999983</c:v>
                </c:pt>
                <c:pt idx="514">
                  <c:v>15.333029999999983</c:v>
                </c:pt>
                <c:pt idx="515">
                  <c:v>15.333029999999983</c:v>
                </c:pt>
                <c:pt idx="516">
                  <c:v>15.333029999999983</c:v>
                </c:pt>
                <c:pt idx="517">
                  <c:v>15.333029999999983</c:v>
                </c:pt>
                <c:pt idx="518">
                  <c:v>15.333029999999983</c:v>
                </c:pt>
                <c:pt idx="519">
                  <c:v>15.333029999999983</c:v>
                </c:pt>
                <c:pt idx="520">
                  <c:v>15.333029999999983</c:v>
                </c:pt>
                <c:pt idx="521">
                  <c:v>15.333029999999983</c:v>
                </c:pt>
                <c:pt idx="522">
                  <c:v>15.333029999999983</c:v>
                </c:pt>
                <c:pt idx="523">
                  <c:v>15.333029999999983</c:v>
                </c:pt>
                <c:pt idx="524">
                  <c:v>15.333029999999983</c:v>
                </c:pt>
                <c:pt idx="525">
                  <c:v>15.333029999999983</c:v>
                </c:pt>
                <c:pt idx="526">
                  <c:v>15.333029999999983</c:v>
                </c:pt>
                <c:pt idx="527">
                  <c:v>15.333029999999983</c:v>
                </c:pt>
                <c:pt idx="528">
                  <c:v>15.333029999999983</c:v>
                </c:pt>
                <c:pt idx="529">
                  <c:v>15.333029999999983</c:v>
                </c:pt>
                <c:pt idx="530">
                  <c:v>15.333029999999983</c:v>
                </c:pt>
                <c:pt idx="531">
                  <c:v>15.333029999999983</c:v>
                </c:pt>
                <c:pt idx="532">
                  <c:v>15.333029999999983</c:v>
                </c:pt>
                <c:pt idx="533">
                  <c:v>15.333029999999983</c:v>
                </c:pt>
                <c:pt idx="534">
                  <c:v>15.333029999999983</c:v>
                </c:pt>
                <c:pt idx="535">
                  <c:v>15.333029999999983</c:v>
                </c:pt>
                <c:pt idx="536">
                  <c:v>15.333029999999983</c:v>
                </c:pt>
                <c:pt idx="537">
                  <c:v>15.333029999999983</c:v>
                </c:pt>
                <c:pt idx="538">
                  <c:v>15.333029999999983</c:v>
                </c:pt>
                <c:pt idx="539">
                  <c:v>15.333029999999983</c:v>
                </c:pt>
                <c:pt idx="540">
                  <c:v>15.333029999999983</c:v>
                </c:pt>
                <c:pt idx="541">
                  <c:v>15.333029999999983</c:v>
                </c:pt>
                <c:pt idx="542">
                  <c:v>15.333029999999983</c:v>
                </c:pt>
                <c:pt idx="543">
                  <c:v>15.333029999999983</c:v>
                </c:pt>
                <c:pt idx="544">
                  <c:v>15.333029999999983</c:v>
                </c:pt>
                <c:pt idx="545">
                  <c:v>15.333029999999983</c:v>
                </c:pt>
                <c:pt idx="546">
                  <c:v>15.333029999999983</c:v>
                </c:pt>
                <c:pt idx="547">
                  <c:v>15.333029999999983</c:v>
                </c:pt>
                <c:pt idx="548">
                  <c:v>15.333029999999983</c:v>
                </c:pt>
                <c:pt idx="549">
                  <c:v>15.333029999999983</c:v>
                </c:pt>
                <c:pt idx="550">
                  <c:v>15.333029999999983</c:v>
                </c:pt>
                <c:pt idx="551">
                  <c:v>15.333029999999983</c:v>
                </c:pt>
                <c:pt idx="552">
                  <c:v>15.333029999999983</c:v>
                </c:pt>
                <c:pt idx="553">
                  <c:v>15.333029999999983</c:v>
                </c:pt>
                <c:pt idx="554">
                  <c:v>15.333029999999983</c:v>
                </c:pt>
                <c:pt idx="555">
                  <c:v>15.333029999999983</c:v>
                </c:pt>
                <c:pt idx="556">
                  <c:v>15.333029999999983</c:v>
                </c:pt>
                <c:pt idx="557">
                  <c:v>15.333029999999983</c:v>
                </c:pt>
                <c:pt idx="558">
                  <c:v>15.333029999999983</c:v>
                </c:pt>
                <c:pt idx="559">
                  <c:v>15.333029999999983</c:v>
                </c:pt>
                <c:pt idx="560">
                  <c:v>15.333029999999983</c:v>
                </c:pt>
                <c:pt idx="561">
                  <c:v>15.333029999999983</c:v>
                </c:pt>
                <c:pt idx="562">
                  <c:v>15.333029999999983</c:v>
                </c:pt>
                <c:pt idx="563">
                  <c:v>15.333029999999983</c:v>
                </c:pt>
                <c:pt idx="564">
                  <c:v>15.333029999999983</c:v>
                </c:pt>
                <c:pt idx="565">
                  <c:v>15.333029999999983</c:v>
                </c:pt>
                <c:pt idx="566">
                  <c:v>15.333029999999983</c:v>
                </c:pt>
                <c:pt idx="567">
                  <c:v>15.333029999999983</c:v>
                </c:pt>
                <c:pt idx="568">
                  <c:v>15.333029999999983</c:v>
                </c:pt>
                <c:pt idx="569">
                  <c:v>15.333029999999983</c:v>
                </c:pt>
                <c:pt idx="570">
                  <c:v>15.333029999999983</c:v>
                </c:pt>
                <c:pt idx="571">
                  <c:v>15.333029999999983</c:v>
                </c:pt>
                <c:pt idx="572">
                  <c:v>15.333029999999983</c:v>
                </c:pt>
                <c:pt idx="573">
                  <c:v>15.333029999999983</c:v>
                </c:pt>
                <c:pt idx="574">
                  <c:v>15.333029999999983</c:v>
                </c:pt>
                <c:pt idx="575">
                  <c:v>15.333029999999983</c:v>
                </c:pt>
                <c:pt idx="576">
                  <c:v>15.333029999999983</c:v>
                </c:pt>
                <c:pt idx="577">
                  <c:v>15.333029999999983</c:v>
                </c:pt>
                <c:pt idx="578">
                  <c:v>15.333029999999983</c:v>
                </c:pt>
                <c:pt idx="579">
                  <c:v>15.333029999999983</c:v>
                </c:pt>
                <c:pt idx="580">
                  <c:v>15.333029999999983</c:v>
                </c:pt>
                <c:pt idx="581">
                  <c:v>15.333029999999983</c:v>
                </c:pt>
                <c:pt idx="582">
                  <c:v>15.333029999999983</c:v>
                </c:pt>
                <c:pt idx="583">
                  <c:v>15.333029999999983</c:v>
                </c:pt>
                <c:pt idx="584">
                  <c:v>15.333029999999983</c:v>
                </c:pt>
                <c:pt idx="585">
                  <c:v>15.333029999999983</c:v>
                </c:pt>
                <c:pt idx="586">
                  <c:v>15.333029999999983</c:v>
                </c:pt>
                <c:pt idx="587">
                  <c:v>15.333029999999983</c:v>
                </c:pt>
                <c:pt idx="588">
                  <c:v>15.333029999999983</c:v>
                </c:pt>
                <c:pt idx="589">
                  <c:v>15.333029999999983</c:v>
                </c:pt>
                <c:pt idx="590">
                  <c:v>15.333029999999983</c:v>
                </c:pt>
                <c:pt idx="591">
                  <c:v>15.333029999999983</c:v>
                </c:pt>
                <c:pt idx="592">
                  <c:v>15.333029999999983</c:v>
                </c:pt>
                <c:pt idx="593">
                  <c:v>15.333029999999983</c:v>
                </c:pt>
                <c:pt idx="594">
                  <c:v>15.333029999999983</c:v>
                </c:pt>
                <c:pt idx="595">
                  <c:v>15.333029999999983</c:v>
                </c:pt>
                <c:pt idx="596">
                  <c:v>15.333029999999983</c:v>
                </c:pt>
                <c:pt idx="597">
                  <c:v>15.333029999999983</c:v>
                </c:pt>
                <c:pt idx="598">
                  <c:v>15.333029999999983</c:v>
                </c:pt>
                <c:pt idx="599">
                  <c:v>15.333029999999983</c:v>
                </c:pt>
                <c:pt idx="600">
                  <c:v>15.333029999999983</c:v>
                </c:pt>
                <c:pt idx="601">
                  <c:v>15.333029999999983</c:v>
                </c:pt>
                <c:pt idx="602">
                  <c:v>15.333029999999983</c:v>
                </c:pt>
                <c:pt idx="603">
                  <c:v>15.333029999999983</c:v>
                </c:pt>
                <c:pt idx="604">
                  <c:v>15.333029999999983</c:v>
                </c:pt>
                <c:pt idx="605">
                  <c:v>15.333029999999983</c:v>
                </c:pt>
                <c:pt idx="606">
                  <c:v>15.333029999999983</c:v>
                </c:pt>
                <c:pt idx="607">
                  <c:v>15.333029999999983</c:v>
                </c:pt>
                <c:pt idx="608">
                  <c:v>15.333029999999983</c:v>
                </c:pt>
                <c:pt idx="609">
                  <c:v>15.333029999999983</c:v>
                </c:pt>
                <c:pt idx="610">
                  <c:v>15.333029999999983</c:v>
                </c:pt>
                <c:pt idx="611">
                  <c:v>15.333029999999983</c:v>
                </c:pt>
                <c:pt idx="612">
                  <c:v>15.333029999999983</c:v>
                </c:pt>
                <c:pt idx="613">
                  <c:v>15.333029999999983</c:v>
                </c:pt>
                <c:pt idx="614">
                  <c:v>15.333029999999983</c:v>
                </c:pt>
                <c:pt idx="615">
                  <c:v>15.333029999999983</c:v>
                </c:pt>
                <c:pt idx="616">
                  <c:v>15.333029999999983</c:v>
                </c:pt>
                <c:pt idx="617">
                  <c:v>15.333029999999983</c:v>
                </c:pt>
                <c:pt idx="618">
                  <c:v>15.333029999999983</c:v>
                </c:pt>
                <c:pt idx="619">
                  <c:v>15.333029999999983</c:v>
                </c:pt>
                <c:pt idx="620">
                  <c:v>15.333029999999983</c:v>
                </c:pt>
                <c:pt idx="621">
                  <c:v>15.333029999999983</c:v>
                </c:pt>
                <c:pt idx="622">
                  <c:v>15.333029999999983</c:v>
                </c:pt>
                <c:pt idx="623">
                  <c:v>15.333029999999983</c:v>
                </c:pt>
                <c:pt idx="624">
                  <c:v>15.333029999999983</c:v>
                </c:pt>
                <c:pt idx="625">
                  <c:v>15.333029999999983</c:v>
                </c:pt>
                <c:pt idx="626">
                  <c:v>15.333029999999983</c:v>
                </c:pt>
                <c:pt idx="627">
                  <c:v>15.333029999999983</c:v>
                </c:pt>
                <c:pt idx="628">
                  <c:v>15.333029999999983</c:v>
                </c:pt>
                <c:pt idx="629">
                  <c:v>15.333029999999983</c:v>
                </c:pt>
                <c:pt idx="630">
                  <c:v>15.333029999999983</c:v>
                </c:pt>
                <c:pt idx="631">
                  <c:v>15.333029999999983</c:v>
                </c:pt>
                <c:pt idx="632">
                  <c:v>15.333029999999983</c:v>
                </c:pt>
                <c:pt idx="633">
                  <c:v>15.333029999999983</c:v>
                </c:pt>
                <c:pt idx="634">
                  <c:v>15.333029999999983</c:v>
                </c:pt>
                <c:pt idx="635">
                  <c:v>15.333029999999983</c:v>
                </c:pt>
                <c:pt idx="636">
                  <c:v>15.333029999999983</c:v>
                </c:pt>
                <c:pt idx="637">
                  <c:v>15.333029999999983</c:v>
                </c:pt>
                <c:pt idx="638">
                  <c:v>15.333029999999983</c:v>
                </c:pt>
                <c:pt idx="639">
                  <c:v>15.333029999999983</c:v>
                </c:pt>
                <c:pt idx="640">
                  <c:v>15.333029999999983</c:v>
                </c:pt>
                <c:pt idx="641">
                  <c:v>15.333029999999983</c:v>
                </c:pt>
                <c:pt idx="642">
                  <c:v>15.333029999999983</c:v>
                </c:pt>
                <c:pt idx="643">
                  <c:v>15.333029999999983</c:v>
                </c:pt>
                <c:pt idx="644">
                  <c:v>15.333029999999983</c:v>
                </c:pt>
                <c:pt idx="645">
                  <c:v>15.333029999999983</c:v>
                </c:pt>
                <c:pt idx="646">
                  <c:v>15.333029999999983</c:v>
                </c:pt>
                <c:pt idx="647">
                  <c:v>15.333029999999983</c:v>
                </c:pt>
                <c:pt idx="648">
                  <c:v>15.333029999999983</c:v>
                </c:pt>
                <c:pt idx="649">
                  <c:v>15.333029999999983</c:v>
                </c:pt>
                <c:pt idx="650">
                  <c:v>15.333029999999983</c:v>
                </c:pt>
                <c:pt idx="651">
                  <c:v>15.333029999999983</c:v>
                </c:pt>
                <c:pt idx="652">
                  <c:v>15.333029999999983</c:v>
                </c:pt>
                <c:pt idx="653">
                  <c:v>15.333029999999983</c:v>
                </c:pt>
                <c:pt idx="654">
                  <c:v>15.333029999999983</c:v>
                </c:pt>
                <c:pt idx="655">
                  <c:v>15.333029999999983</c:v>
                </c:pt>
                <c:pt idx="656">
                  <c:v>15.333029999999983</c:v>
                </c:pt>
                <c:pt idx="657">
                  <c:v>15.333029999999983</c:v>
                </c:pt>
                <c:pt idx="658">
                  <c:v>15.333029999999983</c:v>
                </c:pt>
                <c:pt idx="659">
                  <c:v>15.333029999999983</c:v>
                </c:pt>
                <c:pt idx="660">
                  <c:v>15.333029999999983</c:v>
                </c:pt>
                <c:pt idx="661">
                  <c:v>15.333029999999983</c:v>
                </c:pt>
                <c:pt idx="662">
                  <c:v>15.333029999999983</c:v>
                </c:pt>
                <c:pt idx="663">
                  <c:v>15.333029999999983</c:v>
                </c:pt>
                <c:pt idx="664">
                  <c:v>15.333029999999983</c:v>
                </c:pt>
                <c:pt idx="665">
                  <c:v>15.333029999999983</c:v>
                </c:pt>
                <c:pt idx="666">
                  <c:v>15.333029999999983</c:v>
                </c:pt>
                <c:pt idx="667">
                  <c:v>15.333029999999983</c:v>
                </c:pt>
                <c:pt idx="668">
                  <c:v>15.333029999999983</c:v>
                </c:pt>
                <c:pt idx="669">
                  <c:v>15.333029999999983</c:v>
                </c:pt>
                <c:pt idx="670">
                  <c:v>15.333029999999983</c:v>
                </c:pt>
                <c:pt idx="671">
                  <c:v>15.333029999999983</c:v>
                </c:pt>
                <c:pt idx="672">
                  <c:v>15.333029999999983</c:v>
                </c:pt>
                <c:pt idx="673">
                  <c:v>15.333029999999983</c:v>
                </c:pt>
                <c:pt idx="674">
                  <c:v>15.333029999999983</c:v>
                </c:pt>
                <c:pt idx="675">
                  <c:v>15.333029999999983</c:v>
                </c:pt>
                <c:pt idx="676">
                  <c:v>15.333029999999983</c:v>
                </c:pt>
                <c:pt idx="677">
                  <c:v>15.333029999999983</c:v>
                </c:pt>
                <c:pt idx="678">
                  <c:v>15.333029999999983</c:v>
                </c:pt>
                <c:pt idx="679">
                  <c:v>15.333029999999983</c:v>
                </c:pt>
                <c:pt idx="680">
                  <c:v>15.333029999999983</c:v>
                </c:pt>
                <c:pt idx="681">
                  <c:v>15.333029999999983</c:v>
                </c:pt>
                <c:pt idx="682">
                  <c:v>15.333029999999983</c:v>
                </c:pt>
                <c:pt idx="683">
                  <c:v>15.333029999999983</c:v>
                </c:pt>
                <c:pt idx="684">
                  <c:v>15.333029999999983</c:v>
                </c:pt>
                <c:pt idx="685">
                  <c:v>15.333029999999983</c:v>
                </c:pt>
                <c:pt idx="686">
                  <c:v>15.333029999999983</c:v>
                </c:pt>
                <c:pt idx="687">
                  <c:v>15.333029999999983</c:v>
                </c:pt>
                <c:pt idx="688">
                  <c:v>15.333029999999983</c:v>
                </c:pt>
                <c:pt idx="689">
                  <c:v>15.333029999999983</c:v>
                </c:pt>
                <c:pt idx="690">
                  <c:v>15.333029999999983</c:v>
                </c:pt>
                <c:pt idx="691">
                  <c:v>15.333029999999983</c:v>
                </c:pt>
                <c:pt idx="692">
                  <c:v>15.333029999999983</c:v>
                </c:pt>
                <c:pt idx="693">
                  <c:v>15.333029999999983</c:v>
                </c:pt>
                <c:pt idx="694">
                  <c:v>15.333029999999983</c:v>
                </c:pt>
                <c:pt idx="695">
                  <c:v>15.333029999999983</c:v>
                </c:pt>
                <c:pt idx="696">
                  <c:v>15.333029999999983</c:v>
                </c:pt>
                <c:pt idx="697">
                  <c:v>15.333029999999983</c:v>
                </c:pt>
                <c:pt idx="698">
                  <c:v>15.333029999999983</c:v>
                </c:pt>
                <c:pt idx="699">
                  <c:v>15.333029999999983</c:v>
                </c:pt>
                <c:pt idx="700">
                  <c:v>15.333029999999983</c:v>
                </c:pt>
                <c:pt idx="701">
                  <c:v>15.333029999999983</c:v>
                </c:pt>
                <c:pt idx="702">
                  <c:v>15.333029999999983</c:v>
                </c:pt>
                <c:pt idx="703">
                  <c:v>15.333029999999983</c:v>
                </c:pt>
                <c:pt idx="704">
                  <c:v>15.333029999999983</c:v>
                </c:pt>
                <c:pt idx="705">
                  <c:v>15.333029999999983</c:v>
                </c:pt>
                <c:pt idx="706">
                  <c:v>15.333029999999983</c:v>
                </c:pt>
                <c:pt idx="707">
                  <c:v>15.333029999999983</c:v>
                </c:pt>
                <c:pt idx="708">
                  <c:v>15.333029999999983</c:v>
                </c:pt>
                <c:pt idx="709">
                  <c:v>15.333029999999983</c:v>
                </c:pt>
                <c:pt idx="710">
                  <c:v>15.333029999999983</c:v>
                </c:pt>
                <c:pt idx="711">
                  <c:v>15.333029999999983</c:v>
                </c:pt>
                <c:pt idx="712">
                  <c:v>15.333029999999983</c:v>
                </c:pt>
                <c:pt idx="713">
                  <c:v>15.333029999999983</c:v>
                </c:pt>
                <c:pt idx="714">
                  <c:v>15.333029999999983</c:v>
                </c:pt>
                <c:pt idx="715">
                  <c:v>15.333029999999983</c:v>
                </c:pt>
                <c:pt idx="716">
                  <c:v>15.333029999999983</c:v>
                </c:pt>
                <c:pt idx="717">
                  <c:v>15.333029999999983</c:v>
                </c:pt>
                <c:pt idx="718">
                  <c:v>15.333029999999983</c:v>
                </c:pt>
                <c:pt idx="719">
                  <c:v>15.333029999999983</c:v>
                </c:pt>
                <c:pt idx="720">
                  <c:v>15.333029999999983</c:v>
                </c:pt>
                <c:pt idx="721">
                  <c:v>15.333029999999983</c:v>
                </c:pt>
                <c:pt idx="722">
                  <c:v>15.333029999999983</c:v>
                </c:pt>
                <c:pt idx="723">
                  <c:v>15.333029999999983</c:v>
                </c:pt>
                <c:pt idx="724">
                  <c:v>15.333029999999983</c:v>
                </c:pt>
                <c:pt idx="725">
                  <c:v>15.333029999999983</c:v>
                </c:pt>
                <c:pt idx="726">
                  <c:v>15.333029999999983</c:v>
                </c:pt>
                <c:pt idx="727">
                  <c:v>15.333029999999983</c:v>
                </c:pt>
                <c:pt idx="728">
                  <c:v>15.333029999999983</c:v>
                </c:pt>
                <c:pt idx="729">
                  <c:v>15.333029999999983</c:v>
                </c:pt>
                <c:pt idx="730">
                  <c:v>15.333029999999983</c:v>
                </c:pt>
                <c:pt idx="731">
                  <c:v>15.333029999999983</c:v>
                </c:pt>
                <c:pt idx="732">
                  <c:v>15.333029999999983</c:v>
                </c:pt>
                <c:pt idx="733">
                  <c:v>15.333029999999983</c:v>
                </c:pt>
                <c:pt idx="734">
                  <c:v>15.333029999999983</c:v>
                </c:pt>
                <c:pt idx="735">
                  <c:v>15.333029999999983</c:v>
                </c:pt>
                <c:pt idx="736">
                  <c:v>15.333029999999983</c:v>
                </c:pt>
                <c:pt idx="737">
                  <c:v>15.333029999999983</c:v>
                </c:pt>
                <c:pt idx="738">
                  <c:v>15.333029999999983</c:v>
                </c:pt>
                <c:pt idx="739">
                  <c:v>15.333029999999983</c:v>
                </c:pt>
                <c:pt idx="740">
                  <c:v>15.333029999999983</c:v>
                </c:pt>
                <c:pt idx="741">
                  <c:v>15.333029999999983</c:v>
                </c:pt>
                <c:pt idx="742">
                  <c:v>15.333029999999983</c:v>
                </c:pt>
                <c:pt idx="743">
                  <c:v>15.333029999999983</c:v>
                </c:pt>
                <c:pt idx="744">
                  <c:v>15.333029999999983</c:v>
                </c:pt>
                <c:pt idx="745">
                  <c:v>15.333029999999983</c:v>
                </c:pt>
                <c:pt idx="746">
                  <c:v>15.333029999999983</c:v>
                </c:pt>
                <c:pt idx="747">
                  <c:v>15.333029999999983</c:v>
                </c:pt>
                <c:pt idx="748">
                  <c:v>15.333029999999983</c:v>
                </c:pt>
                <c:pt idx="749">
                  <c:v>15.333029999999983</c:v>
                </c:pt>
                <c:pt idx="750">
                  <c:v>15.333029999999983</c:v>
                </c:pt>
                <c:pt idx="751">
                  <c:v>15.333029999999983</c:v>
                </c:pt>
                <c:pt idx="752">
                  <c:v>15.333029999999983</c:v>
                </c:pt>
                <c:pt idx="753">
                  <c:v>15.333029999999983</c:v>
                </c:pt>
                <c:pt idx="754">
                  <c:v>15.333029999999983</c:v>
                </c:pt>
                <c:pt idx="755">
                  <c:v>15.333029999999983</c:v>
                </c:pt>
                <c:pt idx="756">
                  <c:v>15.333029999999983</c:v>
                </c:pt>
                <c:pt idx="757">
                  <c:v>15.333029999999983</c:v>
                </c:pt>
                <c:pt idx="758">
                  <c:v>15.333029999999983</c:v>
                </c:pt>
                <c:pt idx="759">
                  <c:v>15.333029999999983</c:v>
                </c:pt>
                <c:pt idx="760">
                  <c:v>15.333029999999983</c:v>
                </c:pt>
                <c:pt idx="761">
                  <c:v>15.333029999999983</c:v>
                </c:pt>
                <c:pt idx="762">
                  <c:v>15.333029999999983</c:v>
                </c:pt>
                <c:pt idx="763">
                  <c:v>15.333029999999983</c:v>
                </c:pt>
                <c:pt idx="764">
                  <c:v>15.333029999999983</c:v>
                </c:pt>
                <c:pt idx="765">
                  <c:v>15.333029999999983</c:v>
                </c:pt>
                <c:pt idx="766">
                  <c:v>15.333029999999983</c:v>
                </c:pt>
                <c:pt idx="767">
                  <c:v>15.333029999999983</c:v>
                </c:pt>
                <c:pt idx="768">
                  <c:v>15.333029999999983</c:v>
                </c:pt>
                <c:pt idx="769">
                  <c:v>15.333029999999983</c:v>
                </c:pt>
                <c:pt idx="770">
                  <c:v>15.333029999999983</c:v>
                </c:pt>
                <c:pt idx="771">
                  <c:v>15.333029999999983</c:v>
                </c:pt>
                <c:pt idx="772">
                  <c:v>15.333029999999983</c:v>
                </c:pt>
                <c:pt idx="773">
                  <c:v>15.333029999999983</c:v>
                </c:pt>
                <c:pt idx="774">
                  <c:v>15.333029999999983</c:v>
                </c:pt>
                <c:pt idx="775">
                  <c:v>15.333029999999983</c:v>
                </c:pt>
                <c:pt idx="776">
                  <c:v>15.333029999999983</c:v>
                </c:pt>
                <c:pt idx="777">
                  <c:v>15.333029999999983</c:v>
                </c:pt>
                <c:pt idx="778">
                  <c:v>15.333029999999983</c:v>
                </c:pt>
                <c:pt idx="779">
                  <c:v>15.333029999999983</c:v>
                </c:pt>
                <c:pt idx="780">
                  <c:v>15.333029999999983</c:v>
                </c:pt>
                <c:pt idx="781">
                  <c:v>15.333029999999983</c:v>
                </c:pt>
                <c:pt idx="782">
                  <c:v>15.333029999999983</c:v>
                </c:pt>
                <c:pt idx="783">
                  <c:v>15.333029999999983</c:v>
                </c:pt>
                <c:pt idx="784">
                  <c:v>15.333029999999983</c:v>
                </c:pt>
                <c:pt idx="785">
                  <c:v>15.333029999999983</c:v>
                </c:pt>
                <c:pt idx="786">
                  <c:v>15.333029999999983</c:v>
                </c:pt>
                <c:pt idx="787">
                  <c:v>15.333029999999983</c:v>
                </c:pt>
                <c:pt idx="788">
                  <c:v>15.333029999999983</c:v>
                </c:pt>
                <c:pt idx="789">
                  <c:v>15.333029999999983</c:v>
                </c:pt>
                <c:pt idx="790">
                  <c:v>15.333029999999983</c:v>
                </c:pt>
                <c:pt idx="791">
                  <c:v>15.333029999999983</c:v>
                </c:pt>
                <c:pt idx="792">
                  <c:v>15.333029999999983</c:v>
                </c:pt>
                <c:pt idx="793">
                  <c:v>15.333029999999983</c:v>
                </c:pt>
                <c:pt idx="794">
                  <c:v>15.333029999999983</c:v>
                </c:pt>
                <c:pt idx="795">
                  <c:v>15.333029999999983</c:v>
                </c:pt>
                <c:pt idx="796">
                  <c:v>15.333029999999983</c:v>
                </c:pt>
                <c:pt idx="797">
                  <c:v>15.333029999999983</c:v>
                </c:pt>
                <c:pt idx="798">
                  <c:v>15.333029999999983</c:v>
                </c:pt>
                <c:pt idx="799">
                  <c:v>15.333029999999983</c:v>
                </c:pt>
                <c:pt idx="800">
                  <c:v>15.333029999999983</c:v>
                </c:pt>
                <c:pt idx="801">
                  <c:v>15.333029999999983</c:v>
                </c:pt>
                <c:pt idx="802">
                  <c:v>15.333029999999983</c:v>
                </c:pt>
                <c:pt idx="803">
                  <c:v>15.333029999999983</c:v>
                </c:pt>
                <c:pt idx="804">
                  <c:v>15.333029999999983</c:v>
                </c:pt>
                <c:pt idx="805">
                  <c:v>15.333029999999983</c:v>
                </c:pt>
                <c:pt idx="806">
                  <c:v>15.333029999999983</c:v>
                </c:pt>
                <c:pt idx="807">
                  <c:v>15.333029999999983</c:v>
                </c:pt>
                <c:pt idx="808">
                  <c:v>15.333029999999983</c:v>
                </c:pt>
                <c:pt idx="809">
                  <c:v>15.333029999999983</c:v>
                </c:pt>
                <c:pt idx="810">
                  <c:v>15.333029999999983</c:v>
                </c:pt>
                <c:pt idx="811">
                  <c:v>15.333029999999983</c:v>
                </c:pt>
                <c:pt idx="812">
                  <c:v>15.333029999999983</c:v>
                </c:pt>
                <c:pt idx="813">
                  <c:v>15.333029999999983</c:v>
                </c:pt>
                <c:pt idx="814">
                  <c:v>15.333029999999983</c:v>
                </c:pt>
                <c:pt idx="815">
                  <c:v>15.333029999999983</c:v>
                </c:pt>
                <c:pt idx="816">
                  <c:v>15.333029999999983</c:v>
                </c:pt>
                <c:pt idx="817">
                  <c:v>15.333029999999983</c:v>
                </c:pt>
                <c:pt idx="818">
                  <c:v>15.333029999999983</c:v>
                </c:pt>
                <c:pt idx="819">
                  <c:v>15.333029999999983</c:v>
                </c:pt>
                <c:pt idx="820">
                  <c:v>15.333029999999983</c:v>
                </c:pt>
                <c:pt idx="821">
                  <c:v>15.333029999999983</c:v>
                </c:pt>
                <c:pt idx="822">
                  <c:v>15.333029999999983</c:v>
                </c:pt>
                <c:pt idx="823">
                  <c:v>15.333029999999983</c:v>
                </c:pt>
                <c:pt idx="824">
                  <c:v>15.333029999999983</c:v>
                </c:pt>
                <c:pt idx="825">
                  <c:v>15.333029999999983</c:v>
                </c:pt>
                <c:pt idx="826">
                  <c:v>15.333029999999983</c:v>
                </c:pt>
                <c:pt idx="827">
                  <c:v>15.333029999999983</c:v>
                </c:pt>
                <c:pt idx="828">
                  <c:v>15.333029999999983</c:v>
                </c:pt>
                <c:pt idx="829">
                  <c:v>15.333029999999983</c:v>
                </c:pt>
                <c:pt idx="830">
                  <c:v>15.333029999999983</c:v>
                </c:pt>
                <c:pt idx="831">
                  <c:v>15.333029999999983</c:v>
                </c:pt>
                <c:pt idx="832">
                  <c:v>15.333029999999983</c:v>
                </c:pt>
                <c:pt idx="833">
                  <c:v>15.333029999999983</c:v>
                </c:pt>
                <c:pt idx="834">
                  <c:v>15.333029999999983</c:v>
                </c:pt>
                <c:pt idx="835">
                  <c:v>15.333029999999983</c:v>
                </c:pt>
                <c:pt idx="836">
                  <c:v>15.333029999999983</c:v>
                </c:pt>
                <c:pt idx="837">
                  <c:v>15.333029999999983</c:v>
                </c:pt>
                <c:pt idx="838">
                  <c:v>15.333029999999983</c:v>
                </c:pt>
                <c:pt idx="839">
                  <c:v>15.333029999999983</c:v>
                </c:pt>
                <c:pt idx="840">
                  <c:v>15.333029999999983</c:v>
                </c:pt>
                <c:pt idx="841">
                  <c:v>15.333029999999983</c:v>
                </c:pt>
                <c:pt idx="842">
                  <c:v>15.333029999999983</c:v>
                </c:pt>
                <c:pt idx="843">
                  <c:v>15.333029999999983</c:v>
                </c:pt>
                <c:pt idx="844">
                  <c:v>15.333029999999983</c:v>
                </c:pt>
                <c:pt idx="845">
                  <c:v>15.333029999999983</c:v>
                </c:pt>
                <c:pt idx="846">
                  <c:v>15.333029999999983</c:v>
                </c:pt>
                <c:pt idx="847">
                  <c:v>15.333029999999983</c:v>
                </c:pt>
                <c:pt idx="848">
                  <c:v>15.333029999999983</c:v>
                </c:pt>
                <c:pt idx="849">
                  <c:v>15.333029999999983</c:v>
                </c:pt>
                <c:pt idx="850">
                  <c:v>15.333029999999983</c:v>
                </c:pt>
                <c:pt idx="851">
                  <c:v>15.333029999999983</c:v>
                </c:pt>
                <c:pt idx="852">
                  <c:v>15.333029999999983</c:v>
                </c:pt>
                <c:pt idx="853">
                  <c:v>15.333029999999983</c:v>
                </c:pt>
                <c:pt idx="854">
                  <c:v>15.333029999999983</c:v>
                </c:pt>
                <c:pt idx="855">
                  <c:v>15.333029999999983</c:v>
                </c:pt>
                <c:pt idx="856">
                  <c:v>15.333029999999983</c:v>
                </c:pt>
                <c:pt idx="857">
                  <c:v>15.333029999999983</c:v>
                </c:pt>
                <c:pt idx="858">
                  <c:v>15.333029999999983</c:v>
                </c:pt>
                <c:pt idx="859">
                  <c:v>15.333029999999983</c:v>
                </c:pt>
                <c:pt idx="860">
                  <c:v>15.333029999999983</c:v>
                </c:pt>
                <c:pt idx="861">
                  <c:v>15.333029999999983</c:v>
                </c:pt>
                <c:pt idx="862">
                  <c:v>15.333029999999983</c:v>
                </c:pt>
                <c:pt idx="863">
                  <c:v>15.333029999999983</c:v>
                </c:pt>
                <c:pt idx="864">
                  <c:v>15.333029999999983</c:v>
                </c:pt>
                <c:pt idx="865">
                  <c:v>15.333029999999983</c:v>
                </c:pt>
                <c:pt idx="866">
                  <c:v>15.333029999999983</c:v>
                </c:pt>
                <c:pt idx="867">
                  <c:v>15.333029999999983</c:v>
                </c:pt>
                <c:pt idx="868">
                  <c:v>15.333029999999983</c:v>
                </c:pt>
                <c:pt idx="869">
                  <c:v>15.333029999999983</c:v>
                </c:pt>
                <c:pt idx="870">
                  <c:v>15.333029999999983</c:v>
                </c:pt>
                <c:pt idx="871">
                  <c:v>15.333029999999983</c:v>
                </c:pt>
                <c:pt idx="872">
                  <c:v>15.333029999999983</c:v>
                </c:pt>
                <c:pt idx="873">
                  <c:v>15.333029999999983</c:v>
                </c:pt>
                <c:pt idx="874">
                  <c:v>15.333029999999983</c:v>
                </c:pt>
                <c:pt idx="875">
                  <c:v>15.333029999999983</c:v>
                </c:pt>
                <c:pt idx="876">
                  <c:v>15.333029999999983</c:v>
                </c:pt>
                <c:pt idx="877">
                  <c:v>15.333029999999983</c:v>
                </c:pt>
                <c:pt idx="878">
                  <c:v>15.333029999999983</c:v>
                </c:pt>
                <c:pt idx="879">
                  <c:v>15.333029999999983</c:v>
                </c:pt>
                <c:pt idx="880">
                  <c:v>15.333029999999983</c:v>
                </c:pt>
                <c:pt idx="881">
                  <c:v>15.333029999999983</c:v>
                </c:pt>
                <c:pt idx="882">
                  <c:v>15.333029999999983</c:v>
                </c:pt>
                <c:pt idx="883">
                  <c:v>15.333029999999983</c:v>
                </c:pt>
                <c:pt idx="884">
                  <c:v>15.333029999999983</c:v>
                </c:pt>
                <c:pt idx="885">
                  <c:v>15.333029999999983</c:v>
                </c:pt>
                <c:pt idx="886">
                  <c:v>15.333029999999983</c:v>
                </c:pt>
                <c:pt idx="887">
                  <c:v>15.333029999999983</c:v>
                </c:pt>
                <c:pt idx="888">
                  <c:v>15.333029999999983</c:v>
                </c:pt>
                <c:pt idx="889">
                  <c:v>15.333029999999983</c:v>
                </c:pt>
                <c:pt idx="890">
                  <c:v>15.333029999999983</c:v>
                </c:pt>
                <c:pt idx="891">
                  <c:v>15.333029999999983</c:v>
                </c:pt>
                <c:pt idx="892">
                  <c:v>15.333029999999983</c:v>
                </c:pt>
                <c:pt idx="893">
                  <c:v>15.333029999999983</c:v>
                </c:pt>
                <c:pt idx="894">
                  <c:v>15.333029999999983</c:v>
                </c:pt>
                <c:pt idx="895">
                  <c:v>15.333029999999983</c:v>
                </c:pt>
                <c:pt idx="896">
                  <c:v>15.333029999999983</c:v>
                </c:pt>
                <c:pt idx="897">
                  <c:v>15.333029999999983</c:v>
                </c:pt>
                <c:pt idx="898">
                  <c:v>15.333029999999983</c:v>
                </c:pt>
                <c:pt idx="899">
                  <c:v>15.333029999999983</c:v>
                </c:pt>
                <c:pt idx="900">
                  <c:v>15.333029999999983</c:v>
                </c:pt>
                <c:pt idx="901">
                  <c:v>15.333029999999983</c:v>
                </c:pt>
                <c:pt idx="902">
                  <c:v>15.333029999999983</c:v>
                </c:pt>
                <c:pt idx="903">
                  <c:v>15.333029999999983</c:v>
                </c:pt>
                <c:pt idx="904">
                  <c:v>15.333029999999983</c:v>
                </c:pt>
                <c:pt idx="905">
                  <c:v>15.333029999999983</c:v>
                </c:pt>
                <c:pt idx="906">
                  <c:v>15.333029999999983</c:v>
                </c:pt>
                <c:pt idx="907">
                  <c:v>15.333029999999983</c:v>
                </c:pt>
                <c:pt idx="908">
                  <c:v>15.333029999999983</c:v>
                </c:pt>
                <c:pt idx="909">
                  <c:v>15.333029999999983</c:v>
                </c:pt>
                <c:pt idx="910">
                  <c:v>15.333029999999983</c:v>
                </c:pt>
                <c:pt idx="911">
                  <c:v>15.333029999999983</c:v>
                </c:pt>
                <c:pt idx="912">
                  <c:v>15.333029999999983</c:v>
                </c:pt>
                <c:pt idx="913">
                  <c:v>15.333029999999983</c:v>
                </c:pt>
                <c:pt idx="914">
                  <c:v>15.333029999999983</c:v>
                </c:pt>
                <c:pt idx="915">
                  <c:v>15.333029999999983</c:v>
                </c:pt>
                <c:pt idx="916">
                  <c:v>15.333029999999983</c:v>
                </c:pt>
                <c:pt idx="917">
                  <c:v>15.333029999999983</c:v>
                </c:pt>
                <c:pt idx="918">
                  <c:v>15.333029999999983</c:v>
                </c:pt>
                <c:pt idx="919">
                  <c:v>15.333029999999983</c:v>
                </c:pt>
                <c:pt idx="920">
                  <c:v>15.333029999999983</c:v>
                </c:pt>
                <c:pt idx="921">
                  <c:v>15.333029999999983</c:v>
                </c:pt>
                <c:pt idx="922">
                  <c:v>15.333029999999983</c:v>
                </c:pt>
                <c:pt idx="923">
                  <c:v>15.333029999999983</c:v>
                </c:pt>
                <c:pt idx="924">
                  <c:v>15.333029999999983</c:v>
                </c:pt>
                <c:pt idx="925">
                  <c:v>15.333029999999983</c:v>
                </c:pt>
                <c:pt idx="926">
                  <c:v>15.333029999999983</c:v>
                </c:pt>
                <c:pt idx="927">
                  <c:v>15.333029999999983</c:v>
                </c:pt>
                <c:pt idx="928">
                  <c:v>15.333029999999983</c:v>
                </c:pt>
                <c:pt idx="929">
                  <c:v>15.333029999999983</c:v>
                </c:pt>
                <c:pt idx="930">
                  <c:v>15.333029999999983</c:v>
                </c:pt>
                <c:pt idx="931">
                  <c:v>15.333029999999983</c:v>
                </c:pt>
                <c:pt idx="932">
                  <c:v>15.333029999999983</c:v>
                </c:pt>
                <c:pt idx="933">
                  <c:v>15.333029999999983</c:v>
                </c:pt>
                <c:pt idx="934">
                  <c:v>15.333029999999983</c:v>
                </c:pt>
                <c:pt idx="935">
                  <c:v>15.333029999999983</c:v>
                </c:pt>
                <c:pt idx="936">
                  <c:v>15.333029999999983</c:v>
                </c:pt>
                <c:pt idx="937">
                  <c:v>15.333029999999983</c:v>
                </c:pt>
                <c:pt idx="938">
                  <c:v>15.333029999999983</c:v>
                </c:pt>
                <c:pt idx="939">
                  <c:v>15.333029999999983</c:v>
                </c:pt>
                <c:pt idx="940">
                  <c:v>15.333029999999983</c:v>
                </c:pt>
                <c:pt idx="941">
                  <c:v>15.333029999999983</c:v>
                </c:pt>
                <c:pt idx="942">
                  <c:v>15.333029999999983</c:v>
                </c:pt>
                <c:pt idx="943">
                  <c:v>15.333029999999983</c:v>
                </c:pt>
                <c:pt idx="944">
                  <c:v>15.333029999999983</c:v>
                </c:pt>
                <c:pt idx="945">
                  <c:v>15.333029999999983</c:v>
                </c:pt>
                <c:pt idx="946">
                  <c:v>15.333029999999983</c:v>
                </c:pt>
                <c:pt idx="947">
                  <c:v>15.333029999999983</c:v>
                </c:pt>
                <c:pt idx="948">
                  <c:v>15.333029999999983</c:v>
                </c:pt>
                <c:pt idx="949">
                  <c:v>15.333029999999983</c:v>
                </c:pt>
                <c:pt idx="950">
                  <c:v>15.333029999999983</c:v>
                </c:pt>
                <c:pt idx="951">
                  <c:v>15.333029999999983</c:v>
                </c:pt>
                <c:pt idx="952">
                  <c:v>15.333029999999983</c:v>
                </c:pt>
                <c:pt idx="953">
                  <c:v>15.333029999999983</c:v>
                </c:pt>
                <c:pt idx="954">
                  <c:v>15.333029999999983</c:v>
                </c:pt>
                <c:pt idx="955">
                  <c:v>15.333029999999983</c:v>
                </c:pt>
                <c:pt idx="956">
                  <c:v>15.333029999999983</c:v>
                </c:pt>
                <c:pt idx="957">
                  <c:v>15.333029999999983</c:v>
                </c:pt>
                <c:pt idx="958">
                  <c:v>15.333029999999983</c:v>
                </c:pt>
                <c:pt idx="959">
                  <c:v>15.333029999999983</c:v>
                </c:pt>
                <c:pt idx="960">
                  <c:v>15.333029999999983</c:v>
                </c:pt>
                <c:pt idx="961">
                  <c:v>15.333029999999983</c:v>
                </c:pt>
                <c:pt idx="962">
                  <c:v>15.333029999999983</c:v>
                </c:pt>
                <c:pt idx="963">
                  <c:v>15.333029999999983</c:v>
                </c:pt>
                <c:pt idx="964">
                  <c:v>15.333029999999983</c:v>
                </c:pt>
                <c:pt idx="965">
                  <c:v>15.333029999999983</c:v>
                </c:pt>
                <c:pt idx="966">
                  <c:v>15.333029999999983</c:v>
                </c:pt>
                <c:pt idx="967">
                  <c:v>15.333029999999983</c:v>
                </c:pt>
                <c:pt idx="968">
                  <c:v>15.333029999999983</c:v>
                </c:pt>
                <c:pt idx="969">
                  <c:v>15.333029999999983</c:v>
                </c:pt>
                <c:pt idx="970">
                  <c:v>15.333029999999983</c:v>
                </c:pt>
                <c:pt idx="971">
                  <c:v>15.333029999999983</c:v>
                </c:pt>
                <c:pt idx="972">
                  <c:v>15.333029999999983</c:v>
                </c:pt>
                <c:pt idx="973">
                  <c:v>15.333029999999983</c:v>
                </c:pt>
                <c:pt idx="974">
                  <c:v>15.333029999999983</c:v>
                </c:pt>
                <c:pt idx="975">
                  <c:v>15.333029999999983</c:v>
                </c:pt>
                <c:pt idx="976">
                  <c:v>15.333029999999983</c:v>
                </c:pt>
                <c:pt idx="977">
                  <c:v>15.333029999999983</c:v>
                </c:pt>
                <c:pt idx="978">
                  <c:v>15.333029999999983</c:v>
                </c:pt>
                <c:pt idx="979">
                  <c:v>15.333029999999983</c:v>
                </c:pt>
                <c:pt idx="980">
                  <c:v>15.333029999999983</c:v>
                </c:pt>
                <c:pt idx="981">
                  <c:v>15.333029999999983</c:v>
                </c:pt>
                <c:pt idx="982">
                  <c:v>15.333029999999983</c:v>
                </c:pt>
                <c:pt idx="983">
                  <c:v>15.333029999999983</c:v>
                </c:pt>
                <c:pt idx="984">
                  <c:v>15.333029999999983</c:v>
                </c:pt>
                <c:pt idx="985">
                  <c:v>15.333029999999983</c:v>
                </c:pt>
                <c:pt idx="986">
                  <c:v>15.333029999999983</c:v>
                </c:pt>
                <c:pt idx="987">
                  <c:v>15.333029999999983</c:v>
                </c:pt>
                <c:pt idx="988">
                  <c:v>15.333029999999983</c:v>
                </c:pt>
                <c:pt idx="989">
                  <c:v>15.333029999999983</c:v>
                </c:pt>
                <c:pt idx="990">
                  <c:v>15.333029999999983</c:v>
                </c:pt>
                <c:pt idx="991">
                  <c:v>15.333029999999983</c:v>
                </c:pt>
                <c:pt idx="992">
                  <c:v>15.333029999999983</c:v>
                </c:pt>
                <c:pt idx="993">
                  <c:v>15.333029999999983</c:v>
                </c:pt>
                <c:pt idx="994">
                  <c:v>15.333029999999983</c:v>
                </c:pt>
                <c:pt idx="995">
                  <c:v>15.333029999999983</c:v>
                </c:pt>
                <c:pt idx="996">
                  <c:v>15.333029999999983</c:v>
                </c:pt>
                <c:pt idx="997">
                  <c:v>15.333029999999983</c:v>
                </c:pt>
                <c:pt idx="998">
                  <c:v>15.333029999999983</c:v>
                </c:pt>
                <c:pt idx="999">
                  <c:v>15.333029999999983</c:v>
                </c:pt>
                <c:pt idx="1000">
                  <c:v>15.333029999999983</c:v>
                </c:pt>
              </c:numCache>
            </c:numRef>
          </c:yVal>
          <c:smooth val="0"/>
          <c:extLst>
            <c:ext xmlns:c16="http://schemas.microsoft.com/office/drawing/2014/chart" uri="{C3380CC4-5D6E-409C-BE32-E72D297353CC}">
              <c16:uniqueId val="{00000001-C0A4-422D-8B8B-35A0AD0C72E1}"/>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Calculs!$W$4:$W$1004</c:f>
              <c:numCache>
                <c:formatCode>0.00</c:formatCode>
                <c:ptCount val="1001"/>
                <c:pt idx="0">
                  <c:v>0</c:v>
                </c:pt>
                <c:pt idx="1">
                  <c:v>1.0819655820122723E-4</c:v>
                </c:pt>
                <c:pt idx="2">
                  <c:v>2.3704327003539081E-3</c:v>
                </c:pt>
                <c:pt idx="3">
                  <c:v>9.7458463834672691E-3</c:v>
                </c:pt>
                <c:pt idx="4">
                  <c:v>2.0829635881099085E-2</c:v>
                </c:pt>
                <c:pt idx="5">
                  <c:v>3.5204263358769229E-2</c:v>
                </c:pt>
                <c:pt idx="6">
                  <c:v>5.3253254506466112E-2</c:v>
                </c:pt>
                <c:pt idx="7">
                  <c:v>7.49333323859626E-2</c:v>
                </c:pt>
                <c:pt idx="8">
                  <c:v>0.1002009608844463</c:v>
                </c:pt>
                <c:pt idx="9">
                  <c:v>0.12901235307595191</c:v>
                </c:pt>
                <c:pt idx="10">
                  <c:v>0.1613234796180695</c:v>
                </c:pt>
                <c:pt idx="11">
                  <c:v>0.19709007718112787</c:v>
                </c:pt>
                <c:pt idx="12">
                  <c:v>0.23626765690705173</c:v>
                </c:pt>
                <c:pt idx="13">
                  <c:v>0.27881151289508982</c:v>
                </c:pt>
                <c:pt idx="14">
                  <c:v>0.3246767307116124</c:v>
                </c:pt>
                <c:pt idx="15">
                  <c:v>0.37381819592118049</c:v>
                </c:pt>
                <c:pt idx="16">
                  <c:v>0.42619060263609071</c:v>
                </c:pt>
                <c:pt idx="17">
                  <c:v>0.48174846208160499</c:v>
                </c:pt>
                <c:pt idx="18">
                  <c:v>0.54044611117409025</c:v>
                </c:pt>
                <c:pt idx="19">
                  <c:v>0.60223772110928175</c:v>
                </c:pt>
                <c:pt idx="20">
                  <c:v>0.66707730595791626</c:v>
                </c:pt>
                <c:pt idx="21">
                  <c:v>0.73491873126597629</c:v>
                </c:pt>
                <c:pt idx="22">
                  <c:v>0.8057157226568068</c:v>
                </c:pt>
                <c:pt idx="23">
                  <c:v>0.87942225147949449</c:v>
                </c:pt>
                <c:pt idx="24">
                  <c:v>0.95599224152685536</c:v>
                </c:pt>
                <c:pt idx="25">
                  <c:v>1.0353791201290836</c:v>
                </c:pt>
                <c:pt idx="26">
                  <c:v>1.1175362060332523</c:v>
                </c:pt>
                <c:pt idx="27">
                  <c:v>1.2024167181614167</c:v>
                </c:pt>
                <c:pt idx="28">
                  <c:v>1.2899737843378876</c:v>
                </c:pt>
                <c:pt idx="29">
                  <c:v>1.3801604499816384</c:v>
                </c:pt>
                <c:pt idx="30">
                  <c:v>1.4729296867637156</c:v>
                </c:pt>
                <c:pt idx="31">
                  <c:v>1.5682344012291585</c:v>
                </c:pt>
                <c:pt idx="32">
                  <c:v>1.6660274433825935</c:v>
                </c:pt>
                <c:pt idx="33">
                  <c:v>1.7662616152364696</c:v>
                </c:pt>
                <c:pt idx="34">
                  <c:v>1.8688896793206518</c:v>
                </c:pt>
                <c:pt idx="35">
                  <c:v>1.9738643671520071</c:v>
                </c:pt>
                <c:pt idx="36">
                  <c:v>2.0811383876624294</c:v>
                </c:pt>
                <c:pt idx="37">
                  <c:v>2.1906644355837002</c:v>
                </c:pt>
                <c:pt idx="38">
                  <c:v>2.3023951997874774</c:v>
                </c:pt>
                <c:pt idx="39">
                  <c:v>2.4162833715786927</c:v>
                </c:pt>
                <c:pt idx="40">
                  <c:v>2.5322816529405459</c:v>
                </c:pt>
                <c:pt idx="41">
                  <c:v>2.6503427647292677</c:v>
                </c:pt>
                <c:pt idx="42">
                  <c:v>2.7704194548168477</c:v>
                </c:pt>
                <c:pt idx="43">
                  <c:v>2.8924645061798557</c:v>
                </c:pt>
                <c:pt idx="44">
                  <c:v>3.0164307449325034</c:v>
                </c:pt>
                <c:pt idx="45">
                  <c:v>3.1422710483021019</c:v>
                </c:pt>
                <c:pt idx="46">
                  <c:v>3.2699383525450947</c:v>
                </c:pt>
                <c:pt idx="47">
                  <c:v>3.3993856608018023</c:v>
                </c:pt>
                <c:pt idx="48">
                  <c:v>3.5305660508880941</c:v>
                </c:pt>
                <c:pt idx="49">
                  <c:v>3.6634326830221924</c:v>
                </c:pt>
                <c:pt idx="50">
                  <c:v>3.7979388074848432</c:v>
                </c:pt>
                <c:pt idx="51">
                  <c:v>3.9340377722111208</c:v>
                </c:pt>
                <c:pt idx="52">
                  <c:v>4.0716830303121201</c:v>
                </c:pt>
                <c:pt idx="53">
                  <c:v>4.2108281475249223</c:v>
                </c:pt>
                <c:pt idx="54">
                  <c:v>4.3514268095891193</c:v>
                </c:pt>
                <c:pt idx="55">
                  <c:v>4.4934328295483352</c:v>
                </c:pt>
                <c:pt idx="56">
                  <c:v>4.6368001549751368</c:v>
                </c:pt>
                <c:pt idx="57">
                  <c:v>4.7814828751178062</c:v>
                </c:pt>
                <c:pt idx="58">
                  <c:v>4.9274352279674734</c:v>
                </c:pt>
                <c:pt idx="59">
                  <c:v>5.0746116072441598</c:v>
                </c:pt>
                <c:pt idx="60">
                  <c:v>5.222966569300274</c:v>
                </c:pt>
                <c:pt idx="61">
                  <c:v>5.3724548399402421</c:v>
                </c:pt>
                <c:pt idx="62">
                  <c:v>5.5230313211548587</c:v>
                </c:pt>
                <c:pt idx="63">
                  <c:v>5.673748290644026</c:v>
                </c:pt>
                <c:pt idx="64">
                  <c:v>5.8236096557622972</c:v>
                </c:pt>
                <c:pt idx="65">
                  <c:v>5.9725000365685919</c:v>
                </c:pt>
                <c:pt idx="66">
                  <c:v>6.1203062463818183</c:v>
                </c:pt>
                <c:pt idx="67">
                  <c:v>6.2660468122292148</c:v>
                </c:pt>
                <c:pt idx="68">
                  <c:v>6.4087022119441954</c:v>
                </c:pt>
                <c:pt idx="69">
                  <c:v>6.5465254014806415</c:v>
                </c:pt>
                <c:pt idx="70">
                  <c:v>6.6777101497681937</c:v>
                </c:pt>
                <c:pt idx="71">
                  <c:v>6.8020150248383242</c:v>
                </c:pt>
                <c:pt idx="72">
                  <c:v>6.9192141663909172</c:v>
                </c:pt>
                <c:pt idx="73">
                  <c:v>7.0290973099484706</c:v>
                </c:pt>
                <c:pt idx="74">
                  <c:v>7.1314698020669276</c:v>
                </c:pt>
                <c:pt idx="75">
                  <c:v>7.2261526068514765</c:v>
                </c:pt>
                <c:pt idx="76">
                  <c:v>7.3129823040326105</c:v>
                </c:pt>
                <c:pt idx="77">
                  <c:v>7.3918110788633902</c:v>
                </c:pt>
                <c:pt idx="78">
                  <c:v>7.4625067041047162</c:v>
                </c:pt>
                <c:pt idx="79">
                  <c:v>7.524952514370014</c:v>
                </c:pt>
                <c:pt idx="80">
                  <c:v>7.5790473731054844</c:v>
                </c:pt>
                <c:pt idx="81">
                  <c:v>7.6267410460176039</c:v>
                </c:pt>
                <c:pt idx="82">
                  <c:v>7.6700185214425352</c:v>
                </c:pt>
                <c:pt idx="83">
                  <c:v>7.7088450246142042</c:v>
                </c:pt>
                <c:pt idx="84">
                  <c:v>7.7431901053026619</c:v>
                </c:pt>
                <c:pt idx="85">
                  <c:v>7.7730276219827621</c:v>
                </c:pt>
                <c:pt idx="86">
                  <c:v>7.7983357249987053</c:v>
                </c:pt>
                <c:pt idx="87">
                  <c:v>7.8190968387678179</c:v>
                </c:pt>
                <c:pt idx="88">
                  <c:v>7.8352976430668102</c:v>
                </c:pt>
                <c:pt idx="89">
                  <c:v>7.8475816189622769</c:v>
                </c:pt>
                <c:pt idx="90">
                  <c:v>7.8565970478657139</c:v>
                </c:pt>
                <c:pt idx="91">
                  <c:v>7.8623421585546707</c:v>
                </c:pt>
                <c:pt idx="92">
                  <c:v>7.8648173202818201</c:v>
                </c:pt>
                <c:pt idx="93">
                  <c:v>7.8641883768261618</c:v>
                </c:pt>
                <c:pt idx="94">
                  <c:v>7.8606229240864751</c:v>
                </c:pt>
                <c:pt idx="95">
                  <c:v>7.8541267241357602</c:v>
                </c:pt>
                <c:pt idx="96">
                  <c:v>7.8447072346552682</c:v>
                </c:pt>
                <c:pt idx="97">
                  <c:v>7.8330257104516656</c:v>
                </c:pt>
                <c:pt idx="98">
                  <c:v>7.8197418149017057</c:v>
                </c:pt>
                <c:pt idx="99">
                  <c:v>7.8048618159463921</c:v>
                </c:pt>
                <c:pt idx="100">
                  <c:v>7.7883924819628554</c:v>
                </c:pt>
                <c:pt idx="101">
                  <c:v>7.7703410787094613</c:v>
                </c:pt>
                <c:pt idx="102">
                  <c:v>7.7507153662655179</c:v>
                </c:pt>
                <c:pt idx="103">
                  <c:v>7.729523595967227</c:v>
                </c:pt>
                <c:pt idx="104">
                  <c:v>7.7067745073416463</c:v>
                </c:pt>
                <c:pt idx="105">
                  <c:v>7.6824773250402814</c:v>
                </c:pt>
                <c:pt idx="106">
                  <c:v>7.6566417557739817</c:v>
                </c:pt>
                <c:pt idx="107">
                  <c:v>7.6292779852507593</c:v>
                </c:pt>
                <c:pt idx="108">
                  <c:v>7.6003966751181595</c:v>
                </c:pt>
                <c:pt idx="109">
                  <c:v>7.5708101426536789</c:v>
                </c:pt>
                <c:pt idx="110">
                  <c:v>7.541323465385191</c:v>
                </c:pt>
                <c:pt idx="111">
                  <c:v>7.5119362611812281</c:v>
                </c:pt>
                <c:pt idx="112">
                  <c:v>7.4826481498844961</c:v>
                </c:pt>
                <c:pt idx="113">
                  <c:v>7.4534587532999277</c:v>
                </c:pt>
                <c:pt idx="114">
                  <c:v>7.4243676951829007</c:v>
                </c:pt>
                <c:pt idx="115">
                  <c:v>7.3953746012274886</c:v>
                </c:pt>
                <c:pt idx="116">
                  <c:v>7.3664790990548106</c:v>
                </c:pt>
                <c:pt idx="117">
                  <c:v>7.3376808182014814</c:v>
                </c:pt>
                <c:pt idx="118">
                  <c:v>7.3089793901080924</c:v>
                </c:pt>
                <c:pt idx="119">
                  <c:v>7.2803744481078505</c:v>
                </c:pt>
                <c:pt idx="120">
                  <c:v>7.2518656274152136</c:v>
                </c:pt>
                <c:pt idx="121">
                  <c:v>7.2234525651146866</c:v>
                </c:pt>
                <c:pt idx="122">
                  <c:v>7.195134900149637</c:v>
                </c:pt>
                <c:pt idx="123">
                  <c:v>7.1669122733112074</c:v>
                </c:pt>
                <c:pt idx="124">
                  <c:v>7.1387843272273273</c:v>
                </c:pt>
                <c:pt idx="125">
                  <c:v>7.1107507063517765</c:v>
                </c:pt>
                <c:pt idx="126">
                  <c:v>7.0828110569533278</c:v>
                </c:pt>
                <c:pt idx="127">
                  <c:v>7.0549650271049877</c:v>
                </c:pt>
                <c:pt idx="128">
                  <c:v>7.027212266673283</c:v>
                </c:pt>
                <c:pt idx="129">
                  <c:v>6.9995524273076484</c:v>
                </c:pt>
                <c:pt idx="130">
                  <c:v>6.9719851624298723</c:v>
                </c:pt>
                <c:pt idx="131">
                  <c:v>6.9445101272236238</c:v>
                </c:pt>
                <c:pt idx="132">
                  <c:v>6.9171269786240464</c:v>
                </c:pt>
                <c:pt idx="133">
                  <c:v>6.8898353753074506</c:v>
                </c:pt>
                <c:pt idx="134">
                  <c:v>6.8626349776810196</c:v>
                </c:pt>
                <c:pt idx="135">
                  <c:v>6.8355254478726621</c:v>
                </c:pt>
                <c:pt idx="136">
                  <c:v>6.808506449720876</c:v>
                </c:pt>
                <c:pt idx="137">
                  <c:v>6.781577648764725</c:v>
                </c:pt>
                <c:pt idx="138">
                  <c:v>6.7547387122338307</c:v>
                </c:pt>
                <c:pt idx="139">
                  <c:v>6.7279893090385192</c:v>
                </c:pt>
                <c:pt idx="140">
                  <c:v>6.7013291097599446</c:v>
                </c:pt>
                <c:pt idx="141">
                  <c:v>6.6747577866403365</c:v>
                </c:pt>
                <c:pt idx="142">
                  <c:v>6.648275013573314</c:v>
                </c:pt>
                <c:pt idx="143">
                  <c:v>6.6218804660942361</c:v>
                </c:pt>
                <c:pt idx="144">
                  <c:v>6.5955738213706478</c:v>
                </c:pt>
                <c:pt idx="145">
                  <c:v>6.5693547581927811</c:v>
                </c:pt>
                <c:pt idx="146">
                  <c:v>6.5432229569641107</c:v>
                </c:pt>
                <c:pt idx="147">
                  <c:v>6.5171780996920141</c:v>
                </c:pt>
                <c:pt idx="148">
                  <c:v>6.4912198699784254</c:v>
                </c:pt>
                <c:pt idx="149">
                  <c:v>6.4653479530106495</c:v>
                </c:pt>
                <c:pt idx="150">
                  <c:v>6.4395620355521501</c:v>
                </c:pt>
                <c:pt idx="151">
                  <c:v>6.4138618059334442</c:v>
                </c:pt>
                <c:pt idx="152">
                  <c:v>6.3882469540430655</c:v>
                </c:pt>
                <c:pt idx="153">
                  <c:v>6.3627171713185593</c:v>
                </c:pt>
                <c:pt idx="154">
                  <c:v>6.3372721507375784</c:v>
                </c:pt>
                <c:pt idx="155">
                  <c:v>6.3119115868089972</c:v>
                </c:pt>
                <c:pt idx="156">
                  <c:v>6.2866351755641308</c:v>
                </c:pt>
                <c:pt idx="157">
                  <c:v>6.2614426145479731</c:v>
                </c:pt>
                <c:pt idx="158">
                  <c:v>6.2363336028105261</c:v>
                </c:pt>
                <c:pt idx="159">
                  <c:v>6.2113078408981695</c:v>
                </c:pt>
                <c:pt idx="160">
                  <c:v>6.1863650308450975</c:v>
                </c:pt>
                <c:pt idx="161">
                  <c:v>6.1615048761648064</c:v>
                </c:pt>
                <c:pt idx="162">
                  <c:v>6.1367270818416602</c:v>
                </c:pt>
                <c:pt idx="163">
                  <c:v>6.1120313543224887</c:v>
                </c:pt>
                <c:pt idx="164">
                  <c:v>6.0874174015082572</c:v>
                </c:pt>
                <c:pt idx="165">
                  <c:v>6.0628849327457894</c:v>
                </c:pt>
                <c:pt idx="166">
                  <c:v>6.0384336588195344</c:v>
                </c:pt>
                <c:pt idx="167">
                  <c:v>6.0140632919434234</c:v>
                </c:pt>
                <c:pt idx="168">
                  <c:v>5.9897735457527475</c:v>
                </c:pt>
                <c:pt idx="169">
                  <c:v>5.9655641352960957</c:v>
                </c:pt>
                <c:pt idx="170">
                  <c:v>5.9414347770273643</c:v>
                </c:pt>
                <c:pt idx="171">
                  <c:v>5.9173851887978071</c:v>
                </c:pt>
                <c:pt idx="172">
                  <c:v>5.8934150898481494</c:v>
                </c:pt>
                <c:pt idx="173">
                  <c:v>5.8695242008007318</c:v>
                </c:pt>
                <c:pt idx="174">
                  <c:v>5.845712243651743</c:v>
                </c:pt>
                <c:pt idx="175">
                  <c:v>5.8219789417634615</c:v>
                </c:pt>
                <c:pt idx="176">
                  <c:v>5.7983240198566106</c:v>
                </c:pt>
                <c:pt idx="177">
                  <c:v>5.7747472040026775</c:v>
                </c:pt>
                <c:pt idx="178">
                  <c:v>5.7512482216163807</c:v>
                </c:pt>
                <c:pt idx="179">
                  <c:v>5.7278268014481117</c:v>
                </c:pt>
                <c:pt idx="180">
                  <c:v>5.7044826735764662</c:v>
                </c:pt>
                <c:pt idx="181">
                  <c:v>5.6812155694008295</c:v>
                </c:pt>
                <c:pt idx="182">
                  <c:v>5.6580252216339675</c:v>
                </c:pt>
                <c:pt idx="183">
                  <c:v>5.6349113642947204</c:v>
                </c:pt>
                <c:pt idx="184">
                  <c:v>5.6118737327007224</c:v>
                </c:pt>
                <c:pt idx="185">
                  <c:v>5.5889120634611693</c:v>
                </c:pt>
                <c:pt idx="186">
                  <c:v>5.5660260944696098</c:v>
                </c:pt>
                <c:pt idx="187">
                  <c:v>5.5432155648968573</c:v>
                </c:pt>
                <c:pt idx="188">
                  <c:v>5.5204802151838628</c:v>
                </c:pt>
                <c:pt idx="189">
                  <c:v>5.4978197870346825</c:v>
                </c:pt>
                <c:pt idx="190">
                  <c:v>5.4752340234095032</c:v>
                </c:pt>
                <c:pt idx="191">
                  <c:v>5.4527226685176666</c:v>
                </c:pt>
                <c:pt idx="192">
                  <c:v>5.4302854678107959</c:v>
                </c:pt>
                <c:pt idx="193">
                  <c:v>5.4079221679759044</c:v>
                </c:pt>
                <c:pt idx="194">
                  <c:v>5.3856325169286352</c:v>
                </c:pt>
                <c:pt idx="195">
                  <c:v>5.3634162638064424</c:v>
                </c:pt>
                <c:pt idx="196">
                  <c:v>5.3412731589619078</c:v>
                </c:pt>
                <c:pt idx="197">
                  <c:v>5.3192029539560481</c:v>
                </c:pt>
                <c:pt idx="198">
                  <c:v>5.2972054015516914</c:v>
                </c:pt>
                <c:pt idx="199">
                  <c:v>5.2752802557068774</c:v>
                </c:pt>
                <c:pt idx="200">
                  <c:v>5.2534272715683308</c:v>
                </c:pt>
                <c:pt idx="201">
                  <c:v>5.0378009337500895</c:v>
                </c:pt>
                <c:pt idx="202">
                  <c:v>4.8292159478878309</c:v>
                </c:pt>
                <c:pt idx="203">
                  <c:v>4.6274406519262454</c:v>
                </c:pt>
                <c:pt idx="204">
                  <c:v>4.4322543060341371</c:v>
                </c:pt>
                <c:pt idx="205">
                  <c:v>4.2434465184012664</c:v>
                </c:pt>
                <c:pt idx="206">
                  <c:v>4.0608167072784251</c:v>
                </c:pt>
                <c:pt idx="207">
                  <c:v>3.8841735967066269</c:v>
                </c:pt>
                <c:pt idx="208">
                  <c:v>3.7133347435838822</c:v>
                </c:pt>
                <c:pt idx="209">
                  <c:v>3.5481260939030004</c:v>
                </c:pt>
                <c:pt idx="210">
                  <c:v>3.3883815661627006</c:v>
                </c:pt>
                <c:pt idx="211">
                  <c:v>3.2339426601087085</c:v>
                </c:pt>
                <c:pt idx="212">
                  <c:v>3.0846580891027897</c:v>
                </c:pt>
                <c:pt idx="213">
                  <c:v>2.9403834345468707</c:v>
                </c:pt>
                <c:pt idx="214">
                  <c:v>2.8009808209079186</c:v>
                </c:pt>
                <c:pt idx="215">
                  <c:v>2.6663186099977443</c:v>
                </c:pt>
                <c:pt idx="216">
                  <c:v>2.5362711132614875</c:v>
                </c:pt>
                <c:pt idx="217">
                  <c:v>2.4107183209199183</c:v>
                </c:pt>
                <c:pt idx="218">
                  <c:v>2.2895456468944855</c:v>
                </c:pt>
                <c:pt idx="219">
                  <c:v>2.1726436885211435</c:v>
                </c:pt>
                <c:pt idx="220">
                  <c:v>2.0599080001296066</c:v>
                </c:pt>
                <c:pt idx="221">
                  <c:v>1.9512388796296467</c:v>
                </c:pt>
                <c:pt idx="222">
                  <c:v>1.8465411673056278</c:v>
                </c:pt>
                <c:pt idx="223">
                  <c:v>1.7457240560750962</c:v>
                </c:pt>
                <c:pt idx="224">
                  <c:v>1.6487009125172727</c:v>
                </c:pt>
                <c:pt idx="225">
                  <c:v>1.555389108023036</c:v>
                </c:pt>
                <c:pt idx="226">
                  <c:v>1.4657098594596214</c:v>
                </c:pt>
                <c:pt idx="227">
                  <c:v>1.3795880787810439</c:v>
                </c:pt>
                <c:pt idx="228">
                  <c:v>1.2969522310492727</c:v>
                </c:pt>
                <c:pt idx="229">
                  <c:v>1.2177342003615799</c:v>
                </c:pt>
                <c:pt idx="230">
                  <c:v>1.1418691632061424</c:v>
                </c:pt>
                <c:pt idx="231">
                  <c:v>1.0692954687910166</c:v>
                </c:pt>
                <c:pt idx="232">
                  <c:v>0.99995452591065903</c:v>
                </c:pt>
                <c:pt idx="233">
                  <c:v>0.93379069592916952</c:v>
                </c:pt>
                <c:pt idx="234">
                  <c:v>0.87075119146982216</c:v>
                </c:pt>
                <c:pt idx="235">
                  <c:v>0.81078598040582472</c:v>
                </c:pt>
                <c:pt idx="236">
                  <c:v>0.75384769474674496</c:v>
                </c:pt>
                <c:pt idx="237">
                  <c:v>0.69989154400775733</c:v>
                </c:pt>
                <c:pt idx="238">
                  <c:v>0.64887523263351987</c:v>
                </c:pt>
                <c:pt idx="239">
                  <c:v>0.60075888102349118</c:v>
                </c:pt>
                <c:pt idx="240">
                  <c:v>0.55550494966885089</c:v>
                </c:pt>
                <c:pt idx="241">
                  <c:v>0.51307816586057819</c:v>
                </c:pt>
                <c:pt idx="242">
                  <c:v>0.47344545236077945</c:v>
                </c:pt>
                <c:pt idx="243">
                  <c:v>0.43657585734207438</c:v>
                </c:pt>
                <c:pt idx="244">
                  <c:v>0.40244048478951705</c:v>
                </c:pt>
                <c:pt idx="245">
                  <c:v>0.37101242442355675</c:v>
                </c:pt>
                <c:pt idx="246">
                  <c:v>0.34226668003962951</c:v>
                </c:pt>
                <c:pt idx="247">
                  <c:v>0.31618009497189126</c:v>
                </c:pt>
                <c:pt idx="248">
                  <c:v>0.29273127318239656</c:v>
                </c:pt>
                <c:pt idx="249">
                  <c:v>0.27190049426854174</c:v>
                </c:pt>
                <c:pt idx="250">
                  <c:v>0.25366962049938985</c:v>
                </c:pt>
                <c:pt idx="251">
                  <c:v>0.23802199388099637</c:v>
                </c:pt>
                <c:pt idx="252">
                  <c:v>0.2249423212760924</c:v>
                </c:pt>
                <c:pt idx="253">
                  <c:v>0.21441654584345288</c:v>
                </c:pt>
                <c:pt idx="254">
                  <c:v>0.20643170359729335</c:v>
                </c:pt>
                <c:pt idx="255">
                  <c:v>0.20097576477201207</c:v>
                </c:pt>
                <c:pt idx="256">
                  <c:v>0.1980374609047611</c:v>
                </c:pt>
                <c:pt idx="257">
                  <c:v>0.19760610001178047</c:v>
                </c:pt>
                <c:pt idx="258">
                  <c:v>0.19967137371888122</c:v>
                </c:pt>
                <c:pt idx="259">
                  <c:v>0.20422316142225933</c:v>
                </c:pt>
                <c:pt idx="260">
                  <c:v>0.21125133722277328</c:v>
                </c:pt>
                <c:pt idx="261">
                  <c:v>0.22074558532662028</c:v>
                </c:pt>
                <c:pt idx="262">
                  <c:v>0.23269522885047583</c:v>
                </c:pt>
                <c:pt idx="263">
                  <c:v>0.24708907569786631</c:v>
                </c:pt>
                <c:pt idx="264">
                  <c:v>0.26391528367402084</c:v>
                </c:pt>
                <c:pt idx="265">
                  <c:v>0.28316124556373234</c:v>
                </c:pt>
                <c:pt idx="266">
                  <c:v>0.30481349371365807</c:v>
                </c:pt>
                <c:pt idx="267">
                  <c:v>0.32885762282896325</c:v>
                </c:pt>
                <c:pt idx="268">
                  <c:v>0.35527822921109675</c:v>
                </c:pt>
                <c:pt idx="269">
                  <c:v>0.38405886446764309</c:v>
                </c:pt>
                <c:pt idx="270">
                  <c:v>0.41518200173422587</c:v>
                </c:pt>
                <c:pt idx="271">
                  <c:v>0.44862901258400284</c:v>
                </c:pt>
                <c:pt idx="272">
                  <c:v>0.48438015300020731</c:v>
                </c:pt>
                <c:pt idx="273">
                  <c:v>0.52241455700829242</c:v>
                </c:pt>
                <c:pt idx="274">
                  <c:v>0.56271023677984611</c:v>
                </c:pt>
                <c:pt idx="275">
                  <c:v>0.60524408821632669</c:v>
                </c:pt>
                <c:pt idx="276">
                  <c:v>0.64999190119081751</c:v>
                </c:pt>
                <c:pt idx="277">
                  <c:v>0.6969283737694425</c:v>
                </c:pt>
                <c:pt idx="278">
                  <c:v>0.74602712985258257</c:v>
                </c:pt>
                <c:pt idx="279">
                  <c:v>0.79726073977251422</c:v>
                </c:pt>
                <c:pt idx="280">
                  <c:v>0.85060074346194359</c:v>
                </c:pt>
                <c:pt idx="281">
                  <c:v>0.90601767587027648</c:v>
                </c:pt>
                <c:pt idx="282">
                  <c:v>0.96348109435429241</c:v>
                </c:pt>
                <c:pt idx="283">
                  <c:v>1.0229596078095908</c:v>
                </c:pt>
                <c:pt idx="284">
                  <c:v>1.084420907340798</c:v>
                </c:pt>
                <c:pt idx="285">
                  <c:v>1.1478317982937682</c:v>
                </c:pt>
                <c:pt idx="286">
                  <c:v>1.2131582334931843</c:v>
                </c:pt>
                <c:pt idx="287">
                  <c:v>1.2803653475451451</c:v>
                </c:pt>
                <c:pt idx="288">
                  <c:v>1.3494174920774118</c:v>
                </c:pt>
                <c:pt idx="289">
                  <c:v>1.4202782718005464</c:v>
                </c:pt>
                <c:pt idx="290">
                  <c:v>1.4929105812819066</c:v>
                </c:pt>
                <c:pt idx="291">
                  <c:v>1.5672766423315716</c:v>
                </c:pt>
                <c:pt idx="292">
                  <c:v>1.6433380419053327</c:v>
                </c:pt>
                <c:pt idx="293">
                  <c:v>1.721055770434905</c:v>
                </c:pt>
                <c:pt idx="294">
                  <c:v>1.8003902604999429</c:v>
                </c:pt>
                <c:pt idx="295">
                  <c:v>1.8813014257602452</c:v>
                </c:pt>
                <c:pt idx="296">
                  <c:v>1.9637487000699489</c:v>
                </c:pt>
                <c:pt idx="297">
                  <c:v>2.0476910766986229</c:v>
                </c:pt>
                <c:pt idx="298">
                  <c:v>2.1330871475870241</c:v>
                </c:pt>
                <c:pt idx="299">
                  <c:v>2.2198951425679581</c:v>
                </c:pt>
                <c:pt idx="300">
                  <c:v>2.3080729684852583</c:v>
                </c:pt>
                <c:pt idx="301">
                  <c:v>2.3975782481463774</c:v>
                </c:pt>
                <c:pt idx="302">
                  <c:v>2.488368359046476</c:v>
                </c:pt>
                <c:pt idx="303">
                  <c:v>2.5804004718042872</c:v>
                </c:pt>
                <c:pt idx="304">
                  <c:v>2.6736315882524173</c:v>
                </c:pt>
                <c:pt idx="305">
                  <c:v>2.7680185791270442</c:v>
                </c:pt>
                <c:pt idx="306">
                  <c:v>2.8635182213043846</c:v>
                </c:pt>
                <c:pt idx="307">
                  <c:v>2.9600872345336291</c:v>
                </c:pt>
                <c:pt idx="308">
                  <c:v>3.0576823176184433</c:v>
                </c:pt>
                <c:pt idx="309">
                  <c:v>3.1562601840014839</c:v>
                </c:pt>
                <c:pt idx="310">
                  <c:v>3.2557775967088038</c:v>
                </c:pt>
                <c:pt idx="311">
                  <c:v>3.3561914026134407</c:v>
                </c:pt>
                <c:pt idx="312">
                  <c:v>3.4574585659798514</c:v>
                </c:pt>
                <c:pt idx="313">
                  <c:v>3.5595362012533269</c:v>
                </c:pt>
                <c:pt idx="314">
                  <c:v>3.6623816050609079</c:v>
                </c:pt>
                <c:pt idx="315">
                  <c:v>3.7659522873927616</c:v>
                </c:pt>
                <c:pt idx="316">
                  <c:v>3.8702060019354079</c:v>
                </c:pt>
                <c:pt idx="317">
                  <c:v>3.975100775530525</c:v>
                </c:pt>
                <c:pt idx="318">
                  <c:v>4.0805949367355376</c:v>
                </c:pt>
                <c:pt idx="319">
                  <c:v>4.1866471434644623</c:v>
                </c:pt>
                <c:pt idx="320">
                  <c:v>4.2932164096899044</c:v>
                </c:pt>
                <c:pt idx="321">
                  <c:v>4.4002621311893613</c:v>
                </c:pt>
                <c:pt idx="322">
                  <c:v>4.5077441103212434</c:v>
                </c:pt>
                <c:pt idx="323">
                  <c:v>4.6156225798183241</c:v>
                </c:pt>
                <c:pt idx="324">
                  <c:v>4.7238582255884545</c:v>
                </c:pt>
                <c:pt idx="325">
                  <c:v>4.832412208514528</c:v>
                </c:pt>
                <c:pt idx="326">
                  <c:v>4.941246185247814</c:v>
                </c:pt>
                <c:pt idx="327">
                  <c:v>5.050322327990763</c:v>
                </c:pt>
                <c:pt idx="328">
                  <c:v>5.1596033432673529</c:v>
                </c:pt>
                <c:pt idx="329">
                  <c:v>5.2690524896810489</c:v>
                </c:pt>
                <c:pt idx="330">
                  <c:v>5.3786335946621415</c:v>
                </c:pt>
                <c:pt idx="331">
                  <c:v>5.4883110702082076</c:v>
                </c:pt>
                <c:pt idx="332">
                  <c:v>5.5980499276228883</c:v>
                </c:pt>
                <c:pt idx="333">
                  <c:v>5.7078157912601855</c:v>
                </c:pt>
                <c:pt idx="334">
                  <c:v>5.817574911282593</c:v>
                </c:pt>
                <c:pt idx="335">
                  <c:v>5.9272941754433068</c:v>
                </c:pt>
                <c:pt idx="336">
                  <c:v>6.0369411199038465</c:v>
                </c:pt>
                <c:pt idx="337">
                  <c:v>6.0370500913304044</c:v>
                </c:pt>
                <c:pt idx="338">
                  <c:v>6.0371590626483753</c:v>
                </c:pt>
                <c:pt idx="339">
                  <c:v>6.0372680338577265</c:v>
                </c:pt>
                <c:pt idx="340">
                  <c:v>6.0373770049584339</c:v>
                </c:pt>
                <c:pt idx="341">
                  <c:v>6.0374859759504602</c:v>
                </c:pt>
                <c:pt idx="342">
                  <c:v>6.0375949468337771</c:v>
                </c:pt>
                <c:pt idx="343">
                  <c:v>6.0377039176083569</c:v>
                </c:pt>
                <c:pt idx="344">
                  <c:v>6.0378128882741668</c:v>
                </c:pt>
                <c:pt idx="345">
                  <c:v>6.0379218588311732</c:v>
                </c:pt>
                <c:pt idx="346">
                  <c:v>6.0380308292793456</c:v>
                </c:pt>
                <c:pt idx="347">
                  <c:v>6.0381397996186594</c:v>
                </c:pt>
                <c:pt idx="348">
                  <c:v>6.0382487698490737</c:v>
                </c:pt>
                <c:pt idx="349">
                  <c:v>6.0383577399705661</c:v>
                </c:pt>
                <c:pt idx="350">
                  <c:v>6.0384667099831031</c:v>
                </c:pt>
                <c:pt idx="351">
                  <c:v>6.0385756798866508</c:v>
                </c:pt>
                <c:pt idx="352">
                  <c:v>6.0386846496811826</c:v>
                </c:pt>
                <c:pt idx="353">
                  <c:v>6.0387936193666683</c:v>
                </c:pt>
                <c:pt idx="354">
                  <c:v>6.0389025889430732</c:v>
                </c:pt>
                <c:pt idx="355">
                  <c:v>6.0390115584103636</c:v>
                </c:pt>
                <c:pt idx="356">
                  <c:v>6.03912052776852</c:v>
                </c:pt>
                <c:pt idx="357">
                  <c:v>6.039229497017498</c:v>
                </c:pt>
                <c:pt idx="358">
                  <c:v>6.039338466157278</c:v>
                </c:pt>
                <c:pt idx="359">
                  <c:v>6.0394474351878245</c:v>
                </c:pt>
                <c:pt idx="360">
                  <c:v>6.0395564041090992</c:v>
                </c:pt>
                <c:pt idx="361">
                  <c:v>6.0396653729210854</c:v>
                </c:pt>
                <c:pt idx="362">
                  <c:v>6.0397743416237448</c:v>
                </c:pt>
                <c:pt idx="363">
                  <c:v>6.0398833102170491</c:v>
                </c:pt>
                <c:pt idx="364">
                  <c:v>6.0399922787009626</c:v>
                </c:pt>
                <c:pt idx="365">
                  <c:v>6.040101247075456</c:v>
                </c:pt>
                <c:pt idx="366">
                  <c:v>6.0402102153404984</c:v>
                </c:pt>
                <c:pt idx="367">
                  <c:v>6.0403191834960648</c:v>
                </c:pt>
                <c:pt idx="368">
                  <c:v>6.0404281515421179</c:v>
                </c:pt>
                <c:pt idx="369">
                  <c:v>6.040537119478631</c:v>
                </c:pt>
                <c:pt idx="370">
                  <c:v>6.0406460873055687</c:v>
                </c:pt>
                <c:pt idx="371">
                  <c:v>6.0407550550229017</c:v>
                </c:pt>
                <c:pt idx="372">
                  <c:v>6.040864022630605</c:v>
                </c:pt>
                <c:pt idx="373">
                  <c:v>6.0409729901286369</c:v>
                </c:pt>
                <c:pt idx="374">
                  <c:v>6.0410819575169752</c:v>
                </c:pt>
                <c:pt idx="375">
                  <c:v>6.0411909247955862</c:v>
                </c:pt>
                <c:pt idx="376">
                  <c:v>6.0412998919644414</c:v>
                </c:pt>
                <c:pt idx="377">
                  <c:v>6.0414088590235027</c:v>
                </c:pt>
                <c:pt idx="378">
                  <c:v>6.0415178259727487</c:v>
                </c:pt>
                <c:pt idx="379">
                  <c:v>6.0416267928121412</c:v>
                </c:pt>
                <c:pt idx="380">
                  <c:v>6.0417357595416528</c:v>
                </c:pt>
                <c:pt idx="381">
                  <c:v>6.0418447261612505</c:v>
                </c:pt>
                <c:pt idx="382">
                  <c:v>6.0419536926709085</c:v>
                </c:pt>
                <c:pt idx="383">
                  <c:v>6.0420626590705933</c:v>
                </c:pt>
                <c:pt idx="384">
                  <c:v>6.0421716253602691</c:v>
                </c:pt>
                <c:pt idx="385">
                  <c:v>6.0422805915399094</c:v>
                </c:pt>
                <c:pt idx="386">
                  <c:v>6.0423895576094884</c:v>
                </c:pt>
                <c:pt idx="387">
                  <c:v>6.0424985235689643</c:v>
                </c:pt>
                <c:pt idx="388">
                  <c:v>6.042607489418315</c:v>
                </c:pt>
                <c:pt idx="389">
                  <c:v>6.0427164551575085</c:v>
                </c:pt>
                <c:pt idx="390">
                  <c:v>6.0428254207865066</c:v>
                </c:pt>
                <c:pt idx="391">
                  <c:v>6.0429343863052889</c:v>
                </c:pt>
                <c:pt idx="392">
                  <c:v>6.0430433517138171</c:v>
                </c:pt>
                <c:pt idx="393">
                  <c:v>6.0431523170120638</c:v>
                </c:pt>
                <c:pt idx="394">
                  <c:v>6.043261282199996</c:v>
                </c:pt>
                <c:pt idx="395">
                  <c:v>6.0433702472775837</c:v>
                </c:pt>
                <c:pt idx="396">
                  <c:v>6.0434792122447973</c:v>
                </c:pt>
                <c:pt idx="397">
                  <c:v>6.043588177101606</c:v>
                </c:pt>
                <c:pt idx="398">
                  <c:v>6.0436971418479812</c:v>
                </c:pt>
                <c:pt idx="399">
                  <c:v>6.0438061064838857</c:v>
                </c:pt>
                <c:pt idx="400">
                  <c:v>6.0439150710092928</c:v>
                </c:pt>
                <c:pt idx="401">
                  <c:v>6.0440240354241688</c:v>
                </c:pt>
                <c:pt idx="402">
                  <c:v>6.0441329997284843</c:v>
                </c:pt>
                <c:pt idx="403">
                  <c:v>6.0442419639222154</c:v>
                </c:pt>
                <c:pt idx="404">
                  <c:v>6.0443509280053176</c:v>
                </c:pt>
                <c:pt idx="405">
                  <c:v>6.0444598919777732</c:v>
                </c:pt>
                <c:pt idx="406">
                  <c:v>6.0445688558395396</c:v>
                </c:pt>
                <c:pt idx="407">
                  <c:v>6.0446778195905981</c:v>
                </c:pt>
                <c:pt idx="408">
                  <c:v>6.044786783230907</c:v>
                </c:pt>
                <c:pt idx="409">
                  <c:v>6.0448957467604432</c:v>
                </c:pt>
                <c:pt idx="410">
                  <c:v>6.0450047101791711</c:v>
                </c:pt>
                <c:pt idx="411">
                  <c:v>6.0451136734870641</c:v>
                </c:pt>
                <c:pt idx="412">
                  <c:v>6.045222636684084</c:v>
                </c:pt>
                <c:pt idx="413">
                  <c:v>6.0453315997702104</c:v>
                </c:pt>
                <c:pt idx="414">
                  <c:v>6.0454405627454015</c:v>
                </c:pt>
                <c:pt idx="415">
                  <c:v>6.0455495256096414</c:v>
                </c:pt>
                <c:pt idx="416">
                  <c:v>6.0456584883628821</c:v>
                </c:pt>
                <c:pt idx="417">
                  <c:v>6.0457674510051032</c:v>
                </c:pt>
                <c:pt idx="418">
                  <c:v>6.045876413536269</c:v>
                </c:pt>
                <c:pt idx="419">
                  <c:v>6.0459853759563522</c:v>
                </c:pt>
                <c:pt idx="420">
                  <c:v>6.0460943382653234</c:v>
                </c:pt>
                <c:pt idx="421">
                  <c:v>6.0462033004631461</c:v>
                </c:pt>
                <c:pt idx="422">
                  <c:v>6.0463122625497947</c:v>
                </c:pt>
                <c:pt idx="423">
                  <c:v>6.0464212245252345</c:v>
                </c:pt>
                <c:pt idx="424">
                  <c:v>6.0465301863894361</c:v>
                </c:pt>
                <c:pt idx="425">
                  <c:v>6.0466391481423694</c:v>
                </c:pt>
                <c:pt idx="426">
                  <c:v>6.046748109784005</c:v>
                </c:pt>
                <c:pt idx="427">
                  <c:v>6.0468570713143075</c:v>
                </c:pt>
                <c:pt idx="428">
                  <c:v>6.046966032733252</c:v>
                </c:pt>
                <c:pt idx="429">
                  <c:v>6.047074994040802</c:v>
                </c:pt>
                <c:pt idx="430">
                  <c:v>6.04718395523693</c:v>
                </c:pt>
                <c:pt idx="431">
                  <c:v>6.0472929163216058</c:v>
                </c:pt>
                <c:pt idx="432">
                  <c:v>6.0474018772947948</c:v>
                </c:pt>
                <c:pt idx="433">
                  <c:v>6.0475108381564695</c:v>
                </c:pt>
                <c:pt idx="434">
                  <c:v>6.0476197989066005</c:v>
                </c:pt>
                <c:pt idx="435">
                  <c:v>6.0477287595451514</c:v>
                </c:pt>
                <c:pt idx="436">
                  <c:v>6.0478377200720947</c:v>
                </c:pt>
                <c:pt idx="437">
                  <c:v>6.0479466804873994</c:v>
                </c:pt>
                <c:pt idx="438">
                  <c:v>6.0480556407910386</c:v>
                </c:pt>
                <c:pt idx="439">
                  <c:v>6.0481646009829761</c:v>
                </c:pt>
                <c:pt idx="440">
                  <c:v>6.0482735610631799</c:v>
                </c:pt>
                <c:pt idx="441">
                  <c:v>6.0483825210316269</c:v>
                </c:pt>
                <c:pt idx="442">
                  <c:v>6.0484914808882806</c:v>
                </c:pt>
                <c:pt idx="443">
                  <c:v>6.0486004406331073</c:v>
                </c:pt>
                <c:pt idx="444">
                  <c:v>6.0487094002660839</c:v>
                </c:pt>
                <c:pt idx="445">
                  <c:v>6.0488183597871732</c:v>
                </c:pt>
                <c:pt idx="446">
                  <c:v>6.0489273191963475</c:v>
                </c:pt>
                <c:pt idx="447">
                  <c:v>6.0490362784935785</c:v>
                </c:pt>
                <c:pt idx="448">
                  <c:v>6.0491452376788279</c:v>
                </c:pt>
                <c:pt idx="449">
                  <c:v>6.0492541967520719</c:v>
                </c:pt>
                <c:pt idx="450">
                  <c:v>6.0493631557132712</c:v>
                </c:pt>
                <c:pt idx="451">
                  <c:v>6.0494721145624064</c:v>
                </c:pt>
                <c:pt idx="452">
                  <c:v>6.0495810732994366</c:v>
                </c:pt>
                <c:pt idx="453">
                  <c:v>6.0496900319243405</c:v>
                </c:pt>
                <c:pt idx="454">
                  <c:v>6.0497989904370773</c:v>
                </c:pt>
                <c:pt idx="455">
                  <c:v>6.0499079488376228</c:v>
                </c:pt>
                <c:pt idx="456">
                  <c:v>6.0500169071259462</c:v>
                </c:pt>
                <c:pt idx="457">
                  <c:v>6.0501258653020136</c:v>
                </c:pt>
                <c:pt idx="458">
                  <c:v>6.0502348233657992</c:v>
                </c:pt>
                <c:pt idx="459">
                  <c:v>6.0503437813172667</c:v>
                </c:pt>
                <c:pt idx="460">
                  <c:v>6.0504527391563867</c:v>
                </c:pt>
                <c:pt idx="461">
                  <c:v>6.0505616968831299</c:v>
                </c:pt>
                <c:pt idx="462">
                  <c:v>6.0506706544974653</c:v>
                </c:pt>
                <c:pt idx="463">
                  <c:v>6.05077961199936</c:v>
                </c:pt>
                <c:pt idx="464">
                  <c:v>6.0508885693887864</c:v>
                </c:pt>
                <c:pt idx="465">
                  <c:v>6.0509975266657108</c:v>
                </c:pt>
                <c:pt idx="466">
                  <c:v>6.0511064838301047</c:v>
                </c:pt>
                <c:pt idx="467">
                  <c:v>6.0512154408819336</c:v>
                </c:pt>
                <c:pt idx="468">
                  <c:v>6.0513243978211717</c:v>
                </c:pt>
                <c:pt idx="469">
                  <c:v>6.0514333546477852</c:v>
                </c:pt>
                <c:pt idx="470">
                  <c:v>6.0515423113617448</c:v>
                </c:pt>
                <c:pt idx="471">
                  <c:v>6.0516512679630177</c:v>
                </c:pt>
                <c:pt idx="472">
                  <c:v>6.0517602244515754</c:v>
                </c:pt>
                <c:pt idx="473">
                  <c:v>6.0518691808273841</c:v>
                </c:pt>
                <c:pt idx="474">
                  <c:v>6.0519781370904191</c:v>
                </c:pt>
                <c:pt idx="475">
                  <c:v>6.0520870932406439</c:v>
                </c:pt>
                <c:pt idx="476">
                  <c:v>6.0521960492780282</c:v>
                </c:pt>
                <c:pt idx="477">
                  <c:v>6.0523050052025411</c:v>
                </c:pt>
                <c:pt idx="478">
                  <c:v>6.0524139610141523</c:v>
                </c:pt>
                <c:pt idx="479">
                  <c:v>6.0525229167128369</c:v>
                </c:pt>
                <c:pt idx="480">
                  <c:v>6.052631872298555</c:v>
                </c:pt>
                <c:pt idx="481">
                  <c:v>6.0527408277712818</c:v>
                </c:pt>
                <c:pt idx="482">
                  <c:v>6.0528497831309842</c:v>
                </c:pt>
                <c:pt idx="483">
                  <c:v>6.0529587383776313</c:v>
                </c:pt>
                <c:pt idx="484">
                  <c:v>6.0530676935111929</c:v>
                </c:pt>
                <c:pt idx="485">
                  <c:v>6.0531766485316396</c:v>
                </c:pt>
                <c:pt idx="486">
                  <c:v>6.0532856034389351</c:v>
                </c:pt>
                <c:pt idx="487">
                  <c:v>6.0533945582330562</c:v>
                </c:pt>
                <c:pt idx="488">
                  <c:v>6.0535035129139692</c:v>
                </c:pt>
                <c:pt idx="489">
                  <c:v>6.0536124674816421</c:v>
                </c:pt>
                <c:pt idx="490">
                  <c:v>6.0537214219360447</c:v>
                </c:pt>
                <c:pt idx="491">
                  <c:v>6.0538303762771486</c:v>
                </c:pt>
                <c:pt idx="492">
                  <c:v>6.0539393305049174</c:v>
                </c:pt>
                <c:pt idx="493">
                  <c:v>6.0540482846193253</c:v>
                </c:pt>
                <c:pt idx="494">
                  <c:v>6.0541572386203377</c:v>
                </c:pt>
                <c:pt idx="495">
                  <c:v>6.0542661925079262</c:v>
                </c:pt>
                <c:pt idx="496">
                  <c:v>6.0543751462820641</c:v>
                </c:pt>
                <c:pt idx="497">
                  <c:v>6.0544840999427132</c:v>
                </c:pt>
                <c:pt idx="498">
                  <c:v>6.0545930534898433</c:v>
                </c:pt>
                <c:pt idx="499">
                  <c:v>6.0547020069234332</c:v>
                </c:pt>
                <c:pt idx="500">
                  <c:v>6.054810960243441</c:v>
                </c:pt>
                <c:pt idx="501">
                  <c:v>6.0549199134498375</c:v>
                </c:pt>
                <c:pt idx="502">
                  <c:v>6.0550288665425995</c:v>
                </c:pt>
                <c:pt idx="503">
                  <c:v>6.0551378195216925</c:v>
                </c:pt>
                <c:pt idx="504">
                  <c:v>6.0552467723870773</c:v>
                </c:pt>
                <c:pt idx="505">
                  <c:v>6.055355725138738</c:v>
                </c:pt>
                <c:pt idx="506">
                  <c:v>6.0554646777766292</c:v>
                </c:pt>
                <c:pt idx="507">
                  <c:v>6.0555736303007324</c:v>
                </c:pt>
                <c:pt idx="508">
                  <c:v>6.0556825827110119</c:v>
                </c:pt>
                <c:pt idx="509">
                  <c:v>6.0557915350074358</c:v>
                </c:pt>
                <c:pt idx="510">
                  <c:v>6.0559004871899775</c:v>
                </c:pt>
                <c:pt idx="511">
                  <c:v>6.0560094392585953</c:v>
                </c:pt>
                <c:pt idx="512">
                  <c:v>6.0561183912132694</c:v>
                </c:pt>
                <c:pt idx="513">
                  <c:v>6.0562273430539699</c:v>
                </c:pt>
                <c:pt idx="514">
                  <c:v>6.0563362947806585</c:v>
                </c:pt>
                <c:pt idx="515">
                  <c:v>6.0564452463933058</c:v>
                </c:pt>
                <c:pt idx="516">
                  <c:v>6.0565541978918818</c:v>
                </c:pt>
                <c:pt idx="517">
                  <c:v>6.0566631492763623</c:v>
                </c:pt>
                <c:pt idx="518">
                  <c:v>6.0567721005467119</c:v>
                </c:pt>
                <c:pt idx="519">
                  <c:v>6.056881051702895</c:v>
                </c:pt>
                <c:pt idx="520">
                  <c:v>6.0569900027448824</c:v>
                </c:pt>
                <c:pt idx="521">
                  <c:v>6.0570989536726536</c:v>
                </c:pt>
                <c:pt idx="522">
                  <c:v>6.0572079044861651</c:v>
                </c:pt>
                <c:pt idx="523">
                  <c:v>6.0573168551853902</c:v>
                </c:pt>
                <c:pt idx="524">
                  <c:v>6.0574258057703041</c:v>
                </c:pt>
                <c:pt idx="525">
                  <c:v>6.0575347562408712</c:v>
                </c:pt>
                <c:pt idx="526">
                  <c:v>6.057643706597057</c:v>
                </c:pt>
                <c:pt idx="527">
                  <c:v>6.0577526568388382</c:v>
                </c:pt>
                <c:pt idx="528">
                  <c:v>6.0578616069661813</c:v>
                </c:pt>
                <c:pt idx="529">
                  <c:v>6.0579705569790496</c:v>
                </c:pt>
                <c:pt idx="530">
                  <c:v>6.0580795068774203</c:v>
                </c:pt>
                <c:pt idx="531">
                  <c:v>6.0581884566612567</c:v>
                </c:pt>
                <c:pt idx="532">
                  <c:v>6.0582974063305359</c:v>
                </c:pt>
                <c:pt idx="533">
                  <c:v>6.0584063558852215</c:v>
                </c:pt>
                <c:pt idx="534">
                  <c:v>6.0585153053252769</c:v>
                </c:pt>
                <c:pt idx="535">
                  <c:v>6.0586242546506863</c:v>
                </c:pt>
                <c:pt idx="536">
                  <c:v>6.058733203861407</c:v>
                </c:pt>
                <c:pt idx="537">
                  <c:v>6.0588421529574132</c:v>
                </c:pt>
                <c:pt idx="538">
                  <c:v>6.0589511019386739</c:v>
                </c:pt>
                <c:pt idx="539">
                  <c:v>6.0590600508051535</c:v>
                </c:pt>
                <c:pt idx="540">
                  <c:v>6.0591689995568272</c:v>
                </c:pt>
                <c:pt idx="541">
                  <c:v>6.0592779481936665</c:v>
                </c:pt>
                <c:pt idx="542">
                  <c:v>6.059386896715635</c:v>
                </c:pt>
                <c:pt idx="543">
                  <c:v>6.0594958451226972</c:v>
                </c:pt>
                <c:pt idx="544">
                  <c:v>6.0596047934148336</c:v>
                </c:pt>
                <c:pt idx="545">
                  <c:v>6.0597137415920104</c:v>
                </c:pt>
                <c:pt idx="546">
                  <c:v>6.0598226896541911</c:v>
                </c:pt>
                <c:pt idx="547">
                  <c:v>6.0599316376013492</c:v>
                </c:pt>
                <c:pt idx="548">
                  <c:v>6.0600405854334527</c:v>
                </c:pt>
                <c:pt idx="549">
                  <c:v>6.0601495331504767</c:v>
                </c:pt>
                <c:pt idx="550">
                  <c:v>6.0602584807523794</c:v>
                </c:pt>
                <c:pt idx="551">
                  <c:v>6.0603674282391413</c:v>
                </c:pt>
                <c:pt idx="552">
                  <c:v>6.0604763756107252</c:v>
                </c:pt>
                <c:pt idx="553">
                  <c:v>6.0605853228670989</c:v>
                </c:pt>
                <c:pt idx="554">
                  <c:v>6.0606942700082378</c:v>
                </c:pt>
                <c:pt idx="555">
                  <c:v>6.0608032170341071</c:v>
                </c:pt>
                <c:pt idx="556">
                  <c:v>6.0609121639446766</c:v>
                </c:pt>
                <c:pt idx="557">
                  <c:v>6.061021110739917</c:v>
                </c:pt>
                <c:pt idx="558">
                  <c:v>6.0611300574197946</c:v>
                </c:pt>
                <c:pt idx="559">
                  <c:v>6.0612390039842792</c:v>
                </c:pt>
                <c:pt idx="560">
                  <c:v>6.0613479504333423</c:v>
                </c:pt>
                <c:pt idx="561">
                  <c:v>6.0614568967669538</c:v>
                </c:pt>
                <c:pt idx="562">
                  <c:v>6.0615658429850772</c:v>
                </c:pt>
                <c:pt idx="563">
                  <c:v>6.0616747890876894</c:v>
                </c:pt>
                <c:pt idx="564">
                  <c:v>6.061783735074755</c:v>
                </c:pt>
                <c:pt idx="565">
                  <c:v>6.0618926809462463</c:v>
                </c:pt>
                <c:pt idx="566">
                  <c:v>6.0620016267021306</c:v>
                </c:pt>
                <c:pt idx="567">
                  <c:v>6.0621105723423749</c:v>
                </c:pt>
                <c:pt idx="568">
                  <c:v>6.0622195178669527</c:v>
                </c:pt>
                <c:pt idx="569">
                  <c:v>6.0623284632758283</c:v>
                </c:pt>
                <c:pt idx="570">
                  <c:v>6.0624374085689778</c:v>
                </c:pt>
                <c:pt idx="571">
                  <c:v>6.0625463537463657</c:v>
                </c:pt>
                <c:pt idx="572">
                  <c:v>6.0626552988079601</c:v>
                </c:pt>
                <c:pt idx="573">
                  <c:v>6.0627642437537395</c:v>
                </c:pt>
                <c:pt idx="574">
                  <c:v>6.0628731885836586</c:v>
                </c:pt>
                <c:pt idx="575">
                  <c:v>6.0629821332976945</c:v>
                </c:pt>
                <c:pt idx="576">
                  <c:v>6.0630910778958214</c:v>
                </c:pt>
                <c:pt idx="577">
                  <c:v>6.0632000223779992</c:v>
                </c:pt>
                <c:pt idx="578">
                  <c:v>6.0633089667442039</c:v>
                </c:pt>
                <c:pt idx="579">
                  <c:v>6.0634179109944055</c:v>
                </c:pt>
                <c:pt idx="580">
                  <c:v>6.0635268551285675</c:v>
                </c:pt>
                <c:pt idx="581">
                  <c:v>6.0636357991466614</c:v>
                </c:pt>
                <c:pt idx="582">
                  <c:v>6.063744743048658</c:v>
                </c:pt>
                <c:pt idx="583">
                  <c:v>6.063853686834527</c:v>
                </c:pt>
                <c:pt idx="584">
                  <c:v>6.0639626305042329</c:v>
                </c:pt>
                <c:pt idx="585">
                  <c:v>6.0640715740577491</c:v>
                </c:pt>
                <c:pt idx="586">
                  <c:v>6.0641805174950489</c:v>
                </c:pt>
                <c:pt idx="587">
                  <c:v>6.0642894608160898</c:v>
                </c:pt>
                <c:pt idx="588">
                  <c:v>6.0643984040208538</c:v>
                </c:pt>
                <c:pt idx="589">
                  <c:v>6.0645073471093012</c:v>
                </c:pt>
                <c:pt idx="590">
                  <c:v>6.0646162900814051</c:v>
                </c:pt>
                <c:pt idx="591">
                  <c:v>6.0647252329371346</c:v>
                </c:pt>
                <c:pt idx="592">
                  <c:v>6.0648341756764585</c:v>
                </c:pt>
                <c:pt idx="593">
                  <c:v>6.064943118299345</c:v>
                </c:pt>
                <c:pt idx="594">
                  <c:v>6.0650520608057681</c:v>
                </c:pt>
                <c:pt idx="595">
                  <c:v>6.0651610031956942</c:v>
                </c:pt>
                <c:pt idx="596">
                  <c:v>6.0652699454690904</c:v>
                </c:pt>
                <c:pt idx="597">
                  <c:v>6.0653788876259291</c:v>
                </c:pt>
                <c:pt idx="598">
                  <c:v>6.0654878296661749</c:v>
                </c:pt>
                <c:pt idx="599">
                  <c:v>6.0655967715898029</c:v>
                </c:pt>
                <c:pt idx="600">
                  <c:v>6.0657057133967811</c:v>
                </c:pt>
                <c:pt idx="601">
                  <c:v>6.0658146550870766</c:v>
                </c:pt>
                <c:pt idx="602">
                  <c:v>6.0659235966606602</c:v>
                </c:pt>
                <c:pt idx="603">
                  <c:v>6.0660325381175006</c:v>
                </c:pt>
                <c:pt idx="604">
                  <c:v>6.0661414794575679</c:v>
                </c:pt>
                <c:pt idx="605">
                  <c:v>6.0662504206808272</c:v>
                </c:pt>
                <c:pt idx="606">
                  <c:v>6.0663593617872529</c:v>
                </c:pt>
                <c:pt idx="607">
                  <c:v>6.0664683027768156</c:v>
                </c:pt>
                <c:pt idx="608">
                  <c:v>6.0665772436494807</c:v>
                </c:pt>
                <c:pt idx="609">
                  <c:v>6.0666861844052189</c:v>
                </c:pt>
                <c:pt idx="610">
                  <c:v>6.0667951250440009</c:v>
                </c:pt>
                <c:pt idx="611">
                  <c:v>6.0669040655657902</c:v>
                </c:pt>
                <c:pt idx="612">
                  <c:v>6.0670130059705629</c:v>
                </c:pt>
                <c:pt idx="613">
                  <c:v>6.0671219462582826</c:v>
                </c:pt>
                <c:pt idx="614">
                  <c:v>6.0672308864289288</c:v>
                </c:pt>
                <c:pt idx="615">
                  <c:v>6.0673398264824563</c:v>
                </c:pt>
                <c:pt idx="616">
                  <c:v>6.0674487664188437</c:v>
                </c:pt>
                <c:pt idx="617">
                  <c:v>6.0675577062380608</c:v>
                </c:pt>
                <c:pt idx="618">
                  <c:v>6.0676666459400703</c:v>
                </c:pt>
                <c:pt idx="619">
                  <c:v>6.0677755855248501</c:v>
                </c:pt>
                <c:pt idx="620">
                  <c:v>6.067884524992361</c:v>
                </c:pt>
                <c:pt idx="621">
                  <c:v>6.0679934643425826</c:v>
                </c:pt>
                <c:pt idx="622">
                  <c:v>6.0681024035754731</c:v>
                </c:pt>
                <c:pt idx="623">
                  <c:v>6.0682113426910078</c:v>
                </c:pt>
                <c:pt idx="624">
                  <c:v>6.0683202816891573</c:v>
                </c:pt>
                <c:pt idx="625">
                  <c:v>6.068429220569886</c:v>
                </c:pt>
                <c:pt idx="626">
                  <c:v>6.0685381593331673</c:v>
                </c:pt>
                <c:pt idx="627">
                  <c:v>6.0686470979789648</c:v>
                </c:pt>
                <c:pt idx="628">
                  <c:v>6.0687560365072581</c:v>
                </c:pt>
                <c:pt idx="629">
                  <c:v>6.0688649749180081</c:v>
                </c:pt>
                <c:pt idx="630">
                  <c:v>6.0689739132111855</c:v>
                </c:pt>
                <c:pt idx="631">
                  <c:v>6.0690828513867672</c:v>
                </c:pt>
                <c:pt idx="632">
                  <c:v>6.0691917894447078</c:v>
                </c:pt>
                <c:pt idx="633">
                  <c:v>6.0693007273849888</c:v>
                </c:pt>
                <c:pt idx="634">
                  <c:v>6.0694096652075737</c:v>
                </c:pt>
                <c:pt idx="635">
                  <c:v>6.0695186029124342</c:v>
                </c:pt>
                <c:pt idx="636">
                  <c:v>6.0696275404995363</c:v>
                </c:pt>
                <c:pt idx="637">
                  <c:v>6.0697364779688554</c:v>
                </c:pt>
                <c:pt idx="638">
                  <c:v>6.0698454153203611</c:v>
                </c:pt>
                <c:pt idx="639">
                  <c:v>6.0699543525540163</c:v>
                </c:pt>
                <c:pt idx="640">
                  <c:v>6.0700632896697906</c:v>
                </c:pt>
                <c:pt idx="641">
                  <c:v>6.0701722266676583</c:v>
                </c:pt>
                <c:pt idx="642">
                  <c:v>6.070281163547584</c:v>
                </c:pt>
                <c:pt idx="643">
                  <c:v>6.0703901003095417</c:v>
                </c:pt>
                <c:pt idx="644">
                  <c:v>6.0704990369534979</c:v>
                </c:pt>
                <c:pt idx="645">
                  <c:v>6.0706079734794214</c:v>
                </c:pt>
                <c:pt idx="646">
                  <c:v>6.0707169098872837</c:v>
                </c:pt>
                <c:pt idx="647">
                  <c:v>6.0708258461770574</c:v>
                </c:pt>
                <c:pt idx="648">
                  <c:v>6.0709347823487008</c:v>
                </c:pt>
                <c:pt idx="649">
                  <c:v>6.0710437184021941</c:v>
                </c:pt>
                <c:pt idx="650">
                  <c:v>6.0711526543375003</c:v>
                </c:pt>
                <c:pt idx="651">
                  <c:v>6.0712615901545908</c:v>
                </c:pt>
                <c:pt idx="652">
                  <c:v>6.0713705258534336</c:v>
                </c:pt>
                <c:pt idx="653">
                  <c:v>6.0714794614340022</c:v>
                </c:pt>
                <c:pt idx="654">
                  <c:v>6.0715883968962654</c:v>
                </c:pt>
                <c:pt idx="655">
                  <c:v>6.0716973322401859</c:v>
                </c:pt>
                <c:pt idx="656">
                  <c:v>6.071806267465738</c:v>
                </c:pt>
                <c:pt idx="657">
                  <c:v>6.0719152025728889</c:v>
                </c:pt>
                <c:pt idx="658">
                  <c:v>6.0720241375616135</c:v>
                </c:pt>
                <c:pt idx="659">
                  <c:v>6.0721330724318765</c:v>
                </c:pt>
                <c:pt idx="660">
                  <c:v>6.0722420071836476</c:v>
                </c:pt>
                <c:pt idx="661">
                  <c:v>6.0723509418168931</c:v>
                </c:pt>
                <c:pt idx="662">
                  <c:v>6.0724598763315898</c:v>
                </c:pt>
                <c:pt idx="663">
                  <c:v>6.0725688107277014</c:v>
                </c:pt>
                <c:pt idx="664">
                  <c:v>6.0726777450051985</c:v>
                </c:pt>
                <c:pt idx="665">
                  <c:v>6.0727866791640528</c:v>
                </c:pt>
                <c:pt idx="666">
                  <c:v>6.0728956132042322</c:v>
                </c:pt>
                <c:pt idx="667">
                  <c:v>6.0730045471257021</c:v>
                </c:pt>
                <c:pt idx="668">
                  <c:v>6.0731134809284359</c:v>
                </c:pt>
                <c:pt idx="669">
                  <c:v>6.0732224146124025</c:v>
                </c:pt>
                <c:pt idx="670">
                  <c:v>6.0733313481775708</c:v>
                </c:pt>
                <c:pt idx="671">
                  <c:v>6.0734402816239097</c:v>
                </c:pt>
                <c:pt idx="672">
                  <c:v>6.0735492149513952</c:v>
                </c:pt>
                <c:pt idx="673">
                  <c:v>6.0736581481599821</c:v>
                </c:pt>
                <c:pt idx="674">
                  <c:v>6.0737670812496543</c:v>
                </c:pt>
                <c:pt idx="675">
                  <c:v>6.0738760142203763</c:v>
                </c:pt>
                <c:pt idx="676">
                  <c:v>6.0739849470721108</c:v>
                </c:pt>
                <c:pt idx="677">
                  <c:v>6.0740938798048365</c:v>
                </c:pt>
                <c:pt idx="678">
                  <c:v>6.0742028124185135</c:v>
                </c:pt>
                <c:pt idx="679">
                  <c:v>6.0743117449131212</c:v>
                </c:pt>
                <c:pt idx="680">
                  <c:v>6.0744206772886207</c:v>
                </c:pt>
                <c:pt idx="681">
                  <c:v>6.0745296095449888</c:v>
                </c:pt>
                <c:pt idx="682">
                  <c:v>6.0746385416821891</c:v>
                </c:pt>
                <c:pt idx="683">
                  <c:v>6.0747474737001941</c:v>
                </c:pt>
                <c:pt idx="684">
                  <c:v>6.0748564055989736</c:v>
                </c:pt>
                <c:pt idx="685">
                  <c:v>6.074965337378492</c:v>
                </c:pt>
                <c:pt idx="686">
                  <c:v>6.0750742690387236</c:v>
                </c:pt>
                <c:pt idx="687">
                  <c:v>6.0751832005796347</c:v>
                </c:pt>
                <c:pt idx="688">
                  <c:v>6.0752921320011986</c:v>
                </c:pt>
                <c:pt idx="689">
                  <c:v>6.0754010633033788</c:v>
                </c:pt>
                <c:pt idx="690">
                  <c:v>6.0755099944861533</c:v>
                </c:pt>
                <c:pt idx="691">
                  <c:v>6.075618925549481</c:v>
                </c:pt>
                <c:pt idx="692">
                  <c:v>6.0757278564933372</c:v>
                </c:pt>
                <c:pt idx="693">
                  <c:v>6.0758367873176926</c:v>
                </c:pt>
                <c:pt idx="694">
                  <c:v>6.0759457180225116</c:v>
                </c:pt>
                <c:pt idx="695">
                  <c:v>6.0760546486077693</c:v>
                </c:pt>
                <c:pt idx="696">
                  <c:v>6.0761635790734321</c:v>
                </c:pt>
                <c:pt idx="697">
                  <c:v>6.0762725094194669</c:v>
                </c:pt>
                <c:pt idx="698">
                  <c:v>6.0763814396458482</c:v>
                </c:pt>
                <c:pt idx="699">
                  <c:v>6.0764903697525448</c:v>
                </c:pt>
                <c:pt idx="700">
                  <c:v>6.0765992997395175</c:v>
                </c:pt>
                <c:pt idx="701">
                  <c:v>6.0767082296067452</c:v>
                </c:pt>
                <c:pt idx="702">
                  <c:v>6.0768171593541984</c:v>
                </c:pt>
                <c:pt idx="703">
                  <c:v>6.0769260889818364</c:v>
                </c:pt>
                <c:pt idx="704">
                  <c:v>6.0770350184896378</c:v>
                </c:pt>
                <c:pt idx="705">
                  <c:v>6.077143947877568</c:v>
                </c:pt>
                <c:pt idx="706">
                  <c:v>6.0772528771455994</c:v>
                </c:pt>
                <c:pt idx="707">
                  <c:v>6.0773618062936965</c:v>
                </c:pt>
                <c:pt idx="708">
                  <c:v>6.0774707353218345</c:v>
                </c:pt>
                <c:pt idx="709">
                  <c:v>6.077579664229976</c:v>
                </c:pt>
                <c:pt idx="710">
                  <c:v>6.0776885930180935</c:v>
                </c:pt>
                <c:pt idx="711">
                  <c:v>6.0777975216861586</c:v>
                </c:pt>
                <c:pt idx="712">
                  <c:v>6.0779064502341349</c:v>
                </c:pt>
                <c:pt idx="713">
                  <c:v>6.0780153786620019</c:v>
                </c:pt>
                <c:pt idx="714">
                  <c:v>6.0781243069697162</c:v>
                </c:pt>
                <c:pt idx="715">
                  <c:v>6.0782332351572572</c:v>
                </c:pt>
                <c:pt idx="716">
                  <c:v>6.0783421632245931</c:v>
                </c:pt>
                <c:pt idx="717">
                  <c:v>6.0784510911716918</c:v>
                </c:pt>
                <c:pt idx="718">
                  <c:v>6.0785600189985161</c:v>
                </c:pt>
                <c:pt idx="719">
                  <c:v>6.0786689467050463</c:v>
                </c:pt>
                <c:pt idx="720">
                  <c:v>6.0787778742912435</c:v>
                </c:pt>
                <c:pt idx="721">
                  <c:v>6.078886801757081</c:v>
                </c:pt>
                <c:pt idx="722">
                  <c:v>6.0789957291025285</c:v>
                </c:pt>
                <c:pt idx="723">
                  <c:v>6.0791046563275541</c:v>
                </c:pt>
                <c:pt idx="724">
                  <c:v>6.0792135834321295</c:v>
                </c:pt>
                <c:pt idx="725">
                  <c:v>6.0793225104162172</c:v>
                </c:pt>
                <c:pt idx="726">
                  <c:v>6.0794314372797933</c:v>
                </c:pt>
                <c:pt idx="727">
                  <c:v>6.0795403640228241</c:v>
                </c:pt>
                <c:pt idx="728">
                  <c:v>6.0796492906452819</c:v>
                </c:pt>
                <c:pt idx="729">
                  <c:v>6.079758217147134</c:v>
                </c:pt>
                <c:pt idx="730">
                  <c:v>6.0798671435283493</c:v>
                </c:pt>
                <c:pt idx="731">
                  <c:v>6.079976069788902</c:v>
                </c:pt>
                <c:pt idx="732">
                  <c:v>6.080084995928754</c:v>
                </c:pt>
                <c:pt idx="733">
                  <c:v>6.0801939219478784</c:v>
                </c:pt>
                <c:pt idx="734">
                  <c:v>6.0803028478462453</c:v>
                </c:pt>
                <c:pt idx="735">
                  <c:v>6.0804117736238199</c:v>
                </c:pt>
                <c:pt idx="736">
                  <c:v>6.0805206992805783</c:v>
                </c:pt>
                <c:pt idx="737">
                  <c:v>6.0806296248164875</c:v>
                </c:pt>
                <c:pt idx="738">
                  <c:v>6.0807385502315139</c:v>
                </c:pt>
                <c:pt idx="739">
                  <c:v>6.0808474755256299</c:v>
                </c:pt>
                <c:pt idx="740">
                  <c:v>6.0809564006987991</c:v>
                </c:pt>
                <c:pt idx="741">
                  <c:v>6.081065325751001</c:v>
                </c:pt>
                <c:pt idx="742">
                  <c:v>6.0811742506822011</c:v>
                </c:pt>
                <c:pt idx="743">
                  <c:v>6.0812831754923655</c:v>
                </c:pt>
                <c:pt idx="744">
                  <c:v>6.0813921001814615</c:v>
                </c:pt>
                <c:pt idx="745">
                  <c:v>6.081501024749465</c:v>
                </c:pt>
                <c:pt idx="746">
                  <c:v>6.0816099491963413</c:v>
                </c:pt>
                <c:pt idx="747">
                  <c:v>6.0817188735220675</c:v>
                </c:pt>
                <c:pt idx="748">
                  <c:v>6.0818277977266035</c:v>
                </c:pt>
                <c:pt idx="749">
                  <c:v>6.081936721809921</c:v>
                </c:pt>
                <c:pt idx="750">
                  <c:v>6.0820456457719896</c:v>
                </c:pt>
                <c:pt idx="751">
                  <c:v>6.0821545696127846</c:v>
                </c:pt>
                <c:pt idx="752">
                  <c:v>6.0822634933322623</c:v>
                </c:pt>
                <c:pt idx="753">
                  <c:v>6.0823724169304061</c:v>
                </c:pt>
                <c:pt idx="754">
                  <c:v>6.0824813404071776</c:v>
                </c:pt>
                <c:pt idx="755">
                  <c:v>6.0825902637625502</c:v>
                </c:pt>
                <c:pt idx="756">
                  <c:v>6.0826991869964866</c:v>
                </c:pt>
                <c:pt idx="757">
                  <c:v>6.0828081101089611</c:v>
                </c:pt>
                <c:pt idx="758">
                  <c:v>6.0829170330999505</c:v>
                </c:pt>
                <c:pt idx="759">
                  <c:v>6.0830259559694095</c:v>
                </c:pt>
                <c:pt idx="760">
                  <c:v>6.083134878717317</c:v>
                </c:pt>
                <c:pt idx="761">
                  <c:v>6.0832438013436381</c:v>
                </c:pt>
                <c:pt idx="762">
                  <c:v>6.0833527238483454</c:v>
                </c:pt>
                <c:pt idx="763">
                  <c:v>6.0834616462314077</c:v>
                </c:pt>
                <c:pt idx="764">
                  <c:v>6.0835705684927905</c:v>
                </c:pt>
                <c:pt idx="765">
                  <c:v>6.0836794906324698</c:v>
                </c:pt>
                <c:pt idx="766">
                  <c:v>6.0837884126504091</c:v>
                </c:pt>
                <c:pt idx="767">
                  <c:v>6.0838973345465828</c:v>
                </c:pt>
                <c:pt idx="768">
                  <c:v>6.0840062563209552</c:v>
                </c:pt>
                <c:pt idx="769">
                  <c:v>6.0841151779734988</c:v>
                </c:pt>
                <c:pt idx="770">
                  <c:v>6.0842240995041843</c:v>
                </c:pt>
                <c:pt idx="771">
                  <c:v>6.0843330209129771</c:v>
                </c:pt>
                <c:pt idx="772">
                  <c:v>6.0844419421998541</c:v>
                </c:pt>
                <c:pt idx="773">
                  <c:v>6.0845508633647709</c:v>
                </c:pt>
                <c:pt idx="774">
                  <c:v>6.0846597844077133</c:v>
                </c:pt>
                <c:pt idx="775">
                  <c:v>6.0847687053286412</c:v>
                </c:pt>
                <c:pt idx="776">
                  <c:v>6.084877626127521</c:v>
                </c:pt>
                <c:pt idx="777">
                  <c:v>6.084986546804334</c:v>
                </c:pt>
                <c:pt idx="778">
                  <c:v>6.0850954673590385</c:v>
                </c:pt>
                <c:pt idx="779">
                  <c:v>6.085204387791606</c:v>
                </c:pt>
                <c:pt idx="780">
                  <c:v>6.0853133081020108</c:v>
                </c:pt>
                <c:pt idx="781">
                  <c:v>6.0854222282902199</c:v>
                </c:pt>
                <c:pt idx="782">
                  <c:v>6.0855311483561998</c:v>
                </c:pt>
                <c:pt idx="783">
                  <c:v>6.0856400682999228</c:v>
                </c:pt>
                <c:pt idx="784">
                  <c:v>6.0857489881213578</c:v>
                </c:pt>
                <c:pt idx="785">
                  <c:v>6.0858579078204729</c:v>
                </c:pt>
                <c:pt idx="786">
                  <c:v>6.0859668273972432</c:v>
                </c:pt>
                <c:pt idx="787">
                  <c:v>6.0860757468516304</c:v>
                </c:pt>
                <c:pt idx="788">
                  <c:v>6.086184666183609</c:v>
                </c:pt>
                <c:pt idx="789">
                  <c:v>6.0862935853931441</c:v>
                </c:pt>
                <c:pt idx="790">
                  <c:v>6.0864025044802137</c:v>
                </c:pt>
                <c:pt idx="791">
                  <c:v>6.0865114234447786</c:v>
                </c:pt>
                <c:pt idx="792">
                  <c:v>6.0866203422868068</c:v>
                </c:pt>
                <c:pt idx="793">
                  <c:v>6.0867292610062762</c:v>
                </c:pt>
                <c:pt idx="794">
                  <c:v>6.0868381796031521</c:v>
                </c:pt>
                <c:pt idx="795">
                  <c:v>6.0869470980774034</c:v>
                </c:pt>
                <c:pt idx="796">
                  <c:v>6.0870560164289955</c:v>
                </c:pt>
                <c:pt idx="797">
                  <c:v>6.0871649346579044</c:v>
                </c:pt>
                <c:pt idx="798">
                  <c:v>6.0872738527640982</c:v>
                </c:pt>
                <c:pt idx="799">
                  <c:v>6.087382770747543</c:v>
                </c:pt>
                <c:pt idx="800">
                  <c:v>6.0874916886082158</c:v>
                </c:pt>
                <c:pt idx="801">
                  <c:v>6.0876006063460766</c:v>
                </c:pt>
                <c:pt idx="802">
                  <c:v>6.0877095239611014</c:v>
                </c:pt>
                <c:pt idx="803">
                  <c:v>6.0878184414532557</c:v>
                </c:pt>
                <c:pt idx="804">
                  <c:v>6.08792735882251</c:v>
                </c:pt>
                <c:pt idx="805">
                  <c:v>6.0880362760688369</c:v>
                </c:pt>
                <c:pt idx="806">
                  <c:v>6.0881451931922017</c:v>
                </c:pt>
                <c:pt idx="807">
                  <c:v>6.0882541101925787</c:v>
                </c:pt>
                <c:pt idx="808">
                  <c:v>6.0883630270699314</c:v>
                </c:pt>
                <c:pt idx="809">
                  <c:v>6.0884719438242341</c:v>
                </c:pt>
                <c:pt idx="810">
                  <c:v>6.0885808604554494</c:v>
                </c:pt>
                <c:pt idx="811">
                  <c:v>6.0886897769635571</c:v>
                </c:pt>
                <c:pt idx="812">
                  <c:v>6.0887986933485161</c:v>
                </c:pt>
                <c:pt idx="813">
                  <c:v>6.0889076096103034</c:v>
                </c:pt>
                <c:pt idx="814">
                  <c:v>6.0890165257488853</c:v>
                </c:pt>
                <c:pt idx="815">
                  <c:v>6.0891254417642333</c:v>
                </c:pt>
                <c:pt idx="816">
                  <c:v>6.089234357656311</c:v>
                </c:pt>
                <c:pt idx="817">
                  <c:v>6.0893432734250954</c:v>
                </c:pt>
                <c:pt idx="818">
                  <c:v>6.0894521890705544</c:v>
                </c:pt>
                <c:pt idx="819">
                  <c:v>6.0895611045926543</c:v>
                </c:pt>
                <c:pt idx="820">
                  <c:v>6.089670019991364</c:v>
                </c:pt>
                <c:pt idx="821">
                  <c:v>6.089778935266656</c:v>
                </c:pt>
                <c:pt idx="822">
                  <c:v>6.0898878504185001</c:v>
                </c:pt>
                <c:pt idx="823">
                  <c:v>6.0899967654468607</c:v>
                </c:pt>
                <c:pt idx="824">
                  <c:v>6.0901056803517122</c:v>
                </c:pt>
                <c:pt idx="825">
                  <c:v>6.0902145951330207</c:v>
                </c:pt>
                <c:pt idx="826">
                  <c:v>6.0903235097907622</c:v>
                </c:pt>
                <c:pt idx="827">
                  <c:v>6.0904324243248986</c:v>
                </c:pt>
                <c:pt idx="828">
                  <c:v>6.0905413387354042</c:v>
                </c:pt>
                <c:pt idx="829">
                  <c:v>6.0906502530222477</c:v>
                </c:pt>
                <c:pt idx="830">
                  <c:v>6.0907591671853964</c:v>
                </c:pt>
                <c:pt idx="831">
                  <c:v>6.0908680812248184</c:v>
                </c:pt>
                <c:pt idx="832">
                  <c:v>6.090976995140486</c:v>
                </c:pt>
                <c:pt idx="833">
                  <c:v>6.0910859089323734</c:v>
                </c:pt>
                <c:pt idx="834">
                  <c:v>6.0911948226004382</c:v>
                </c:pt>
                <c:pt idx="835">
                  <c:v>6.0913037361446607</c:v>
                </c:pt>
                <c:pt idx="836">
                  <c:v>6.0914126495650072</c:v>
                </c:pt>
                <c:pt idx="837">
                  <c:v>6.0915215628614412</c:v>
                </c:pt>
                <c:pt idx="838">
                  <c:v>6.0916304760339388</c:v>
                </c:pt>
                <c:pt idx="839">
                  <c:v>6.0917393890824689</c:v>
                </c:pt>
                <c:pt idx="840">
                  <c:v>6.0918483020069987</c:v>
                </c:pt>
                <c:pt idx="841">
                  <c:v>6.0919572148075023</c:v>
                </c:pt>
                <c:pt idx="842">
                  <c:v>6.0920661274839398</c:v>
                </c:pt>
                <c:pt idx="843">
                  <c:v>6.0921750400362873</c:v>
                </c:pt>
                <c:pt idx="844">
                  <c:v>6.092283952464518</c:v>
                </c:pt>
                <c:pt idx="845">
                  <c:v>6.0923928647685974</c:v>
                </c:pt>
                <c:pt idx="846">
                  <c:v>6.0925017769484908</c:v>
                </c:pt>
                <c:pt idx="847">
                  <c:v>6.0926106890041751</c:v>
                </c:pt>
                <c:pt idx="848">
                  <c:v>6.0927196009356122</c:v>
                </c:pt>
                <c:pt idx="849">
                  <c:v>6.092828512742777</c:v>
                </c:pt>
                <c:pt idx="850">
                  <c:v>6.092937424425636</c:v>
                </c:pt>
                <c:pt idx="851">
                  <c:v>6.0930463359841625</c:v>
                </c:pt>
                <c:pt idx="852">
                  <c:v>6.0931552474183217</c:v>
                </c:pt>
                <c:pt idx="853">
                  <c:v>6.093264158728088</c:v>
                </c:pt>
                <c:pt idx="854">
                  <c:v>6.0933730699134268</c:v>
                </c:pt>
                <c:pt idx="855">
                  <c:v>6.0934819809743042</c:v>
                </c:pt>
                <c:pt idx="856">
                  <c:v>6.0935908919106989</c:v>
                </c:pt>
                <c:pt idx="857">
                  <c:v>6.0936998027225711</c:v>
                </c:pt>
                <c:pt idx="858">
                  <c:v>6.0938087134098975</c:v>
                </c:pt>
                <c:pt idx="859">
                  <c:v>6.0939176239726418</c:v>
                </c:pt>
                <c:pt idx="860">
                  <c:v>6.0940265344107818</c:v>
                </c:pt>
                <c:pt idx="861">
                  <c:v>6.0941354447242748</c:v>
                </c:pt>
                <c:pt idx="862">
                  <c:v>6.0942443549131013</c:v>
                </c:pt>
                <c:pt idx="863">
                  <c:v>6.0943532649772267</c:v>
                </c:pt>
                <c:pt idx="864">
                  <c:v>6.0944621749166137</c:v>
                </c:pt>
                <c:pt idx="865">
                  <c:v>6.0945710847312471</c:v>
                </c:pt>
                <c:pt idx="866">
                  <c:v>6.0946799944210825</c:v>
                </c:pt>
                <c:pt idx="867">
                  <c:v>6.094788903986097</c:v>
                </c:pt>
                <c:pt idx="868">
                  <c:v>6.0948978134262548</c:v>
                </c:pt>
                <c:pt idx="869">
                  <c:v>6.0950067227415268</c:v>
                </c:pt>
                <c:pt idx="870">
                  <c:v>6.0951156319318889</c:v>
                </c:pt>
                <c:pt idx="871">
                  <c:v>6.0952245409973029</c:v>
                </c:pt>
                <c:pt idx="872">
                  <c:v>6.0953334499377441</c:v>
                </c:pt>
                <c:pt idx="873">
                  <c:v>6.0954423587531759</c:v>
                </c:pt>
                <c:pt idx="874">
                  <c:v>6.0955512674435726</c:v>
                </c:pt>
                <c:pt idx="875">
                  <c:v>6.0956601760088986</c:v>
                </c:pt>
                <c:pt idx="876">
                  <c:v>6.0957690844491283</c:v>
                </c:pt>
                <c:pt idx="877">
                  <c:v>6.0958779927642279</c:v>
                </c:pt>
                <c:pt idx="878">
                  <c:v>6.0959869009541716</c:v>
                </c:pt>
                <c:pt idx="879">
                  <c:v>6.0960958090189239</c:v>
                </c:pt>
                <c:pt idx="880">
                  <c:v>6.0962047169584546</c:v>
                </c:pt>
                <c:pt idx="881">
                  <c:v>6.0963136247727379</c:v>
                </c:pt>
                <c:pt idx="882">
                  <c:v>6.0964225324617374</c:v>
                </c:pt>
                <c:pt idx="883">
                  <c:v>6.0965314400254274</c:v>
                </c:pt>
                <c:pt idx="884">
                  <c:v>6.0966403474637758</c:v>
                </c:pt>
                <c:pt idx="885">
                  <c:v>6.0967492547767455</c:v>
                </c:pt>
                <c:pt idx="886">
                  <c:v>6.0968581619643176</c:v>
                </c:pt>
                <c:pt idx="887">
                  <c:v>6.096967069026455</c:v>
                </c:pt>
                <c:pt idx="888">
                  <c:v>6.0970759759631266</c:v>
                </c:pt>
                <c:pt idx="889">
                  <c:v>6.0971848827743056</c:v>
                </c:pt>
                <c:pt idx="890">
                  <c:v>6.0972937894599575</c:v>
                </c:pt>
                <c:pt idx="891">
                  <c:v>6.0974026960200565</c:v>
                </c:pt>
                <c:pt idx="892">
                  <c:v>6.097511602454567</c:v>
                </c:pt>
                <c:pt idx="893">
                  <c:v>6.0976205087634616</c:v>
                </c:pt>
                <c:pt idx="894">
                  <c:v>6.0977294149467065</c:v>
                </c:pt>
                <c:pt idx="895">
                  <c:v>6.0978383210042804</c:v>
                </c:pt>
                <c:pt idx="896">
                  <c:v>6.0979472269361379</c:v>
                </c:pt>
                <c:pt idx="897">
                  <c:v>6.0980561327422613</c:v>
                </c:pt>
                <c:pt idx="898">
                  <c:v>6.0981650384226151</c:v>
                </c:pt>
                <c:pt idx="899">
                  <c:v>6.0982739439771718</c:v>
                </c:pt>
                <c:pt idx="900">
                  <c:v>6.0983828494058958</c:v>
                </c:pt>
                <c:pt idx="901">
                  <c:v>6.0984917547087569</c:v>
                </c:pt>
                <c:pt idx="902">
                  <c:v>6.0986006598857276</c:v>
                </c:pt>
                <c:pt idx="903">
                  <c:v>6.0987095649367795</c:v>
                </c:pt>
                <c:pt idx="904">
                  <c:v>6.098818469861877</c:v>
                </c:pt>
                <c:pt idx="905">
                  <c:v>6.0989273746609927</c:v>
                </c:pt>
                <c:pt idx="906">
                  <c:v>6.0990362793340918</c:v>
                </c:pt>
                <c:pt idx="907">
                  <c:v>6.0991451838811495</c:v>
                </c:pt>
                <c:pt idx="908">
                  <c:v>6.0992540883021364</c:v>
                </c:pt>
                <c:pt idx="909">
                  <c:v>6.0993629925970119</c:v>
                </c:pt>
                <c:pt idx="910">
                  <c:v>6.0994718967657553</c:v>
                </c:pt>
                <c:pt idx="911">
                  <c:v>6.0995808008083348</c:v>
                </c:pt>
                <c:pt idx="912">
                  <c:v>6.0996897047247174</c:v>
                </c:pt>
                <c:pt idx="913">
                  <c:v>6.0997986085148694</c:v>
                </c:pt>
                <c:pt idx="914">
                  <c:v>6.0999075121787723</c:v>
                </c:pt>
                <c:pt idx="915">
                  <c:v>6.1000164157163832</c:v>
                </c:pt>
                <c:pt idx="916">
                  <c:v>6.1001253191276748</c:v>
                </c:pt>
                <c:pt idx="917">
                  <c:v>6.1002342224126194</c:v>
                </c:pt>
                <c:pt idx="918">
                  <c:v>6.1003431255711869</c:v>
                </c:pt>
                <c:pt idx="919">
                  <c:v>6.1004520286033426</c:v>
                </c:pt>
                <c:pt idx="920">
                  <c:v>6.1005609315090572</c:v>
                </c:pt>
                <c:pt idx="921">
                  <c:v>6.1006698342883023</c:v>
                </c:pt>
                <c:pt idx="922">
                  <c:v>6.1007787369410487</c:v>
                </c:pt>
                <c:pt idx="923">
                  <c:v>6.1008876394672598</c:v>
                </c:pt>
                <c:pt idx="924">
                  <c:v>6.1009965418669072</c:v>
                </c:pt>
                <c:pt idx="925">
                  <c:v>6.1011054441399653</c:v>
                </c:pt>
                <c:pt idx="926">
                  <c:v>6.1012143462864046</c:v>
                </c:pt>
                <c:pt idx="927">
                  <c:v>6.1013232483061897</c:v>
                </c:pt>
                <c:pt idx="928">
                  <c:v>6.1014321501992832</c:v>
                </c:pt>
                <c:pt idx="929">
                  <c:v>6.1015410519656701</c:v>
                </c:pt>
                <c:pt idx="930">
                  <c:v>6.1016499536053059</c:v>
                </c:pt>
                <c:pt idx="931">
                  <c:v>6.1017588551181738</c:v>
                </c:pt>
                <c:pt idx="932">
                  <c:v>6.1018677565042312</c:v>
                </c:pt>
                <c:pt idx="933">
                  <c:v>6.1019766577634513</c:v>
                </c:pt>
                <c:pt idx="934">
                  <c:v>6.1020855588958076</c:v>
                </c:pt>
                <c:pt idx="935">
                  <c:v>6.1021944599012645</c:v>
                </c:pt>
                <c:pt idx="936">
                  <c:v>6.102303360779799</c:v>
                </c:pt>
                <c:pt idx="937">
                  <c:v>6.1024122615313683</c:v>
                </c:pt>
                <c:pt idx="938">
                  <c:v>6.102521162155953</c:v>
                </c:pt>
                <c:pt idx="939">
                  <c:v>6.1026300626535148</c:v>
                </c:pt>
                <c:pt idx="940">
                  <c:v>6.1027389630240307</c:v>
                </c:pt>
                <c:pt idx="941">
                  <c:v>6.1028478632674661</c:v>
                </c:pt>
                <c:pt idx="942">
                  <c:v>6.1029567633837889</c:v>
                </c:pt>
                <c:pt idx="943">
                  <c:v>6.1030656633729761</c:v>
                </c:pt>
                <c:pt idx="944">
                  <c:v>6.1031745632349859</c:v>
                </c:pt>
                <c:pt idx="945">
                  <c:v>6.103283462969797</c:v>
                </c:pt>
                <c:pt idx="946">
                  <c:v>6.1033923625773747</c:v>
                </c:pt>
                <c:pt idx="947">
                  <c:v>6.1035012620576863</c:v>
                </c:pt>
                <c:pt idx="948">
                  <c:v>6.1036101614107059</c:v>
                </c:pt>
                <c:pt idx="949">
                  <c:v>6.1037190606364033</c:v>
                </c:pt>
                <c:pt idx="950">
                  <c:v>6.1038279597347476</c:v>
                </c:pt>
                <c:pt idx="951">
                  <c:v>6.1039368587057048</c:v>
                </c:pt>
                <c:pt idx="952">
                  <c:v>6.1040457575492475</c:v>
                </c:pt>
                <c:pt idx="953">
                  <c:v>6.1041546562653455</c:v>
                </c:pt>
                <c:pt idx="954">
                  <c:v>6.1042635548539668</c:v>
                </c:pt>
                <c:pt idx="955">
                  <c:v>6.1043724533150794</c:v>
                </c:pt>
                <c:pt idx="956">
                  <c:v>6.1044813516486593</c:v>
                </c:pt>
                <c:pt idx="957">
                  <c:v>6.1045902498546676</c:v>
                </c:pt>
                <c:pt idx="958">
                  <c:v>6.1046991479330828</c:v>
                </c:pt>
                <c:pt idx="959">
                  <c:v>6.1048080458838623</c:v>
                </c:pt>
                <c:pt idx="960">
                  <c:v>6.1049169437069875</c:v>
                </c:pt>
                <c:pt idx="961">
                  <c:v>6.105025841402421</c:v>
                </c:pt>
                <c:pt idx="962">
                  <c:v>6.105134738970138</c:v>
                </c:pt>
                <c:pt idx="963">
                  <c:v>6.1052436364101039</c:v>
                </c:pt>
                <c:pt idx="964">
                  <c:v>6.1053525337222867</c:v>
                </c:pt>
                <c:pt idx="965">
                  <c:v>6.1054614309066606</c:v>
                </c:pt>
                <c:pt idx="966">
                  <c:v>6.105570327963191</c:v>
                </c:pt>
                <c:pt idx="967">
                  <c:v>6.1056792248918512</c:v>
                </c:pt>
                <c:pt idx="968">
                  <c:v>6.1057881216926111</c:v>
                </c:pt>
                <c:pt idx="969">
                  <c:v>6.1058970183654369</c:v>
                </c:pt>
                <c:pt idx="970">
                  <c:v>6.1060059149102965</c:v>
                </c:pt>
                <c:pt idx="971">
                  <c:v>6.1061148113271644</c:v>
                </c:pt>
                <c:pt idx="972">
                  <c:v>6.1062237076160057</c:v>
                </c:pt>
                <c:pt idx="973">
                  <c:v>6.1063326037767949</c:v>
                </c:pt>
                <c:pt idx="974">
                  <c:v>6.1064414998094962</c:v>
                </c:pt>
                <c:pt idx="975">
                  <c:v>6.1065503957140832</c:v>
                </c:pt>
                <c:pt idx="976">
                  <c:v>6.1066592914905238</c:v>
                </c:pt>
                <c:pt idx="977">
                  <c:v>6.1067681871387904</c:v>
                </c:pt>
                <c:pt idx="978">
                  <c:v>6.1068770826588459</c:v>
                </c:pt>
                <c:pt idx="979">
                  <c:v>6.1069859780506643</c:v>
                </c:pt>
                <c:pt idx="980">
                  <c:v>6.1070948733142165</c:v>
                </c:pt>
                <c:pt idx="981">
                  <c:v>6.1072037684494722</c:v>
                </c:pt>
                <c:pt idx="982">
                  <c:v>6.1073126634564021</c:v>
                </c:pt>
                <c:pt idx="983">
                  <c:v>6.1074215583349645</c:v>
                </c:pt>
                <c:pt idx="984">
                  <c:v>6.1075304530851389</c:v>
                </c:pt>
                <c:pt idx="985">
                  <c:v>6.1076393477068969</c:v>
                </c:pt>
                <c:pt idx="986">
                  <c:v>6.107748242200203</c:v>
                </c:pt>
                <c:pt idx="987">
                  <c:v>6.1078571365650296</c:v>
                </c:pt>
                <c:pt idx="988">
                  <c:v>6.1079660308013386</c:v>
                </c:pt>
                <c:pt idx="989">
                  <c:v>6.1080749249091104</c:v>
                </c:pt>
                <c:pt idx="990">
                  <c:v>6.1081838188883104</c:v>
                </c:pt>
                <c:pt idx="991">
                  <c:v>6.1082927127389057</c:v>
                </c:pt>
                <c:pt idx="992">
                  <c:v>6.1084016064608679</c:v>
                </c:pt>
                <c:pt idx="993">
                  <c:v>6.1085105000541704</c:v>
                </c:pt>
                <c:pt idx="994">
                  <c:v>6.1086193935187767</c:v>
                </c:pt>
                <c:pt idx="995">
                  <c:v>6.1087282868546557</c:v>
                </c:pt>
                <c:pt idx="996">
                  <c:v>6.1088371800617809</c:v>
                </c:pt>
                <c:pt idx="997">
                  <c:v>6.1089460731401211</c:v>
                </c:pt>
                <c:pt idx="998">
                  <c:v>6.1090549660896434</c:v>
                </c:pt>
                <c:pt idx="999">
                  <c:v>6.1091638589103221</c:v>
                </c:pt>
                <c:pt idx="1000">
                  <c:v>6.1092727516021261</c:v>
                </c:pt>
              </c:numCache>
            </c:numRef>
          </c:yVal>
          <c:smooth val="0"/>
          <c:extLst>
            <c:ext xmlns:c16="http://schemas.microsoft.com/office/drawing/2014/chart" uri="{C3380CC4-5D6E-409C-BE32-E72D297353CC}">
              <c16:uniqueId val="{00000002-C0A4-422D-8B8B-35A0AD0C72E1}"/>
            </c:ext>
          </c:extLst>
        </c:ser>
        <c:dLbls>
          <c:showLegendKey val="0"/>
          <c:showVal val="0"/>
          <c:showCatName val="0"/>
          <c:showSerName val="0"/>
          <c:showPercent val="0"/>
          <c:showBubbleSize val="0"/>
        </c:dLbls>
        <c:axId val="677968024"/>
        <c:axId val="1"/>
      </c:scatterChart>
      <c:valAx>
        <c:axId val="677968024"/>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54E-2"/>
              <c:y val="0.333334362616437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677968024"/>
        <c:crosses val="autoZero"/>
        <c:crossBetween val="midCat"/>
      </c:valAx>
      <c:spPr>
        <a:noFill/>
        <a:ln w="12700">
          <a:solidFill>
            <a:srgbClr val="808080"/>
          </a:solidFill>
          <a:prstDash val="solid"/>
        </a:ln>
      </c:spPr>
    </c:plotArea>
    <c:legend>
      <c:legendPos val="r"/>
      <c:layout>
        <c:manualLayout>
          <c:xMode val="edge"/>
          <c:yMode val="edge"/>
          <c:x val="0.82900943396226412"/>
          <c:y val="0.34640625804127428"/>
          <c:w val="0.13089622641509435"/>
          <c:h val="0.22549088226716757"/>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05"/>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Calculs!$I$4:$I$1004</c:f>
              <c:numCache>
                <c:formatCode>0.00</c:formatCode>
                <c:ptCount val="1001"/>
                <c:pt idx="0">
                  <c:v>0</c:v>
                </c:pt>
                <c:pt idx="1">
                  <c:v>0.28489075660933039</c:v>
                </c:pt>
                <c:pt idx="2">
                  <c:v>1.333477289410463</c:v>
                </c:pt>
                <c:pt idx="3">
                  <c:v>2.7038464290810968</c:v>
                </c:pt>
                <c:pt idx="4">
                  <c:v>3.9528814645111177</c:v>
                </c:pt>
                <c:pt idx="5">
                  <c:v>5.1389164275235197</c:v>
                </c:pt>
                <c:pt idx="6">
                  <c:v>6.3204532995563971</c:v>
                </c:pt>
                <c:pt idx="7">
                  <c:v>7.4974598795534995</c:v>
                </c:pt>
                <c:pt idx="8">
                  <c:v>8.6699042046729229</c:v>
                </c:pt>
                <c:pt idx="9">
                  <c:v>9.8377545530601402</c:v>
                </c:pt>
                <c:pt idx="10">
                  <c:v>11.000979446572288</c:v>
                </c:pt>
                <c:pt idx="11">
                  <c:v>12.159547653453119</c:v>
                </c:pt>
                <c:pt idx="12">
                  <c:v>13.313428190958183</c:v>
                </c:pt>
                <c:pt idx="13">
                  <c:v>14.462590327929668</c:v>
                </c:pt>
                <c:pt idx="14">
                  <c:v>15.607003587320488</c:v>
                </c:pt>
                <c:pt idx="15">
                  <c:v>16.746637748667119</c:v>
                </c:pt>
                <c:pt idx="16">
                  <c:v>17.881462850510786</c:v>
                </c:pt>
                <c:pt idx="17">
                  <c:v>19.011449192766488</c:v>
                </c:pt>
                <c:pt idx="18">
                  <c:v>20.136567339039626</c:v>
                </c:pt>
                <c:pt idx="19">
                  <c:v>21.256788118889641</c:v>
                </c:pt>
                <c:pt idx="20">
                  <c:v>22.372082630040488</c:v>
                </c:pt>
                <c:pt idx="21">
                  <c:v>23.482422240537442</c:v>
                </c:pt>
                <c:pt idx="22">
                  <c:v>24.587778590850046</c:v>
                </c:pt>
                <c:pt idx="23">
                  <c:v>25.68812908372956</c:v>
                </c:pt>
                <c:pt idx="24">
                  <c:v>26.783451546941002</c:v>
                </c:pt>
                <c:pt idx="25">
                  <c:v>27.873718077819873</c:v>
                </c:pt>
                <c:pt idx="26">
                  <c:v>28.958901081289248</c:v>
                </c:pt>
                <c:pt idx="27">
                  <c:v>30.0389732685945</c:v>
                </c:pt>
                <c:pt idx="28">
                  <c:v>31.113907656476254</c:v>
                </c:pt>
                <c:pt idx="29">
                  <c:v>32.183677566649408</c:v>
                </c:pt>
                <c:pt idx="30">
                  <c:v>33.248256625526984</c:v>
                </c:pt>
                <c:pt idx="31">
                  <c:v>34.307618764139654</c:v>
                </c:pt>
                <c:pt idx="32">
                  <c:v>35.36173821821091</c:v>
                </c:pt>
                <c:pt idx="33">
                  <c:v>36.410589528355672</c:v>
                </c:pt>
                <c:pt idx="34">
                  <c:v>37.454147540375239</c:v>
                </c:pt>
                <c:pt idx="35">
                  <c:v>38.49238740562685</c:v>
                </c:pt>
                <c:pt idx="36">
                  <c:v>39.525284581449299</c:v>
                </c:pt>
                <c:pt idx="37">
                  <c:v>40.552814831629341</c:v>
                </c:pt>
                <c:pt idx="38">
                  <c:v>41.574954226895912</c:v>
                </c:pt>
                <c:pt idx="39">
                  <c:v>42.591679145431456</c:v>
                </c:pt>
                <c:pt idx="40">
                  <c:v>43.602966273390983</c:v>
                </c:pt>
                <c:pt idx="41">
                  <c:v>44.608792605421009</c:v>
                </c:pt>
                <c:pt idx="42">
                  <c:v>45.609135445171837</c:v>
                </c:pt>
                <c:pt idx="43">
                  <c:v>46.603972405797322</c:v>
                </c:pt>
                <c:pt idx="44">
                  <c:v>47.593281410437164</c:v>
                </c:pt>
                <c:pt idx="45">
                  <c:v>48.57704069267762</c:v>
                </c:pt>
                <c:pt idx="46">
                  <c:v>49.555228796986874</c:v>
                </c:pt>
                <c:pt idx="47">
                  <c:v>50.527824579121955</c:v>
                </c:pt>
                <c:pt idx="48">
                  <c:v>51.494807206504483</c:v>
                </c:pt>
                <c:pt idx="49">
                  <c:v>52.456156158562806</c:v>
                </c:pt>
                <c:pt idx="50">
                  <c:v>53.411851227038646</c:v>
                </c:pt>
                <c:pt idx="51">
                  <c:v>54.361872516256312</c:v>
                </c:pt>
                <c:pt idx="52">
                  <c:v>55.306200443353084</c:v>
                </c:pt>
                <c:pt idx="53">
                  <c:v>56.244815738469384</c:v>
                </c:pt>
                <c:pt idx="54">
                  <c:v>57.177699444897655</c:v>
                </c:pt>
                <c:pt idx="55">
                  <c:v>58.104832919189001</c:v>
                </c:pt>
                <c:pt idx="56">
                  <c:v>59.026197831216692</c:v>
                </c:pt>
                <c:pt idx="57">
                  <c:v>59.941776164195943</c:v>
                </c:pt>
                <c:pt idx="58">
                  <c:v>60.851550214659312</c:v>
                </c:pt>
                <c:pt idx="59">
                  <c:v>61.755502592387366</c:v>
                </c:pt>
                <c:pt idx="60">
                  <c:v>62.653616220294076</c:v>
                </c:pt>
                <c:pt idx="61">
                  <c:v>63.545874334266784</c:v>
                </c:pt>
                <c:pt idx="62">
                  <c:v>64.432260482960459</c:v>
                </c:pt>
                <c:pt idx="63">
                  <c:v>65.307562779526094</c:v>
                </c:pt>
                <c:pt idx="64">
                  <c:v>66.166564548168282</c:v>
                </c:pt>
                <c:pt idx="65">
                  <c:v>67.009246091809914</c:v>
                </c:pt>
                <c:pt idx="66">
                  <c:v>67.835588830740363</c:v>
                </c:pt>
                <c:pt idx="67">
                  <c:v>68.640807482454122</c:v>
                </c:pt>
                <c:pt idx="68">
                  <c:v>69.420114317258225</c:v>
                </c:pt>
                <c:pt idx="69">
                  <c:v>70.165008308126701</c:v>
                </c:pt>
                <c:pt idx="70">
                  <c:v>70.866985870340869</c:v>
                </c:pt>
                <c:pt idx="71">
                  <c:v>71.526033931171739</c:v>
                </c:pt>
                <c:pt idx="72">
                  <c:v>72.142143844616385</c:v>
                </c:pt>
                <c:pt idx="73">
                  <c:v>72.715311300522259</c:v>
                </c:pt>
                <c:pt idx="74">
                  <c:v>73.24553623241475</c:v>
                </c:pt>
                <c:pt idx="75">
                  <c:v>73.73282272411123</c:v>
                </c:pt>
                <c:pt idx="76">
                  <c:v>74.177178915205474</c:v>
                </c:pt>
                <c:pt idx="77">
                  <c:v>74.578616905504163</c:v>
                </c:pt>
                <c:pt idx="78">
                  <c:v>74.937152658497766</c:v>
                </c:pt>
                <c:pt idx="79">
                  <c:v>75.252805903946069</c:v>
                </c:pt>
                <c:pt idx="80">
                  <c:v>75.525600039658343</c:v>
                </c:pt>
                <c:pt idx="81">
                  <c:v>75.765673011184703</c:v>
                </c:pt>
                <c:pt idx="82">
                  <c:v>75.983159900469403</c:v>
                </c:pt>
                <c:pt idx="83">
                  <c:v>76.178076767434149</c:v>
                </c:pt>
                <c:pt idx="84">
                  <c:v>76.350440707960331</c:v>
                </c:pt>
                <c:pt idx="85">
                  <c:v>76.500269825756547</c:v>
                </c:pt>
                <c:pt idx="86">
                  <c:v>76.62758320418645</c:v>
                </c:pt>
                <c:pt idx="87">
                  <c:v>76.732400878068574</c:v>
                </c:pt>
                <c:pt idx="88">
                  <c:v>76.814743805459031</c:v>
                </c:pt>
                <c:pt idx="89">
                  <c:v>76.877830353461931</c:v>
                </c:pt>
                <c:pt idx="90">
                  <c:v>76.924876680557958</c:v>
                </c:pt>
                <c:pt idx="91">
                  <c:v>76.955899321635528</c:v>
                </c:pt>
                <c:pt idx="92">
                  <c:v>76.970915236585554</c:v>
                </c:pt>
                <c:pt idx="93">
                  <c:v>76.970741186428953</c:v>
                </c:pt>
                <c:pt idx="94">
                  <c:v>76.956193464890148</c:v>
                </c:pt>
                <c:pt idx="95">
                  <c:v>76.927288339678</c:v>
                </c:pt>
                <c:pt idx="96">
                  <c:v>76.884042374748219</c:v>
                </c:pt>
                <c:pt idx="97">
                  <c:v>76.829670639187611</c:v>
                </c:pt>
                <c:pt idx="98">
                  <c:v>76.767384699546653</c:v>
                </c:pt>
                <c:pt idx="99">
                  <c:v>76.69719400684572</c:v>
                </c:pt>
                <c:pt idx="100">
                  <c:v>76.619108074442636</c:v>
                </c:pt>
                <c:pt idx="101">
                  <c:v>76.533136474606849</c:v>
                </c:pt>
                <c:pt idx="102">
                  <c:v>76.439288835110332</c:v>
                </c:pt>
                <c:pt idx="103">
                  <c:v>76.337574835835639</c:v>
                </c:pt>
                <c:pt idx="104">
                  <c:v>76.228004205401305</c:v>
                </c:pt>
                <c:pt idx="105">
                  <c:v>76.110586717804935</c:v>
                </c:pt>
                <c:pt idx="106">
                  <c:v>75.985332189084133</c:v>
                </c:pt>
                <c:pt idx="107">
                  <c:v>75.852250473995383</c:v>
                </c:pt>
                <c:pt idx="108">
                  <c:v>75.711351462711434</c:v>
                </c:pt>
                <c:pt idx="109">
                  <c:v>75.566643686120969</c:v>
                </c:pt>
                <c:pt idx="110">
                  <c:v>75.422130399707413</c:v>
                </c:pt>
                <c:pt idx="111">
                  <c:v>75.277810987830208</c:v>
                </c:pt>
                <c:pt idx="112">
                  <c:v>75.133684837428177</c:v>
                </c:pt>
                <c:pt idx="113">
                  <c:v>74.989751338007693</c:v>
                </c:pt>
                <c:pt idx="114">
                  <c:v>74.84600988163119</c:v>
                </c:pt>
                <c:pt idx="115">
                  <c:v>74.702459862905684</c:v>
                </c:pt>
                <c:pt idx="116">
                  <c:v>74.559100678971348</c:v>
                </c:pt>
                <c:pt idx="117">
                  <c:v>74.415931729490183</c:v>
                </c:pt>
                <c:pt idx="118">
                  <c:v>74.272952416634752</c:v>
                </c:pt>
                <c:pt idx="119">
                  <c:v>74.130162145077108</c:v>
                </c:pt>
                <c:pt idx="120">
                  <c:v>73.987560321977583</c:v>
                </c:pt>
                <c:pt idx="121">
                  <c:v>73.845146356973942</c:v>
                </c:pt>
                <c:pt idx="122">
                  <c:v>73.702919662170359</c:v>
                </c:pt>
                <c:pt idx="123">
                  <c:v>73.56087965212663</c:v>
                </c:pt>
                <c:pt idx="124">
                  <c:v>73.419025743847413</c:v>
                </c:pt>
                <c:pt idx="125">
                  <c:v>73.277357356771546</c:v>
                </c:pt>
                <c:pt idx="126">
                  <c:v>73.135873912761454</c:v>
                </c:pt>
                <c:pt idx="127">
                  <c:v>72.994574836092667</c:v>
                </c:pt>
                <c:pt idx="128">
                  <c:v>72.853459553443315</c:v>
                </c:pt>
                <c:pt idx="129">
                  <c:v>72.712527493883826</c:v>
                </c:pt>
                <c:pt idx="130">
                  <c:v>72.571778088866651</c:v>
                </c:pt>
                <c:pt idx="131">
                  <c:v>72.431210772215991</c:v>
                </c:pt>
                <c:pt idx="132">
                  <c:v>72.290824980117748</c:v>
                </c:pt>
                <c:pt idx="133">
                  <c:v>72.15062015110945</c:v>
                </c:pt>
                <c:pt idx="134">
                  <c:v>72.010595726070235</c:v>
                </c:pt>
                <c:pt idx="135">
                  <c:v>71.870751148211042</c:v>
                </c:pt>
                <c:pt idx="136">
                  <c:v>71.731085863064649</c:v>
                </c:pt>
                <c:pt idx="137">
                  <c:v>71.591599318476128</c:v>
                </c:pt>
                <c:pt idx="138">
                  <c:v>71.452290964592962</c:v>
                </c:pt>
                <c:pt idx="139">
                  <c:v>71.313160253855585</c:v>
                </c:pt>
                <c:pt idx="140">
                  <c:v>71.174206640987819</c:v>
                </c:pt>
                <c:pt idx="141">
                  <c:v>71.035429582987391</c:v>
                </c:pt>
                <c:pt idx="142">
                  <c:v>70.896828539116626</c:v>
                </c:pt>
                <c:pt idx="143">
                  <c:v>70.758402970893101</c:v>
                </c:pt>
                <c:pt idx="144">
                  <c:v>70.620152342080416</c:v>
                </c:pt>
                <c:pt idx="145">
                  <c:v>70.482076118679032</c:v>
                </c:pt>
                <c:pt idx="146">
                  <c:v>70.344173768917187</c:v>
                </c:pt>
                <c:pt idx="147">
                  <c:v>70.206444763241933</c:v>
                </c:pt>
                <c:pt idx="148">
                  <c:v>70.068888574310094</c:v>
                </c:pt>
                <c:pt idx="149">
                  <c:v>69.931504676979515</c:v>
                </c:pt>
                <c:pt idx="150">
                  <c:v>69.794292548300177</c:v>
                </c:pt>
                <c:pt idx="151">
                  <c:v>69.657251667505506</c:v>
                </c:pt>
                <c:pt idx="152">
                  <c:v>69.520381516003695</c:v>
                </c:pt>
                <c:pt idx="153">
                  <c:v>69.383681577369131</c:v>
                </c:pt>
                <c:pt idx="154">
                  <c:v>69.247151337333889</c:v>
                </c:pt>
                <c:pt idx="155">
                  <c:v>69.110790283779252</c:v>
                </c:pt>
                <c:pt idx="156">
                  <c:v>68.974597906727368</c:v>
                </c:pt>
                <c:pt idx="157">
                  <c:v>68.838573698332937</c:v>
                </c:pt>
                <c:pt idx="158">
                  <c:v>68.702717152874925</c:v>
                </c:pt>
                <c:pt idx="159">
                  <c:v>68.567027766748495</c:v>
                </c:pt>
                <c:pt idx="160">
                  <c:v>68.431505038456763</c:v>
                </c:pt>
                <c:pt idx="161">
                  <c:v>68.296148468602894</c:v>
                </c:pt>
                <c:pt idx="162">
                  <c:v>68.16095755988205</c:v>
                </c:pt>
                <c:pt idx="163">
                  <c:v>68.025931817073555</c:v>
                </c:pt>
                <c:pt idx="164">
                  <c:v>67.891070747033027</c:v>
                </c:pt>
                <c:pt idx="165">
                  <c:v>67.756373858684626</c:v>
                </c:pt>
                <c:pt idx="166">
                  <c:v>67.62184066301333</c:v>
                </c:pt>
                <c:pt idx="167">
                  <c:v>67.487470673057373</c:v>
                </c:pt>
                <c:pt idx="168">
                  <c:v>67.353263403900613</c:v>
                </c:pt>
                <c:pt idx="169">
                  <c:v>67.219218372665082</c:v>
                </c:pt>
                <c:pt idx="170">
                  <c:v>67.085335098503535</c:v>
                </c:pt>
                <c:pt idx="171">
                  <c:v>66.951613102592063</c:v>
                </c:pt>
                <c:pt idx="172">
                  <c:v>66.818051908122882</c:v>
                </c:pt>
                <c:pt idx="173">
                  <c:v>66.684651040297013</c:v>
                </c:pt>
                <c:pt idx="174">
                  <c:v>66.551410026317129</c:v>
                </c:pt>
                <c:pt idx="175">
                  <c:v>66.418328395380527</c:v>
                </c:pt>
                <c:pt idx="176">
                  <c:v>66.285405678672021</c:v>
                </c:pt>
                <c:pt idx="177">
                  <c:v>66.152641409356946</c:v>
                </c:pt>
                <c:pt idx="178">
                  <c:v>66.020035122574384</c:v>
                </c:pt>
                <c:pt idx="179">
                  <c:v>65.887586355430173</c:v>
                </c:pt>
                <c:pt idx="180">
                  <c:v>65.755294646990222</c:v>
                </c:pt>
                <c:pt idx="181">
                  <c:v>65.623159538273796</c:v>
                </c:pt>
                <c:pt idx="182">
                  <c:v>65.491180572246833</c:v>
                </c:pt>
                <c:pt idx="183">
                  <c:v>65.359357293815378</c:v>
                </c:pt>
                <c:pt idx="184">
                  <c:v>65.227689249819065</c:v>
                </c:pt>
                <c:pt idx="185">
                  <c:v>65.096175989024701</c:v>
                </c:pt>
                <c:pt idx="186">
                  <c:v>64.964817062119778</c:v>
                </c:pt>
                <c:pt idx="187">
                  <c:v>64.833612021706287</c:v>
                </c:pt>
                <c:pt idx="188">
                  <c:v>64.702560422294312</c:v>
                </c:pt>
                <c:pt idx="189">
                  <c:v>64.571661820295944</c:v>
                </c:pt>
                <c:pt idx="190">
                  <c:v>64.440915774019061</c:v>
                </c:pt>
                <c:pt idx="191">
                  <c:v>64.310321843661328</c:v>
                </c:pt>
                <c:pt idx="192">
                  <c:v>64.179879591304157</c:v>
                </c:pt>
                <c:pt idx="193">
                  <c:v>64.0495885809067</c:v>
                </c:pt>
                <c:pt idx="194">
                  <c:v>63.91944837830011</c:v>
                </c:pt>
                <c:pt idx="195">
                  <c:v>63.789458551181589</c:v>
                </c:pt>
                <c:pt idx="196">
                  <c:v>63.659618669108667</c:v>
                </c:pt>
                <c:pt idx="197">
                  <c:v>63.529928303493556</c:v>
                </c:pt>
                <c:pt idx="198">
                  <c:v>63.400387027597453</c:v>
                </c:pt>
                <c:pt idx="199">
                  <c:v>63.270994416525021</c:v>
                </c:pt>
                <c:pt idx="200">
                  <c:v>63.141750047218864</c:v>
                </c:pt>
                <c:pt idx="201">
                  <c:v>61.85115301083809</c:v>
                </c:pt>
                <c:pt idx="202">
                  <c:v>60.575196637440875</c:v>
                </c:pt>
                <c:pt idx="203">
                  <c:v>59.313475562103434</c:v>
                </c:pt>
                <c:pt idx="204">
                  <c:v>58.065602435638716</c:v>
                </c:pt>
                <c:pt idx="205">
                  <c:v>56.831207510023944</c:v>
                </c:pt>
                <c:pt idx="206">
                  <c:v>55.609938290937471</c:v>
                </c:pt>
                <c:pt idx="207">
                  <c:v>54.401459258869707</c:v>
                </c:pt>
                <c:pt idx="208">
                  <c:v>53.205451660972678</c:v>
                </c:pt>
                <c:pt idx="209">
                  <c:v>52.021613376585002</c:v>
                </c:pt>
                <c:pt idx="210">
                  <c:v>50.849658860228516</c:v>
                </c:pt>
                <c:pt idx="211">
                  <c:v>49.689319166838878</c:v>
                </c:pt>
                <c:pt idx="212">
                  <c:v>48.540342065086818</c:v>
                </c:pt>
                <c:pt idx="213">
                  <c:v>47.402492245893541</c:v>
                </c:pt>
                <c:pt idx="214">
                  <c:v>46.275551634675509</c:v>
                </c:pt>
                <c:pt idx="215">
                  <c:v>45.15931981750326</c:v>
                </c:pt>
                <c:pt idx="216">
                  <c:v>44.053614593271085</c:v>
                </c:pt>
                <c:pt idx="217">
                  <c:v>42.958272666196734</c:v>
                </c:pt>
                <c:pt idx="218">
                  <c:v>41.873150495564254</c:v>
                </c:pt>
                <c:pt idx="219">
                  <c:v>40.798125322657995</c:v>
                </c:pt>
                <c:pt idx="220">
                  <c:v>39.733096398395205</c:v>
                </c:pt>
                <c:pt idx="221">
                  <c:v>38.677986439347592</c:v>
                </c:pt>
                <c:pt idx="222">
                  <c:v>37.632743344764044</c:v>
                </c:pt>
                <c:pt idx="223">
                  <c:v>36.597342213003287</c:v>
                </c:pt>
                <c:pt idx="224">
                  <c:v>35.571787702613797</c:v>
                </c:pt>
                <c:pt idx="225">
                  <c:v>34.556116791339072</c:v>
                </c:pt>
                <c:pt idx="226">
                  <c:v>33.550401995782359</c:v>
                </c:pt>
                <c:pt idx="227">
                  <c:v>32.554755125559502</c:v>
                </c:pt>
                <c:pt idx="228">
                  <c:v>31.569331658737099</c:v>
                </c:pt>
                <c:pt idx="229">
                  <c:v>30.594335840430311</c:v>
                </c:pt>
                <c:pt idx="230">
                  <c:v>29.630026623822665</c:v>
                </c:pt>
                <c:pt idx="231">
                  <c:v>28.676724592698754</c:v>
                </c:pt>
                <c:pt idx="232">
                  <c:v>27.734820026822444</c:v>
                </c:pt>
                <c:pt idx="233">
                  <c:v>26.804782295845882</c:v>
                </c:pt>
                <c:pt idx="234">
                  <c:v>25.887170793123484</c:v>
                </c:pt>
                <c:pt idx="235">
                  <c:v>24.982647646285546</c:v>
                </c:pt>
                <c:pt idx="236">
                  <c:v>24.091992463931003</c:v>
                </c:pt>
                <c:pt idx="237">
                  <c:v>23.21611939266986</c:v>
                </c:pt>
                <c:pt idx="238">
                  <c:v>22.356096758466169</c:v>
                </c:pt>
                <c:pt idx="239">
                  <c:v>21.513169539070063</c:v>
                </c:pt>
                <c:pt idx="240">
                  <c:v>20.68878484251363</c:v>
                </c:pt>
                <c:pt idx="241">
                  <c:v>19.884620424086336</c:v>
                </c:pt>
                <c:pt idx="242">
                  <c:v>19.102616023913654</c:v>
                </c:pt>
                <c:pt idx="243">
                  <c:v>18.345006899137864</c:v>
                </c:pt>
                <c:pt idx="244">
                  <c:v>17.614358295100278</c:v>
                </c:pt>
                <c:pt idx="245">
                  <c:v>16.913598675913583</c:v>
                </c:pt>
                <c:pt idx="246">
                  <c:v>16.246048248110213</c:v>
                </c:pt>
                <c:pt idx="247">
                  <c:v>15.615437629292501</c:v>
                </c:pt>
                <c:pt idx="248">
                  <c:v>15.02590949816244</c:v>
                </c:pt>
                <c:pt idx="249">
                  <c:v>14.481993957991456</c:v>
                </c:pt>
                <c:pt idx="250">
                  <c:v>13.988546694650044</c:v>
                </c:pt>
                <c:pt idx="251">
                  <c:v>13.550638743811348</c:v>
                </c:pt>
                <c:pt idx="252">
                  <c:v>13.173389086934918</c:v>
                </c:pt>
                <c:pt idx="253">
                  <c:v>12.861737700003228</c:v>
                </c:pt>
                <c:pt idx="254">
                  <c:v>12.620167724360611</c:v>
                </c:pt>
                <c:pt idx="255">
                  <c:v>12.452400029563004</c:v>
                </c:pt>
                <c:pt idx="256">
                  <c:v>12.361097978846269</c:v>
                </c:pt>
                <c:pt idx="257">
                  <c:v>12.347628939189956</c:v>
                </c:pt>
                <c:pt idx="258">
                  <c:v>12.411926385282886</c:v>
                </c:pt>
                <c:pt idx="259">
                  <c:v>12.552480313262528</c:v>
                </c:pt>
                <c:pt idx="260">
                  <c:v>12.766458031047597</c:v>
                </c:pt>
                <c:pt idx="261">
                  <c:v>13.04993098912723</c:v>
                </c:pt>
                <c:pt idx="262">
                  <c:v>13.398165326606241</c:v>
                </c:pt>
                <c:pt idx="263">
                  <c:v>13.805929079573771</c:v>
                </c:pt>
                <c:pt idx="264">
                  <c:v>14.267776340787632</c:v>
                </c:pt>
                <c:pt idx="265">
                  <c:v>14.778282767310355</c:v>
                </c:pt>
                <c:pt idx="266">
                  <c:v>15.332221767423416</c:v>
                </c:pt>
                <c:pt idx="267">
                  <c:v>15.924682438308549</c:v>
                </c:pt>
                <c:pt idx="268">
                  <c:v>16.551137431217729</c:v>
                </c:pt>
                <c:pt idx="269">
                  <c:v>17.207471844706937</c:v>
                </c:pt>
                <c:pt idx="270">
                  <c:v>17.889984277950663</c:v>
                </c:pt>
                <c:pt idx="271">
                  <c:v>18.595369645110065</c:v>
                </c:pt>
                <c:pt idx="272">
                  <c:v>19.320691254948684</c:v>
                </c:pt>
                <c:pt idx="273">
                  <c:v>20.063347596105245</c:v>
                </c:pt>
                <c:pt idx="274">
                  <c:v>20.82103752031572</c:v>
                </c:pt>
                <c:pt idx="275">
                  <c:v>21.591726165165436</c:v>
                </c:pt>
                <c:pt idx="276">
                  <c:v>22.373612980933444</c:v>
                </c:pt>
                <c:pt idx="277">
                  <c:v>23.165102556399169</c:v>
                </c:pt>
                <c:pt idx="278">
                  <c:v>23.964778501907961</c:v>
                </c:pt>
                <c:pt idx="279">
                  <c:v>24.771380378525439</c:v>
                </c:pt>
                <c:pt idx="280">
                  <c:v>25.583783507226283</c:v>
                </c:pt>
                <c:pt idx="281">
                  <c:v>26.400981412721908</c:v>
                </c:pt>
                <c:pt idx="282">
                  <c:v>27.222070625062425</c:v>
                </c:pt>
                <c:pt idx="283">
                  <c:v>28.046237559644297</c:v>
                </c:pt>
                <c:pt idx="284">
                  <c:v>28.872747210196142</c:v>
                </c:pt>
                <c:pt idx="285">
                  <c:v>29.700933411658351</c:v>
                </c:pt>
                <c:pt idx="286">
                  <c:v>30.53019045561733</c:v>
                </c:pt>
                <c:pt idx="287">
                  <c:v>31.359965867121531</c:v>
                </c:pt>
                <c:pt idx="288">
                  <c:v>32.189754176617996</c:v>
                </c:pt>
                <c:pt idx="289">
                  <c:v>33.019091543554964</c:v>
                </c:pt>
                <c:pt idx="290">
                  <c:v>33.847551108554065</c:v>
                </c:pt>
                <c:pt idx="291">
                  <c:v>34.674738968918398</c:v>
                </c:pt>
                <c:pt idx="292">
                  <c:v>35.500290687731564</c:v>
                </c:pt>
                <c:pt idx="293">
                  <c:v>36.323868260120562</c:v>
                </c:pt>
                <c:pt idx="294">
                  <c:v>37.14515747164063</c:v>
                </c:pt>
                <c:pt idx="295">
                  <c:v>37.963865593433262</c:v>
                </c:pt>
                <c:pt idx="296">
                  <c:v>38.779719367039341</c:v>
                </c:pt>
                <c:pt idx="297">
                  <c:v>39.592463238726879</c:v>
                </c:pt>
                <c:pt idx="298">
                  <c:v>40.401857809102189</c:v>
                </c:pt>
                <c:pt idx="299">
                  <c:v>41.207678468777353</c:v>
                </c:pt>
                <c:pt idx="300">
                  <c:v>42.009714195104522</c:v>
                </c:pt>
                <c:pt idx="301">
                  <c:v>42.807766488578849</c:v>
                </c:pt>
                <c:pt idx="302">
                  <c:v>43.601648430557475</c:v>
                </c:pt>
                <c:pt idx="303">
                  <c:v>44.391183846528115</c:v>
                </c:pt>
                <c:pt idx="304">
                  <c:v>45.176206561359535</c:v>
                </c:pt>
                <c:pt idx="305">
                  <c:v>45.956559734837803</c:v>
                </c:pt>
                <c:pt idx="306">
                  <c:v>46.732095267388566</c:v>
                </c:pt>
                <c:pt idx="307">
                  <c:v>47.502673267248795</c:v>
                </c:pt>
                <c:pt idx="308">
                  <c:v>48.268161571517687</c:v>
                </c:pt>
                <c:pt idx="309">
                  <c:v>49.028435314515974</c:v>
                </c:pt>
                <c:pt idx="310">
                  <c:v>49.783376537741042</c:v>
                </c:pt>
                <c:pt idx="311">
                  <c:v>50.532873836443429</c:v>
                </c:pt>
                <c:pt idx="312">
                  <c:v>51.276822038486003</c:v>
                </c:pt>
                <c:pt idx="313">
                  <c:v>52.01512191169622</c:v>
                </c:pt>
                <c:pt idx="314">
                  <c:v>52.747679896396477</c:v>
                </c:pt>
                <c:pt idx="315">
                  <c:v>53.474407860208636</c:v>
                </c:pt>
                <c:pt idx="316">
                  <c:v>54.195222872585845</c:v>
                </c:pt>
                <c:pt idx="317">
                  <c:v>54.910046996834694</c:v>
                </c:pt>
                <c:pt idx="318">
                  <c:v>55.618807097660884</c:v>
                </c:pt>
                <c:pt idx="319">
                  <c:v>56.321434662507372</c:v>
                </c:pt>
                <c:pt idx="320">
                  <c:v>57.017865635159374</c:v>
                </c:pt>
                <c:pt idx="321">
                  <c:v>57.70804026027097</c:v>
                </c:pt>
                <c:pt idx="322">
                  <c:v>58.39190293762578</c:v>
                </c:pt>
                <c:pt idx="323">
                  <c:v>59.069402085082658</c:v>
                </c:pt>
                <c:pt idx="324">
                  <c:v>59.740490009279107</c:v>
                </c:pt>
                <c:pt idx="325">
                  <c:v>60.405122783272283</c:v>
                </c:pt>
                <c:pt idx="326">
                  <c:v>61.063260130391896</c:v>
                </c:pt>
                <c:pt idx="327">
                  <c:v>61.714865313662592</c:v>
                </c:pt>
                <c:pt idx="328">
                  <c:v>62.359905030227118</c:v>
                </c:pt>
                <c:pt idx="329">
                  <c:v>62.998349310266605</c:v>
                </c:pt>
                <c:pt idx="330">
                  <c:v>63.630171419972008</c:v>
                </c:pt>
                <c:pt idx="331">
                  <c:v>64.255347768171845</c:v>
                </c:pt>
                <c:pt idx="332">
                  <c:v>64.873857816266565</c:v>
                </c:pt>
                <c:pt idx="333">
                  <c:v>65.48568399116057</c:v>
                </c:pt>
                <c:pt idx="334">
                  <c:v>66.090811600917917</c:v>
                </c:pt>
                <c:pt idx="335">
                  <c:v>66.689228752900291</c:v>
                </c:pt>
                <c:pt idx="336">
                  <c:v>67.280926274173453</c:v>
                </c:pt>
                <c:pt idx="337">
                  <c:v>67.281511102853869</c:v>
                </c:pt>
                <c:pt idx="338">
                  <c:v>67.282095924850481</c:v>
                </c:pt>
                <c:pt idx="339">
                  <c:v>67.282680740163244</c:v>
                </c:pt>
                <c:pt idx="340">
                  <c:v>67.283265548792201</c:v>
                </c:pt>
                <c:pt idx="341">
                  <c:v>67.28385035073731</c:v>
                </c:pt>
                <c:pt idx="342">
                  <c:v>67.284435145998572</c:v>
                </c:pt>
                <c:pt idx="343">
                  <c:v>67.285019934576027</c:v>
                </c:pt>
                <c:pt idx="344">
                  <c:v>67.285604716469621</c:v>
                </c:pt>
                <c:pt idx="345">
                  <c:v>67.286189491679366</c:v>
                </c:pt>
                <c:pt idx="346">
                  <c:v>67.286774260205263</c:v>
                </c:pt>
                <c:pt idx="347">
                  <c:v>67.287359022047312</c:v>
                </c:pt>
                <c:pt idx="348">
                  <c:v>67.287943777205484</c:v>
                </c:pt>
                <c:pt idx="349">
                  <c:v>67.288528525679808</c:v>
                </c:pt>
                <c:pt idx="350">
                  <c:v>67.28911326747027</c:v>
                </c:pt>
                <c:pt idx="351">
                  <c:v>67.289698002576841</c:v>
                </c:pt>
                <c:pt idx="352">
                  <c:v>67.290282730999564</c:v>
                </c:pt>
                <c:pt idx="353">
                  <c:v>67.290867452738411</c:v>
                </c:pt>
                <c:pt idx="354">
                  <c:v>67.291452167793352</c:v>
                </c:pt>
                <c:pt idx="355">
                  <c:v>67.292036876164417</c:v>
                </c:pt>
                <c:pt idx="356">
                  <c:v>67.292621577851605</c:v>
                </c:pt>
                <c:pt idx="357">
                  <c:v>67.293206272854874</c:v>
                </c:pt>
                <c:pt idx="358">
                  <c:v>67.293790961174267</c:v>
                </c:pt>
                <c:pt idx="359">
                  <c:v>67.294375642809754</c:v>
                </c:pt>
                <c:pt idx="360">
                  <c:v>67.294960317761323</c:v>
                </c:pt>
                <c:pt idx="361">
                  <c:v>67.295544986029</c:v>
                </c:pt>
                <c:pt idx="362">
                  <c:v>67.296129647612759</c:v>
                </c:pt>
                <c:pt idx="363">
                  <c:v>67.296714302512612</c:v>
                </c:pt>
                <c:pt idx="364">
                  <c:v>67.297298950728532</c:v>
                </c:pt>
                <c:pt idx="365">
                  <c:v>67.297883592260533</c:v>
                </c:pt>
                <c:pt idx="366">
                  <c:v>67.2984682271086</c:v>
                </c:pt>
                <c:pt idx="367">
                  <c:v>67.299052855272734</c:v>
                </c:pt>
                <c:pt idx="368">
                  <c:v>67.299637476752935</c:v>
                </c:pt>
                <c:pt idx="369">
                  <c:v>67.300222091549216</c:v>
                </c:pt>
                <c:pt idx="370">
                  <c:v>67.300806699661536</c:v>
                </c:pt>
                <c:pt idx="371">
                  <c:v>67.301391301089907</c:v>
                </c:pt>
                <c:pt idx="372">
                  <c:v>67.301975895834346</c:v>
                </c:pt>
                <c:pt idx="373">
                  <c:v>67.302560483894808</c:v>
                </c:pt>
                <c:pt idx="374">
                  <c:v>67.303145065271323</c:v>
                </c:pt>
                <c:pt idx="375">
                  <c:v>67.303729639963876</c:v>
                </c:pt>
                <c:pt idx="376">
                  <c:v>67.304314207972467</c:v>
                </c:pt>
                <c:pt idx="377">
                  <c:v>67.304898769297083</c:v>
                </c:pt>
                <c:pt idx="378">
                  <c:v>67.305483323937736</c:v>
                </c:pt>
                <c:pt idx="379">
                  <c:v>67.306067871894399</c:v>
                </c:pt>
                <c:pt idx="380">
                  <c:v>67.306652413167086</c:v>
                </c:pt>
                <c:pt idx="381">
                  <c:v>67.307236947755783</c:v>
                </c:pt>
                <c:pt idx="382">
                  <c:v>67.307821475660504</c:v>
                </c:pt>
                <c:pt idx="383">
                  <c:v>67.308405996881234</c:v>
                </c:pt>
                <c:pt idx="384">
                  <c:v>67.30899051141796</c:v>
                </c:pt>
                <c:pt idx="385">
                  <c:v>67.309575019270682</c:v>
                </c:pt>
                <c:pt idx="386">
                  <c:v>67.310159520439413</c:v>
                </c:pt>
                <c:pt idx="387">
                  <c:v>67.310744014924126</c:v>
                </c:pt>
                <c:pt idx="388">
                  <c:v>67.311328502724834</c:v>
                </c:pt>
                <c:pt idx="389">
                  <c:v>67.311912983841538</c:v>
                </c:pt>
                <c:pt idx="390">
                  <c:v>67.312497458274194</c:v>
                </c:pt>
                <c:pt idx="391">
                  <c:v>67.313081926022861</c:v>
                </c:pt>
                <c:pt idx="392">
                  <c:v>67.31366638708748</c:v>
                </c:pt>
                <c:pt idx="393">
                  <c:v>67.31425084146808</c:v>
                </c:pt>
                <c:pt idx="394">
                  <c:v>67.314835289164634</c:v>
                </c:pt>
                <c:pt idx="395">
                  <c:v>67.315419730177155</c:v>
                </c:pt>
                <c:pt idx="396">
                  <c:v>67.316004164505642</c:v>
                </c:pt>
                <c:pt idx="397">
                  <c:v>67.316588592150083</c:v>
                </c:pt>
                <c:pt idx="398">
                  <c:v>67.317173013110477</c:v>
                </c:pt>
                <c:pt idx="399">
                  <c:v>67.317757427386823</c:v>
                </c:pt>
                <c:pt idx="400">
                  <c:v>67.318341834979108</c:v>
                </c:pt>
                <c:pt idx="401">
                  <c:v>67.318926235887332</c:v>
                </c:pt>
                <c:pt idx="402">
                  <c:v>67.319510630111495</c:v>
                </c:pt>
                <c:pt idx="403">
                  <c:v>67.32009501765161</c:v>
                </c:pt>
                <c:pt idx="404">
                  <c:v>67.320679398507622</c:v>
                </c:pt>
                <c:pt idx="405">
                  <c:v>67.321263772679586</c:v>
                </c:pt>
                <c:pt idx="406">
                  <c:v>67.321848140167447</c:v>
                </c:pt>
                <c:pt idx="407">
                  <c:v>67.322432500971246</c:v>
                </c:pt>
                <c:pt idx="408">
                  <c:v>67.323016855090955</c:v>
                </c:pt>
                <c:pt idx="409">
                  <c:v>67.323601202526561</c:v>
                </c:pt>
                <c:pt idx="410">
                  <c:v>67.324185543278091</c:v>
                </c:pt>
                <c:pt idx="411">
                  <c:v>67.324769877345517</c:v>
                </c:pt>
                <c:pt idx="412">
                  <c:v>67.325354204728839</c:v>
                </c:pt>
                <c:pt idx="413">
                  <c:v>67.325938525428072</c:v>
                </c:pt>
                <c:pt idx="414">
                  <c:v>67.326522839443172</c:v>
                </c:pt>
                <c:pt idx="415">
                  <c:v>67.327107146774196</c:v>
                </c:pt>
                <c:pt idx="416">
                  <c:v>67.327691447421088</c:v>
                </c:pt>
                <c:pt idx="417">
                  <c:v>67.328275741383862</c:v>
                </c:pt>
                <c:pt idx="418">
                  <c:v>67.328860028662504</c:v>
                </c:pt>
                <c:pt idx="419">
                  <c:v>67.329444309257028</c:v>
                </c:pt>
                <c:pt idx="420">
                  <c:v>67.330028583167433</c:v>
                </c:pt>
                <c:pt idx="421">
                  <c:v>67.330612850393692</c:v>
                </c:pt>
                <c:pt idx="422">
                  <c:v>67.331197110935832</c:v>
                </c:pt>
                <c:pt idx="423">
                  <c:v>67.331781364793812</c:v>
                </c:pt>
                <c:pt idx="424">
                  <c:v>67.332365611967646</c:v>
                </c:pt>
                <c:pt idx="425">
                  <c:v>67.332949852457332</c:v>
                </c:pt>
                <c:pt idx="426">
                  <c:v>67.333534086262887</c:v>
                </c:pt>
                <c:pt idx="427">
                  <c:v>67.33411831338428</c:v>
                </c:pt>
                <c:pt idx="428">
                  <c:v>67.334702533821513</c:v>
                </c:pt>
                <c:pt idx="429">
                  <c:v>67.335286747574571</c:v>
                </c:pt>
                <c:pt idx="430">
                  <c:v>67.335870954643482</c:v>
                </c:pt>
                <c:pt idx="431">
                  <c:v>67.336455155028219</c:v>
                </c:pt>
                <c:pt idx="432">
                  <c:v>67.337039348728766</c:v>
                </c:pt>
                <c:pt idx="433">
                  <c:v>67.337623535745152</c:v>
                </c:pt>
                <c:pt idx="434">
                  <c:v>67.338207716077349</c:v>
                </c:pt>
                <c:pt idx="435">
                  <c:v>67.338791889725371</c:v>
                </c:pt>
                <c:pt idx="436">
                  <c:v>67.339376056689204</c:v>
                </c:pt>
                <c:pt idx="437">
                  <c:v>67.339960216968834</c:v>
                </c:pt>
                <c:pt idx="438">
                  <c:v>67.340544370564288</c:v>
                </c:pt>
                <c:pt idx="439">
                  <c:v>67.341128517475539</c:v>
                </c:pt>
                <c:pt idx="440">
                  <c:v>67.341712657702573</c:v>
                </c:pt>
                <c:pt idx="441">
                  <c:v>67.342296791245417</c:v>
                </c:pt>
                <c:pt idx="442">
                  <c:v>67.342880918104058</c:v>
                </c:pt>
                <c:pt idx="443">
                  <c:v>67.343465038278467</c:v>
                </c:pt>
                <c:pt idx="444">
                  <c:v>67.344049151768672</c:v>
                </c:pt>
                <c:pt idx="445">
                  <c:v>67.344633258574646</c:v>
                </c:pt>
                <c:pt idx="446">
                  <c:v>67.345217358696402</c:v>
                </c:pt>
                <c:pt idx="447">
                  <c:v>67.345801452133941</c:v>
                </c:pt>
                <c:pt idx="448">
                  <c:v>67.346385538887233</c:v>
                </c:pt>
                <c:pt idx="449">
                  <c:v>67.346969618956294</c:v>
                </c:pt>
                <c:pt idx="450">
                  <c:v>67.347553692341108</c:v>
                </c:pt>
                <c:pt idx="451">
                  <c:v>67.348137759041691</c:v>
                </c:pt>
                <c:pt idx="452">
                  <c:v>67.348721819058014</c:v>
                </c:pt>
                <c:pt idx="453">
                  <c:v>67.349305872390104</c:v>
                </c:pt>
                <c:pt idx="454">
                  <c:v>67.349889919037921</c:v>
                </c:pt>
                <c:pt idx="455">
                  <c:v>67.350473959001491</c:v>
                </c:pt>
                <c:pt idx="456">
                  <c:v>67.351057992280801</c:v>
                </c:pt>
                <c:pt idx="457">
                  <c:v>67.35164201887585</c:v>
                </c:pt>
                <c:pt idx="458">
                  <c:v>67.35222603878664</c:v>
                </c:pt>
                <c:pt idx="459">
                  <c:v>67.352810052013155</c:v>
                </c:pt>
                <c:pt idx="460">
                  <c:v>67.353394058555381</c:v>
                </c:pt>
                <c:pt idx="461">
                  <c:v>67.353978058413347</c:v>
                </c:pt>
                <c:pt idx="462">
                  <c:v>67.354562051587024</c:v>
                </c:pt>
                <c:pt idx="463">
                  <c:v>67.355146038076413</c:v>
                </c:pt>
                <c:pt idx="464">
                  <c:v>67.355730017881527</c:v>
                </c:pt>
                <c:pt idx="465">
                  <c:v>67.356313991002338</c:v>
                </c:pt>
                <c:pt idx="466">
                  <c:v>67.356897957438861</c:v>
                </c:pt>
                <c:pt idx="467">
                  <c:v>67.357481917191066</c:v>
                </c:pt>
                <c:pt idx="468">
                  <c:v>67.358065870258983</c:v>
                </c:pt>
                <c:pt idx="469">
                  <c:v>67.358649816642583</c:v>
                </c:pt>
                <c:pt idx="470">
                  <c:v>67.359233756341879</c:v>
                </c:pt>
                <c:pt idx="471">
                  <c:v>67.359817689356873</c:v>
                </c:pt>
                <c:pt idx="472">
                  <c:v>67.360401615687536</c:v>
                </c:pt>
                <c:pt idx="473">
                  <c:v>67.360985535333882</c:v>
                </c:pt>
                <c:pt idx="474">
                  <c:v>67.36156944829591</c:v>
                </c:pt>
                <c:pt idx="475">
                  <c:v>67.362153354573607</c:v>
                </c:pt>
                <c:pt idx="476">
                  <c:v>67.362737254166973</c:v>
                </c:pt>
                <c:pt idx="477">
                  <c:v>67.363321147075993</c:v>
                </c:pt>
                <c:pt idx="478">
                  <c:v>67.363905033300682</c:v>
                </c:pt>
                <c:pt idx="479">
                  <c:v>67.36448891284104</c:v>
                </c:pt>
                <c:pt idx="480">
                  <c:v>67.365072785697038</c:v>
                </c:pt>
                <c:pt idx="481">
                  <c:v>67.36565665186869</c:v>
                </c:pt>
                <c:pt idx="482">
                  <c:v>67.366240511355997</c:v>
                </c:pt>
                <c:pt idx="483">
                  <c:v>67.366824364158944</c:v>
                </c:pt>
                <c:pt idx="484">
                  <c:v>67.367408210277532</c:v>
                </c:pt>
                <c:pt idx="485">
                  <c:v>67.367992049711759</c:v>
                </c:pt>
                <c:pt idx="486">
                  <c:v>67.368575882461613</c:v>
                </c:pt>
                <c:pt idx="487">
                  <c:v>67.369159708527107</c:v>
                </c:pt>
                <c:pt idx="488">
                  <c:v>67.369743527908227</c:v>
                </c:pt>
                <c:pt idx="489">
                  <c:v>67.370327340604973</c:v>
                </c:pt>
                <c:pt idx="490">
                  <c:v>67.370911146617331</c:v>
                </c:pt>
                <c:pt idx="491">
                  <c:v>67.371494945945315</c:v>
                </c:pt>
                <c:pt idx="492">
                  <c:v>67.372078738588911</c:v>
                </c:pt>
                <c:pt idx="493">
                  <c:v>67.372662524548105</c:v>
                </c:pt>
                <c:pt idx="494">
                  <c:v>67.37324630382291</c:v>
                </c:pt>
                <c:pt idx="495">
                  <c:v>67.373830076413313</c:v>
                </c:pt>
                <c:pt idx="496">
                  <c:v>67.374413842319328</c:v>
                </c:pt>
                <c:pt idx="497">
                  <c:v>67.374997601540926</c:v>
                </c:pt>
                <c:pt idx="498">
                  <c:v>67.375581354078108</c:v>
                </c:pt>
                <c:pt idx="499">
                  <c:v>67.376165099930901</c:v>
                </c:pt>
                <c:pt idx="500">
                  <c:v>67.376748839099264</c:v>
                </c:pt>
                <c:pt idx="501">
                  <c:v>67.37733257158321</c:v>
                </c:pt>
                <c:pt idx="502">
                  <c:v>67.37791629738274</c:v>
                </c:pt>
                <c:pt idx="503">
                  <c:v>67.378500016497853</c:v>
                </c:pt>
                <c:pt idx="504">
                  <c:v>67.379083728928507</c:v>
                </c:pt>
                <c:pt idx="505">
                  <c:v>67.379667434674758</c:v>
                </c:pt>
                <c:pt idx="506">
                  <c:v>67.38025113373655</c:v>
                </c:pt>
                <c:pt idx="507">
                  <c:v>67.380834826113926</c:v>
                </c:pt>
                <c:pt idx="508">
                  <c:v>67.381418511806856</c:v>
                </c:pt>
                <c:pt idx="509">
                  <c:v>67.382002190815328</c:v>
                </c:pt>
                <c:pt idx="510">
                  <c:v>67.382585863139369</c:v>
                </c:pt>
                <c:pt idx="511">
                  <c:v>67.383169528778936</c:v>
                </c:pt>
                <c:pt idx="512">
                  <c:v>67.383753187734044</c:v>
                </c:pt>
                <c:pt idx="513">
                  <c:v>67.384336840004721</c:v>
                </c:pt>
                <c:pt idx="514">
                  <c:v>67.384920485590911</c:v>
                </c:pt>
                <c:pt idx="515">
                  <c:v>67.385504124492641</c:v>
                </c:pt>
                <c:pt idx="516">
                  <c:v>67.386087756709884</c:v>
                </c:pt>
                <c:pt idx="517">
                  <c:v>67.386671382242668</c:v>
                </c:pt>
                <c:pt idx="518">
                  <c:v>67.387255001090992</c:v>
                </c:pt>
                <c:pt idx="519">
                  <c:v>67.3878386132548</c:v>
                </c:pt>
                <c:pt idx="520">
                  <c:v>67.388422218734135</c:v>
                </c:pt>
                <c:pt idx="521">
                  <c:v>67.389005817528997</c:v>
                </c:pt>
                <c:pt idx="522">
                  <c:v>67.389589409639356</c:v>
                </c:pt>
                <c:pt idx="523">
                  <c:v>67.390172995065214</c:v>
                </c:pt>
                <c:pt idx="524">
                  <c:v>67.390756573806584</c:v>
                </c:pt>
                <c:pt idx="525">
                  <c:v>67.391340145863467</c:v>
                </c:pt>
                <c:pt idx="526">
                  <c:v>67.391923711235833</c:v>
                </c:pt>
                <c:pt idx="527">
                  <c:v>67.392507269923698</c:v>
                </c:pt>
                <c:pt idx="528">
                  <c:v>67.393090821927046</c:v>
                </c:pt>
                <c:pt idx="529">
                  <c:v>67.393674367245865</c:v>
                </c:pt>
                <c:pt idx="530">
                  <c:v>67.394257905880181</c:v>
                </c:pt>
                <c:pt idx="531">
                  <c:v>67.394841437829967</c:v>
                </c:pt>
                <c:pt idx="532">
                  <c:v>67.395424963095238</c:v>
                </c:pt>
                <c:pt idx="533">
                  <c:v>67.396008481675977</c:v>
                </c:pt>
                <c:pt idx="534">
                  <c:v>67.396591993572173</c:v>
                </c:pt>
                <c:pt idx="535">
                  <c:v>67.397175498783852</c:v>
                </c:pt>
                <c:pt idx="536">
                  <c:v>67.397758997310987</c:v>
                </c:pt>
                <c:pt idx="537">
                  <c:v>67.398342489153578</c:v>
                </c:pt>
                <c:pt idx="538">
                  <c:v>67.398925974311624</c:v>
                </c:pt>
                <c:pt idx="539">
                  <c:v>67.399509452785111</c:v>
                </c:pt>
                <c:pt idx="540">
                  <c:v>67.400092924574054</c:v>
                </c:pt>
                <c:pt idx="541">
                  <c:v>67.400676389678452</c:v>
                </c:pt>
                <c:pt idx="542">
                  <c:v>67.401259848098292</c:v>
                </c:pt>
                <c:pt idx="543">
                  <c:v>67.401843299833558</c:v>
                </c:pt>
                <c:pt idx="544">
                  <c:v>67.402426744884252</c:v>
                </c:pt>
                <c:pt idx="545">
                  <c:v>67.403010183250402</c:v>
                </c:pt>
                <c:pt idx="546">
                  <c:v>67.403593614931964</c:v>
                </c:pt>
                <c:pt idx="547">
                  <c:v>67.404177039928953</c:v>
                </c:pt>
                <c:pt idx="548">
                  <c:v>67.404760458241356</c:v>
                </c:pt>
                <c:pt idx="549">
                  <c:v>67.405343869869199</c:v>
                </c:pt>
                <c:pt idx="550">
                  <c:v>67.405927274812427</c:v>
                </c:pt>
                <c:pt idx="551">
                  <c:v>67.406510673071082</c:v>
                </c:pt>
                <c:pt idx="552">
                  <c:v>67.40709406464515</c:v>
                </c:pt>
                <c:pt idx="553">
                  <c:v>67.407677449534617</c:v>
                </c:pt>
                <c:pt idx="554">
                  <c:v>67.408260827739497</c:v>
                </c:pt>
                <c:pt idx="555">
                  <c:v>67.408844199259761</c:v>
                </c:pt>
                <c:pt idx="556">
                  <c:v>67.409427564095424</c:v>
                </c:pt>
                <c:pt idx="557">
                  <c:v>67.410010922246485</c:v>
                </c:pt>
                <c:pt idx="558">
                  <c:v>67.410594273712931</c:v>
                </c:pt>
                <c:pt idx="559">
                  <c:v>67.411177618494747</c:v>
                </c:pt>
                <c:pt idx="560">
                  <c:v>67.411760956591948</c:v>
                </c:pt>
                <c:pt idx="561">
                  <c:v>67.412344288004533</c:v>
                </c:pt>
                <c:pt idx="562">
                  <c:v>67.412927612732489</c:v>
                </c:pt>
                <c:pt idx="563">
                  <c:v>67.413510930775814</c:v>
                </c:pt>
                <c:pt idx="564">
                  <c:v>67.41409424213451</c:v>
                </c:pt>
                <c:pt idx="565">
                  <c:v>67.414677546808576</c:v>
                </c:pt>
                <c:pt idx="566">
                  <c:v>67.415260844797999</c:v>
                </c:pt>
                <c:pt idx="567">
                  <c:v>67.415844136102777</c:v>
                </c:pt>
                <c:pt idx="568">
                  <c:v>67.416427420722911</c:v>
                </c:pt>
                <c:pt idx="569">
                  <c:v>67.417010698658387</c:v>
                </c:pt>
                <c:pt idx="570">
                  <c:v>67.417593969909234</c:v>
                </c:pt>
                <c:pt idx="571">
                  <c:v>67.418177234475408</c:v>
                </c:pt>
                <c:pt idx="572">
                  <c:v>67.41876049235691</c:v>
                </c:pt>
                <c:pt idx="573">
                  <c:v>67.419343743553782</c:v>
                </c:pt>
                <c:pt idx="574">
                  <c:v>67.419926988065967</c:v>
                </c:pt>
                <c:pt idx="575">
                  <c:v>67.42051022589348</c:v>
                </c:pt>
                <c:pt idx="576">
                  <c:v>67.421093457036335</c:v>
                </c:pt>
                <c:pt idx="577">
                  <c:v>67.421676681494503</c:v>
                </c:pt>
                <c:pt idx="578">
                  <c:v>67.422259899267999</c:v>
                </c:pt>
                <c:pt idx="579">
                  <c:v>67.422843110356823</c:v>
                </c:pt>
                <c:pt idx="580">
                  <c:v>67.42342631476096</c:v>
                </c:pt>
                <c:pt idx="581">
                  <c:v>67.424009512480396</c:v>
                </c:pt>
                <c:pt idx="582">
                  <c:v>67.424592703515145</c:v>
                </c:pt>
                <c:pt idx="583">
                  <c:v>67.425175887865223</c:v>
                </c:pt>
                <c:pt idx="584">
                  <c:v>67.425759065530585</c:v>
                </c:pt>
                <c:pt idx="585">
                  <c:v>67.426342236511232</c:v>
                </c:pt>
                <c:pt idx="586">
                  <c:v>67.426925400807193</c:v>
                </c:pt>
                <c:pt idx="587">
                  <c:v>67.427508558418438</c:v>
                </c:pt>
                <c:pt idx="588">
                  <c:v>67.428091709344983</c:v>
                </c:pt>
                <c:pt idx="589">
                  <c:v>67.428674853586799</c:v>
                </c:pt>
                <c:pt idx="590">
                  <c:v>67.429257991143899</c:v>
                </c:pt>
                <c:pt idx="591">
                  <c:v>67.429841122016285</c:v>
                </c:pt>
                <c:pt idx="592">
                  <c:v>67.430424246203941</c:v>
                </c:pt>
                <c:pt idx="593">
                  <c:v>67.431007363706868</c:v>
                </c:pt>
                <c:pt idx="594">
                  <c:v>67.43159047452508</c:v>
                </c:pt>
                <c:pt idx="595">
                  <c:v>67.432173578658549</c:v>
                </c:pt>
                <c:pt idx="596">
                  <c:v>67.432756676107275</c:v>
                </c:pt>
                <c:pt idx="597">
                  <c:v>67.433339766871285</c:v>
                </c:pt>
                <c:pt idx="598">
                  <c:v>67.433922850950523</c:v>
                </c:pt>
                <c:pt idx="599">
                  <c:v>67.434505928345018</c:v>
                </c:pt>
                <c:pt idx="600">
                  <c:v>67.435088999054784</c:v>
                </c:pt>
                <c:pt idx="601">
                  <c:v>67.435672063079792</c:v>
                </c:pt>
                <c:pt idx="602">
                  <c:v>67.436255120420029</c:v>
                </c:pt>
                <c:pt idx="603">
                  <c:v>67.436838171075522</c:v>
                </c:pt>
                <c:pt idx="604">
                  <c:v>67.437421215046243</c:v>
                </c:pt>
                <c:pt idx="605">
                  <c:v>67.438004252332192</c:v>
                </c:pt>
                <c:pt idx="606">
                  <c:v>67.438587282933383</c:v>
                </c:pt>
                <c:pt idx="607">
                  <c:v>67.439170306849803</c:v>
                </c:pt>
                <c:pt idx="608">
                  <c:v>67.439753324081451</c:v>
                </c:pt>
                <c:pt idx="609">
                  <c:v>67.440336334628313</c:v>
                </c:pt>
                <c:pt idx="610">
                  <c:v>67.440919338490403</c:v>
                </c:pt>
                <c:pt idx="611">
                  <c:v>67.441502335667693</c:v>
                </c:pt>
                <c:pt idx="612">
                  <c:v>67.442085326160196</c:v>
                </c:pt>
                <c:pt idx="613">
                  <c:v>67.442668309967914</c:v>
                </c:pt>
                <c:pt idx="614">
                  <c:v>67.443251287090845</c:v>
                </c:pt>
                <c:pt idx="615">
                  <c:v>67.443834257528962</c:v>
                </c:pt>
                <c:pt idx="616">
                  <c:v>67.444417221282279</c:v>
                </c:pt>
                <c:pt idx="617">
                  <c:v>67.44500017835081</c:v>
                </c:pt>
                <c:pt idx="618">
                  <c:v>67.445583128734512</c:v>
                </c:pt>
                <c:pt idx="619">
                  <c:v>67.446166072433428</c:v>
                </c:pt>
                <c:pt idx="620">
                  <c:v>67.446749009447501</c:v>
                </c:pt>
                <c:pt idx="621">
                  <c:v>67.447331939776788</c:v>
                </c:pt>
                <c:pt idx="622">
                  <c:v>67.447914863421232</c:v>
                </c:pt>
                <c:pt idx="623">
                  <c:v>67.448497780380862</c:v>
                </c:pt>
                <c:pt idx="624">
                  <c:v>67.449080690655663</c:v>
                </c:pt>
                <c:pt idx="625">
                  <c:v>67.449663594245635</c:v>
                </c:pt>
                <c:pt idx="626">
                  <c:v>67.450246491150779</c:v>
                </c:pt>
                <c:pt idx="627">
                  <c:v>67.450829381371065</c:v>
                </c:pt>
                <c:pt idx="628">
                  <c:v>67.451412264906537</c:v>
                </c:pt>
                <c:pt idx="629">
                  <c:v>67.451995141757166</c:v>
                </c:pt>
                <c:pt idx="630">
                  <c:v>67.452578011922938</c:v>
                </c:pt>
                <c:pt idx="631">
                  <c:v>67.453160875403881</c:v>
                </c:pt>
                <c:pt idx="632">
                  <c:v>67.453743732199953</c:v>
                </c:pt>
                <c:pt idx="633">
                  <c:v>67.454326582311182</c:v>
                </c:pt>
                <c:pt idx="634">
                  <c:v>67.45490942573754</c:v>
                </c:pt>
                <c:pt idx="635">
                  <c:v>67.455492262479041</c:v>
                </c:pt>
                <c:pt idx="636">
                  <c:v>67.45607509253567</c:v>
                </c:pt>
                <c:pt idx="637">
                  <c:v>67.456657915907456</c:v>
                </c:pt>
                <c:pt idx="638">
                  <c:v>67.457240732594371</c:v>
                </c:pt>
                <c:pt idx="639">
                  <c:v>67.457823542596401</c:v>
                </c:pt>
                <c:pt idx="640">
                  <c:v>67.458406345913545</c:v>
                </c:pt>
                <c:pt idx="641">
                  <c:v>67.458989142545818</c:v>
                </c:pt>
                <c:pt idx="642">
                  <c:v>67.459571932493205</c:v>
                </c:pt>
                <c:pt idx="643">
                  <c:v>67.460154715755706</c:v>
                </c:pt>
                <c:pt idx="644">
                  <c:v>67.460737492333323</c:v>
                </c:pt>
                <c:pt idx="645">
                  <c:v>67.461320262226039</c:v>
                </c:pt>
                <c:pt idx="646">
                  <c:v>67.46190302543387</c:v>
                </c:pt>
                <c:pt idx="647">
                  <c:v>67.462485781956815</c:v>
                </c:pt>
                <c:pt idx="648">
                  <c:v>67.463068531794832</c:v>
                </c:pt>
                <c:pt idx="649">
                  <c:v>67.463651274947964</c:v>
                </c:pt>
                <c:pt idx="650">
                  <c:v>67.464234011416181</c:v>
                </c:pt>
                <c:pt idx="651">
                  <c:v>67.464816741199485</c:v>
                </c:pt>
                <c:pt idx="652">
                  <c:v>67.465399464297874</c:v>
                </c:pt>
                <c:pt idx="653">
                  <c:v>67.465982180711336</c:v>
                </c:pt>
                <c:pt idx="654">
                  <c:v>67.466564890439912</c:v>
                </c:pt>
                <c:pt idx="655">
                  <c:v>67.467147593483531</c:v>
                </c:pt>
                <c:pt idx="656">
                  <c:v>67.467730289842237</c:v>
                </c:pt>
                <c:pt idx="657">
                  <c:v>67.468312979516</c:v>
                </c:pt>
                <c:pt idx="658">
                  <c:v>67.468895662504849</c:v>
                </c:pt>
                <c:pt idx="659">
                  <c:v>67.469478338808756</c:v>
                </c:pt>
                <c:pt idx="660">
                  <c:v>67.47006100842772</c:v>
                </c:pt>
                <c:pt idx="661">
                  <c:v>67.470643671361742</c:v>
                </c:pt>
                <c:pt idx="662">
                  <c:v>67.471226327610836</c:v>
                </c:pt>
                <c:pt idx="663">
                  <c:v>67.471808977174959</c:v>
                </c:pt>
                <c:pt idx="664">
                  <c:v>67.47239162005414</c:v>
                </c:pt>
                <c:pt idx="665">
                  <c:v>67.472974256248378</c:v>
                </c:pt>
                <c:pt idx="666">
                  <c:v>67.47355688575766</c:v>
                </c:pt>
                <c:pt idx="667">
                  <c:v>67.47413950858197</c:v>
                </c:pt>
                <c:pt idx="668">
                  <c:v>67.47472212472131</c:v>
                </c:pt>
                <c:pt idx="669">
                  <c:v>67.475304734175694</c:v>
                </c:pt>
                <c:pt idx="670">
                  <c:v>67.475887336945107</c:v>
                </c:pt>
                <c:pt idx="671">
                  <c:v>67.476469933029549</c:v>
                </c:pt>
                <c:pt idx="672">
                  <c:v>67.477052522429034</c:v>
                </c:pt>
                <c:pt idx="673">
                  <c:v>67.477635105143506</c:v>
                </c:pt>
                <c:pt idx="674">
                  <c:v>67.478217681173021</c:v>
                </c:pt>
                <c:pt idx="675">
                  <c:v>67.478800250517551</c:v>
                </c:pt>
                <c:pt idx="676">
                  <c:v>67.479382813177082</c:v>
                </c:pt>
                <c:pt idx="677">
                  <c:v>67.479965369151628</c:v>
                </c:pt>
                <c:pt idx="678">
                  <c:v>67.480547918441161</c:v>
                </c:pt>
                <c:pt idx="679">
                  <c:v>67.481130461045723</c:v>
                </c:pt>
                <c:pt idx="680">
                  <c:v>67.481712996965271</c:v>
                </c:pt>
                <c:pt idx="681">
                  <c:v>67.48229552619982</c:v>
                </c:pt>
                <c:pt idx="682">
                  <c:v>67.48287804874937</c:v>
                </c:pt>
                <c:pt idx="683">
                  <c:v>67.483460564613907</c:v>
                </c:pt>
                <c:pt idx="684">
                  <c:v>67.484043073793444</c:v>
                </c:pt>
                <c:pt idx="685">
                  <c:v>67.484625576287954</c:v>
                </c:pt>
                <c:pt idx="686">
                  <c:v>67.48520807209745</c:v>
                </c:pt>
                <c:pt idx="687">
                  <c:v>67.485790561221918</c:v>
                </c:pt>
                <c:pt idx="688">
                  <c:v>67.486373043661374</c:v>
                </c:pt>
                <c:pt idx="689">
                  <c:v>67.486955519415787</c:v>
                </c:pt>
                <c:pt idx="690">
                  <c:v>67.487537988485187</c:v>
                </c:pt>
                <c:pt idx="691">
                  <c:v>67.488120450869545</c:v>
                </c:pt>
                <c:pt idx="692">
                  <c:v>67.488702906568861</c:v>
                </c:pt>
                <c:pt idx="693">
                  <c:v>67.489285355583149</c:v>
                </c:pt>
                <c:pt idx="694">
                  <c:v>67.489867797912396</c:v>
                </c:pt>
                <c:pt idx="695">
                  <c:v>67.490450233556601</c:v>
                </c:pt>
                <c:pt idx="696">
                  <c:v>67.491032662515764</c:v>
                </c:pt>
                <c:pt idx="697">
                  <c:v>67.491615084789856</c:v>
                </c:pt>
                <c:pt idx="698">
                  <c:v>67.492197500378907</c:v>
                </c:pt>
                <c:pt idx="699">
                  <c:v>67.492779909282916</c:v>
                </c:pt>
                <c:pt idx="700">
                  <c:v>67.493362311501826</c:v>
                </c:pt>
                <c:pt idx="701">
                  <c:v>67.493944707035695</c:v>
                </c:pt>
                <c:pt idx="702">
                  <c:v>67.494527095884507</c:v>
                </c:pt>
                <c:pt idx="703">
                  <c:v>67.495109478048249</c:v>
                </c:pt>
                <c:pt idx="704">
                  <c:v>67.495691853526907</c:v>
                </c:pt>
                <c:pt idx="705">
                  <c:v>67.496274222320494</c:v>
                </c:pt>
                <c:pt idx="706">
                  <c:v>67.496856584429025</c:v>
                </c:pt>
                <c:pt idx="707">
                  <c:v>67.497438939852458</c:v>
                </c:pt>
                <c:pt idx="708">
                  <c:v>67.49802128859082</c:v>
                </c:pt>
                <c:pt idx="709">
                  <c:v>67.498603630644084</c:v>
                </c:pt>
                <c:pt idx="710">
                  <c:v>67.499185966012249</c:v>
                </c:pt>
                <c:pt idx="711">
                  <c:v>67.499768294695343</c:v>
                </c:pt>
                <c:pt idx="712">
                  <c:v>67.500350616693311</c:v>
                </c:pt>
                <c:pt idx="713">
                  <c:v>67.500932932006208</c:v>
                </c:pt>
                <c:pt idx="714">
                  <c:v>67.501515240633992</c:v>
                </c:pt>
                <c:pt idx="715">
                  <c:v>67.502097542576678</c:v>
                </c:pt>
                <c:pt idx="716">
                  <c:v>67.502679837834265</c:v>
                </c:pt>
                <c:pt idx="717">
                  <c:v>67.503262126406739</c:v>
                </c:pt>
                <c:pt idx="718">
                  <c:v>67.503844408294086</c:v>
                </c:pt>
                <c:pt idx="719">
                  <c:v>67.504426683496334</c:v>
                </c:pt>
                <c:pt idx="720">
                  <c:v>67.505008952013455</c:v>
                </c:pt>
                <c:pt idx="721">
                  <c:v>67.505591213845449</c:v>
                </c:pt>
                <c:pt idx="722">
                  <c:v>67.50617346899233</c:v>
                </c:pt>
                <c:pt idx="723">
                  <c:v>67.506755717454084</c:v>
                </c:pt>
                <c:pt idx="724">
                  <c:v>67.507337959230711</c:v>
                </c:pt>
                <c:pt idx="725">
                  <c:v>67.507920194322182</c:v>
                </c:pt>
                <c:pt idx="726">
                  <c:v>67.508502422728526</c:v>
                </c:pt>
                <c:pt idx="727">
                  <c:v>67.509084644449743</c:v>
                </c:pt>
                <c:pt idx="728">
                  <c:v>67.509666859485804</c:v>
                </c:pt>
                <c:pt idx="729">
                  <c:v>67.510249067836725</c:v>
                </c:pt>
                <c:pt idx="730">
                  <c:v>67.510831269502503</c:v>
                </c:pt>
                <c:pt idx="731">
                  <c:v>67.511413464483127</c:v>
                </c:pt>
                <c:pt idx="732">
                  <c:v>67.511995652778609</c:v>
                </c:pt>
                <c:pt idx="733">
                  <c:v>67.512577834388921</c:v>
                </c:pt>
                <c:pt idx="734">
                  <c:v>67.513160009314078</c:v>
                </c:pt>
                <c:pt idx="735">
                  <c:v>67.513742177554064</c:v>
                </c:pt>
                <c:pt idx="736">
                  <c:v>67.514324339108896</c:v>
                </c:pt>
                <c:pt idx="737">
                  <c:v>67.514906493978557</c:v>
                </c:pt>
                <c:pt idx="738">
                  <c:v>67.515488642163049</c:v>
                </c:pt>
                <c:pt idx="739">
                  <c:v>67.516070783662371</c:v>
                </c:pt>
                <c:pt idx="740">
                  <c:v>67.516652918476495</c:v>
                </c:pt>
                <c:pt idx="741">
                  <c:v>67.517235046605464</c:v>
                </c:pt>
                <c:pt idx="742">
                  <c:v>67.517817168049248</c:v>
                </c:pt>
                <c:pt idx="743">
                  <c:v>67.518399282807849</c:v>
                </c:pt>
                <c:pt idx="744">
                  <c:v>67.518981390881237</c:v>
                </c:pt>
                <c:pt idx="745">
                  <c:v>67.519563492269455</c:v>
                </c:pt>
                <c:pt idx="746">
                  <c:v>67.520145586972475</c:v>
                </c:pt>
                <c:pt idx="747">
                  <c:v>67.520727674990312</c:v>
                </c:pt>
                <c:pt idx="748">
                  <c:v>67.521309756322935</c:v>
                </c:pt>
                <c:pt idx="749">
                  <c:v>67.521891830970361</c:v>
                </c:pt>
                <c:pt idx="750">
                  <c:v>67.522473898932574</c:v>
                </c:pt>
                <c:pt idx="751">
                  <c:v>67.523055960209589</c:v>
                </c:pt>
                <c:pt idx="752">
                  <c:v>67.523638014801392</c:v>
                </c:pt>
                <c:pt idx="753">
                  <c:v>67.524220062707982</c:v>
                </c:pt>
                <c:pt idx="754">
                  <c:v>67.524802103929346</c:v>
                </c:pt>
                <c:pt idx="755">
                  <c:v>67.525384138465498</c:v>
                </c:pt>
                <c:pt idx="756">
                  <c:v>67.525966166316422</c:v>
                </c:pt>
                <c:pt idx="757">
                  <c:v>67.526548187482121</c:v>
                </c:pt>
                <c:pt idx="758">
                  <c:v>67.527130201962606</c:v>
                </c:pt>
                <c:pt idx="759">
                  <c:v>67.527712209757851</c:v>
                </c:pt>
                <c:pt idx="760">
                  <c:v>67.528294210867855</c:v>
                </c:pt>
                <c:pt idx="761">
                  <c:v>67.528876205292633</c:v>
                </c:pt>
                <c:pt idx="762">
                  <c:v>67.52945819303217</c:v>
                </c:pt>
                <c:pt idx="763">
                  <c:v>67.530040174086466</c:v>
                </c:pt>
                <c:pt idx="764">
                  <c:v>67.530622148455507</c:v>
                </c:pt>
                <c:pt idx="765">
                  <c:v>67.531204116139307</c:v>
                </c:pt>
                <c:pt idx="766">
                  <c:v>67.531786077137852</c:v>
                </c:pt>
                <c:pt idx="767">
                  <c:v>67.532368031451156</c:v>
                </c:pt>
                <c:pt idx="768">
                  <c:v>67.532949979079191</c:v>
                </c:pt>
                <c:pt idx="769">
                  <c:v>67.533531920021971</c:v>
                </c:pt>
                <c:pt idx="770">
                  <c:v>67.534113854279497</c:v>
                </c:pt>
                <c:pt idx="771">
                  <c:v>67.534695781851752</c:v>
                </c:pt>
                <c:pt idx="772">
                  <c:v>67.535277702738753</c:v>
                </c:pt>
                <c:pt idx="773">
                  <c:v>67.535859616940456</c:v>
                </c:pt>
                <c:pt idx="774">
                  <c:v>67.536441524456919</c:v>
                </c:pt>
                <c:pt idx="775">
                  <c:v>67.537023425288083</c:v>
                </c:pt>
                <c:pt idx="776">
                  <c:v>67.537605319433979</c:v>
                </c:pt>
                <c:pt idx="777">
                  <c:v>67.538187206894591</c:v>
                </c:pt>
                <c:pt idx="778">
                  <c:v>67.53876908766992</c:v>
                </c:pt>
                <c:pt idx="779">
                  <c:v>67.539350961759951</c:v>
                </c:pt>
                <c:pt idx="780">
                  <c:v>67.539932829164712</c:v>
                </c:pt>
                <c:pt idx="781">
                  <c:v>67.540514689884176</c:v>
                </c:pt>
                <c:pt idx="782">
                  <c:v>67.541096543918329</c:v>
                </c:pt>
                <c:pt idx="783">
                  <c:v>67.541678391267197</c:v>
                </c:pt>
                <c:pt idx="784">
                  <c:v>67.542260231930754</c:v>
                </c:pt>
                <c:pt idx="785">
                  <c:v>67.542842065909014</c:v>
                </c:pt>
                <c:pt idx="786">
                  <c:v>67.543423893201975</c:v>
                </c:pt>
                <c:pt idx="787">
                  <c:v>67.544005713809625</c:v>
                </c:pt>
                <c:pt idx="788">
                  <c:v>67.544587527731963</c:v>
                </c:pt>
                <c:pt idx="789">
                  <c:v>67.545169334968975</c:v>
                </c:pt>
                <c:pt idx="790">
                  <c:v>67.545751135520689</c:v>
                </c:pt>
                <c:pt idx="791">
                  <c:v>67.546332929387077</c:v>
                </c:pt>
                <c:pt idx="792">
                  <c:v>67.546914716568139</c:v>
                </c:pt>
                <c:pt idx="793">
                  <c:v>67.547496497063875</c:v>
                </c:pt>
                <c:pt idx="794">
                  <c:v>67.548078270874285</c:v>
                </c:pt>
                <c:pt idx="795">
                  <c:v>67.548660037999369</c:v>
                </c:pt>
                <c:pt idx="796">
                  <c:v>67.549241798439098</c:v>
                </c:pt>
                <c:pt idx="797">
                  <c:v>67.549823552193502</c:v>
                </c:pt>
                <c:pt idx="798">
                  <c:v>67.550405299262565</c:v>
                </c:pt>
                <c:pt idx="799">
                  <c:v>67.550987039646287</c:v>
                </c:pt>
                <c:pt idx="800">
                  <c:v>67.55156877334467</c:v>
                </c:pt>
                <c:pt idx="801">
                  <c:v>67.552150500357698</c:v>
                </c:pt>
                <c:pt idx="802">
                  <c:v>67.552732220685371</c:v>
                </c:pt>
                <c:pt idx="803">
                  <c:v>67.553313934327704</c:v>
                </c:pt>
                <c:pt idx="804">
                  <c:v>67.553895641284669</c:v>
                </c:pt>
                <c:pt idx="805">
                  <c:v>67.554477341556293</c:v>
                </c:pt>
                <c:pt idx="806">
                  <c:v>67.555059035142548</c:v>
                </c:pt>
                <c:pt idx="807">
                  <c:v>67.555640722043449</c:v>
                </c:pt>
                <c:pt idx="808">
                  <c:v>67.556222402258967</c:v>
                </c:pt>
                <c:pt idx="809">
                  <c:v>67.556804075789131</c:v>
                </c:pt>
                <c:pt idx="810">
                  <c:v>67.557385742633912</c:v>
                </c:pt>
                <c:pt idx="811">
                  <c:v>67.557967402793338</c:v>
                </c:pt>
                <c:pt idx="812">
                  <c:v>67.558549056267353</c:v>
                </c:pt>
                <c:pt idx="813">
                  <c:v>67.559130703056013</c:v>
                </c:pt>
                <c:pt idx="814">
                  <c:v>67.559712343159276</c:v>
                </c:pt>
                <c:pt idx="815">
                  <c:v>67.560293976577171</c:v>
                </c:pt>
                <c:pt idx="816">
                  <c:v>67.560875603309668</c:v>
                </c:pt>
                <c:pt idx="817">
                  <c:v>67.561457223356769</c:v>
                </c:pt>
                <c:pt idx="818">
                  <c:v>67.5620388367185</c:v>
                </c:pt>
                <c:pt idx="819">
                  <c:v>67.56262044339482</c:v>
                </c:pt>
                <c:pt idx="820">
                  <c:v>67.563202043385729</c:v>
                </c:pt>
                <c:pt idx="821">
                  <c:v>67.563783636691255</c:v>
                </c:pt>
                <c:pt idx="822">
                  <c:v>67.56436522331137</c:v>
                </c:pt>
                <c:pt idx="823">
                  <c:v>67.564946803246073</c:v>
                </c:pt>
                <c:pt idx="824">
                  <c:v>67.565528376495365</c:v>
                </c:pt>
                <c:pt idx="825">
                  <c:v>67.566109943059246</c:v>
                </c:pt>
                <c:pt idx="826">
                  <c:v>67.566691502937729</c:v>
                </c:pt>
                <c:pt idx="827">
                  <c:v>67.567273056130773</c:v>
                </c:pt>
                <c:pt idx="828">
                  <c:v>67.567854602638405</c:v>
                </c:pt>
                <c:pt idx="829">
                  <c:v>67.568436142460627</c:v>
                </c:pt>
                <c:pt idx="830">
                  <c:v>67.569017675597408</c:v>
                </c:pt>
                <c:pt idx="831">
                  <c:v>67.569599202048764</c:v>
                </c:pt>
                <c:pt idx="832">
                  <c:v>67.570180721814694</c:v>
                </c:pt>
                <c:pt idx="833">
                  <c:v>67.570762234895199</c:v>
                </c:pt>
                <c:pt idx="834">
                  <c:v>67.571343741290249</c:v>
                </c:pt>
                <c:pt idx="835">
                  <c:v>67.571925240999875</c:v>
                </c:pt>
                <c:pt idx="836">
                  <c:v>67.57250673402406</c:v>
                </c:pt>
                <c:pt idx="837">
                  <c:v>67.573088220362777</c:v>
                </c:pt>
                <c:pt idx="838">
                  <c:v>67.573669700016069</c:v>
                </c:pt>
                <c:pt idx="839">
                  <c:v>67.574251172983907</c:v>
                </c:pt>
                <c:pt idx="840">
                  <c:v>67.57483263926629</c:v>
                </c:pt>
                <c:pt idx="841">
                  <c:v>67.575414098863234</c:v>
                </c:pt>
                <c:pt idx="842">
                  <c:v>67.575995551774696</c:v>
                </c:pt>
                <c:pt idx="843">
                  <c:v>67.576576998000704</c:v>
                </c:pt>
                <c:pt idx="844">
                  <c:v>67.577158437541257</c:v>
                </c:pt>
                <c:pt idx="845">
                  <c:v>67.577739870396357</c:v>
                </c:pt>
                <c:pt idx="846">
                  <c:v>67.578321296565974</c:v>
                </c:pt>
                <c:pt idx="847">
                  <c:v>67.578902716050138</c:v>
                </c:pt>
                <c:pt idx="848">
                  <c:v>67.579484128848804</c:v>
                </c:pt>
                <c:pt idx="849">
                  <c:v>67.580065534962017</c:v>
                </c:pt>
                <c:pt idx="850">
                  <c:v>67.580646934389748</c:v>
                </c:pt>
                <c:pt idx="851">
                  <c:v>67.581228327131996</c:v>
                </c:pt>
                <c:pt idx="852">
                  <c:v>67.581809713188761</c:v>
                </c:pt>
                <c:pt idx="853">
                  <c:v>67.582391092560044</c:v>
                </c:pt>
                <c:pt idx="854">
                  <c:v>67.582972465245845</c:v>
                </c:pt>
                <c:pt idx="855">
                  <c:v>67.583553831246135</c:v>
                </c:pt>
                <c:pt idx="856">
                  <c:v>67.584135190560943</c:v>
                </c:pt>
                <c:pt idx="857">
                  <c:v>67.584716543190254</c:v>
                </c:pt>
                <c:pt idx="858">
                  <c:v>67.585297889134068</c:v>
                </c:pt>
                <c:pt idx="859">
                  <c:v>67.585879228392372</c:v>
                </c:pt>
                <c:pt idx="860">
                  <c:v>67.586460560965193</c:v>
                </c:pt>
                <c:pt idx="861">
                  <c:v>67.587041886852489</c:v>
                </c:pt>
                <c:pt idx="862">
                  <c:v>67.587623206054275</c:v>
                </c:pt>
                <c:pt idx="863">
                  <c:v>67.588204518570564</c:v>
                </c:pt>
                <c:pt idx="864">
                  <c:v>67.588785824401313</c:v>
                </c:pt>
                <c:pt idx="865">
                  <c:v>67.589367123546566</c:v>
                </c:pt>
                <c:pt idx="866">
                  <c:v>67.589948416006294</c:v>
                </c:pt>
                <c:pt idx="867">
                  <c:v>67.590529701780511</c:v>
                </c:pt>
                <c:pt idx="868">
                  <c:v>67.591110980869189</c:v>
                </c:pt>
                <c:pt idx="869">
                  <c:v>67.591692253272328</c:v>
                </c:pt>
                <c:pt idx="870">
                  <c:v>67.59227351898997</c:v>
                </c:pt>
                <c:pt idx="871">
                  <c:v>67.592854778022058</c:v>
                </c:pt>
                <c:pt idx="872">
                  <c:v>67.593436030368622</c:v>
                </c:pt>
                <c:pt idx="873">
                  <c:v>67.59401727602966</c:v>
                </c:pt>
                <c:pt idx="874">
                  <c:v>67.594598515005146</c:v>
                </c:pt>
                <c:pt idx="875">
                  <c:v>67.595179747295077</c:v>
                </c:pt>
                <c:pt idx="876">
                  <c:v>67.595760972899484</c:v>
                </c:pt>
                <c:pt idx="877">
                  <c:v>67.596342191818323</c:v>
                </c:pt>
                <c:pt idx="878">
                  <c:v>67.596923404051637</c:v>
                </c:pt>
                <c:pt idx="879">
                  <c:v>67.597504609599383</c:v>
                </c:pt>
                <c:pt idx="880">
                  <c:v>67.598085808461562</c:v>
                </c:pt>
                <c:pt idx="881">
                  <c:v>67.598667000638216</c:v>
                </c:pt>
                <c:pt idx="882">
                  <c:v>67.599248186129287</c:v>
                </c:pt>
                <c:pt idx="883">
                  <c:v>67.599829364934806</c:v>
                </c:pt>
                <c:pt idx="884">
                  <c:v>67.600410537054756</c:v>
                </c:pt>
                <c:pt idx="885">
                  <c:v>67.600991702489125</c:v>
                </c:pt>
                <c:pt idx="886">
                  <c:v>67.601572861237941</c:v>
                </c:pt>
                <c:pt idx="887">
                  <c:v>67.602154013301188</c:v>
                </c:pt>
                <c:pt idx="888">
                  <c:v>67.60273515867884</c:v>
                </c:pt>
                <c:pt idx="889">
                  <c:v>67.603316297370924</c:v>
                </c:pt>
                <c:pt idx="890">
                  <c:v>67.60389742937744</c:v>
                </c:pt>
                <c:pt idx="891">
                  <c:v>67.60447855469836</c:v>
                </c:pt>
                <c:pt idx="892">
                  <c:v>67.605059673333699</c:v>
                </c:pt>
                <c:pt idx="893">
                  <c:v>67.605640785283455</c:v>
                </c:pt>
                <c:pt idx="894">
                  <c:v>67.606221890547602</c:v>
                </c:pt>
                <c:pt idx="895">
                  <c:v>67.60680298912618</c:v>
                </c:pt>
                <c:pt idx="896">
                  <c:v>67.607384081019148</c:v>
                </c:pt>
                <c:pt idx="897">
                  <c:v>67.607965166226535</c:v>
                </c:pt>
                <c:pt idx="898">
                  <c:v>67.608546244748311</c:v>
                </c:pt>
                <c:pt idx="899">
                  <c:v>67.609127316584491</c:v>
                </c:pt>
                <c:pt idx="900">
                  <c:v>67.609708381735061</c:v>
                </c:pt>
                <c:pt idx="901">
                  <c:v>67.61028944020002</c:v>
                </c:pt>
                <c:pt idx="902">
                  <c:v>67.610870491979369</c:v>
                </c:pt>
                <c:pt idx="903">
                  <c:v>67.611451537073123</c:v>
                </c:pt>
                <c:pt idx="904">
                  <c:v>67.612032575481237</c:v>
                </c:pt>
                <c:pt idx="905">
                  <c:v>67.612613607203741</c:v>
                </c:pt>
                <c:pt idx="906">
                  <c:v>67.613194632240621</c:v>
                </c:pt>
                <c:pt idx="907">
                  <c:v>67.61377565059189</c:v>
                </c:pt>
                <c:pt idx="908">
                  <c:v>67.614356662257535</c:v>
                </c:pt>
                <c:pt idx="909">
                  <c:v>67.614937667237541</c:v>
                </c:pt>
                <c:pt idx="910">
                  <c:v>67.615518665531923</c:v>
                </c:pt>
                <c:pt idx="911">
                  <c:v>67.61609965714068</c:v>
                </c:pt>
                <c:pt idx="912">
                  <c:v>67.616680642063798</c:v>
                </c:pt>
                <c:pt idx="913">
                  <c:v>67.617261620301264</c:v>
                </c:pt>
                <c:pt idx="914">
                  <c:v>67.617842591853105</c:v>
                </c:pt>
                <c:pt idx="915">
                  <c:v>67.618423556719307</c:v>
                </c:pt>
                <c:pt idx="916">
                  <c:v>67.619004514899856</c:v>
                </c:pt>
                <c:pt idx="917">
                  <c:v>67.619585466394767</c:v>
                </c:pt>
                <c:pt idx="918">
                  <c:v>67.620166411204025</c:v>
                </c:pt>
                <c:pt idx="919">
                  <c:v>67.62074734932763</c:v>
                </c:pt>
                <c:pt idx="920">
                  <c:v>67.621328280765582</c:v>
                </c:pt>
                <c:pt idx="921">
                  <c:v>67.621909205517881</c:v>
                </c:pt>
                <c:pt idx="922">
                  <c:v>67.622490123584527</c:v>
                </c:pt>
                <c:pt idx="923">
                  <c:v>67.623071034965491</c:v>
                </c:pt>
                <c:pt idx="924">
                  <c:v>67.623651939660789</c:v>
                </c:pt>
                <c:pt idx="925">
                  <c:v>67.624232837670434</c:v>
                </c:pt>
                <c:pt idx="926">
                  <c:v>67.624813728994425</c:v>
                </c:pt>
                <c:pt idx="927">
                  <c:v>67.625394613632736</c:v>
                </c:pt>
                <c:pt idx="928">
                  <c:v>67.625975491585365</c:v>
                </c:pt>
                <c:pt idx="929">
                  <c:v>67.626556362852327</c:v>
                </c:pt>
                <c:pt idx="930">
                  <c:v>67.627137227433593</c:v>
                </c:pt>
                <c:pt idx="931">
                  <c:v>67.627718085329207</c:v>
                </c:pt>
                <c:pt idx="932">
                  <c:v>67.628298936539124</c:v>
                </c:pt>
                <c:pt idx="933">
                  <c:v>67.628879781063347</c:v>
                </c:pt>
                <c:pt idx="934">
                  <c:v>67.629460618901888</c:v>
                </c:pt>
                <c:pt idx="935">
                  <c:v>67.630041450054733</c:v>
                </c:pt>
                <c:pt idx="936">
                  <c:v>67.630622274521912</c:v>
                </c:pt>
                <c:pt idx="937">
                  <c:v>67.631203092303366</c:v>
                </c:pt>
                <c:pt idx="938">
                  <c:v>67.631783903399139</c:v>
                </c:pt>
                <c:pt idx="939">
                  <c:v>67.632364707809202</c:v>
                </c:pt>
                <c:pt idx="940">
                  <c:v>67.63294550553357</c:v>
                </c:pt>
                <c:pt idx="941">
                  <c:v>67.633526296572228</c:v>
                </c:pt>
                <c:pt idx="942">
                  <c:v>67.634107080925176</c:v>
                </c:pt>
                <c:pt idx="943">
                  <c:v>67.634687858592429</c:v>
                </c:pt>
                <c:pt idx="944">
                  <c:v>67.635268629573972</c:v>
                </c:pt>
                <c:pt idx="945">
                  <c:v>67.63584939386979</c:v>
                </c:pt>
                <c:pt idx="946">
                  <c:v>67.636430151479885</c:v>
                </c:pt>
                <c:pt idx="947">
                  <c:v>67.637010902404256</c:v>
                </c:pt>
                <c:pt idx="948">
                  <c:v>67.637591646642917</c:v>
                </c:pt>
                <c:pt idx="949">
                  <c:v>67.638172384195855</c:v>
                </c:pt>
                <c:pt idx="950">
                  <c:v>67.638753115063068</c:v>
                </c:pt>
                <c:pt idx="951">
                  <c:v>67.639333839244543</c:v>
                </c:pt>
                <c:pt idx="952">
                  <c:v>67.639914556740294</c:v>
                </c:pt>
                <c:pt idx="953">
                  <c:v>67.640495267550307</c:v>
                </c:pt>
                <c:pt idx="954">
                  <c:v>67.641075971674596</c:v>
                </c:pt>
                <c:pt idx="955">
                  <c:v>67.641656669113132</c:v>
                </c:pt>
                <c:pt idx="956">
                  <c:v>67.642237359865959</c:v>
                </c:pt>
                <c:pt idx="957">
                  <c:v>67.642818043933019</c:v>
                </c:pt>
                <c:pt idx="958">
                  <c:v>67.643398721314341</c:v>
                </c:pt>
                <c:pt idx="959">
                  <c:v>67.643979392009896</c:v>
                </c:pt>
                <c:pt idx="960">
                  <c:v>67.644560056019714</c:v>
                </c:pt>
                <c:pt idx="961">
                  <c:v>67.645140713343778</c:v>
                </c:pt>
                <c:pt idx="962">
                  <c:v>67.645721363982105</c:v>
                </c:pt>
                <c:pt idx="963">
                  <c:v>67.646302007934665</c:v>
                </c:pt>
                <c:pt idx="964">
                  <c:v>67.646882645201458</c:v>
                </c:pt>
                <c:pt idx="965">
                  <c:v>67.647463275782499</c:v>
                </c:pt>
                <c:pt idx="966">
                  <c:v>67.648043899677774</c:v>
                </c:pt>
                <c:pt idx="967">
                  <c:v>67.648624516887281</c:v>
                </c:pt>
                <c:pt idx="968">
                  <c:v>67.649205127411037</c:v>
                </c:pt>
                <c:pt idx="969">
                  <c:v>67.649785731249011</c:v>
                </c:pt>
                <c:pt idx="970">
                  <c:v>67.650366328401205</c:v>
                </c:pt>
                <c:pt idx="971">
                  <c:v>67.650946918867632</c:v>
                </c:pt>
                <c:pt idx="972">
                  <c:v>67.651527502648278</c:v>
                </c:pt>
                <c:pt idx="973">
                  <c:v>67.652108079743144</c:v>
                </c:pt>
                <c:pt idx="974">
                  <c:v>67.652688650152228</c:v>
                </c:pt>
                <c:pt idx="975">
                  <c:v>67.653269213875532</c:v>
                </c:pt>
                <c:pt idx="976">
                  <c:v>67.653849770913041</c:v>
                </c:pt>
                <c:pt idx="977">
                  <c:v>67.654430321264783</c:v>
                </c:pt>
                <c:pt idx="978">
                  <c:v>67.655010864930716</c:v>
                </c:pt>
                <c:pt idx="979">
                  <c:v>67.655591401910854</c:v>
                </c:pt>
                <c:pt idx="980">
                  <c:v>67.656171932205211</c:v>
                </c:pt>
                <c:pt idx="981">
                  <c:v>67.656752455813759</c:v>
                </c:pt>
                <c:pt idx="982">
                  <c:v>67.657332972736526</c:v>
                </c:pt>
                <c:pt idx="983">
                  <c:v>67.65791348297347</c:v>
                </c:pt>
                <c:pt idx="984">
                  <c:v>67.658493986524604</c:v>
                </c:pt>
                <c:pt idx="985">
                  <c:v>67.659074483389944</c:v>
                </c:pt>
                <c:pt idx="986">
                  <c:v>67.659654973569474</c:v>
                </c:pt>
                <c:pt idx="987">
                  <c:v>67.660235457063195</c:v>
                </c:pt>
                <c:pt idx="988">
                  <c:v>67.660815933871092</c:v>
                </c:pt>
                <c:pt idx="989">
                  <c:v>67.661396403993166</c:v>
                </c:pt>
                <c:pt idx="990">
                  <c:v>67.661976867429445</c:v>
                </c:pt>
                <c:pt idx="991">
                  <c:v>67.6625573241799</c:v>
                </c:pt>
                <c:pt idx="992">
                  <c:v>67.663137774244518</c:v>
                </c:pt>
                <c:pt idx="993">
                  <c:v>67.663718217623327</c:v>
                </c:pt>
                <c:pt idx="994">
                  <c:v>67.664298654316298</c:v>
                </c:pt>
                <c:pt idx="995">
                  <c:v>67.664879084323431</c:v>
                </c:pt>
                <c:pt idx="996">
                  <c:v>67.665459507644741</c:v>
                </c:pt>
                <c:pt idx="997">
                  <c:v>67.666039924280213</c:v>
                </c:pt>
                <c:pt idx="998">
                  <c:v>67.666620334229847</c:v>
                </c:pt>
                <c:pt idx="999">
                  <c:v>67.667200737493644</c:v>
                </c:pt>
                <c:pt idx="1000">
                  <c:v>67.667781134071618</c:v>
                </c:pt>
              </c:numCache>
            </c:numRef>
          </c:yVal>
          <c:smooth val="0"/>
          <c:extLst>
            <c:ext xmlns:c16="http://schemas.microsoft.com/office/drawing/2014/chart" uri="{C3380CC4-5D6E-409C-BE32-E72D297353CC}">
              <c16:uniqueId val="{00000000-D02D-488E-A1C0-826DB2A7A35B}"/>
            </c:ext>
          </c:extLst>
        </c:ser>
        <c:dLbls>
          <c:showLegendKey val="0"/>
          <c:showVal val="0"/>
          <c:showCatName val="0"/>
          <c:showSerName val="0"/>
          <c:showPercent val="0"/>
          <c:showBubbleSize val="0"/>
        </c:dLbls>
        <c:axId val="677970648"/>
        <c:axId val="1"/>
      </c:scatterChart>
      <c:valAx>
        <c:axId val="67797064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6E-2"/>
              <c:y val="0.22875885612337674"/>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677970648"/>
        <c:crosses val="autoZero"/>
        <c:crossBetween val="midCat"/>
      </c:valAx>
      <c:spPr>
        <a:noFill/>
        <a:ln w="12700">
          <a:solidFill>
            <a:srgbClr val="808080"/>
          </a:solidFill>
          <a:prstDash val="solid"/>
        </a:ln>
      </c:spPr>
    </c:plotArea>
    <c:legend>
      <c:legendPos val="r"/>
      <c:layout>
        <c:manualLayout>
          <c:xMode val="edge"/>
          <c:yMode val="edge"/>
          <c:x val="0.81839622641509435"/>
          <c:y val="0.46732163381538094"/>
          <c:w val="0.13207547169811318"/>
          <c:h val="7.843171564338768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092"/>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Calculs!$AG$4:$AG$1004</c:f>
              <c:numCache>
                <c:formatCode>0.00</c:formatCode>
                <c:ptCount val="1001"/>
                <c:pt idx="0">
                  <c:v>0</c:v>
                </c:pt>
                <c:pt idx="1">
                  <c:v>28.489075658844996</c:v>
                </c:pt>
                <c:pt idx="2">
                  <c:v>104.85865327505721</c:v>
                </c:pt>
                <c:pt idx="3">
                  <c:v>137.03691396065994</c:v>
                </c:pt>
                <c:pt idx="4">
                  <c:v>124.90350353707933</c:v>
                </c:pt>
                <c:pt idx="5">
                  <c:v>118.60349629557052</c:v>
                </c:pt>
                <c:pt idx="6">
                  <c:v>118.15368719763516</c:v>
                </c:pt>
                <c:pt idx="7">
                  <c:v>117.70065799407492</c:v>
                </c:pt>
                <c:pt idx="8">
                  <c:v>117.24443250632405</c:v>
                </c:pt>
                <c:pt idx="9">
                  <c:v>116.7850348331209</c:v>
                </c:pt>
                <c:pt idx="10">
                  <c:v>116.32248934563088</c:v>
                </c:pt>
                <c:pt idx="11">
                  <c:v>115.85682068251658</c:v>
                </c:pt>
                <c:pt idx="12">
                  <c:v>115.38805374495672</c:v>
                </c:pt>
                <c:pt idx="13">
                  <c:v>114.91621369161575</c:v>
                </c:pt>
                <c:pt idx="14">
                  <c:v>114.44132593356615</c:v>
                </c:pt>
                <c:pt idx="15">
                  <c:v>113.96341612916449</c:v>
                </c:pt>
                <c:pt idx="16">
                  <c:v>113.4825101788841</c:v>
                </c:pt>
                <c:pt idx="17">
                  <c:v>112.99863422010523</c:v>
                </c:pt>
                <c:pt idx="18">
                  <c:v>112.51181462186514</c:v>
                </c:pt>
                <c:pt idx="19">
                  <c:v>112.02207797956984</c:v>
                </c:pt>
                <c:pt idx="20">
                  <c:v>111.52945110966903</c:v>
                </c:pt>
                <c:pt idx="21">
                  <c:v>111.03396104429655</c:v>
                </c:pt>
                <c:pt idx="22">
                  <c:v>110.53563502587795</c:v>
                </c:pt>
                <c:pt idx="23">
                  <c:v>110.03450050170696</c:v>
                </c:pt>
                <c:pt idx="24">
                  <c:v>109.53170056816498</c:v>
                </c:pt>
                <c:pt idx="25">
                  <c:v>109.026124892463</c:v>
                </c:pt>
                <c:pt idx="26">
                  <c:v>108.51778841536935</c:v>
                </c:pt>
                <c:pt idx="27">
                  <c:v>108.00672190872493</c:v>
                </c:pt>
                <c:pt idx="28">
                  <c:v>107.49295604203365</c:v>
                </c:pt>
                <c:pt idx="29">
                  <c:v>106.97652141642644</c:v>
                </c:pt>
                <c:pt idx="30">
                  <c:v>106.45744859183193</c:v>
                </c:pt>
                <c:pt idx="31">
                  <c:v>105.93576810870839</c:v>
                </c:pt>
                <c:pt idx="32">
                  <c:v>105.41151050538534</c:v>
                </c:pt>
                <c:pt idx="33">
                  <c:v>104.88470633183458</c:v>
                </c:pt>
                <c:pt idx="34">
                  <c:v>104.35538616051716</c:v>
                </c:pt>
                <c:pt idx="35">
                  <c:v>103.82358059481942</c:v>
                </c:pt>
                <c:pt idx="36">
                  <c:v>103.28932027549021</c:v>
                </c:pt>
                <c:pt idx="37">
                  <c:v>102.75263588541084</c:v>
                </c:pt>
                <c:pt idx="38">
                  <c:v>102.21355815296769</c:v>
                </c:pt>
                <c:pt idx="39">
                  <c:v>101.67211785424796</c:v>
                </c:pt>
                <c:pt idx="40">
                  <c:v>101.12834581423974</c:v>
                </c:pt>
                <c:pt idx="41">
                  <c:v>100.5822729071869</c:v>
                </c:pt>
                <c:pt idx="42">
                  <c:v>100.03393005622321</c:v>
                </c:pt>
                <c:pt idx="43">
                  <c:v>99.483348232390313</c:v>
                </c:pt>
                <c:pt idx="44">
                  <c:v>98.930558453127404</c:v>
                </c:pt>
                <c:pt idx="45">
                  <c:v>98.375591780306678</c:v>
                </c:pt>
                <c:pt idx="46">
                  <c:v>97.818479317877575</c:v>
                </c:pt>
                <c:pt idx="47">
                  <c:v>97.259252209173226</c:v>
                </c:pt>
                <c:pt idx="48">
                  <c:v>96.697941633925623</c:v>
                </c:pt>
                <c:pt idx="49">
                  <c:v>96.134578805028326</c:v>
                </c:pt>
                <c:pt idx="50">
                  <c:v>95.569194965081493</c:v>
                </c:pt>
                <c:pt idx="51">
                  <c:v>95.001821382748318</c:v>
                </c:pt>
                <c:pt idx="52">
                  <c:v>94.432489348949176</c:v>
                </c:pt>
                <c:pt idx="53">
                  <c:v>93.861230172915313</c:v>
                </c:pt>
                <c:pt idx="54">
                  <c:v>93.288075178122654</c:v>
                </c:pt>
                <c:pt idx="55">
                  <c:v>92.713055698122304</c:v>
                </c:pt>
                <c:pt idx="56">
                  <c:v>92.136203072283706</c:v>
                </c:pt>
                <c:pt idx="57">
                  <c:v>91.557548641463939</c:v>
                </c:pt>
                <c:pt idx="58">
                  <c:v>90.97712374361501</c:v>
                </c:pt>
                <c:pt idx="59">
                  <c:v>90.394959709340341</c:v>
                </c:pt>
                <c:pt idx="60">
                  <c:v>89.811087857409944</c:v>
                </c:pt>
                <c:pt idx="61">
                  <c:v>89.225539490242994</c:v>
                </c:pt>
                <c:pt idx="62">
                  <c:v>88.63834588936578</c:v>
                </c:pt>
                <c:pt idx="63">
                  <c:v>87.529963487671424</c:v>
                </c:pt>
                <c:pt idx="64">
                  <c:v>85.899913375422443</c:v>
                </c:pt>
                <c:pt idx="65">
                  <c:v>84.267893430989801</c:v>
                </c:pt>
                <c:pt idx="66">
                  <c:v>82.634015397075331</c:v>
                </c:pt>
                <c:pt idx="67">
                  <c:v>80.521608982015977</c:v>
                </c:pt>
                <c:pt idx="68">
                  <c:v>77.930429455833448</c:v>
                </c:pt>
                <c:pt idx="69">
                  <c:v>74.489147061429634</c:v>
                </c:pt>
                <c:pt idx="70">
                  <c:v>70.197506007192246</c:v>
                </c:pt>
                <c:pt idx="71">
                  <c:v>65.90455750033513</c:v>
                </c:pt>
                <c:pt idx="72">
                  <c:v>61.610744220788931</c:v>
                </c:pt>
                <c:pt idx="73">
                  <c:v>57.316499760090892</c:v>
                </c:pt>
                <c:pt idx="74">
                  <c:v>53.022248491757999</c:v>
                </c:pt>
                <c:pt idx="75">
                  <c:v>48.728405450027843</c:v>
                </c:pt>
                <c:pt idx="76">
                  <c:v>44.435376216909468</c:v>
                </c:pt>
                <c:pt idx="77">
                  <c:v>40.143556817473353</c:v>
                </c:pt>
                <c:pt idx="78">
                  <c:v>35.853333623299129</c:v>
                </c:pt>
                <c:pt idx="79">
                  <c:v>31.565083263988097</c:v>
                </c:pt>
                <c:pt idx="80">
                  <c:v>27.279172546638399</c:v>
                </c:pt>
                <c:pt idx="81">
                  <c:v>24.007056279162558</c:v>
                </c:pt>
                <c:pt idx="82">
                  <c:v>21.748448134014644</c:v>
                </c:pt>
                <c:pt idx="83">
                  <c:v>19.49144590949787</c:v>
                </c:pt>
                <c:pt idx="84">
                  <c:v>17.236153202010435</c:v>
                </c:pt>
                <c:pt idx="85">
                  <c:v>14.982670794571654</c:v>
                </c:pt>
                <c:pt idx="86">
                  <c:v>12.731096652870669</c:v>
                </c:pt>
                <c:pt idx="87">
                  <c:v>10.481525922450357</c:v>
                </c:pt>
                <c:pt idx="88">
                  <c:v>8.2340509270016771</c:v>
                </c:pt>
                <c:pt idx="89">
                  <c:v>6.3084125812147125</c:v>
                </c:pt>
                <c:pt idx="90">
                  <c:v>4.7043900325861436</c:v>
                </c:pt>
                <c:pt idx="91">
                  <c:v>3.1020209216159405</c:v>
                </c:pt>
                <c:pt idx="92">
                  <c:v>1.5013477482288966</c:v>
                </c:pt>
                <c:pt idx="93">
                  <c:v>-1.7649372431908006E-2</c:v>
                </c:pt>
                <c:pt idx="94">
                  <c:v>-1.4550171679036268</c:v>
                </c:pt>
                <c:pt idx="95">
                  <c:v>-2.8907582402005394</c:v>
                </c:pt>
                <c:pt idx="96">
                  <c:v>-4.3248429651528726</c:v>
                </c:pt>
                <c:pt idx="97">
                  <c:v>-5.4374208199319343</c:v>
                </c:pt>
                <c:pt idx="98">
                  <c:v>-6.2288420483060012</c:v>
                </c:pt>
                <c:pt idx="99">
                  <c:v>-7.019318203658278</c:v>
                </c:pt>
                <c:pt idx="100">
                  <c:v>-7.8088430526213521</c:v>
                </c:pt>
                <c:pt idx="101">
                  <c:v>-8.5974107044402075</c:v>
                </c:pt>
                <c:pt idx="102">
                  <c:v>-9.385015609287187</c:v>
                </c:pt>
                <c:pt idx="103">
                  <c:v>-10.171652556550448</c:v>
                </c:pt>
                <c:pt idx="104">
                  <c:v>-10.957316673096797</c:v>
                </c:pt>
                <c:pt idx="105">
                  <c:v>-11.742003421510274</c:v>
                </c:pt>
                <c:pt idx="106">
                  <c:v>-12.525708598307533</c:v>
                </c:pt>
                <c:pt idx="107">
                  <c:v>-13.308428332131172</c:v>
                </c:pt>
                <c:pt idx="108">
                  <c:v>-14.090159081922096</c:v>
                </c:pt>
                <c:pt idx="109">
                  <c:v>-14.471036762958743</c:v>
                </c:pt>
                <c:pt idx="110">
                  <c:v>-14.45158890229658</c:v>
                </c:pt>
                <c:pt idx="111">
                  <c:v>-14.432202612374976</c:v>
                </c:pt>
                <c:pt idx="112">
                  <c:v>-14.41287763531389</c:v>
                </c:pt>
                <c:pt idx="113">
                  <c:v>-14.39361371439956</c:v>
                </c:pt>
                <c:pt idx="114">
                  <c:v>-14.374410594076034</c:v>
                </c:pt>
                <c:pt idx="115">
                  <c:v>-14.355268019936783</c:v>
                </c:pt>
                <c:pt idx="116">
                  <c:v>-14.336185738716352</c:v>
                </c:pt>
                <c:pt idx="117">
                  <c:v>-14.317163498282033</c:v>
                </c:pt>
                <c:pt idx="118">
                  <c:v>-14.298201047625621</c:v>
                </c:pt>
                <c:pt idx="119">
                  <c:v>-14.279298136855173</c:v>
                </c:pt>
                <c:pt idx="120">
                  <c:v>-14.260454517186846</c:v>
                </c:pt>
                <c:pt idx="121">
                  <c:v>-14.241669940936745</c:v>
                </c:pt>
                <c:pt idx="122">
                  <c:v>-14.222944161512853</c:v>
                </c:pt>
                <c:pt idx="123">
                  <c:v>-14.20427693340697</c:v>
                </c:pt>
                <c:pt idx="124">
                  <c:v>-14.185668012186689</c:v>
                </c:pt>
                <c:pt idx="125">
                  <c:v>-14.167117154487457</c:v>
                </c:pt>
                <c:pt idx="126">
                  <c:v>-14.148624118004623</c:v>
                </c:pt>
                <c:pt idx="127">
                  <c:v>-14.130188661485558</c:v>
                </c:pt>
                <c:pt idx="128">
                  <c:v>-14.111810544721816</c:v>
                </c:pt>
                <c:pt idx="129">
                  <c:v>-14.093489528541307</c:v>
                </c:pt>
                <c:pt idx="130">
                  <c:v>-14.075225374800532</c:v>
                </c:pt>
                <c:pt idx="131">
                  <c:v>-14.057017846376864</c:v>
                </c:pt>
                <c:pt idx="132">
                  <c:v>-14.038866707160821</c:v>
                </c:pt>
                <c:pt idx="133">
                  <c:v>-14.020771722048435</c:v>
                </c:pt>
                <c:pt idx="134">
                  <c:v>-14.00273265693362</c:v>
                </c:pt>
                <c:pt idx="135">
                  <c:v>-13.984749278700576</c:v>
                </c:pt>
                <c:pt idx="136">
                  <c:v>-13.966821355216247</c:v>
                </c:pt>
                <c:pt idx="137">
                  <c:v>-13.948948655322798</c:v>
                </c:pt>
                <c:pt idx="138">
                  <c:v>-13.931130948830148</c:v>
                </c:pt>
                <c:pt idx="139">
                  <c:v>-13.913368006508483</c:v>
                </c:pt>
                <c:pt idx="140">
                  <c:v>-13.895659600080895</c:v>
                </c:pt>
                <c:pt idx="141">
                  <c:v>-13.878005502215956</c:v>
                </c:pt>
                <c:pt idx="142">
                  <c:v>-13.860405486520381</c:v>
                </c:pt>
                <c:pt idx="143">
                  <c:v>-13.842859327531732</c:v>
                </c:pt>
                <c:pt idx="144">
                  <c:v>-13.825366800711091</c:v>
                </c:pt>
                <c:pt idx="145">
                  <c:v>-13.807927682435839</c:v>
                </c:pt>
                <c:pt idx="146">
                  <c:v>-13.790541749992421</c:v>
                </c:pt>
                <c:pt idx="147">
                  <c:v>-13.773208781569142</c:v>
                </c:pt>
                <c:pt idx="148">
                  <c:v>-13.755928556249025</c:v>
                </c:pt>
                <c:pt idx="149">
                  <c:v>-13.738700854002641</c:v>
                </c:pt>
                <c:pt idx="150">
                  <c:v>-13.721525455681046</c:v>
                </c:pt>
                <c:pt idx="151">
                  <c:v>-13.704402143008664</c:v>
                </c:pt>
                <c:pt idx="152">
                  <c:v>-13.687330698576261</c:v>
                </c:pt>
                <c:pt idx="153">
                  <c:v>-13.670310905833906</c:v>
                </c:pt>
                <c:pt idx="154">
                  <c:v>-13.653342549083987</c:v>
                </c:pt>
                <c:pt idx="155">
                  <c:v>-13.636425413474232</c:v>
                </c:pt>
                <c:pt idx="156">
                  <c:v>-13.619559284990771</c:v>
                </c:pt>
                <c:pt idx="157">
                  <c:v>-13.602743950451213</c:v>
                </c:pt>
                <c:pt idx="158">
                  <c:v>-13.585979197497757</c:v>
                </c:pt>
                <c:pt idx="159">
                  <c:v>-13.569264814590325</c:v>
                </c:pt>
                <c:pt idx="160">
                  <c:v>-13.552600590999706</c:v>
                </c:pt>
                <c:pt idx="161">
                  <c:v>-13.535986316800747</c:v>
                </c:pt>
                <c:pt idx="162">
                  <c:v>-13.519421782865541</c:v>
                </c:pt>
                <c:pt idx="163">
                  <c:v>-13.502906780856675</c:v>
                </c:pt>
                <c:pt idx="164">
                  <c:v>-13.48644110322045</c:v>
                </c:pt>
                <c:pt idx="165">
                  <c:v>-13.470024543180177</c:v>
                </c:pt>
                <c:pt idx="166">
                  <c:v>-13.453656894729441</c:v>
                </c:pt>
                <c:pt idx="167">
                  <c:v>-13.43733795262543</c:v>
                </c:pt>
                <c:pt idx="168">
                  <c:v>-13.421067512382258</c:v>
                </c:pt>
                <c:pt idx="169">
                  <c:v>-13.404845370264329</c:v>
                </c:pt>
                <c:pt idx="170">
                  <c:v>-13.388671323279686</c:v>
                </c:pt>
                <c:pt idx="171">
                  <c:v>-13.372545169173421</c:v>
                </c:pt>
                <c:pt idx="172">
                  <c:v>-13.356466706421074</c:v>
                </c:pt>
                <c:pt idx="173">
                  <c:v>-13.340435734222073</c:v>
                </c:pt>
                <c:pt idx="174">
                  <c:v>-13.324452052493154</c:v>
                </c:pt>
                <c:pt idx="175">
                  <c:v>-13.308515461861852</c:v>
                </c:pt>
                <c:pt idx="176">
                  <c:v>-13.292625763659951</c:v>
                </c:pt>
                <c:pt idx="177">
                  <c:v>-13.276782759917005</c:v>
                </c:pt>
                <c:pt idx="178">
                  <c:v>-13.260986253353835</c:v>
                </c:pt>
                <c:pt idx="179">
                  <c:v>-13.245236047376055</c:v>
                </c:pt>
                <c:pt idx="180">
                  <c:v>-13.229531946067617</c:v>
                </c:pt>
                <c:pt idx="181">
                  <c:v>-13.213873754184368</c:v>
                </c:pt>
                <c:pt idx="182">
                  <c:v>-13.198261277147617</c:v>
                </c:pt>
                <c:pt idx="183">
                  <c:v>-13.182694321037719</c:v>
                </c:pt>
                <c:pt idx="184">
                  <c:v>-13.167172692587664</c:v>
                </c:pt>
                <c:pt idx="185">
                  <c:v>-13.151696199176708</c:v>
                </c:pt>
                <c:pt idx="186">
                  <c:v>-13.136264648823975</c:v>
                </c:pt>
                <c:pt idx="187">
                  <c:v>-13.120877850182081</c:v>
                </c:pt>
                <c:pt idx="188">
                  <c:v>-13.105535612530808</c:v>
                </c:pt>
                <c:pt idx="189">
                  <c:v>-13.090237745770738</c:v>
                </c:pt>
                <c:pt idx="190">
                  <c:v>-13.074984060416917</c:v>
                </c:pt>
                <c:pt idx="191">
                  <c:v>-13.059774367592544</c:v>
                </c:pt>
                <c:pt idx="192">
                  <c:v>-13.04460847902264</c:v>
                </c:pt>
                <c:pt idx="193">
                  <c:v>-13.029486207027755</c:v>
                </c:pt>
                <c:pt idx="194">
                  <c:v>-13.014407364517647</c:v>
                </c:pt>
                <c:pt idx="195">
                  <c:v>-12.999371764985034</c:v>
                </c:pt>
                <c:pt idx="196">
                  <c:v>-12.984379222499255</c:v>
                </c:pt>
                <c:pt idx="197">
                  <c:v>-12.969429551700038</c:v>
                </c:pt>
                <c:pt idx="198">
                  <c:v>-12.954522567791216</c:v>
                </c:pt>
                <c:pt idx="199">
                  <c:v>-12.939658086534454</c:v>
                </c:pt>
                <c:pt idx="200">
                  <c:v>-12.924835924242993</c:v>
                </c:pt>
                <c:pt idx="201">
                  <c:v>-12.910055897775424</c:v>
                </c:pt>
                <c:pt idx="202">
                  <c:v>-12.763865071938799</c:v>
                </c:pt>
                <c:pt idx="203">
                  <c:v>-12.621742993279243</c:v>
                </c:pt>
                <c:pt idx="204">
                  <c:v>-12.483510833216469</c:v>
                </c:pt>
                <c:pt idx="205">
                  <c:v>-12.348994049369537</c:v>
                </c:pt>
                <c:pt idx="206">
                  <c:v>-12.218021731782684</c:v>
                </c:pt>
                <c:pt idx="207">
                  <c:v>-12.090425936936402</c:v>
                </c:pt>
                <c:pt idx="208">
                  <c:v>-11.966041002925497</c:v>
                </c:pt>
                <c:pt idx="209">
                  <c:v>-11.844702838531994</c:v>
                </c:pt>
                <c:pt idx="210">
                  <c:v>-11.726248178120285</c:v>
                </c:pt>
                <c:pt idx="211">
                  <c:v>-11.610513793311425</c:v>
                </c:pt>
                <c:pt idx="212">
                  <c:v>-11.497335651223324</c:v>
                </c:pt>
                <c:pt idx="213">
                  <c:v>-11.386548007659533</c:v>
                </c:pt>
                <c:pt idx="214">
                  <c:v>-11.277982421948968</c:v>
                </c:pt>
                <c:pt idx="215">
                  <c:v>-11.171466678132145</c:v>
                </c:pt>
                <c:pt idx="216">
                  <c:v>-11.066823594796086</c:v>
                </c:pt>
                <c:pt idx="217">
                  <c:v>-10.963869703007807</c:v>
                </c:pt>
                <c:pt idx="218">
                  <c:v>-10.862413768399872</c:v>
                </c:pt>
                <c:pt idx="219">
                  <c:v>-10.762255129418817</c:v>
                </c:pt>
                <c:pt idx="220">
                  <c:v>-10.663181818939229</c:v>
                </c:pt>
                <c:pt idx="221">
                  <c:v>-10.56496843073189</c:v>
                </c:pt>
                <c:pt idx="222">
                  <c:v>-10.46737368549201</c:v>
                </c:pt>
                <c:pt idx="223">
                  <c:v>-10.370137643097497</c:v>
                </c:pt>
                <c:pt idx="224">
                  <c:v>-10.272978498269783</c:v>
                </c:pt>
                <c:pt idx="225">
                  <c:v>-10.175588885626587</c:v>
                </c:pt>
                <c:pt idx="226">
                  <c:v>-10.077631607014013</c:v>
                </c:pt>
                <c:pt idx="227">
                  <c:v>-9.9787346787647415</c:v>
                </c:pt>
                <c:pt idx="228">
                  <c:v>-9.878485578975809</c:v>
                </c:pt>
                <c:pt idx="229">
                  <c:v>-9.7764245549658568</c:v>
                </c:pt>
                <c:pt idx="230">
                  <c:v>-9.6720368288911835</c:v>
                </c:pt>
                <c:pt idx="231">
                  <c:v>-9.5647435155621121</c:v>
                </c:pt>
                <c:pt idx="232">
                  <c:v>-9.4538910418927582</c:v>
                </c:pt>
                <c:pt idx="233">
                  <c:v>-9.3387388341973612</c:v>
                </c:pt>
                <c:pt idx="234">
                  <c:v>-9.2184450213156293</c:v>
                </c:pt>
                <c:pt idx="235">
                  <c:v>-9.0920498943075518</c:v>
                </c:pt>
                <c:pt idx="236">
                  <c:v>-8.9584568768647195</c:v>
                </c:pt>
                <c:pt idx="237">
                  <c:v>-8.8164108097827025</c:v>
                </c:pt>
                <c:pt idx="238">
                  <c:v>-8.6644734610045901</c:v>
                </c:pt>
                <c:pt idx="239">
                  <c:v>-8.5009963745247887</c:v>
                </c:pt>
                <c:pt idx="240">
                  <c:v>-8.3240915172747165</c:v>
                </c:pt>
                <c:pt idx="241">
                  <c:v>-8.1316007440953673</c:v>
                </c:pt>
                <c:pt idx="242">
                  <c:v>-7.9210659729893349</c:v>
                </c:pt>
                <c:pt idx="243">
                  <c:v>-7.6897032674861681</c:v>
                </c:pt>
                <c:pt idx="244">
                  <c:v>-7.434385898220083</c:v>
                </c:pt>
                <c:pt idx="245">
                  <c:v>-7.151644027039481</c:v>
                </c:pt>
                <c:pt idx="246">
                  <c:v>-6.8376919690070599</c:v>
                </c:pt>
                <c:pt idx="247">
                  <c:v>-6.4884978740451995</c:v>
                </c:pt>
                <c:pt idx="248">
                  <c:v>-6.0999145344665289</c:v>
                </c:pt>
                <c:pt idx="249">
                  <c:v>-5.6678925345585469</c:v>
                </c:pt>
                <c:pt idx="250">
                  <c:v>-5.1887957269051421</c:v>
                </c:pt>
                <c:pt idx="251">
                  <c:v>-4.6598305173594436</c:v>
                </c:pt>
                <c:pt idx="252">
                  <c:v>-4.0795806150105012</c:v>
                </c:pt>
                <c:pt idx="253">
                  <c:v>-3.4486051582471053</c:v>
                </c:pt>
                <c:pt idx="254">
                  <c:v>-2.7700129658338986</c:v>
                </c:pt>
                <c:pt idx="255">
                  <c:v>-2.0498809099729396</c:v>
                </c:pt>
                <c:pt idx="256">
                  <c:v>-1.2973624736056313</c:v>
                </c:pt>
                <c:pt idx="257">
                  <c:v>-0.52435958784100511</c:v>
                </c:pt>
                <c:pt idx="258">
                  <c:v>0.2552799828170117</c:v>
                </c:pt>
                <c:pt idx="259">
                  <c:v>1.0269443105142071</c:v>
                </c:pt>
                <c:pt idx="260">
                  <c:v>1.7765974914373071</c:v>
                </c:pt>
                <c:pt idx="261">
                  <c:v>2.4920013371992309</c:v>
                </c:pt>
                <c:pt idx="262">
                  <c:v>3.1635836823442025</c:v>
                </c:pt>
                <c:pt idx="263">
                  <c:v>3.784836787167503</c:v>
                </c:pt>
                <c:pt idx="264">
                  <c:v>4.3522654236745417</c:v>
                </c:pt>
                <c:pt idx="265">
                  <c:v>4.8650024014515045</c:v>
                </c:pt>
                <c:pt idx="266">
                  <c:v>5.3242455818224972</c:v>
                </c:pt>
                <c:pt idx="267">
                  <c:v>5.7326542313703479</c:v>
                </c:pt>
                <c:pt idx="268">
                  <c:v>6.0937994105173257</c:v>
                </c:pt>
                <c:pt idx="269">
                  <c:v>6.4117167573503746</c:v>
                </c:pt>
                <c:pt idx="270">
                  <c:v>6.6905740699143559</c:v>
                </c:pt>
                <c:pt idx="271">
                  <c:v>6.9344441900083629</c:v>
                </c:pt>
                <c:pt idx="272">
                  <c:v>7.1471637335496094</c:v>
                </c:pt>
                <c:pt idx="273">
                  <c:v>7.3322561688099324</c:v>
                </c:pt>
                <c:pt idx="274">
                  <c:v>7.492899916295273</c:v>
                </c:pt>
                <c:pt idx="275">
                  <c:v>7.6319259539995548</c:v>
                </c:pt>
                <c:pt idx="276">
                  <c:v>7.7518333799025818</c:v>
                </c:pt>
                <c:pt idx="277">
                  <c:v>7.8548148229519024</c:v>
                </c:pt>
                <c:pt idx="278">
                  <c:v>7.94278629097807</c:v>
                </c:pt>
                <c:pt idx="279">
                  <c:v>8.017418024593141</c:v>
                </c:pt>
                <c:pt idx="280">
                  <c:v>8.0801643110188159</c:v>
                </c:pt>
                <c:pt idx="281">
                  <c:v>8.1322911413785288</c:v>
                </c:pt>
                <c:pt idx="282">
                  <c:v>8.1749011953084398</c:v>
                </c:pt>
                <c:pt idx="283">
                  <c:v>8.2089560084536348</c:v>
                </c:pt>
                <c:pt idx="284">
                  <c:v>8.2352953965901587</c:v>
                </c:pt>
                <c:pt idx="285">
                  <c:v>8.2546543282400258</c:v>
                </c:pt>
                <c:pt idx="286">
                  <c:v>8.2676774925749577</c:v>
                </c:pt>
                <c:pt idx="287">
                  <c:v>8.2749318258437814</c:v>
                </c:pt>
                <c:pt idx="288">
                  <c:v>8.2769172536804998</c:v>
                </c:pt>
                <c:pt idx="289">
                  <c:v>8.2740758887911969</c:v>
                </c:pt>
                <c:pt idx="290">
                  <c:v>8.2667999001100725</c:v>
                </c:pt>
                <c:pt idx="291">
                  <c:v>8.2554382444292749</c:v>
                </c:pt>
                <c:pt idx="292">
                  <c:v>8.2403024269667657</c:v>
                </c:pt>
                <c:pt idx="293">
                  <c:v>8.2216714345233459</c:v>
                </c:pt>
                <c:pt idx="294">
                  <c:v>8.1997959643368503</c:v>
                </c:pt>
                <c:pt idx="295">
                  <c:v>8.1749020536276564</c:v>
                </c:pt>
                <c:pt idx="296">
                  <c:v>8.1471941990880872</c:v>
                </c:pt>
                <c:pt idx="297">
                  <c:v>8.1168580420262249</c:v>
                </c:pt>
                <c:pt idx="298">
                  <c:v>8.0840626833086429</c:v>
                </c:pt>
                <c:pt idx="299">
                  <c:v>8.0489626824177947</c:v>
                </c:pt>
                <c:pt idx="300">
                  <c:v>8.0116997866168038</c:v>
                </c:pt>
                <c:pt idx="301">
                  <c:v>7.9724044291826557</c:v>
                </c:pt>
                <c:pt idx="302">
                  <c:v>7.9311970297365679</c:v>
                </c:pt>
                <c:pt idx="303">
                  <c:v>7.8881891246993963</c:v>
                </c:pt>
                <c:pt idx="304">
                  <c:v>7.843484351684781</c:v>
                </c:pt>
                <c:pt idx="305">
                  <c:v>7.7971793080892633</c:v>
                </c:pt>
                <c:pt idx="306">
                  <c:v>7.749364301141032</c:v>
                </c:pt>
                <c:pt idx="307">
                  <c:v>7.7001240041383632</c:v>
                </c:pt>
                <c:pt idx="308">
                  <c:v>7.6495380314700689</c:v>
                </c:pt>
                <c:pt idx="309">
                  <c:v>7.5976814432004742</c:v>
                </c:pt>
                <c:pt idx="310">
                  <c:v>7.5446251884681264</c:v>
                </c:pt>
                <c:pt idx="311">
                  <c:v>7.4904364956460565</c:v>
                </c:pt>
                <c:pt idx="312">
                  <c:v>7.4351792161055172</c:v>
                </c:pt>
                <c:pt idx="313">
                  <c:v>7.3789141274837675</c:v>
                </c:pt>
                <c:pt idx="314">
                  <c:v>7.3216992015534768</c:v>
                </c:pt>
                <c:pt idx="315">
                  <c:v>7.2635898411058104</c:v>
                </c:pt>
                <c:pt idx="316">
                  <c:v>7.2046390896723622</c:v>
                </c:pt>
                <c:pt idx="317">
                  <c:v>7.1448978174082445</c:v>
                </c:pt>
                <c:pt idx="318">
                  <c:v>7.0844148860267424</c:v>
                </c:pt>
                <c:pt idx="319">
                  <c:v>7.0232372953044333</c:v>
                </c:pt>
                <c:pt idx="320">
                  <c:v>6.9614103133555751</c:v>
                </c:pt>
                <c:pt idx="321">
                  <c:v>6.8989775925981114</c:v>
                </c:pt>
                <c:pt idx="322">
                  <c:v>6.8359812730947374</c:v>
                </c:pt>
                <c:pt idx="323">
                  <c:v>6.7724620747453361</c:v>
                </c:pt>
                <c:pt idx="324">
                  <c:v>6.7084593796273815</c:v>
                </c:pt>
                <c:pt idx="325">
                  <c:v>6.6440113056247716</c:v>
                </c:pt>
                <c:pt idx="326">
                  <c:v>6.5791547723493977</c:v>
                </c:pt>
                <c:pt idx="327">
                  <c:v>6.5139255602412103</c:v>
                </c:pt>
                <c:pt idx="328">
                  <c:v>6.4483583636286559</c:v>
                </c:pt>
                <c:pt idx="329">
                  <c:v>6.3824868384408715</c:v>
                </c:pt>
                <c:pt idx="330">
                  <c:v>6.31634364518316</c:v>
                </c:pt>
                <c:pt idx="331">
                  <c:v>6.2499604877176846</c:v>
                </c:pt>
                <c:pt idx="332">
                  <c:v>6.1833681483296479</c:v>
                </c:pt>
                <c:pt idx="333">
                  <c:v>6.1165965195053467</c:v>
                </c:pt>
                <c:pt idx="334">
                  <c:v>6.0496746328005013</c:v>
                </c:pt>
                <c:pt idx="335">
                  <c:v>5.9826306851353586</c:v>
                </c:pt>
                <c:pt idx="336">
                  <c:v>5.9154920628155363</c:v>
                </c:pt>
                <c:pt idx="337">
                  <c:v>5.8482853635447345</c:v>
                </c:pt>
                <c:pt idx="338">
                  <c:v>5.8482185253978631</c:v>
                </c:pt>
                <c:pt idx="339">
                  <c:v>5.8481516872122503</c:v>
                </c:pt>
                <c:pt idx="340">
                  <c:v>5.8480848489879254</c:v>
                </c:pt>
                <c:pt idx="341">
                  <c:v>5.8480180107249105</c:v>
                </c:pt>
                <c:pt idx="342">
                  <c:v>5.8479511724232296</c:v>
                </c:pt>
                <c:pt idx="343">
                  <c:v>5.8478843340829094</c:v>
                </c:pt>
                <c:pt idx="344">
                  <c:v>5.847817495703973</c:v>
                </c:pt>
                <c:pt idx="345">
                  <c:v>5.8477506572864462</c:v>
                </c:pt>
                <c:pt idx="346">
                  <c:v>5.8476838188303564</c:v>
                </c:pt>
                <c:pt idx="347">
                  <c:v>5.8476169803357267</c:v>
                </c:pt>
                <c:pt idx="348">
                  <c:v>5.8475501418025786</c:v>
                </c:pt>
                <c:pt idx="349">
                  <c:v>5.8474833032309448</c:v>
                </c:pt>
                <c:pt idx="350">
                  <c:v>5.847416464620844</c:v>
                </c:pt>
                <c:pt idx="351">
                  <c:v>5.8473496259723046</c:v>
                </c:pt>
                <c:pt idx="352">
                  <c:v>5.8472827872853479</c:v>
                </c:pt>
                <c:pt idx="353">
                  <c:v>5.8472159485600006</c:v>
                </c:pt>
                <c:pt idx="354">
                  <c:v>5.8471491097962911</c:v>
                </c:pt>
                <c:pt idx="355">
                  <c:v>5.8470822709942389</c:v>
                </c:pt>
                <c:pt idx="356">
                  <c:v>5.8470154321538761</c:v>
                </c:pt>
                <c:pt idx="357">
                  <c:v>5.8469485932752194</c:v>
                </c:pt>
                <c:pt idx="358">
                  <c:v>5.8468817543583</c:v>
                </c:pt>
                <c:pt idx="359">
                  <c:v>5.8468149154031401</c:v>
                </c:pt>
                <c:pt idx="360">
                  <c:v>5.8467480764097655</c:v>
                </c:pt>
                <c:pt idx="361">
                  <c:v>5.8466812373782027</c:v>
                </c:pt>
                <c:pt idx="362">
                  <c:v>5.8466143983084722</c:v>
                </c:pt>
                <c:pt idx="363">
                  <c:v>5.8465475592006015</c:v>
                </c:pt>
                <c:pt idx="364">
                  <c:v>5.8464807200546165</c:v>
                </c:pt>
                <c:pt idx="365">
                  <c:v>5.846413880870541</c:v>
                </c:pt>
                <c:pt idx="366">
                  <c:v>5.8463470416484036</c:v>
                </c:pt>
                <c:pt idx="367">
                  <c:v>5.8462802023882245</c:v>
                </c:pt>
                <c:pt idx="368">
                  <c:v>5.8462133630900315</c:v>
                </c:pt>
                <c:pt idx="369">
                  <c:v>5.8461465237538484</c:v>
                </c:pt>
                <c:pt idx="370">
                  <c:v>5.8460796843796965</c:v>
                </c:pt>
                <c:pt idx="371">
                  <c:v>5.8460128449676088</c:v>
                </c:pt>
                <c:pt idx="372">
                  <c:v>5.8459460055176073</c:v>
                </c:pt>
                <c:pt idx="373">
                  <c:v>5.8458791660297127</c:v>
                </c:pt>
                <c:pt idx="374">
                  <c:v>5.8458123265039541</c:v>
                </c:pt>
                <c:pt idx="375">
                  <c:v>5.8457454869403556</c:v>
                </c:pt>
                <c:pt idx="376">
                  <c:v>5.845678647338941</c:v>
                </c:pt>
                <c:pt idx="377">
                  <c:v>5.8456118076997363</c:v>
                </c:pt>
                <c:pt idx="378">
                  <c:v>5.8455449680227698</c:v>
                </c:pt>
                <c:pt idx="379">
                  <c:v>5.8454781283080601</c:v>
                </c:pt>
                <c:pt idx="380">
                  <c:v>5.8454112885556384</c:v>
                </c:pt>
                <c:pt idx="381">
                  <c:v>5.8453444487655251</c:v>
                </c:pt>
                <c:pt idx="382">
                  <c:v>5.8452776089377476</c:v>
                </c:pt>
                <c:pt idx="383">
                  <c:v>5.8452107690723274</c:v>
                </c:pt>
                <c:pt idx="384">
                  <c:v>5.8451439291692928</c:v>
                </c:pt>
                <c:pt idx="385">
                  <c:v>5.8450770892286705</c:v>
                </c:pt>
                <c:pt idx="386">
                  <c:v>5.8450102492504818</c:v>
                </c:pt>
                <c:pt idx="387">
                  <c:v>5.8449434092347508</c:v>
                </c:pt>
                <c:pt idx="388">
                  <c:v>5.8448765691815083</c:v>
                </c:pt>
                <c:pt idx="389">
                  <c:v>5.8448097290907732</c:v>
                </c:pt>
                <c:pt idx="390">
                  <c:v>5.844742888962573</c:v>
                </c:pt>
                <c:pt idx="391">
                  <c:v>5.844676048796936</c:v>
                </c:pt>
                <c:pt idx="392">
                  <c:v>5.8446092085938801</c:v>
                </c:pt>
                <c:pt idx="393">
                  <c:v>5.8445423683534354</c:v>
                </c:pt>
                <c:pt idx="394">
                  <c:v>5.8444755280756242</c:v>
                </c:pt>
                <c:pt idx="395">
                  <c:v>5.844408687760474</c:v>
                </c:pt>
                <c:pt idx="396">
                  <c:v>5.8443418474080104</c:v>
                </c:pt>
                <c:pt idx="397">
                  <c:v>5.8442750070182541</c:v>
                </c:pt>
                <c:pt idx="398">
                  <c:v>5.8442081665912324</c:v>
                </c:pt>
                <c:pt idx="399">
                  <c:v>5.8441413261269695</c:v>
                </c:pt>
                <c:pt idx="400">
                  <c:v>5.8440744856254927</c:v>
                </c:pt>
                <c:pt idx="401">
                  <c:v>5.8440076450868244</c:v>
                </c:pt>
                <c:pt idx="402">
                  <c:v>5.8439408045109928</c:v>
                </c:pt>
                <c:pt idx="403">
                  <c:v>5.8438739638980204</c:v>
                </c:pt>
                <c:pt idx="404">
                  <c:v>5.8438071232479274</c:v>
                </c:pt>
                <c:pt idx="405">
                  <c:v>5.8437402825607503</c:v>
                </c:pt>
                <c:pt idx="406">
                  <c:v>5.8436734418365051</c:v>
                </c:pt>
                <c:pt idx="407">
                  <c:v>5.843606601075221</c:v>
                </c:pt>
                <c:pt idx="408">
                  <c:v>5.8435397602769168</c:v>
                </c:pt>
                <c:pt idx="409">
                  <c:v>5.8434729194416262</c:v>
                </c:pt>
                <c:pt idx="410">
                  <c:v>5.8434060785693678</c:v>
                </c:pt>
                <c:pt idx="411">
                  <c:v>5.8433392376601709</c:v>
                </c:pt>
                <c:pt idx="412">
                  <c:v>5.8432723967140543</c:v>
                </c:pt>
                <c:pt idx="413">
                  <c:v>5.8432055557310498</c:v>
                </c:pt>
                <c:pt idx="414">
                  <c:v>5.8431387147111788</c:v>
                </c:pt>
                <c:pt idx="415">
                  <c:v>5.8430718736544698</c:v>
                </c:pt>
                <c:pt idx="416">
                  <c:v>5.8430050325609377</c:v>
                </c:pt>
                <c:pt idx="417">
                  <c:v>5.84293819143062</c:v>
                </c:pt>
                <c:pt idx="418">
                  <c:v>5.8428713502635343</c:v>
                </c:pt>
                <c:pt idx="419">
                  <c:v>5.8428045090597109</c:v>
                </c:pt>
                <c:pt idx="420">
                  <c:v>5.8427376678191694</c:v>
                </c:pt>
                <c:pt idx="421">
                  <c:v>5.8426708265419336</c:v>
                </c:pt>
                <c:pt idx="422">
                  <c:v>5.8426039852280365</c:v>
                </c:pt>
                <c:pt idx="423">
                  <c:v>5.8425371438774931</c:v>
                </c:pt>
                <c:pt idx="424">
                  <c:v>5.8424703024903373</c:v>
                </c:pt>
                <c:pt idx="425">
                  <c:v>5.8424034610665885</c:v>
                </c:pt>
                <c:pt idx="426">
                  <c:v>5.8423366196062734</c:v>
                </c:pt>
                <c:pt idx="427">
                  <c:v>5.8422697781094168</c:v>
                </c:pt>
                <c:pt idx="428">
                  <c:v>5.8422029365760455</c:v>
                </c:pt>
                <c:pt idx="429">
                  <c:v>5.8421360950061789</c:v>
                </c:pt>
                <c:pt idx="430">
                  <c:v>5.8420692533998491</c:v>
                </c:pt>
                <c:pt idx="431">
                  <c:v>5.8420024117570755</c:v>
                </c:pt>
                <c:pt idx="432">
                  <c:v>5.8419355700778866</c:v>
                </c:pt>
                <c:pt idx="433">
                  <c:v>5.8418687283623063</c:v>
                </c:pt>
                <c:pt idx="434">
                  <c:v>5.8418018866103587</c:v>
                </c:pt>
                <c:pt idx="435">
                  <c:v>5.8417350448220686</c:v>
                </c:pt>
                <c:pt idx="436">
                  <c:v>5.8416682029974609</c:v>
                </c:pt>
                <c:pt idx="437">
                  <c:v>5.8416013611365649</c:v>
                </c:pt>
                <c:pt idx="438">
                  <c:v>5.8415345192394001</c:v>
                </c:pt>
                <c:pt idx="439">
                  <c:v>5.8414676773059888</c:v>
                </c:pt>
                <c:pt idx="440">
                  <c:v>5.8414008353363656</c:v>
                </c:pt>
                <c:pt idx="441">
                  <c:v>5.841333993330549</c:v>
                </c:pt>
                <c:pt idx="442">
                  <c:v>5.8412671512885632</c:v>
                </c:pt>
                <c:pt idx="443">
                  <c:v>5.8412003092104356</c:v>
                </c:pt>
                <c:pt idx="444">
                  <c:v>5.8411334670961921</c:v>
                </c:pt>
                <c:pt idx="445">
                  <c:v>5.8410666249458547</c:v>
                </c:pt>
                <c:pt idx="446">
                  <c:v>5.840999782759452</c:v>
                </c:pt>
                <c:pt idx="447">
                  <c:v>5.8409329405370052</c:v>
                </c:pt>
                <c:pt idx="448">
                  <c:v>5.840866098278541</c:v>
                </c:pt>
                <c:pt idx="449">
                  <c:v>5.8407992559840842</c:v>
                </c:pt>
                <c:pt idx="450">
                  <c:v>5.840732413653658</c:v>
                </c:pt>
                <c:pt idx="451">
                  <c:v>5.8406655712872944</c:v>
                </c:pt>
                <c:pt idx="452">
                  <c:v>5.8405987288850083</c:v>
                </c:pt>
                <c:pt idx="453">
                  <c:v>5.8405318864468327</c:v>
                </c:pt>
                <c:pt idx="454">
                  <c:v>5.8404650439727845</c:v>
                </c:pt>
                <c:pt idx="455">
                  <c:v>5.8403982014629001</c:v>
                </c:pt>
                <c:pt idx="456">
                  <c:v>5.8403313589171919</c:v>
                </c:pt>
                <c:pt idx="457">
                  <c:v>5.8402645163356937</c:v>
                </c:pt>
                <c:pt idx="458">
                  <c:v>5.8401976737184258</c:v>
                </c:pt>
                <c:pt idx="459">
                  <c:v>5.8401308310654132</c:v>
                </c:pt>
                <c:pt idx="460">
                  <c:v>5.8400639883766825</c:v>
                </c:pt>
                <c:pt idx="461">
                  <c:v>5.8399971456522612</c:v>
                </c:pt>
                <c:pt idx="462">
                  <c:v>5.839930302892169</c:v>
                </c:pt>
                <c:pt idx="463">
                  <c:v>5.8398634600964314</c:v>
                </c:pt>
                <c:pt idx="464">
                  <c:v>5.8397966172650797</c:v>
                </c:pt>
                <c:pt idx="465">
                  <c:v>5.8397297743981289</c:v>
                </c:pt>
                <c:pt idx="466">
                  <c:v>5.8396629314956119</c:v>
                </c:pt>
                <c:pt idx="467">
                  <c:v>5.8395960885575509</c:v>
                </c:pt>
                <c:pt idx="468">
                  <c:v>5.8395292455839733</c:v>
                </c:pt>
                <c:pt idx="469">
                  <c:v>5.839462402574898</c:v>
                </c:pt>
                <c:pt idx="470">
                  <c:v>5.8393955595303577</c:v>
                </c:pt>
                <c:pt idx="471">
                  <c:v>5.8393287164503693</c:v>
                </c:pt>
                <c:pt idx="472">
                  <c:v>5.8392618733349622</c:v>
                </c:pt>
                <c:pt idx="473">
                  <c:v>5.8391950301841629</c:v>
                </c:pt>
                <c:pt idx="474">
                  <c:v>5.8391281869979927</c:v>
                </c:pt>
                <c:pt idx="475">
                  <c:v>5.8390613437764767</c:v>
                </c:pt>
                <c:pt idx="476">
                  <c:v>5.8389945005196422</c:v>
                </c:pt>
                <c:pt idx="477">
                  <c:v>5.8389276572275133</c:v>
                </c:pt>
                <c:pt idx="478">
                  <c:v>5.8388608139001139</c:v>
                </c:pt>
                <c:pt idx="479">
                  <c:v>5.8387939705374716</c:v>
                </c:pt>
                <c:pt idx="480">
                  <c:v>5.8387271271396068</c:v>
                </c:pt>
                <c:pt idx="481">
                  <c:v>5.838660283706548</c:v>
                </c:pt>
                <c:pt idx="482">
                  <c:v>5.8385934402383199</c:v>
                </c:pt>
                <c:pt idx="483">
                  <c:v>5.838526596734944</c:v>
                </c:pt>
                <c:pt idx="484">
                  <c:v>5.8384597531964495</c:v>
                </c:pt>
                <c:pt idx="485">
                  <c:v>5.8383929096228595</c:v>
                </c:pt>
                <c:pt idx="486">
                  <c:v>5.8383260660141989</c:v>
                </c:pt>
                <c:pt idx="487">
                  <c:v>5.8382592223704917</c:v>
                </c:pt>
                <c:pt idx="488">
                  <c:v>5.8381923786917653</c:v>
                </c:pt>
                <c:pt idx="489">
                  <c:v>5.8381255349780412</c:v>
                </c:pt>
                <c:pt idx="490">
                  <c:v>5.8380586912293477</c:v>
                </c:pt>
                <c:pt idx="491">
                  <c:v>5.8379918474457089</c:v>
                </c:pt>
                <c:pt idx="492">
                  <c:v>5.8379250036271451</c:v>
                </c:pt>
                <c:pt idx="493">
                  <c:v>5.8378581597736874</c:v>
                </c:pt>
                <c:pt idx="494">
                  <c:v>5.8377913158853589</c:v>
                </c:pt>
                <c:pt idx="495">
                  <c:v>5.8377244719621846</c:v>
                </c:pt>
                <c:pt idx="496">
                  <c:v>5.8376576280041874</c:v>
                </c:pt>
                <c:pt idx="497">
                  <c:v>5.8375907840113932</c:v>
                </c:pt>
                <c:pt idx="498">
                  <c:v>5.8375239399838303</c:v>
                </c:pt>
                <c:pt idx="499">
                  <c:v>5.8374570959215193</c:v>
                </c:pt>
                <c:pt idx="500">
                  <c:v>5.8373902518244849</c:v>
                </c:pt>
                <c:pt idx="501">
                  <c:v>5.8373234076927538</c:v>
                </c:pt>
                <c:pt idx="502">
                  <c:v>5.8372565635263536</c:v>
                </c:pt>
                <c:pt idx="503">
                  <c:v>5.8371897193253028</c:v>
                </c:pt>
                <c:pt idx="504">
                  <c:v>5.83712287508963</c:v>
                </c:pt>
                <c:pt idx="505">
                  <c:v>5.8370560308193618</c:v>
                </c:pt>
                <c:pt idx="506">
                  <c:v>5.8369891865145185</c:v>
                </c:pt>
                <c:pt idx="507">
                  <c:v>5.8369223421751322</c:v>
                </c:pt>
                <c:pt idx="508">
                  <c:v>5.836855497801217</c:v>
                </c:pt>
                <c:pt idx="509">
                  <c:v>5.8367886533928068</c:v>
                </c:pt>
                <c:pt idx="510">
                  <c:v>5.8367218089499247</c:v>
                </c:pt>
                <c:pt idx="511">
                  <c:v>5.8366549644725882</c:v>
                </c:pt>
                <c:pt idx="512">
                  <c:v>5.8365881199608385</c:v>
                </c:pt>
                <c:pt idx="513">
                  <c:v>5.836521275414686</c:v>
                </c:pt>
                <c:pt idx="514">
                  <c:v>5.8364544308341557</c:v>
                </c:pt>
                <c:pt idx="515">
                  <c:v>5.8363875862192822</c:v>
                </c:pt>
                <c:pt idx="516">
                  <c:v>5.8363207415700842</c:v>
                </c:pt>
                <c:pt idx="517">
                  <c:v>5.83625389688659</c:v>
                </c:pt>
                <c:pt idx="518">
                  <c:v>5.8361870521688193</c:v>
                </c:pt>
                <c:pt idx="519">
                  <c:v>5.8361202074167977</c:v>
                </c:pt>
                <c:pt idx="520">
                  <c:v>5.8360533626305546</c:v>
                </c:pt>
                <c:pt idx="521">
                  <c:v>5.835986517810114</c:v>
                </c:pt>
                <c:pt idx="522">
                  <c:v>5.8359196729554945</c:v>
                </c:pt>
                <c:pt idx="523">
                  <c:v>5.8358528280667308</c:v>
                </c:pt>
                <c:pt idx="524">
                  <c:v>5.8357859831438388</c:v>
                </c:pt>
                <c:pt idx="525">
                  <c:v>5.8357191381868496</c:v>
                </c:pt>
                <c:pt idx="526">
                  <c:v>5.8356522931957819</c:v>
                </c:pt>
                <c:pt idx="527">
                  <c:v>5.8355854481706686</c:v>
                </c:pt>
                <c:pt idx="528">
                  <c:v>5.8355186031115256</c:v>
                </c:pt>
                <c:pt idx="529">
                  <c:v>5.8354517580183831</c:v>
                </c:pt>
                <c:pt idx="530">
                  <c:v>5.8353849128912705</c:v>
                </c:pt>
                <c:pt idx="531">
                  <c:v>5.8353180677302028</c:v>
                </c:pt>
                <c:pt idx="532">
                  <c:v>5.835251222535212</c:v>
                </c:pt>
                <c:pt idx="533">
                  <c:v>5.8351843773063186</c:v>
                </c:pt>
                <c:pt idx="534">
                  <c:v>5.8351175320435491</c:v>
                </c:pt>
                <c:pt idx="535">
                  <c:v>5.8350506867469338</c:v>
                </c:pt>
                <c:pt idx="536">
                  <c:v>5.834983841416487</c:v>
                </c:pt>
                <c:pt idx="537">
                  <c:v>5.8349169960522431</c:v>
                </c:pt>
                <c:pt idx="538">
                  <c:v>5.8348501506542192</c:v>
                </c:pt>
                <c:pt idx="539">
                  <c:v>5.8347833052224436</c:v>
                </c:pt>
                <c:pt idx="540">
                  <c:v>5.8347164597569456</c:v>
                </c:pt>
                <c:pt idx="541">
                  <c:v>5.8346496142577449</c:v>
                </c:pt>
                <c:pt idx="542">
                  <c:v>5.8345827687248626</c:v>
                </c:pt>
                <c:pt idx="543">
                  <c:v>5.8345159231583299</c:v>
                </c:pt>
                <c:pt idx="544">
                  <c:v>5.8344490775581743</c:v>
                </c:pt>
                <c:pt idx="545">
                  <c:v>5.8343822319244145</c:v>
                </c:pt>
                <c:pt idx="546">
                  <c:v>5.8343153862570762</c:v>
                </c:pt>
                <c:pt idx="547">
                  <c:v>5.834248540556187</c:v>
                </c:pt>
                <c:pt idx="548">
                  <c:v>5.8341816948217691</c:v>
                </c:pt>
                <c:pt idx="549">
                  <c:v>5.8341148490538499</c:v>
                </c:pt>
                <c:pt idx="550">
                  <c:v>5.83404800325245</c:v>
                </c:pt>
                <c:pt idx="551">
                  <c:v>5.8339811574176004</c:v>
                </c:pt>
                <c:pt idx="552">
                  <c:v>5.8339143115493188</c:v>
                </c:pt>
                <c:pt idx="553">
                  <c:v>5.8338474656476356</c:v>
                </c:pt>
                <c:pt idx="554">
                  <c:v>5.8337806197125754</c:v>
                </c:pt>
                <c:pt idx="555">
                  <c:v>5.8337137737441589</c:v>
                </c:pt>
                <c:pt idx="556">
                  <c:v>5.8336469277424152</c:v>
                </c:pt>
                <c:pt idx="557">
                  <c:v>5.8335800817073666</c:v>
                </c:pt>
                <c:pt idx="558">
                  <c:v>5.8335132356390407</c:v>
                </c:pt>
                <c:pt idx="559">
                  <c:v>5.8334463895374586</c:v>
                </c:pt>
                <c:pt idx="560">
                  <c:v>5.8333795434026481</c:v>
                </c:pt>
                <c:pt idx="561">
                  <c:v>5.8333126972346356</c:v>
                </c:pt>
                <c:pt idx="562">
                  <c:v>5.8332458510334391</c:v>
                </c:pt>
                <c:pt idx="563">
                  <c:v>5.8331790047990912</c:v>
                </c:pt>
                <c:pt idx="564">
                  <c:v>5.8331121585316135</c:v>
                </c:pt>
                <c:pt idx="565">
                  <c:v>5.833045312231028</c:v>
                </c:pt>
                <c:pt idx="566">
                  <c:v>5.832978465897364</c:v>
                </c:pt>
                <c:pt idx="567">
                  <c:v>5.8329116195306447</c:v>
                </c:pt>
                <c:pt idx="568">
                  <c:v>5.8328447731308932</c:v>
                </c:pt>
                <c:pt idx="569">
                  <c:v>5.8327779266981388</c:v>
                </c:pt>
                <c:pt idx="570">
                  <c:v>5.8327110802324036</c:v>
                </c:pt>
                <c:pt idx="571">
                  <c:v>5.8326442337337108</c:v>
                </c:pt>
                <c:pt idx="572">
                  <c:v>5.8325773872020878</c:v>
                </c:pt>
                <c:pt idx="573">
                  <c:v>5.8325105406375579</c:v>
                </c:pt>
                <c:pt idx="574">
                  <c:v>5.8324436940401458</c:v>
                </c:pt>
                <c:pt idx="575">
                  <c:v>5.83237684740988</c:v>
                </c:pt>
                <c:pt idx="576">
                  <c:v>5.8323100007467819</c:v>
                </c:pt>
                <c:pt idx="577">
                  <c:v>5.8322431540508735</c:v>
                </c:pt>
                <c:pt idx="578">
                  <c:v>5.8321763073221877</c:v>
                </c:pt>
                <c:pt idx="579">
                  <c:v>5.8321094605607424</c:v>
                </c:pt>
                <c:pt idx="580">
                  <c:v>5.8320426137665633</c:v>
                </c:pt>
                <c:pt idx="581">
                  <c:v>5.8319757669396779</c:v>
                </c:pt>
                <c:pt idx="582">
                  <c:v>5.8319089200801093</c:v>
                </c:pt>
                <c:pt idx="583">
                  <c:v>5.8318420731878824</c:v>
                </c:pt>
                <c:pt idx="584">
                  <c:v>5.8317752262630211</c:v>
                </c:pt>
                <c:pt idx="585">
                  <c:v>5.8317083793055566</c:v>
                </c:pt>
                <c:pt idx="586">
                  <c:v>5.8316415323155066</c:v>
                </c:pt>
                <c:pt idx="587">
                  <c:v>5.8315746852928934</c:v>
                </c:pt>
                <c:pt idx="588">
                  <c:v>5.8315078382377532</c:v>
                </c:pt>
                <c:pt idx="589">
                  <c:v>5.8314409911501013</c:v>
                </c:pt>
                <c:pt idx="590">
                  <c:v>5.8313741440299651</c:v>
                </c:pt>
                <c:pt idx="591">
                  <c:v>5.8313072968773687</c:v>
                </c:pt>
                <c:pt idx="592">
                  <c:v>5.8312404496923413</c:v>
                </c:pt>
                <c:pt idx="593">
                  <c:v>5.8311736024749017</c:v>
                </c:pt>
                <c:pt idx="594">
                  <c:v>5.8311067552250782</c:v>
                </c:pt>
                <c:pt idx="595">
                  <c:v>5.8310399079428947</c:v>
                </c:pt>
                <c:pt idx="596">
                  <c:v>5.8309730606283754</c:v>
                </c:pt>
                <c:pt idx="597">
                  <c:v>5.8309062132815459</c:v>
                </c:pt>
                <c:pt idx="598">
                  <c:v>5.830839365902432</c:v>
                </c:pt>
                <c:pt idx="599">
                  <c:v>5.8307725184910577</c:v>
                </c:pt>
                <c:pt idx="600">
                  <c:v>5.830705671047447</c:v>
                </c:pt>
                <c:pt idx="601">
                  <c:v>5.8306388235716247</c:v>
                </c:pt>
                <c:pt idx="602">
                  <c:v>5.8305719760636183</c:v>
                </c:pt>
                <c:pt idx="603">
                  <c:v>5.8305051285234493</c:v>
                </c:pt>
                <c:pt idx="604">
                  <c:v>5.8304382809511424</c:v>
                </c:pt>
                <c:pt idx="605">
                  <c:v>5.8303714333467243</c:v>
                </c:pt>
                <c:pt idx="606">
                  <c:v>5.8303045857102225</c:v>
                </c:pt>
                <c:pt idx="607">
                  <c:v>5.8302377380416583</c:v>
                </c:pt>
                <c:pt idx="608">
                  <c:v>5.8301708903410532</c:v>
                </c:pt>
                <c:pt idx="609">
                  <c:v>5.8301040426084363</c:v>
                </c:pt>
                <c:pt idx="610">
                  <c:v>5.8300371948438343</c:v>
                </c:pt>
                <c:pt idx="611">
                  <c:v>5.8299703470472668</c:v>
                </c:pt>
                <c:pt idx="612">
                  <c:v>5.8299034992187639</c:v>
                </c:pt>
                <c:pt idx="613">
                  <c:v>5.8298366513583471</c:v>
                </c:pt>
                <c:pt idx="614">
                  <c:v>5.8297698034660437</c:v>
                </c:pt>
                <c:pt idx="615">
                  <c:v>5.8297029555418725</c:v>
                </c:pt>
                <c:pt idx="616">
                  <c:v>5.8296361075858645</c:v>
                </c:pt>
                <c:pt idx="617">
                  <c:v>5.8295692595980455</c:v>
                </c:pt>
                <c:pt idx="618">
                  <c:v>5.8295024115784351</c:v>
                </c:pt>
                <c:pt idx="619">
                  <c:v>5.8294355635270616</c:v>
                </c:pt>
                <c:pt idx="620">
                  <c:v>5.8293687154439464</c:v>
                </c:pt>
                <c:pt idx="621">
                  <c:v>5.8293018673291188</c:v>
                </c:pt>
                <c:pt idx="622">
                  <c:v>5.8292350191826001</c:v>
                </c:pt>
                <c:pt idx="623">
                  <c:v>5.829168171004417</c:v>
                </c:pt>
                <c:pt idx="624">
                  <c:v>5.8291013227945943</c:v>
                </c:pt>
                <c:pt idx="625">
                  <c:v>5.829034474553155</c:v>
                </c:pt>
                <c:pt idx="626">
                  <c:v>5.8289676262801251</c:v>
                </c:pt>
                <c:pt idx="627">
                  <c:v>5.8289007779755302</c:v>
                </c:pt>
                <c:pt idx="628">
                  <c:v>5.8288339296393961</c:v>
                </c:pt>
                <c:pt idx="629">
                  <c:v>5.8287670812717423</c:v>
                </c:pt>
                <c:pt idx="630">
                  <c:v>5.828700232872599</c:v>
                </c:pt>
                <c:pt idx="631">
                  <c:v>5.8286333844419902</c:v>
                </c:pt>
                <c:pt idx="632">
                  <c:v>5.8285665359799346</c:v>
                </c:pt>
                <c:pt idx="633">
                  <c:v>5.8284996874864667</c:v>
                </c:pt>
                <c:pt idx="634">
                  <c:v>5.8284328389616054</c:v>
                </c:pt>
                <c:pt idx="635">
                  <c:v>5.8283659904053771</c:v>
                </c:pt>
                <c:pt idx="636">
                  <c:v>5.8282991418178076</c:v>
                </c:pt>
                <c:pt idx="637">
                  <c:v>5.828232293198921</c:v>
                </c:pt>
                <c:pt idx="638">
                  <c:v>5.8281654445487394</c:v>
                </c:pt>
                <c:pt idx="639">
                  <c:v>5.8280985958672877</c:v>
                </c:pt>
                <c:pt idx="640">
                  <c:v>5.8280317471545953</c:v>
                </c:pt>
                <c:pt idx="641">
                  <c:v>5.8279648984106842</c:v>
                </c:pt>
                <c:pt idx="642">
                  <c:v>5.8278980496355777</c:v>
                </c:pt>
                <c:pt idx="643">
                  <c:v>5.8278312008293049</c:v>
                </c:pt>
                <c:pt idx="644">
                  <c:v>5.8277643519918865</c:v>
                </c:pt>
                <c:pt idx="645">
                  <c:v>5.827697503123348</c:v>
                </c:pt>
                <c:pt idx="646">
                  <c:v>5.8276306542237162</c:v>
                </c:pt>
                <c:pt idx="647">
                  <c:v>5.8275638052930141</c:v>
                </c:pt>
                <c:pt idx="648">
                  <c:v>5.8274969563312631</c:v>
                </c:pt>
                <c:pt idx="649">
                  <c:v>5.8274301073384969</c:v>
                </c:pt>
                <c:pt idx="650">
                  <c:v>5.8273632583147332</c:v>
                </c:pt>
                <c:pt idx="651">
                  <c:v>5.8272964092599988</c:v>
                </c:pt>
                <c:pt idx="652">
                  <c:v>5.8272295601743194</c:v>
                </c:pt>
                <c:pt idx="653">
                  <c:v>5.8271627110577215</c:v>
                </c:pt>
                <c:pt idx="654">
                  <c:v>5.827095861910224</c:v>
                </c:pt>
                <c:pt idx="655">
                  <c:v>5.8270290127318525</c:v>
                </c:pt>
                <c:pt idx="656">
                  <c:v>5.8269621635226398</c:v>
                </c:pt>
                <c:pt idx="657">
                  <c:v>5.8268953142826021</c:v>
                </c:pt>
                <c:pt idx="658">
                  <c:v>5.8268284650117685</c:v>
                </c:pt>
                <c:pt idx="659">
                  <c:v>5.8267616157101614</c:v>
                </c:pt>
                <c:pt idx="660">
                  <c:v>5.8266947663778055</c:v>
                </c:pt>
                <c:pt idx="661">
                  <c:v>5.8266279170147284</c:v>
                </c:pt>
                <c:pt idx="662">
                  <c:v>5.8265610676209549</c:v>
                </c:pt>
                <c:pt idx="663">
                  <c:v>5.8264942181965056</c:v>
                </c:pt>
                <c:pt idx="664">
                  <c:v>5.8264273687414097</c:v>
                </c:pt>
                <c:pt idx="665">
                  <c:v>5.8263605192556884</c:v>
                </c:pt>
                <c:pt idx="666">
                  <c:v>5.8262936697393668</c:v>
                </c:pt>
                <c:pt idx="667">
                  <c:v>5.8262268201924723</c:v>
                </c:pt>
                <c:pt idx="668">
                  <c:v>5.8261599706150289</c:v>
                </c:pt>
                <c:pt idx="669">
                  <c:v>5.8260931210070641</c:v>
                </c:pt>
                <c:pt idx="670">
                  <c:v>5.8260262713685957</c:v>
                </c:pt>
                <c:pt idx="671">
                  <c:v>5.8259594216996531</c:v>
                </c:pt>
                <c:pt idx="672">
                  <c:v>5.8258925720002601</c:v>
                </c:pt>
                <c:pt idx="673">
                  <c:v>5.825825722270439</c:v>
                </c:pt>
                <c:pt idx="674">
                  <c:v>5.825758872510221</c:v>
                </c:pt>
                <c:pt idx="675">
                  <c:v>5.8256920227196245</c:v>
                </c:pt>
                <c:pt idx="676">
                  <c:v>5.8256251728986772</c:v>
                </c:pt>
                <c:pt idx="677">
                  <c:v>5.8255583230474048</c:v>
                </c:pt>
                <c:pt idx="678">
                  <c:v>5.8254914731658278</c:v>
                </c:pt>
                <c:pt idx="679">
                  <c:v>5.8254246232539799</c:v>
                </c:pt>
                <c:pt idx="680">
                  <c:v>5.8253577733118753</c:v>
                </c:pt>
                <c:pt idx="681">
                  <c:v>5.825290923339546</c:v>
                </c:pt>
                <c:pt idx="682">
                  <c:v>5.8252240733370115</c:v>
                </c:pt>
                <c:pt idx="683">
                  <c:v>5.8251572233042985</c:v>
                </c:pt>
                <c:pt idx="684">
                  <c:v>5.8250903732414345</c:v>
                </c:pt>
                <c:pt idx="685">
                  <c:v>5.82502352314844</c:v>
                </c:pt>
                <c:pt idx="686">
                  <c:v>5.8249566730253441</c:v>
                </c:pt>
                <c:pt idx="687">
                  <c:v>5.8248898228721675</c:v>
                </c:pt>
                <c:pt idx="688">
                  <c:v>5.8248229726889393</c:v>
                </c:pt>
                <c:pt idx="689">
                  <c:v>5.8247561224756792</c:v>
                </c:pt>
                <c:pt idx="690">
                  <c:v>5.8246892722324182</c:v>
                </c:pt>
                <c:pt idx="691">
                  <c:v>5.8246224219591713</c:v>
                </c:pt>
                <c:pt idx="692">
                  <c:v>5.8245555716559743</c:v>
                </c:pt>
                <c:pt idx="693">
                  <c:v>5.8244887213228465</c:v>
                </c:pt>
                <c:pt idx="694">
                  <c:v>5.8244218709598137</c:v>
                </c:pt>
                <c:pt idx="695">
                  <c:v>5.8243550205668999</c:v>
                </c:pt>
                <c:pt idx="696">
                  <c:v>5.8242881701441291</c:v>
                </c:pt>
                <c:pt idx="697">
                  <c:v>5.8242213196915253</c:v>
                </c:pt>
                <c:pt idx="698">
                  <c:v>5.8241544692091178</c:v>
                </c:pt>
                <c:pt idx="699">
                  <c:v>5.824087618696927</c:v>
                </c:pt>
                <c:pt idx="700">
                  <c:v>5.8240207681549778</c:v>
                </c:pt>
                <c:pt idx="701">
                  <c:v>5.8239539175832995</c:v>
                </c:pt>
                <c:pt idx="702">
                  <c:v>5.8238870669819143</c:v>
                </c:pt>
                <c:pt idx="703">
                  <c:v>5.8238202163508426</c:v>
                </c:pt>
                <c:pt idx="704">
                  <c:v>5.8237533656901146</c:v>
                </c:pt>
                <c:pt idx="705">
                  <c:v>5.8236865149997543</c:v>
                </c:pt>
                <c:pt idx="706">
                  <c:v>5.8236196642797839</c:v>
                </c:pt>
                <c:pt idx="707">
                  <c:v>5.823552813530231</c:v>
                </c:pt>
                <c:pt idx="708">
                  <c:v>5.8234859627511195</c:v>
                </c:pt>
                <c:pt idx="709">
                  <c:v>5.8234191119424699</c:v>
                </c:pt>
                <c:pt idx="710">
                  <c:v>5.8233522611043149</c:v>
                </c:pt>
                <c:pt idx="711">
                  <c:v>5.8232854102366742</c:v>
                </c:pt>
                <c:pt idx="712">
                  <c:v>5.8232185593395744</c:v>
                </c:pt>
                <c:pt idx="713">
                  <c:v>5.8231517084130395</c:v>
                </c:pt>
                <c:pt idx="714">
                  <c:v>5.8230848574570917</c:v>
                </c:pt>
                <c:pt idx="715">
                  <c:v>5.8230180064717612</c:v>
                </c:pt>
                <c:pt idx="716">
                  <c:v>5.8229511554570665</c:v>
                </c:pt>
                <c:pt idx="717">
                  <c:v>5.8228843044130354</c:v>
                </c:pt>
                <c:pt idx="718">
                  <c:v>5.8228174533396917</c:v>
                </c:pt>
                <c:pt idx="719">
                  <c:v>5.8227506022370648</c:v>
                </c:pt>
                <c:pt idx="720">
                  <c:v>5.8226837511051723</c:v>
                </c:pt>
                <c:pt idx="721">
                  <c:v>5.8226168999440482</c:v>
                </c:pt>
                <c:pt idx="722">
                  <c:v>5.8225500487537056</c:v>
                </c:pt>
                <c:pt idx="723">
                  <c:v>5.8224831975341784</c:v>
                </c:pt>
                <c:pt idx="724">
                  <c:v>5.8224163462854843</c:v>
                </c:pt>
                <c:pt idx="725">
                  <c:v>5.8223494950076535</c:v>
                </c:pt>
                <c:pt idx="726">
                  <c:v>5.8222826437007118</c:v>
                </c:pt>
                <c:pt idx="727">
                  <c:v>5.8222157923646787</c:v>
                </c:pt>
                <c:pt idx="728">
                  <c:v>5.8221489409995826</c:v>
                </c:pt>
                <c:pt idx="729">
                  <c:v>5.8220820896054466</c:v>
                </c:pt>
                <c:pt idx="730">
                  <c:v>5.8220152381822938</c:v>
                </c:pt>
                <c:pt idx="731">
                  <c:v>5.8219483867301536</c:v>
                </c:pt>
                <c:pt idx="732">
                  <c:v>5.8218815352490445</c:v>
                </c:pt>
                <c:pt idx="733">
                  <c:v>5.8218146837389977</c:v>
                </c:pt>
                <c:pt idx="734">
                  <c:v>5.8217478322000353</c:v>
                </c:pt>
                <c:pt idx="735">
                  <c:v>5.8216809806321788</c:v>
                </c:pt>
                <c:pt idx="736">
                  <c:v>5.8216141290354599</c:v>
                </c:pt>
                <c:pt idx="737">
                  <c:v>5.8215472774098984</c:v>
                </c:pt>
                <c:pt idx="738">
                  <c:v>5.8214804257555173</c:v>
                </c:pt>
                <c:pt idx="739">
                  <c:v>5.8214135740723458</c:v>
                </c:pt>
                <c:pt idx="740">
                  <c:v>5.8213467223604063</c:v>
                </c:pt>
                <c:pt idx="741">
                  <c:v>5.8212798706197253</c:v>
                </c:pt>
                <c:pt idx="742">
                  <c:v>5.8212130188503242</c:v>
                </c:pt>
                <c:pt idx="743">
                  <c:v>5.8211461670522286</c:v>
                </c:pt>
                <c:pt idx="744">
                  <c:v>5.8210793152254681</c:v>
                </c:pt>
                <c:pt idx="745">
                  <c:v>5.8210124633700628</c:v>
                </c:pt>
                <c:pt idx="746">
                  <c:v>5.820945611486037</c:v>
                </c:pt>
                <c:pt idx="747">
                  <c:v>5.8208787595734162</c:v>
                </c:pt>
                <c:pt idx="748">
                  <c:v>5.8208119076322253</c:v>
                </c:pt>
                <c:pt idx="749">
                  <c:v>5.8207450556624902</c:v>
                </c:pt>
                <c:pt idx="750">
                  <c:v>5.8206782036642339</c:v>
                </c:pt>
                <c:pt idx="751">
                  <c:v>5.8206113516374849</c:v>
                </c:pt>
                <c:pt idx="752">
                  <c:v>5.8205444995822608</c:v>
                </c:pt>
                <c:pt idx="753">
                  <c:v>5.8204776474985938</c:v>
                </c:pt>
                <c:pt idx="754">
                  <c:v>5.8204107953865041</c:v>
                </c:pt>
                <c:pt idx="755">
                  <c:v>5.8203439432460176</c:v>
                </c:pt>
                <c:pt idx="756">
                  <c:v>5.8202770910771582</c:v>
                </c:pt>
                <c:pt idx="757">
                  <c:v>5.8202102388799526</c:v>
                </c:pt>
                <c:pt idx="758">
                  <c:v>5.8201433866544257</c:v>
                </c:pt>
                <c:pt idx="759">
                  <c:v>5.8200765344005951</c:v>
                </c:pt>
                <c:pt idx="760">
                  <c:v>5.8200096821184975</c:v>
                </c:pt>
                <c:pt idx="761">
                  <c:v>5.8199428298081477</c:v>
                </c:pt>
                <c:pt idx="762">
                  <c:v>5.8198759774695752</c:v>
                </c:pt>
                <c:pt idx="763">
                  <c:v>5.8198091251028039</c:v>
                </c:pt>
                <c:pt idx="764">
                  <c:v>5.8197422727078569</c:v>
                </c:pt>
                <c:pt idx="765">
                  <c:v>5.8196754202847618</c:v>
                </c:pt>
                <c:pt idx="766">
                  <c:v>5.8196085678335407</c:v>
                </c:pt>
                <c:pt idx="767">
                  <c:v>5.8195417153542213</c:v>
                </c:pt>
                <c:pt idx="768">
                  <c:v>5.8194748628468238</c:v>
                </c:pt>
                <c:pt idx="769">
                  <c:v>5.8194080103113759</c:v>
                </c:pt>
                <c:pt idx="770">
                  <c:v>5.8193411577479024</c:v>
                </c:pt>
                <c:pt idx="771">
                  <c:v>5.8192743051564264</c:v>
                </c:pt>
                <c:pt idx="772">
                  <c:v>5.8192074525369737</c:v>
                </c:pt>
                <c:pt idx="773">
                  <c:v>5.8191405998895664</c:v>
                </c:pt>
                <c:pt idx="774">
                  <c:v>5.8190737472142402</c:v>
                </c:pt>
                <c:pt idx="775">
                  <c:v>5.8190068945110021</c:v>
                </c:pt>
                <c:pt idx="776">
                  <c:v>5.8189400417798893</c:v>
                </c:pt>
                <c:pt idx="777">
                  <c:v>5.8188731890209251</c:v>
                </c:pt>
                <c:pt idx="778">
                  <c:v>5.8188063362341271</c:v>
                </c:pt>
                <c:pt idx="779">
                  <c:v>5.8187394834195292</c:v>
                </c:pt>
                <c:pt idx="780">
                  <c:v>5.8186726305771517</c:v>
                </c:pt>
                <c:pt idx="781">
                  <c:v>5.8186057777070186</c:v>
                </c:pt>
                <c:pt idx="782">
                  <c:v>5.8185389248091557</c:v>
                </c:pt>
                <c:pt idx="783">
                  <c:v>5.8184720718835887</c:v>
                </c:pt>
                <c:pt idx="784">
                  <c:v>5.818405218930339</c:v>
                </c:pt>
                <c:pt idx="785">
                  <c:v>5.8183383659494368</c:v>
                </c:pt>
                <c:pt idx="786">
                  <c:v>5.8182715129409015</c:v>
                </c:pt>
                <c:pt idx="787">
                  <c:v>5.8182046599047581</c:v>
                </c:pt>
                <c:pt idx="788">
                  <c:v>5.8181378068410359</c:v>
                </c:pt>
                <c:pt idx="789">
                  <c:v>5.8180709537497544</c:v>
                </c:pt>
                <c:pt idx="790">
                  <c:v>5.818004100630942</c:v>
                </c:pt>
                <c:pt idx="791">
                  <c:v>5.81793724748462</c:v>
                </c:pt>
                <c:pt idx="792">
                  <c:v>5.8178703943108161</c:v>
                </c:pt>
                <c:pt idx="793">
                  <c:v>5.8178035411095541</c:v>
                </c:pt>
                <c:pt idx="794">
                  <c:v>5.817736687880859</c:v>
                </c:pt>
                <c:pt idx="795">
                  <c:v>5.8176698346247511</c:v>
                </c:pt>
                <c:pt idx="796">
                  <c:v>5.8176029813412615</c:v>
                </c:pt>
                <c:pt idx="797">
                  <c:v>5.8175361280304152</c:v>
                </c:pt>
                <c:pt idx="798">
                  <c:v>5.8174692746922325</c:v>
                </c:pt>
                <c:pt idx="799">
                  <c:v>5.8174024213267383</c:v>
                </c:pt>
                <c:pt idx="800">
                  <c:v>5.8173355679339593</c:v>
                </c:pt>
                <c:pt idx="801">
                  <c:v>5.8172687145139177</c:v>
                </c:pt>
                <c:pt idx="802">
                  <c:v>5.8172018610666427</c:v>
                </c:pt>
                <c:pt idx="803">
                  <c:v>5.8171350075921548</c:v>
                </c:pt>
                <c:pt idx="804">
                  <c:v>5.8170681540904798</c:v>
                </c:pt>
                <c:pt idx="805">
                  <c:v>5.8170013005616443</c:v>
                </c:pt>
                <c:pt idx="806">
                  <c:v>5.8169344470056696</c:v>
                </c:pt>
                <c:pt idx="807">
                  <c:v>5.8168675934225806</c:v>
                </c:pt>
                <c:pt idx="808">
                  <c:v>5.816800739812404</c:v>
                </c:pt>
                <c:pt idx="809">
                  <c:v>5.8167338861751645</c:v>
                </c:pt>
                <c:pt idx="810">
                  <c:v>5.8166670325108871</c:v>
                </c:pt>
                <c:pt idx="811">
                  <c:v>5.8166001788195967</c:v>
                </c:pt>
                <c:pt idx="812">
                  <c:v>5.8165333251013127</c:v>
                </c:pt>
                <c:pt idx="813">
                  <c:v>5.8164664713560654</c:v>
                </c:pt>
                <c:pt idx="814">
                  <c:v>5.8163996175838797</c:v>
                </c:pt>
                <c:pt idx="815">
                  <c:v>5.816332763784775</c:v>
                </c:pt>
                <c:pt idx="816">
                  <c:v>5.8162659099587817</c:v>
                </c:pt>
                <c:pt idx="817">
                  <c:v>5.8161990561059254</c:v>
                </c:pt>
                <c:pt idx="818">
                  <c:v>5.8161322022262247</c:v>
                </c:pt>
                <c:pt idx="819">
                  <c:v>5.8160653483197038</c:v>
                </c:pt>
                <c:pt idx="820">
                  <c:v>5.8159984943863945</c:v>
                </c:pt>
                <c:pt idx="821">
                  <c:v>5.8159316404263164</c:v>
                </c:pt>
                <c:pt idx="822">
                  <c:v>5.8158647864394961</c:v>
                </c:pt>
                <c:pt idx="823">
                  <c:v>5.8157979324259559</c:v>
                </c:pt>
                <c:pt idx="824">
                  <c:v>5.8157310783857259</c:v>
                </c:pt>
                <c:pt idx="825">
                  <c:v>5.8156642243188257</c:v>
                </c:pt>
                <c:pt idx="826">
                  <c:v>5.8155973702252819</c:v>
                </c:pt>
                <c:pt idx="827">
                  <c:v>5.815530516105115</c:v>
                </c:pt>
                <c:pt idx="828">
                  <c:v>5.815463661958356</c:v>
                </c:pt>
                <c:pt idx="829">
                  <c:v>5.8153968077850262</c:v>
                </c:pt>
                <c:pt idx="830">
                  <c:v>5.815329953585147</c:v>
                </c:pt>
                <c:pt idx="831">
                  <c:v>5.8152630993587513</c:v>
                </c:pt>
                <c:pt idx="832">
                  <c:v>5.8151962451058594</c:v>
                </c:pt>
                <c:pt idx="833">
                  <c:v>5.8151293908264954</c:v>
                </c:pt>
                <c:pt idx="834">
                  <c:v>5.8150625365206814</c:v>
                </c:pt>
                <c:pt idx="835">
                  <c:v>5.8149956821884512</c:v>
                </c:pt>
                <c:pt idx="836">
                  <c:v>5.814928827829819</c:v>
                </c:pt>
                <c:pt idx="837">
                  <c:v>5.8148619734448115</c:v>
                </c:pt>
                <c:pt idx="838">
                  <c:v>5.8147951190334615</c:v>
                </c:pt>
                <c:pt idx="839">
                  <c:v>5.8147282645957867</c:v>
                </c:pt>
                <c:pt idx="840">
                  <c:v>5.8146614101318104</c:v>
                </c:pt>
                <c:pt idx="841">
                  <c:v>5.814594555641559</c:v>
                </c:pt>
                <c:pt idx="842">
                  <c:v>5.8145277011250567</c:v>
                </c:pt>
                <c:pt idx="843">
                  <c:v>5.8144608465823335</c:v>
                </c:pt>
                <c:pt idx="844">
                  <c:v>5.8143939920134118</c:v>
                </c:pt>
                <c:pt idx="845">
                  <c:v>5.8143271374183101</c:v>
                </c:pt>
                <c:pt idx="846">
                  <c:v>5.8142602827970542</c:v>
                </c:pt>
                <c:pt idx="847">
                  <c:v>5.814193428149677</c:v>
                </c:pt>
                <c:pt idx="848">
                  <c:v>5.8141265734761944</c:v>
                </c:pt>
                <c:pt idx="849">
                  <c:v>5.8140597187766367</c:v>
                </c:pt>
                <c:pt idx="850">
                  <c:v>5.8139928640510252</c:v>
                </c:pt>
                <c:pt idx="851">
                  <c:v>5.8139260092993865</c:v>
                </c:pt>
                <c:pt idx="852">
                  <c:v>5.8138591545217437</c:v>
                </c:pt>
                <c:pt idx="853">
                  <c:v>5.8137922997181226</c:v>
                </c:pt>
                <c:pt idx="854">
                  <c:v>5.8137254448885463</c:v>
                </c:pt>
                <c:pt idx="855">
                  <c:v>5.8136585900330395</c:v>
                </c:pt>
                <c:pt idx="856">
                  <c:v>5.8135917351516326</c:v>
                </c:pt>
                <c:pt idx="857">
                  <c:v>5.8135248802443407</c:v>
                </c:pt>
                <c:pt idx="858">
                  <c:v>5.8134580253111947</c:v>
                </c:pt>
                <c:pt idx="859">
                  <c:v>5.8133911703522188</c:v>
                </c:pt>
                <c:pt idx="860">
                  <c:v>5.8133243153674385</c:v>
                </c:pt>
                <c:pt idx="861">
                  <c:v>5.8132574603568727</c:v>
                </c:pt>
                <c:pt idx="862">
                  <c:v>5.8131906053205533</c:v>
                </c:pt>
                <c:pt idx="863">
                  <c:v>5.813123750258498</c:v>
                </c:pt>
                <c:pt idx="864">
                  <c:v>5.8130568951707371</c:v>
                </c:pt>
                <c:pt idx="865">
                  <c:v>5.8129900400572954</c:v>
                </c:pt>
                <c:pt idx="866">
                  <c:v>5.8129231849181906</c:v>
                </c:pt>
                <c:pt idx="867">
                  <c:v>5.8128563297534548</c:v>
                </c:pt>
                <c:pt idx="868">
                  <c:v>5.8127894745631092</c:v>
                </c:pt>
                <c:pt idx="869">
                  <c:v>5.8127226193471779</c:v>
                </c:pt>
                <c:pt idx="870">
                  <c:v>5.8126557641056902</c:v>
                </c:pt>
                <c:pt idx="871">
                  <c:v>5.8125889088386629</c:v>
                </c:pt>
                <c:pt idx="872">
                  <c:v>5.8125220535461262</c:v>
                </c:pt>
                <c:pt idx="873">
                  <c:v>5.8124551982281023</c:v>
                </c:pt>
                <c:pt idx="874">
                  <c:v>5.8123883428846188</c:v>
                </c:pt>
                <c:pt idx="875">
                  <c:v>5.8123214875156961</c:v>
                </c:pt>
                <c:pt idx="876">
                  <c:v>5.8122546321213653</c:v>
                </c:pt>
                <c:pt idx="877">
                  <c:v>5.8121877767016432</c:v>
                </c:pt>
                <c:pt idx="878">
                  <c:v>5.8121209212565601</c:v>
                </c:pt>
                <c:pt idx="879">
                  <c:v>5.8120540657861355</c:v>
                </c:pt>
                <c:pt idx="880">
                  <c:v>5.8119872102904022</c:v>
                </c:pt>
                <c:pt idx="881">
                  <c:v>5.8119203547693763</c:v>
                </c:pt>
                <c:pt idx="882">
                  <c:v>5.8118534992230853</c:v>
                </c:pt>
                <c:pt idx="883">
                  <c:v>5.8117866436515566</c:v>
                </c:pt>
                <c:pt idx="884">
                  <c:v>5.8117197880548099</c:v>
                </c:pt>
                <c:pt idx="885">
                  <c:v>5.8116529324328736</c:v>
                </c:pt>
                <c:pt idx="886">
                  <c:v>5.8115860767857734</c:v>
                </c:pt>
                <c:pt idx="887">
                  <c:v>5.8115192211135298</c:v>
                </c:pt>
                <c:pt idx="888">
                  <c:v>5.8114523654161694</c:v>
                </c:pt>
                <c:pt idx="889">
                  <c:v>5.8113855096937206</c:v>
                </c:pt>
                <c:pt idx="890">
                  <c:v>5.8113186539462003</c:v>
                </c:pt>
                <c:pt idx="891">
                  <c:v>5.8112517981736369</c:v>
                </c:pt>
                <c:pt idx="892">
                  <c:v>5.8111849423760553</c:v>
                </c:pt>
                <c:pt idx="893">
                  <c:v>5.8111180865534813</c:v>
                </c:pt>
                <c:pt idx="894">
                  <c:v>5.811051230705937</c:v>
                </c:pt>
                <c:pt idx="895">
                  <c:v>5.8109843748334491</c:v>
                </c:pt>
                <c:pt idx="896">
                  <c:v>5.8109175189360407</c:v>
                </c:pt>
                <c:pt idx="897">
                  <c:v>5.8108506630137375</c:v>
                </c:pt>
                <c:pt idx="898">
                  <c:v>5.8107838070665627</c:v>
                </c:pt>
                <c:pt idx="899">
                  <c:v>5.8107169510945411</c:v>
                </c:pt>
                <c:pt idx="900">
                  <c:v>5.8106500950976985</c:v>
                </c:pt>
                <c:pt idx="901">
                  <c:v>5.8105832390760561</c:v>
                </c:pt>
                <c:pt idx="902">
                  <c:v>5.8105163830296478</c:v>
                </c:pt>
                <c:pt idx="903">
                  <c:v>5.8104495269584895</c:v>
                </c:pt>
                <c:pt idx="904">
                  <c:v>5.8103826708626052</c:v>
                </c:pt>
                <c:pt idx="905">
                  <c:v>5.8103158147420251</c:v>
                </c:pt>
                <c:pt idx="906">
                  <c:v>5.8102489585967696</c:v>
                </c:pt>
                <c:pt idx="907">
                  <c:v>5.8101821024268672</c:v>
                </c:pt>
                <c:pt idx="908">
                  <c:v>5.8101152462323382</c:v>
                </c:pt>
                <c:pt idx="909">
                  <c:v>5.8100483900132076</c:v>
                </c:pt>
                <c:pt idx="910">
                  <c:v>5.8099815337695055</c:v>
                </c:pt>
                <c:pt idx="911">
                  <c:v>5.8099146775012507</c:v>
                </c:pt>
                <c:pt idx="912">
                  <c:v>5.8098478212084688</c:v>
                </c:pt>
                <c:pt idx="913">
                  <c:v>5.8097809648911847</c:v>
                </c:pt>
                <c:pt idx="914">
                  <c:v>5.8097141085494268</c:v>
                </c:pt>
                <c:pt idx="915">
                  <c:v>5.8096472521832103</c:v>
                </c:pt>
                <c:pt idx="916">
                  <c:v>5.8095803957925707</c:v>
                </c:pt>
                <c:pt idx="917">
                  <c:v>5.8095135393775283</c:v>
                </c:pt>
                <c:pt idx="918">
                  <c:v>5.8094466829381028</c:v>
                </c:pt>
                <c:pt idx="919">
                  <c:v>5.8093798264743253</c:v>
                </c:pt>
                <c:pt idx="920">
                  <c:v>5.8093129699862178</c:v>
                </c:pt>
                <c:pt idx="921">
                  <c:v>5.8092461134738063</c:v>
                </c:pt>
                <c:pt idx="922">
                  <c:v>5.8091792569371155</c:v>
                </c:pt>
                <c:pt idx="923">
                  <c:v>5.8091124003761649</c:v>
                </c:pt>
                <c:pt idx="924">
                  <c:v>5.8090455437909867</c:v>
                </c:pt>
                <c:pt idx="925">
                  <c:v>5.8089786871816038</c:v>
                </c:pt>
                <c:pt idx="926">
                  <c:v>5.8089118305480341</c:v>
                </c:pt>
                <c:pt idx="927">
                  <c:v>5.8088449738903067</c:v>
                </c:pt>
                <c:pt idx="928">
                  <c:v>5.8087781172084458</c:v>
                </c:pt>
                <c:pt idx="929">
                  <c:v>5.8087112605024833</c:v>
                </c:pt>
                <c:pt idx="930">
                  <c:v>5.8086444037724299</c:v>
                </c:pt>
                <c:pt idx="931">
                  <c:v>5.8085775470183227</c:v>
                </c:pt>
                <c:pt idx="932">
                  <c:v>5.8085106902401762</c:v>
                </c:pt>
                <c:pt idx="933">
                  <c:v>5.8084438334380213</c:v>
                </c:pt>
                <c:pt idx="934">
                  <c:v>5.808376976611882</c:v>
                </c:pt>
                <c:pt idx="935">
                  <c:v>5.8083101197617806</c:v>
                </c:pt>
                <c:pt idx="936">
                  <c:v>5.8082432628877454</c:v>
                </c:pt>
                <c:pt idx="937">
                  <c:v>5.8081764059897951</c:v>
                </c:pt>
                <c:pt idx="938">
                  <c:v>5.8081095490679591</c:v>
                </c:pt>
                <c:pt idx="939">
                  <c:v>5.8080426921222612</c:v>
                </c:pt>
                <c:pt idx="940">
                  <c:v>5.8079758351527273</c:v>
                </c:pt>
                <c:pt idx="941">
                  <c:v>5.8079089781593751</c:v>
                </c:pt>
                <c:pt idx="942">
                  <c:v>5.8078421211422366</c:v>
                </c:pt>
                <c:pt idx="943">
                  <c:v>5.8077752641013358</c:v>
                </c:pt>
                <c:pt idx="944">
                  <c:v>5.8077084070366904</c:v>
                </c:pt>
                <c:pt idx="945">
                  <c:v>5.8076415499483343</c:v>
                </c:pt>
                <c:pt idx="946">
                  <c:v>5.807574692836285</c:v>
                </c:pt>
                <c:pt idx="947">
                  <c:v>5.8075078357005712</c:v>
                </c:pt>
                <c:pt idx="948">
                  <c:v>5.8074409785412167</c:v>
                </c:pt>
                <c:pt idx="949">
                  <c:v>5.8073741213582464</c:v>
                </c:pt>
                <c:pt idx="950">
                  <c:v>5.8073072641516816</c:v>
                </c:pt>
                <c:pt idx="951">
                  <c:v>5.8072404069215491</c:v>
                </c:pt>
                <c:pt idx="952">
                  <c:v>5.8071735496678745</c:v>
                </c:pt>
                <c:pt idx="953">
                  <c:v>5.8071066923906827</c:v>
                </c:pt>
                <c:pt idx="954">
                  <c:v>5.8070398350899941</c:v>
                </c:pt>
                <c:pt idx="955">
                  <c:v>5.8069729777658381</c:v>
                </c:pt>
                <c:pt idx="956">
                  <c:v>5.8069061204182368</c:v>
                </c:pt>
                <c:pt idx="957">
                  <c:v>5.8068392630472125</c:v>
                </c:pt>
                <c:pt idx="958">
                  <c:v>5.8067724056527972</c:v>
                </c:pt>
                <c:pt idx="959">
                  <c:v>5.8067055482350067</c:v>
                </c:pt>
                <c:pt idx="960">
                  <c:v>5.8066386907938732</c:v>
                </c:pt>
                <c:pt idx="961">
                  <c:v>5.8065718333294161</c:v>
                </c:pt>
                <c:pt idx="962">
                  <c:v>5.806504975841662</c:v>
                </c:pt>
                <c:pt idx="963">
                  <c:v>5.8064381183306324</c:v>
                </c:pt>
                <c:pt idx="964">
                  <c:v>5.8063712607963573</c:v>
                </c:pt>
                <c:pt idx="965">
                  <c:v>5.8063044032388573</c:v>
                </c:pt>
                <c:pt idx="966">
                  <c:v>5.8062375456581581</c:v>
                </c:pt>
                <c:pt idx="967">
                  <c:v>5.8061706880542854</c:v>
                </c:pt>
                <c:pt idx="968">
                  <c:v>5.8061038304272614</c:v>
                </c:pt>
                <c:pt idx="969">
                  <c:v>5.8060369727771093</c:v>
                </c:pt>
                <c:pt idx="970">
                  <c:v>5.8059701151038574</c:v>
                </c:pt>
                <c:pt idx="971">
                  <c:v>5.8059032574075324</c:v>
                </c:pt>
                <c:pt idx="972">
                  <c:v>5.8058363996881521</c:v>
                </c:pt>
                <c:pt idx="973">
                  <c:v>5.8057695419457458</c:v>
                </c:pt>
                <c:pt idx="974">
                  <c:v>5.8057026841803365</c:v>
                </c:pt>
                <c:pt idx="975">
                  <c:v>5.8056358263919501</c:v>
                </c:pt>
                <c:pt idx="976">
                  <c:v>5.8055689685806078</c:v>
                </c:pt>
                <c:pt idx="977">
                  <c:v>5.805502110746338</c:v>
                </c:pt>
                <c:pt idx="978">
                  <c:v>5.8054352528891613</c:v>
                </c:pt>
                <c:pt idx="979">
                  <c:v>5.8053683950091077</c:v>
                </c:pt>
                <c:pt idx="980">
                  <c:v>5.8053015371061969</c:v>
                </c:pt>
                <c:pt idx="981">
                  <c:v>5.8052346791804563</c:v>
                </c:pt>
                <c:pt idx="982">
                  <c:v>5.8051678212319047</c:v>
                </c:pt>
                <c:pt idx="983">
                  <c:v>5.8051009632605712</c:v>
                </c:pt>
                <c:pt idx="984">
                  <c:v>5.8050341052664862</c:v>
                </c:pt>
                <c:pt idx="985">
                  <c:v>5.8049672472496674</c:v>
                </c:pt>
                <c:pt idx="986">
                  <c:v>5.8049003892101361</c:v>
                </c:pt>
                <c:pt idx="987">
                  <c:v>5.8048335311479233</c:v>
                </c:pt>
                <c:pt idx="988">
                  <c:v>5.8047666730630514</c:v>
                </c:pt>
                <c:pt idx="989">
                  <c:v>5.8046998149555469</c:v>
                </c:pt>
                <c:pt idx="990">
                  <c:v>5.8046329568254302</c:v>
                </c:pt>
                <c:pt idx="991">
                  <c:v>5.8045660986727272</c:v>
                </c:pt>
                <c:pt idx="992">
                  <c:v>5.8044992404974645</c:v>
                </c:pt>
                <c:pt idx="993">
                  <c:v>5.8044323822996651</c:v>
                </c:pt>
                <c:pt idx="994">
                  <c:v>5.8043655240793512</c:v>
                </c:pt>
                <c:pt idx="995">
                  <c:v>5.8042986658365514</c:v>
                </c:pt>
                <c:pt idx="996">
                  <c:v>5.8042318075712904</c:v>
                </c:pt>
                <c:pt idx="997">
                  <c:v>5.8041649492835905</c:v>
                </c:pt>
                <c:pt idx="998">
                  <c:v>5.8040980909734774</c:v>
                </c:pt>
                <c:pt idx="999">
                  <c:v>5.8040312326409751</c:v>
                </c:pt>
                <c:pt idx="1000">
                  <c:v>5.8039643742861076</c:v>
                </c:pt>
              </c:numCache>
            </c:numRef>
          </c:yVal>
          <c:smooth val="0"/>
          <c:extLst>
            <c:ext xmlns:c16="http://schemas.microsoft.com/office/drawing/2014/chart" uri="{C3380CC4-5D6E-409C-BE32-E72D297353CC}">
              <c16:uniqueId val="{00000000-AB4D-4413-81E2-CAE1696CC3AA}"/>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Calculs!$AH$4:$AH$1004</c:f>
              <c:numCache>
                <c:formatCode>0.00</c:formatCode>
                <c:ptCount val="1001"/>
                <c:pt idx="0">
                  <c:v>0</c:v>
                </c:pt>
                <c:pt idx="1">
                  <c:v>38.150039715894756</c:v>
                </c:pt>
                <c:pt idx="2">
                  <c:v>114.51961733210696</c:v>
                </c:pt>
                <c:pt idx="3">
                  <c:v>146.69787801770971</c:v>
                </c:pt>
                <c:pt idx="4">
                  <c:v>134.5644675941291</c:v>
                </c:pt>
                <c:pt idx="5">
                  <c:v>128.26446035262029</c:v>
                </c:pt>
                <c:pt idx="6">
                  <c:v>127.81465125468493</c:v>
                </c:pt>
                <c:pt idx="7">
                  <c:v>127.36162205112468</c:v>
                </c:pt>
                <c:pt idx="8">
                  <c:v>126.90539656337381</c:v>
                </c:pt>
                <c:pt idx="9">
                  <c:v>126.44599889017067</c:v>
                </c:pt>
                <c:pt idx="10">
                  <c:v>125.98345340268065</c:v>
                </c:pt>
                <c:pt idx="11">
                  <c:v>125.51778473956635</c:v>
                </c:pt>
                <c:pt idx="12">
                  <c:v>125.04901780200647</c:v>
                </c:pt>
                <c:pt idx="13">
                  <c:v>124.57717774866552</c:v>
                </c:pt>
                <c:pt idx="14">
                  <c:v>124.10228999061592</c:v>
                </c:pt>
                <c:pt idx="15">
                  <c:v>123.62438018621425</c:v>
                </c:pt>
                <c:pt idx="16">
                  <c:v>123.14347423593387</c:v>
                </c:pt>
                <c:pt idx="17">
                  <c:v>122.65959827715498</c:v>
                </c:pt>
                <c:pt idx="18">
                  <c:v>122.1727786789149</c:v>
                </c:pt>
                <c:pt idx="19">
                  <c:v>121.68304203661961</c:v>
                </c:pt>
                <c:pt idx="20">
                  <c:v>121.19041516671878</c:v>
                </c:pt>
                <c:pt idx="21">
                  <c:v>120.69492510134631</c:v>
                </c:pt>
                <c:pt idx="22">
                  <c:v>120.1965990829277</c:v>
                </c:pt>
                <c:pt idx="23">
                  <c:v>119.69546455875673</c:v>
                </c:pt>
                <c:pt idx="24">
                  <c:v>119.1915489418536</c:v>
                </c:pt>
                <c:pt idx="25">
                  <c:v>118.68487979196543</c:v>
                </c:pt>
                <c:pt idx="26">
                  <c:v>118.17548509382884</c:v>
                </c:pt>
                <c:pt idx="27">
                  <c:v>117.66339301686381</c:v>
                </c:pt>
                <c:pt idx="28">
                  <c:v>117.14863190951392</c:v>
                </c:pt>
                <c:pt idx="29">
                  <c:v>116.63123029357696</c:v>
                </c:pt>
                <c:pt idx="30">
                  <c:v>116.11121685852827</c:v>
                </c:pt>
                <c:pt idx="31">
                  <c:v>115.58862045583754</c:v>
                </c:pt>
                <c:pt idx="32">
                  <c:v>115.06347009327952</c:v>
                </c:pt>
                <c:pt idx="33">
                  <c:v>114.53579492923936</c:v>
                </c:pt>
                <c:pt idx="34">
                  <c:v>114.00562426701394</c:v>
                </c:pt>
                <c:pt idx="35">
                  <c:v>113.47298754910982</c:v>
                </c:pt>
                <c:pt idx="36">
                  <c:v>112.93791435153938</c:v>
                </c:pt>
                <c:pt idx="37">
                  <c:v>112.40043437811619</c:v>
                </c:pt>
                <c:pt idx="38">
                  <c:v>111.86057745475125</c:v>
                </c:pt>
                <c:pt idx="39">
                  <c:v>111.31837352375112</c:v>
                </c:pt>
                <c:pt idx="40">
                  <c:v>110.77385263811965</c:v>
                </c:pt>
                <c:pt idx="41">
                  <c:v>110.22704495586483</c:v>
                </c:pt>
                <c:pt idx="42">
                  <c:v>109.67798073431204</c:v>
                </c:pt>
                <c:pt idx="43">
                  <c:v>109.12669032442541</c:v>
                </c:pt>
                <c:pt idx="44">
                  <c:v>108.57320416513873</c:v>
                </c:pt>
                <c:pt idx="45">
                  <c:v>108.01755277769746</c:v>
                </c:pt>
                <c:pt idx="46">
                  <c:v>107.45976676001354</c:v>
                </c:pt>
                <c:pt idx="47">
                  <c:v>106.89987678103417</c:v>
                </c:pt>
                <c:pt idx="48">
                  <c:v>106.33791357512666</c:v>
                </c:pt>
                <c:pt idx="49">
                  <c:v>105.77390793648036</c:v>
                </c:pt>
                <c:pt idx="50">
                  <c:v>105.20789071352753</c:v>
                </c:pt>
                <c:pt idx="51">
                  <c:v>104.63989280338456</c:v>
                </c:pt>
                <c:pt idx="52">
                  <c:v>104.06994514631512</c:v>
                </c:pt>
                <c:pt idx="53">
                  <c:v>103.49807872021663</c:v>
                </c:pt>
                <c:pt idx="54">
                  <c:v>102.92432453513167</c:v>
                </c:pt>
                <c:pt idx="55">
                  <c:v>102.3487136277857</c:v>
                </c:pt>
                <c:pt idx="56">
                  <c:v>101.77127705615253</c:v>
                </c:pt>
                <c:pt idx="57">
                  <c:v>101.1920458940492</c:v>
                </c:pt>
                <c:pt idx="58">
                  <c:v>100.61105122576129</c:v>
                </c:pt>
                <c:pt idx="59">
                  <c:v>100.02832414070046</c:v>
                </c:pt>
                <c:pt idx="60">
                  <c:v>99.443895728095299</c:v>
                </c:pt>
                <c:pt idx="61">
                  <c:v>98.857797071717016</c:v>
                </c:pt>
                <c:pt idx="62">
                  <c:v>98.270059244641189</c:v>
                </c:pt>
                <c:pt idx="63">
                  <c:v>97.161138480866384</c:v>
                </c:pt>
                <c:pt idx="64">
                  <c:v>95.530555638314581</c:v>
                </c:pt>
                <c:pt idx="65">
                  <c:v>93.898008332790369</c:v>
                </c:pt>
                <c:pt idx="66">
                  <c:v>92.263608057543749</c:v>
                </c:pt>
                <c:pt idx="67">
                  <c:v>90.150684283607617</c:v>
                </c:pt>
                <c:pt idx="68">
                  <c:v>87.558992019327732</c:v>
                </c:pt>
                <c:pt idx="69">
                  <c:v>84.117201223448774</c:v>
                </c:pt>
                <c:pt idx="70">
                  <c:v>79.825055772553711</c:v>
                </c:pt>
                <c:pt idx="71">
                  <c:v>75.531606497331495</c:v>
                </c:pt>
                <c:pt idx="72">
                  <c:v>71.237295717709841</c:v>
                </c:pt>
                <c:pt idx="73">
                  <c:v>66.942556679912244</c:v>
                </c:pt>
                <c:pt idx="74">
                  <c:v>62.647813425161253</c:v>
                </c:pt>
                <c:pt idx="75">
                  <c:v>58.353480666890142</c:v>
                </c:pt>
                <c:pt idx="76">
                  <c:v>54.059963676385493</c:v>
                </c:pt>
                <c:pt idx="77">
                  <c:v>49.767658176773033</c:v>
                </c:pt>
                <c:pt idx="78">
                  <c:v>45.476950245250151</c:v>
                </c:pt>
                <c:pt idx="79">
                  <c:v>41.188216223458909</c:v>
                </c:pt>
                <c:pt idx="80">
                  <c:v>36.901822635885523</c:v>
                </c:pt>
                <c:pt idx="81">
                  <c:v>33.629224012155213</c:v>
                </c:pt>
                <c:pt idx="82">
                  <c:v>31.370133814159619</c:v>
                </c:pt>
                <c:pt idx="83">
                  <c:v>29.112649695822444</c:v>
                </c:pt>
                <c:pt idx="84">
                  <c:v>26.856875110277915</c:v>
                </c:pt>
                <c:pt idx="85">
                  <c:v>24.602910698139961</c:v>
                </c:pt>
                <c:pt idx="86">
                  <c:v>22.350854283299263</c:v>
                </c:pt>
                <c:pt idx="87">
                  <c:v>20.100800869859647</c:v>
                </c:pt>
                <c:pt idx="88">
                  <c:v>17.852842640187969</c:v>
                </c:pt>
                <c:pt idx="89">
                  <c:v>15.926720367522666</c:v>
                </c:pt>
                <c:pt idx="90">
                  <c:v>14.322213077708202</c:v>
                </c:pt>
                <c:pt idx="91">
                  <c:v>12.719358309294199</c:v>
                </c:pt>
                <c:pt idx="92">
                  <c:v>11.118198459718878</c:v>
                </c:pt>
                <c:pt idx="93">
                  <c:v>9.5987135409777569</c:v>
                </c:pt>
                <c:pt idx="94">
                  <c:v>8.1608567266810965</c:v>
                </c:pt>
                <c:pt idx="95">
                  <c:v>6.7246253201956661</c:v>
                </c:pt>
                <c:pt idx="96">
                  <c:v>5.2900488501486604</c:v>
                </c:pt>
                <c:pt idx="97">
                  <c:v>4.1769777427951746</c:v>
                </c:pt>
                <c:pt idx="98">
                  <c:v>3.3850616772652544</c:v>
                </c:pt>
                <c:pt idx="99">
                  <c:v>2.5940890428121079</c:v>
                </c:pt>
                <c:pt idx="100">
                  <c:v>1.8040660147092709</c:v>
                </c:pt>
                <c:pt idx="101">
                  <c:v>1.0149984248485178</c:v>
                </c:pt>
                <c:pt idx="102">
                  <c:v>0.22689176338478867</c:v>
                </c:pt>
                <c:pt idx="103">
                  <c:v>-0.56024881959342454</c:v>
                </c:pt>
                <c:pt idx="104">
                  <c:v>-1.3464185123692514</c:v>
                </c:pt>
                <c:pt idx="105">
                  <c:v>-2.1316128398795873</c:v>
                </c:pt>
                <c:pt idx="106">
                  <c:v>-2.9158276619753334</c:v>
                </c:pt>
                <c:pt idx="107">
                  <c:v>-3.6990591716609784</c:v>
                </c:pt>
                <c:pt idx="108">
                  <c:v>-4.4813038933146929</c:v>
                </c:pt>
                <c:pt idx="109">
                  <c:v>-4.8626978087768196</c:v>
                </c:pt>
                <c:pt idx="110">
                  <c:v>-4.8437684853830376</c:v>
                </c:pt>
                <c:pt idx="111">
                  <c:v>-4.8249030488708895</c:v>
                </c:pt>
                <c:pt idx="112">
                  <c:v>-4.8061012547544699</c:v>
                </c:pt>
                <c:pt idx="113">
                  <c:v>-4.7873628598109432</c:v>
                </c:pt>
                <c:pt idx="114">
                  <c:v>-4.7686876220728962</c:v>
                </c:pt>
                <c:pt idx="115">
                  <c:v>-4.7500753008207992</c:v>
                </c:pt>
                <c:pt idx="116">
                  <c:v>-4.731525656575494</c:v>
                </c:pt>
                <c:pt idx="117">
                  <c:v>-4.7130384510907355</c:v>
                </c:pt>
                <c:pt idx="118">
                  <c:v>-4.6946134473458025</c:v>
                </c:pt>
                <c:pt idx="119">
                  <c:v>-4.6762504095381328</c:v>
                </c:pt>
                <c:pt idx="120">
                  <c:v>-4.6579491030760458</c:v>
                </c:pt>
                <c:pt idx="121">
                  <c:v>-4.6397092945714791</c:v>
                </c:pt>
                <c:pt idx="122">
                  <c:v>-4.6215307518328181</c:v>
                </c:pt>
                <c:pt idx="123">
                  <c:v>-4.6034132438577382</c:v>
                </c:pt>
                <c:pt idx="124">
                  <c:v>-4.5853565408261137</c:v>
                </c:pt>
                <c:pt idx="125">
                  <c:v>-4.5673604140929847</c:v>
                </c:pt>
                <c:pt idx="126">
                  <c:v>-4.5494246361815645</c:v>
                </c:pt>
                <c:pt idx="127">
                  <c:v>-4.5315489807762868</c:v>
                </c:pt>
                <c:pt idx="128">
                  <c:v>-4.5137332227159286</c:v>
                </c:pt>
                <c:pt idx="129">
                  <c:v>-4.4959771379867508</c:v>
                </c:pt>
                <c:pt idx="130">
                  <c:v>-4.4782805037157107</c:v>
                </c:pt>
                <c:pt idx="131">
                  <c:v>-4.4606430981637111</c:v>
                </c:pt>
                <c:pt idx="132">
                  <c:v>-4.4430647007188941</c:v>
                </c:pt>
                <c:pt idx="133">
                  <c:v>-4.4255450918899903</c:v>
                </c:pt>
                <c:pt idx="134">
                  <c:v>-4.4080840532997181</c:v>
                </c:pt>
                <c:pt idx="135">
                  <c:v>-4.3906813676782006</c:v>
                </c:pt>
                <c:pt idx="136">
                  <c:v>-4.3733368188564752</c:v>
                </c:pt>
                <c:pt idx="137">
                  <c:v>-4.3560501917600023</c:v>
                </c:pt>
                <c:pt idx="138">
                  <c:v>-4.3388212724022601</c:v>
                </c:pt>
                <c:pt idx="139">
                  <c:v>-4.3216498478783354</c:v>
                </c:pt>
                <c:pt idx="140">
                  <c:v>-4.3045357063586227</c:v>
                </c:pt>
                <c:pt idx="141">
                  <c:v>-4.2874786370825033</c:v>
                </c:pt>
                <c:pt idx="142">
                  <c:v>-4.2704784303521075</c:v>
                </c:pt>
                <c:pt idx="143">
                  <c:v>-4.2535348775261177</c:v>
                </c:pt>
                <c:pt idx="144">
                  <c:v>-4.2366477710135921</c:v>
                </c:pt>
                <c:pt idx="145">
                  <c:v>-4.2198169042678542</c:v>
                </c:pt>
                <c:pt idx="146">
                  <c:v>-4.2030420717804153</c:v>
                </c:pt>
                <c:pt idx="147">
                  <c:v>-4.1863230690749313</c:v>
                </c:pt>
                <c:pt idx="148">
                  <c:v>-4.1696596927012299</c:v>
                </c:pt>
                <c:pt idx="149">
                  <c:v>-4.1530517402293237</c:v>
                </c:pt>
                <c:pt idx="150">
                  <c:v>-4.1364990102435426</c:v>
                </c:pt>
                <c:pt idx="151">
                  <c:v>-4.1200013023366333</c:v>
                </c:pt>
                <c:pt idx="152">
                  <c:v>-4.1035584171039359</c:v>
                </c:pt>
                <c:pt idx="153">
                  <c:v>-4.0871701561376028</c:v>
                </c:pt>
                <c:pt idx="154">
                  <c:v>-4.0708363220208357</c:v>
                </c:pt>
                <c:pt idx="155">
                  <c:v>-4.0545567183221918</c:v>
                </c:pt>
                <c:pt idx="156">
                  <c:v>-4.0383311495898946</c:v>
                </c:pt>
                <c:pt idx="157">
                  <c:v>-4.0221594213462177</c:v>
                </c:pt>
                <c:pt idx="158">
                  <c:v>-4.0060413400818815</c:v>
                </c:pt>
                <c:pt idx="159">
                  <c:v>-3.9899767132505013</c:v>
                </c:pt>
                <c:pt idx="160">
                  <c:v>-3.9739653492630689</c:v>
                </c:pt>
                <c:pt idx="161">
                  <c:v>-3.9580070574824728</c:v>
                </c:pt>
                <c:pt idx="162">
                  <c:v>-3.9421016482180509</c:v>
                </c:pt>
                <c:pt idx="163">
                  <c:v>-3.9262489327201968</c:v>
                </c:pt>
                <c:pt idx="164">
                  <c:v>-3.9104487231749814</c:v>
                </c:pt>
                <c:pt idx="165">
                  <c:v>-3.8947008326988257</c:v>
                </c:pt>
                <c:pt idx="166">
                  <c:v>-3.879005075333203</c:v>
                </c:pt>
                <c:pt idx="167">
                  <c:v>-3.8633612660393739</c:v>
                </c:pt>
                <c:pt idx="168">
                  <c:v>-3.8477692206931735</c:v>
                </c:pt>
                <c:pt idx="169">
                  <c:v>-3.8322287560798172</c:v>
                </c:pt>
                <c:pt idx="170">
                  <c:v>-3.8167396898887413</c:v>
                </c:pt>
                <c:pt idx="171">
                  <c:v>-3.8013018407084909</c:v>
                </c:pt>
                <c:pt idx="172">
                  <c:v>-3.785915028021634</c:v>
                </c:pt>
                <c:pt idx="173">
                  <c:v>-3.7705790721997161</c:v>
                </c:pt>
                <c:pt idx="174">
                  <c:v>-3.7552937944982334</c:v>
                </c:pt>
                <c:pt idx="175">
                  <c:v>-3.7400590170516632</c:v>
                </c:pt>
                <c:pt idx="176">
                  <c:v>-3.7248745628685018</c:v>
                </c:pt>
                <c:pt idx="177">
                  <c:v>-3.7097402558263708</c:v>
                </c:pt>
                <c:pt idx="178">
                  <c:v>-3.6946559206671044</c:v>
                </c:pt>
                <c:pt idx="179">
                  <c:v>-3.6796213829919306</c:v>
                </c:pt>
                <c:pt idx="180">
                  <c:v>-3.6646364692566338</c:v>
                </c:pt>
                <c:pt idx="181">
                  <c:v>-3.6497010067667772</c:v>
                </c:pt>
                <c:pt idx="182">
                  <c:v>-3.6348148236729596</c:v>
                </c:pt>
                <c:pt idx="183">
                  <c:v>-3.6199777489660745</c:v>
                </c:pt>
                <c:pt idx="184">
                  <c:v>-3.6051896124726341</c:v>
                </c:pt>
                <c:pt idx="185">
                  <c:v>-3.5904502448501145</c:v>
                </c:pt>
                <c:pt idx="186">
                  <c:v>-3.5757594775823263</c:v>
                </c:pt>
                <c:pt idx="187">
                  <c:v>-3.5611171429748025</c:v>
                </c:pt>
                <c:pt idx="188">
                  <c:v>-3.5465230741502647</c:v>
                </c:pt>
                <c:pt idx="189">
                  <c:v>-3.5319771050440623</c:v>
                </c:pt>
                <c:pt idx="190">
                  <c:v>-3.517479070399673</c:v>
                </c:pt>
                <c:pt idx="191">
                  <c:v>-3.5030288057642416</c:v>
                </c:pt>
                <c:pt idx="192">
                  <c:v>-3.4886261474841156</c:v>
                </c:pt>
                <c:pt idx="193">
                  <c:v>-3.4742709327004495</c:v>
                </c:pt>
                <c:pt idx="194">
                  <c:v>-3.4599629993447927</c:v>
                </c:pt>
                <c:pt idx="195">
                  <c:v>-3.4457021861347674</c:v>
                </c:pt>
                <c:pt idx="196">
                  <c:v>-3.431488332569705</c:v>
                </c:pt>
                <c:pt idx="197">
                  <c:v>-3.4173212789263685</c:v>
                </c:pt>
                <c:pt idx="198">
                  <c:v>-3.4032008662546733</c:v>
                </c:pt>
                <c:pt idx="199">
                  <c:v>-3.3891269363734469</c:v>
                </c:pt>
                <c:pt idx="200">
                  <c:v>-3.3750993318662084</c:v>
                </c:pt>
                <c:pt idx="201">
                  <c:v>-3.361117896076991</c:v>
                </c:pt>
                <c:pt idx="202">
                  <c:v>-3.2231611860205347</c:v>
                </c:pt>
                <c:pt idx="203">
                  <c:v>-3.089709499608341</c:v>
                </c:pt>
                <c:pt idx="204">
                  <c:v>-2.9606146205542232</c:v>
                </c:pt>
                <c:pt idx="205">
                  <c:v>-2.8357353205592721</c:v>
                </c:pt>
                <c:pt idx="206">
                  <c:v>-2.7149369919393931</c:v>
                </c:pt>
                <c:pt idx="207">
                  <c:v>-2.5980913034410942</c:v>
                </c:pt>
                <c:pt idx="208">
                  <c:v>-2.4850758776114086</c:v>
                </c:pt>
                <c:pt idx="209">
                  <c:v>-2.3757739882174578</c:v>
                </c:pt>
                <c:pt idx="210">
                  <c:v>-2.2700742763294977</c:v>
                </c:pt>
                <c:pt idx="211">
                  <c:v>-2.1678704837893181</c:v>
                </c:pt>
                <c:pt idx="212">
                  <c:v>-2.0690612028846527</c:v>
                </c:pt>
                <c:pt idx="213">
                  <c:v>-1.9735496411406228</c:v>
                </c:pt>
                <c:pt idx="214">
                  <c:v>-1.8812434002219285</c:v>
                </c:pt>
                <c:pt idx="215">
                  <c:v>-1.7920542680153051</c:v>
                </c:pt>
                <c:pt idx="216">
                  <c:v>-1.7058980230311884</c:v>
                </c:pt>
                <c:pt idx="217">
                  <c:v>-1.6226942503272492</c:v>
                </c:pt>
                <c:pt idx="218">
                  <c:v>-1.5423661682149208</c:v>
                </c:pt>
                <c:pt idx="219">
                  <c:v>-1.464840465063652</c:v>
                </c:pt>
                <c:pt idx="220">
                  <c:v>-1.3900471455669521</c:v>
                </c:pt>
                <c:pt idx="221">
                  <c:v>-1.3179193858794684</c:v>
                </c:pt>
                <c:pt idx="222">
                  <c:v>-1.2483933970759111</c:v>
                </c:pt>
                <c:pt idx="223">
                  <c:v>-1.1814082964207486</c:v>
                </c:pt>
                <c:pt idx="224">
                  <c:v>-1.1169059859725516</c:v>
                </c:pt>
                <c:pt idx="225">
                  <c:v>-1.0548310380788706</c:v>
                </c:pt>
                <c:pt idx="226">
                  <c:v>-0.99513058734679327</c:v>
                </c:pt>
                <c:pt idx="227">
                  <c:v>-0.93775422870097447</c:v>
                </c:pt>
                <c:pt idx="228">
                  <c:v>-0.88265392116509633</c:v>
                </c:pt>
                <c:pt idx="229">
                  <c:v>-0.82978389702448763</c:v>
                </c:pt>
                <c:pt idx="230">
                  <c:v>-0.77910057604707694</c:v>
                </c:pt>
                <c:pt idx="231">
                  <c:v>-0.73056248445690575</c:v>
                </c:pt>
                <c:pt idx="232">
                  <c:v>-0.68413017836917323</c:v>
                </c:pt>
                <c:pt idx="233">
                  <c:v>-0.63976617140797198</c:v>
                </c:pt>
                <c:pt idx="234">
                  <c:v>-0.59743486623747322</c:v>
                </c:pt>
                <c:pt idx="235">
                  <c:v>-0.55710248974396881</c:v>
                </c:pt>
                <c:pt idx="236">
                  <c:v>-0.51873703160961337</c:v>
                </c:pt>
                <c:pt idx="237">
                  <c:v>-0.48230818601839143</c:v>
                </c:pt>
                <c:pt idx="238">
                  <c:v>-0.44778729623017155</c:v>
                </c:pt>
                <c:pt idx="239">
                  <c:v>-0.41514730174889358</c:v>
                </c:pt>
                <c:pt idx="240">
                  <c:v>-0.38436268779494043</c:v>
                </c:pt>
                <c:pt idx="241">
                  <c:v>-0.35540943676829911</c:v>
                </c:pt>
                <c:pt idx="242">
                  <c:v>-0.32826498135673626</c:v>
                </c:pt>
                <c:pt idx="243">
                  <c:v>-0.30290815890005118</c:v>
                </c:pt>
                <c:pt idx="244">
                  <c:v>-0.27931916656562694</c:v>
                </c:pt>
                <c:pt idx="245">
                  <c:v>-0.25747951681990883</c:v>
                </c:pt>
                <c:pt idx="246">
                  <c:v>-0.23737199259344668</c:v>
                </c:pt>
                <c:pt idx="247">
                  <c:v>-0.21898060143290463</c:v>
                </c:pt>
                <c:pt idx="248">
                  <c:v>-0.20229052781311044</c:v>
                </c:pt>
                <c:pt idx="249">
                  <c:v>-0.18728808265028593</c:v>
                </c:pt>
                <c:pt idx="250">
                  <c:v>-0.17396064892421118</c:v>
                </c:pt>
                <c:pt idx="251">
                  <c:v>-0.16229662220050553</c:v>
                </c:pt>
                <c:pt idx="252">
                  <c:v>-0.15228534477351033</c:v>
                </c:pt>
                <c:pt idx="253">
                  <c:v>-0.14391703216640606</c:v>
                </c:pt>
                <c:pt idx="254">
                  <c:v>-0.13718269087872881</c:v>
                </c:pt>
                <c:pt idx="255">
                  <c:v>-0.13207402661375151</c:v>
                </c:pt>
                <c:pt idx="256">
                  <c:v>-0.12858334278439687</c:v>
                </c:pt>
                <c:pt idx="257">
                  <c:v>-0.12670342988148517</c:v>
                </c:pt>
                <c:pt idx="258">
                  <c:v>-0.12642744722442784</c:v>
                </c:pt>
                <c:pt idx="259">
                  <c:v>-0.12774879956422358</c:v>
                </c:pt>
                <c:pt idx="260">
                  <c:v>-0.13066101178647446</c:v>
                </c:pt>
                <c:pt idx="261">
                  <c:v>-0.13515760538885063</c:v>
                </c:pt>
                <c:pt idx="262">
                  <c:v>-0.14123198037531703</c:v>
                </c:pt>
                <c:pt idx="263">
                  <c:v>-0.14887730572647223</c:v>
                </c:pt>
                <c:pt idx="264">
                  <c:v>-0.15808642079198118</c:v>
                </c:pt>
                <c:pt idx="265">
                  <c:v>-0.16885174899169619</c:v>
                </c:pt>
                <c:pt idx="266">
                  <c:v>-0.18116522428901644</c:v>
                </c:pt>
                <c:pt idx="267">
                  <c:v>-0.19501823014309561</c:v>
                </c:pt>
                <c:pt idx="268">
                  <c:v>-0.2104015501145001</c:v>
                </c:pt>
                <c:pt idx="269">
                  <c:v>-0.22730532898982544</c:v>
                </c:pt>
                <c:pt idx="270">
                  <c:v>-0.24571904316547891</c:v>
                </c:pt>
                <c:pt idx="271">
                  <c:v>-0.26563147903661316</c:v>
                </c:pt>
                <c:pt idx="272">
                  <c:v>-0.2870307182239305</c:v>
                </c:pt>
                <c:pt idx="273">
                  <c:v>-0.30990412859898137</c:v>
                </c:pt>
                <c:pt idx="274">
                  <c:v>-0.33423836021004033</c:v>
                </c:pt>
                <c:pt idx="275">
                  <c:v>-0.36001934534859037</c:v>
                </c:pt>
                <c:pt idx="276">
                  <c:v>-0.38723230212177057</c:v>
                </c:pt>
                <c:pt idx="277">
                  <c:v>-0.41586174100500212</c:v>
                </c:pt>
                <c:pt idx="278">
                  <c:v>-0.44589147394078266</c:v>
                </c:pt>
                <c:pt idx="279">
                  <c:v>-0.47730462562545328</c:v>
                </c:pt>
                <c:pt idx="280">
                  <c:v>-0.51008364668746975</c:v>
                </c:pt>
                <c:pt idx="281">
                  <c:v>-0.5442103285105212</c:v>
                </c:pt>
                <c:pt idx="282">
                  <c:v>-0.57966581949473928</c:v>
                </c:pt>
                <c:pt idx="283">
                  <c:v>-0.6164306425811219</c:v>
                </c:pt>
                <c:pt idx="284">
                  <c:v>-0.6544847138896942</c:v>
                </c:pt>
                <c:pt idx="285">
                  <c:v>-0.693807362342162</c:v>
                </c:pt>
                <c:pt idx="286">
                  <c:v>-0.73437735015596262</c:v>
                </c:pt>
                <c:pt idx="287">
                  <c:v>-0.77617289410952384</c:v>
                </c:pt>
                <c:pt idx="288">
                  <c:v>-0.81917168748889735</c:v>
                </c:pt>
                <c:pt idx="289">
                  <c:v>-0.86335092263430158</c:v>
                </c:pt>
                <c:pt idx="290">
                  <c:v>-0.90868731401186698</c:v>
                </c:pt>
                <c:pt idx="291">
                  <c:v>-0.95515712174146405</c:v>
                </c:pt>
                <c:pt idx="292">
                  <c:v>-1.0027361755160418</c:v>
                </c:pt>
                <c:pt idx="293">
                  <c:v>-1.0513998988517816</c:v>
                </c:pt>
                <c:pt idx="294">
                  <c:v>-1.1011233336115849</c:v>
                </c:pt>
                <c:pt idx="295">
                  <c:v>-1.1518811647472458</c:v>
                </c:pt>
                <c:pt idx="296">
                  <c:v>-1.2036477452080918</c:v>
                </c:pt>
                <c:pt idx="297">
                  <c:v>-1.2563971209660596</c:v>
                </c:pt>
                <c:pt idx="298">
                  <c:v>-1.3101030561091653</c:v>
                </c:pt>
                <c:pt idx="299">
                  <c:v>-1.3647390579571508</c:v>
                </c:pt>
                <c:pt idx="300">
                  <c:v>-1.4202784021548054</c:v>
                </c:pt>
                <c:pt idx="301">
                  <c:v>-1.4766941577001029</c:v>
                </c:pt>
                <c:pt idx="302">
                  <c:v>-1.5339592118658862</c:v>
                </c:pt>
                <c:pt idx="303">
                  <c:v>-1.5920462949753544</c:v>
                </c:pt>
                <c:pt idx="304">
                  <c:v>-1.6509280049931478</c:v>
                </c:pt>
                <c:pt idx="305">
                  <c:v>-1.7105768318953425</c:v>
                </c:pt>
                <c:pt idx="306">
                  <c:v>-1.7709651817831398</c:v>
                </c:pt>
                <c:pt idx="307">
                  <c:v>-1.8320654007065822</c:v>
                </c:pt>
                <c:pt idx="308">
                  <c:v>-1.8938497981661118</c:v>
                </c:pt>
                <c:pt idx="309">
                  <c:v>-1.9562906702613223</c:v>
                </c:pt>
                <c:pt idx="310">
                  <c:v>-2.0193603224577656</c:v>
                </c:pt>
                <c:pt idx="311">
                  <c:v>-2.0830310919442145</c:v>
                </c:pt>
                <c:pt idx="312">
                  <c:v>-2.1472753695543472</c:v>
                </c:pt>
                <c:pt idx="313">
                  <c:v>-2.2120656212283145</c:v>
                </c:pt>
                <c:pt idx="314">
                  <c:v>-2.2773744089912547</c:v>
                </c:pt>
                <c:pt idx="315">
                  <c:v>-2.3431744114273272</c:v>
                </c:pt>
                <c:pt idx="316">
                  <c:v>-2.409438443629409</c:v>
                </c:pt>
                <c:pt idx="317">
                  <c:v>-2.47613947660615</c:v>
                </c:pt>
                <c:pt idx="318">
                  <c:v>-2.5432506561295773</c:v>
                </c:pt>
                <c:pt idx="319">
                  <c:v>-2.6107453210080247</c:v>
                </c:pt>
                <c:pt idx="320">
                  <c:v>-2.6785970207706122</c:v>
                </c:pt>
                <c:pt idx="321">
                  <c:v>-2.7467795327510616</c:v>
                </c:pt>
                <c:pt idx="322">
                  <c:v>-2.8152668785600552</c:v>
                </c:pt>
                <c:pt idx="323">
                  <c:v>-2.8840333399368192</c:v>
                </c:pt>
                <c:pt idx="324">
                  <c:v>-2.95305347397206</c:v>
                </c:pt>
                <c:pt idx="325">
                  <c:v>-3.0223021276957516</c:v>
                </c:pt>
                <c:pt idx="326">
                  <c:v>-3.0917544520246536</c:v>
                </c:pt>
                <c:pt idx="327">
                  <c:v>-3.1613859150657837</c:v>
                </c:pt>
                <c:pt idx="328">
                  <c:v>-3.2311723147733646</c:v>
                </c:pt>
                <c:pt idx="329">
                  <c:v>-3.3010897909580033</c:v>
                </c:pt>
                <c:pt idx="330">
                  <c:v>-3.371114836648148</c:v>
                </c:pt>
                <c:pt idx="331">
                  <c:v>-3.4412243088049572</c:v>
                </c:pt>
                <c:pt idx="332">
                  <c:v>-3.5113954383929711</c:v>
                </c:pt>
                <c:pt idx="333">
                  <c:v>-3.5816058398099138</c:v>
                </c:pt>
                <c:pt idx="334">
                  <c:v>-3.6518335196802254</c:v>
                </c:pt>
                <c:pt idx="335">
                  <c:v>-3.7220568850176581</c:v>
                </c:pt>
                <c:pt idx="336">
                  <c:v>-3.7922547507634765</c:v>
                </c:pt>
                <c:pt idx="337">
                  <c:v>-3.86240634670752</c:v>
                </c:pt>
                <c:pt idx="338">
                  <c:v>-3.8624760661103079</c:v>
                </c:pt>
                <c:pt idx="339">
                  <c:v>-3.8625457854436229</c:v>
                </c:pt>
                <c:pt idx="340">
                  <c:v>-3.8626155047074433</c:v>
                </c:pt>
                <c:pt idx="341">
                  <c:v>-3.8626852239017535</c:v>
                </c:pt>
                <c:pt idx="342">
                  <c:v>-3.8627549430265304</c:v>
                </c:pt>
                <c:pt idx="343">
                  <c:v>-3.8628246620817559</c:v>
                </c:pt>
                <c:pt idx="344">
                  <c:v>-3.8628943810674112</c:v>
                </c:pt>
                <c:pt idx="345">
                  <c:v>-3.8629640999834765</c:v>
                </c:pt>
                <c:pt idx="346">
                  <c:v>-3.8630338188299298</c:v>
                </c:pt>
                <c:pt idx="347">
                  <c:v>-3.8631035376067517</c:v>
                </c:pt>
                <c:pt idx="348">
                  <c:v>-3.8631732563139263</c:v>
                </c:pt>
                <c:pt idx="349">
                  <c:v>-3.8632429749514272</c:v>
                </c:pt>
                <c:pt idx="350">
                  <c:v>-3.8633126935192408</c:v>
                </c:pt>
                <c:pt idx="351">
                  <c:v>-3.8633824120173448</c:v>
                </c:pt>
                <c:pt idx="352">
                  <c:v>-3.8634521304457183</c:v>
                </c:pt>
                <c:pt idx="353">
                  <c:v>-3.8635218488043441</c:v>
                </c:pt>
                <c:pt idx="354">
                  <c:v>-3.8635915670932022</c:v>
                </c:pt>
                <c:pt idx="355">
                  <c:v>-3.8636612853122716</c:v>
                </c:pt>
                <c:pt idx="356">
                  <c:v>-3.8637310034615298</c:v>
                </c:pt>
                <c:pt idx="357">
                  <c:v>-3.8638007215409642</c:v>
                </c:pt>
                <c:pt idx="358">
                  <c:v>-3.863870439550547</c:v>
                </c:pt>
                <c:pt idx="359">
                  <c:v>-3.8639401574902656</c:v>
                </c:pt>
                <c:pt idx="360">
                  <c:v>-3.8640098753600971</c:v>
                </c:pt>
                <c:pt idx="361">
                  <c:v>-3.8640795931600169</c:v>
                </c:pt>
                <c:pt idx="362">
                  <c:v>-3.8641493108900145</c:v>
                </c:pt>
                <c:pt idx="363">
                  <c:v>-3.8642190285500653</c:v>
                </c:pt>
                <c:pt idx="364">
                  <c:v>-3.8642887461401512</c:v>
                </c:pt>
                <c:pt idx="365">
                  <c:v>-3.8643584636602495</c:v>
                </c:pt>
                <c:pt idx="366">
                  <c:v>-3.8644281811103411</c:v>
                </c:pt>
                <c:pt idx="367">
                  <c:v>-3.8644978984904066</c:v>
                </c:pt>
                <c:pt idx="368">
                  <c:v>-3.8645676158004298</c:v>
                </c:pt>
                <c:pt idx="369">
                  <c:v>-3.8646373330403869</c:v>
                </c:pt>
                <c:pt idx="370">
                  <c:v>-3.864707050210261</c:v>
                </c:pt>
                <c:pt idx="371">
                  <c:v>-3.8647767673100293</c:v>
                </c:pt>
                <c:pt idx="372">
                  <c:v>-3.8648464843396728</c:v>
                </c:pt>
                <c:pt idx="373">
                  <c:v>-3.864916201299176</c:v>
                </c:pt>
                <c:pt idx="374">
                  <c:v>-3.8649859181885118</c:v>
                </c:pt>
                <c:pt idx="375">
                  <c:v>-3.8650556350076664</c:v>
                </c:pt>
                <c:pt idx="376">
                  <c:v>-3.8651253517566175</c:v>
                </c:pt>
                <c:pt idx="377">
                  <c:v>-3.8651950684353475</c:v>
                </c:pt>
                <c:pt idx="378">
                  <c:v>-3.8652647850438324</c:v>
                </c:pt>
                <c:pt idx="379">
                  <c:v>-3.8653345015820575</c:v>
                </c:pt>
                <c:pt idx="380">
                  <c:v>-3.8654042180499988</c:v>
                </c:pt>
                <c:pt idx="381">
                  <c:v>-3.865473934447639</c:v>
                </c:pt>
                <c:pt idx="382">
                  <c:v>-3.8655436507749568</c:v>
                </c:pt>
                <c:pt idx="383">
                  <c:v>-3.8656133670319357</c:v>
                </c:pt>
                <c:pt idx="384">
                  <c:v>-3.8656830832185545</c:v>
                </c:pt>
                <c:pt idx="385">
                  <c:v>-3.8657527993347895</c:v>
                </c:pt>
                <c:pt idx="386">
                  <c:v>-3.8658225153806249</c:v>
                </c:pt>
                <c:pt idx="387">
                  <c:v>-3.8658922313560433</c:v>
                </c:pt>
                <c:pt idx="388">
                  <c:v>-3.8659619472610181</c:v>
                </c:pt>
                <c:pt idx="389">
                  <c:v>-3.8660316630955358</c:v>
                </c:pt>
                <c:pt idx="390">
                  <c:v>-3.8661013788595748</c:v>
                </c:pt>
                <c:pt idx="391">
                  <c:v>-3.8661710945531116</c:v>
                </c:pt>
                <c:pt idx="392">
                  <c:v>-3.8662408101761332</c:v>
                </c:pt>
                <c:pt idx="393">
                  <c:v>-3.8663105257286143</c:v>
                </c:pt>
                <c:pt idx="394">
                  <c:v>-3.8663802412105381</c:v>
                </c:pt>
                <c:pt idx="395">
                  <c:v>-3.8664499566218828</c:v>
                </c:pt>
                <c:pt idx="396">
                  <c:v>-3.8665196719626302</c:v>
                </c:pt>
                <c:pt idx="397">
                  <c:v>-3.8665893872327604</c:v>
                </c:pt>
                <c:pt idx="398">
                  <c:v>-3.8666591024322541</c:v>
                </c:pt>
                <c:pt idx="399">
                  <c:v>-3.8667288175610928</c:v>
                </c:pt>
                <c:pt idx="400">
                  <c:v>-3.8667985326192533</c:v>
                </c:pt>
                <c:pt idx="401">
                  <c:v>-3.866868247606718</c:v>
                </c:pt>
                <c:pt idx="402">
                  <c:v>-3.866937962523465</c:v>
                </c:pt>
                <c:pt idx="403">
                  <c:v>-3.8670076773694761</c:v>
                </c:pt>
                <c:pt idx="404">
                  <c:v>-3.8670773921447359</c:v>
                </c:pt>
                <c:pt idx="405">
                  <c:v>-3.8671471068492163</c:v>
                </c:pt>
                <c:pt idx="406">
                  <c:v>-3.8672168214829048</c:v>
                </c:pt>
                <c:pt idx="407">
                  <c:v>-3.8672865360457753</c:v>
                </c:pt>
                <c:pt idx="408">
                  <c:v>-3.8673562505378154</c:v>
                </c:pt>
                <c:pt idx="409">
                  <c:v>-3.8674259649589979</c:v>
                </c:pt>
                <c:pt idx="410">
                  <c:v>-3.8674956793093092</c:v>
                </c:pt>
                <c:pt idx="411">
                  <c:v>-3.8675653935887255</c:v>
                </c:pt>
                <c:pt idx="412">
                  <c:v>-3.8676351077972306</c:v>
                </c:pt>
                <c:pt idx="413">
                  <c:v>-3.8677048219347991</c:v>
                </c:pt>
                <c:pt idx="414">
                  <c:v>-3.8677745360014186</c:v>
                </c:pt>
                <c:pt idx="415">
                  <c:v>-3.8678442499970624</c:v>
                </c:pt>
                <c:pt idx="416">
                  <c:v>-3.8679139639217199</c:v>
                </c:pt>
                <c:pt idx="417">
                  <c:v>-3.8679836777753609</c:v>
                </c:pt>
                <c:pt idx="418">
                  <c:v>-3.868053391557972</c:v>
                </c:pt>
                <c:pt idx="419">
                  <c:v>-3.8681231052695306</c:v>
                </c:pt>
                <c:pt idx="420">
                  <c:v>-3.8681928189100185</c:v>
                </c:pt>
                <c:pt idx="421">
                  <c:v>-3.868262532479418</c:v>
                </c:pt>
                <c:pt idx="422">
                  <c:v>-3.868332245977705</c:v>
                </c:pt>
                <c:pt idx="423">
                  <c:v>-3.8684019594048635</c:v>
                </c:pt>
                <c:pt idx="424">
                  <c:v>-3.868471672760871</c:v>
                </c:pt>
                <c:pt idx="425">
                  <c:v>-3.8685413860457092</c:v>
                </c:pt>
                <c:pt idx="426">
                  <c:v>-3.8686110992593581</c:v>
                </c:pt>
                <c:pt idx="427">
                  <c:v>-3.8686808124017991</c:v>
                </c:pt>
                <c:pt idx="428">
                  <c:v>-3.8687505254730099</c:v>
                </c:pt>
                <c:pt idx="429">
                  <c:v>-3.8688202384729746</c:v>
                </c:pt>
                <c:pt idx="430">
                  <c:v>-3.8688899514016692</c:v>
                </c:pt>
                <c:pt idx="431">
                  <c:v>-3.8689596642590769</c:v>
                </c:pt>
                <c:pt idx="432">
                  <c:v>-3.869029377045178</c:v>
                </c:pt>
                <c:pt idx="433">
                  <c:v>-3.86909908975995</c:v>
                </c:pt>
                <c:pt idx="434">
                  <c:v>-3.8691688024033759</c:v>
                </c:pt>
                <c:pt idx="435">
                  <c:v>-3.8692385149754367</c:v>
                </c:pt>
                <c:pt idx="436">
                  <c:v>-3.8693082274761093</c:v>
                </c:pt>
                <c:pt idx="437">
                  <c:v>-3.8693779399053754</c:v>
                </c:pt>
                <c:pt idx="438">
                  <c:v>-3.869447652263216</c:v>
                </c:pt>
                <c:pt idx="439">
                  <c:v>-3.8695173645496133</c:v>
                </c:pt>
                <c:pt idx="440">
                  <c:v>-3.8695870767645446</c:v>
                </c:pt>
                <c:pt idx="441">
                  <c:v>-3.8696567889079891</c:v>
                </c:pt>
                <c:pt idx="442">
                  <c:v>-3.8697265009799322</c:v>
                </c:pt>
                <c:pt idx="443">
                  <c:v>-3.8697962129803503</c:v>
                </c:pt>
                <c:pt idx="444">
                  <c:v>-3.8698659249092224</c:v>
                </c:pt>
                <c:pt idx="445">
                  <c:v>-3.8699356367665332</c:v>
                </c:pt>
                <c:pt idx="446">
                  <c:v>-3.8700053485522585</c:v>
                </c:pt>
                <c:pt idx="447">
                  <c:v>-3.8700750602663816</c:v>
                </c:pt>
                <c:pt idx="448">
                  <c:v>-3.8701447719088837</c:v>
                </c:pt>
                <c:pt idx="449">
                  <c:v>-3.870214483479741</c:v>
                </c:pt>
                <c:pt idx="450">
                  <c:v>-3.8702841949789373</c:v>
                </c:pt>
                <c:pt idx="451">
                  <c:v>-3.8703539064064478</c:v>
                </c:pt>
                <c:pt idx="452">
                  <c:v>-3.8704236177622606</c:v>
                </c:pt>
                <c:pt idx="453">
                  <c:v>-3.870493329046349</c:v>
                </c:pt>
                <c:pt idx="454">
                  <c:v>-3.8705630402586997</c:v>
                </c:pt>
                <c:pt idx="455">
                  <c:v>-3.8706327513992864</c:v>
                </c:pt>
                <c:pt idx="456">
                  <c:v>-3.8707024624680932</c:v>
                </c:pt>
                <c:pt idx="457">
                  <c:v>-3.8707721734651011</c:v>
                </c:pt>
                <c:pt idx="458">
                  <c:v>-3.8708418843902885</c:v>
                </c:pt>
                <c:pt idx="459">
                  <c:v>-3.8709115952436379</c:v>
                </c:pt>
                <c:pt idx="460">
                  <c:v>-3.870981306025127</c:v>
                </c:pt>
                <c:pt idx="461">
                  <c:v>-3.8710510167347367</c:v>
                </c:pt>
                <c:pt idx="462">
                  <c:v>-3.8711207273724484</c:v>
                </c:pt>
                <c:pt idx="463">
                  <c:v>-3.871190437938242</c:v>
                </c:pt>
                <c:pt idx="464">
                  <c:v>-3.8712601484320968</c:v>
                </c:pt>
                <c:pt idx="465">
                  <c:v>-3.8713298588539944</c:v>
                </c:pt>
                <c:pt idx="466">
                  <c:v>-3.871399569203914</c:v>
                </c:pt>
                <c:pt idx="467">
                  <c:v>-3.8714692794818375</c:v>
                </c:pt>
                <c:pt idx="468">
                  <c:v>-3.8715389896877421</c:v>
                </c:pt>
                <c:pt idx="469">
                  <c:v>-3.8716086998216115</c:v>
                </c:pt>
                <c:pt idx="470">
                  <c:v>-3.8716784098834243</c:v>
                </c:pt>
                <c:pt idx="471">
                  <c:v>-3.8717481198731618</c:v>
                </c:pt>
                <c:pt idx="472">
                  <c:v>-3.8718178297908028</c:v>
                </c:pt>
                <c:pt idx="473">
                  <c:v>-3.871887539636329</c:v>
                </c:pt>
                <c:pt idx="474">
                  <c:v>-3.8719572494097192</c:v>
                </c:pt>
                <c:pt idx="475">
                  <c:v>-3.8720269591109573</c:v>
                </c:pt>
                <c:pt idx="476">
                  <c:v>-3.8720966687400198</c:v>
                </c:pt>
                <c:pt idx="477">
                  <c:v>-3.8721663782968876</c:v>
                </c:pt>
                <c:pt idx="478">
                  <c:v>-3.8722360877815407</c:v>
                </c:pt>
                <c:pt idx="479">
                  <c:v>-3.8723057971939601</c:v>
                </c:pt>
                <c:pt idx="480">
                  <c:v>-3.8723755065341292</c:v>
                </c:pt>
                <c:pt idx="481">
                  <c:v>-3.8724452158020233</c:v>
                </c:pt>
                <c:pt idx="482">
                  <c:v>-3.8725149249976258</c:v>
                </c:pt>
                <c:pt idx="483">
                  <c:v>-3.8725846341209156</c:v>
                </c:pt>
                <c:pt idx="484">
                  <c:v>-3.8726543431718734</c:v>
                </c:pt>
                <c:pt idx="485">
                  <c:v>-3.8727240521504798</c:v>
                </c:pt>
                <c:pt idx="486">
                  <c:v>-3.8727937610567156</c:v>
                </c:pt>
                <c:pt idx="487">
                  <c:v>-3.8728634698905582</c:v>
                </c:pt>
                <c:pt idx="488">
                  <c:v>-3.872933178651992</c:v>
                </c:pt>
                <c:pt idx="489">
                  <c:v>-3.8730028873409958</c:v>
                </c:pt>
                <c:pt idx="490">
                  <c:v>-3.8730725959575492</c:v>
                </c:pt>
                <c:pt idx="491">
                  <c:v>-3.8731423045016324</c:v>
                </c:pt>
                <c:pt idx="492">
                  <c:v>-3.8732120129732284</c:v>
                </c:pt>
                <c:pt idx="493">
                  <c:v>-3.8732817213723125</c:v>
                </c:pt>
                <c:pt idx="494">
                  <c:v>-3.8733514296988689</c:v>
                </c:pt>
                <c:pt idx="495">
                  <c:v>-3.8734211379528758</c:v>
                </c:pt>
                <c:pt idx="496">
                  <c:v>-3.8734908461343145</c:v>
                </c:pt>
                <c:pt idx="497">
                  <c:v>-3.8735605542431677</c:v>
                </c:pt>
                <c:pt idx="498">
                  <c:v>-3.8736302622794114</c:v>
                </c:pt>
                <c:pt idx="499">
                  <c:v>-3.8736999702430266</c:v>
                </c:pt>
                <c:pt idx="500">
                  <c:v>-3.873769678133999</c:v>
                </c:pt>
                <c:pt idx="501">
                  <c:v>-3.8738393859523019</c:v>
                </c:pt>
                <c:pt idx="502">
                  <c:v>-3.8739090936979172</c:v>
                </c:pt>
                <c:pt idx="503">
                  <c:v>-3.8739788013708294</c:v>
                </c:pt>
                <c:pt idx="504">
                  <c:v>-3.874048508971017</c:v>
                </c:pt>
                <c:pt idx="505">
                  <c:v>-3.8741182164984544</c:v>
                </c:pt>
                <c:pt idx="506">
                  <c:v>-3.8741879239531318</c:v>
                </c:pt>
                <c:pt idx="507">
                  <c:v>-3.8742576313350199</c:v>
                </c:pt>
                <c:pt idx="508">
                  <c:v>-3.8743273386441071</c:v>
                </c:pt>
                <c:pt idx="509">
                  <c:v>-3.8743970458803703</c:v>
                </c:pt>
                <c:pt idx="510">
                  <c:v>-3.8744667530437895</c:v>
                </c:pt>
                <c:pt idx="511">
                  <c:v>-3.874536460134347</c:v>
                </c:pt>
                <c:pt idx="512">
                  <c:v>-3.8746061671520167</c:v>
                </c:pt>
                <c:pt idx="513">
                  <c:v>-3.8746758740967859</c:v>
                </c:pt>
                <c:pt idx="514">
                  <c:v>-3.8747455809686353</c:v>
                </c:pt>
                <c:pt idx="515">
                  <c:v>-3.8748152877675404</c:v>
                </c:pt>
                <c:pt idx="516">
                  <c:v>-3.8748849944934824</c:v>
                </c:pt>
                <c:pt idx="517">
                  <c:v>-3.874954701146442</c:v>
                </c:pt>
                <c:pt idx="518">
                  <c:v>-3.875024407726404</c:v>
                </c:pt>
                <c:pt idx="519">
                  <c:v>-3.8750941142333453</c:v>
                </c:pt>
                <c:pt idx="520">
                  <c:v>-3.8751638206672436</c:v>
                </c:pt>
                <c:pt idx="521">
                  <c:v>-3.8752335270280804</c:v>
                </c:pt>
                <c:pt idx="522">
                  <c:v>-3.8753032333158419</c:v>
                </c:pt>
                <c:pt idx="523">
                  <c:v>-3.8753729395305005</c:v>
                </c:pt>
                <c:pt idx="524">
                  <c:v>-3.875442645672039</c:v>
                </c:pt>
                <c:pt idx="525">
                  <c:v>-3.8755123517404422</c:v>
                </c:pt>
                <c:pt idx="526">
                  <c:v>-3.8755820577356865</c:v>
                </c:pt>
                <c:pt idx="527">
                  <c:v>-3.8756517636577503</c:v>
                </c:pt>
                <c:pt idx="528">
                  <c:v>-3.8757214695066189</c:v>
                </c:pt>
                <c:pt idx="529">
                  <c:v>-3.87579117528227</c:v>
                </c:pt>
                <c:pt idx="530">
                  <c:v>-3.8758608809846811</c:v>
                </c:pt>
                <c:pt idx="531">
                  <c:v>-3.8759305866138369</c:v>
                </c:pt>
                <c:pt idx="532">
                  <c:v>-3.8760002921697145</c:v>
                </c:pt>
                <c:pt idx="533">
                  <c:v>-3.8760699976522988</c:v>
                </c:pt>
                <c:pt idx="534">
                  <c:v>-3.8761397030615665</c:v>
                </c:pt>
                <c:pt idx="535">
                  <c:v>-3.8762094083974947</c:v>
                </c:pt>
                <c:pt idx="536">
                  <c:v>-3.8762791136600727</c:v>
                </c:pt>
                <c:pt idx="537">
                  <c:v>-3.8763488188492734</c:v>
                </c:pt>
                <c:pt idx="538">
                  <c:v>-3.8764185239650804</c:v>
                </c:pt>
                <c:pt idx="539">
                  <c:v>-3.8764882290074736</c:v>
                </c:pt>
                <c:pt idx="540">
                  <c:v>-3.8765579339764304</c:v>
                </c:pt>
                <c:pt idx="541">
                  <c:v>-3.876627638871935</c:v>
                </c:pt>
                <c:pt idx="542">
                  <c:v>-3.8766973436939689</c:v>
                </c:pt>
                <c:pt idx="543">
                  <c:v>-3.8767670484425092</c:v>
                </c:pt>
                <c:pt idx="544">
                  <c:v>-3.8768367531175332</c:v>
                </c:pt>
                <c:pt idx="545">
                  <c:v>-3.876906457719028</c:v>
                </c:pt>
                <c:pt idx="546">
                  <c:v>-3.8769761622469723</c:v>
                </c:pt>
                <c:pt idx="547">
                  <c:v>-3.8770458667013425</c:v>
                </c:pt>
                <c:pt idx="548">
                  <c:v>-3.8771155710821219</c:v>
                </c:pt>
                <c:pt idx="549">
                  <c:v>-3.8771852753892899</c:v>
                </c:pt>
                <c:pt idx="550">
                  <c:v>-3.8772549796228302</c:v>
                </c:pt>
                <c:pt idx="551">
                  <c:v>-3.8773246837827169</c:v>
                </c:pt>
                <c:pt idx="552">
                  <c:v>-3.8773943878689368</c:v>
                </c:pt>
                <c:pt idx="553">
                  <c:v>-3.8774640918814667</c:v>
                </c:pt>
                <c:pt idx="554">
                  <c:v>-3.8775337958202853</c:v>
                </c:pt>
                <c:pt idx="555">
                  <c:v>-3.8776034996853772</c:v>
                </c:pt>
                <c:pt idx="556">
                  <c:v>-3.8776732034767205</c:v>
                </c:pt>
                <c:pt idx="557">
                  <c:v>-3.8777429071942953</c:v>
                </c:pt>
                <c:pt idx="558">
                  <c:v>-3.8778126108380833</c:v>
                </c:pt>
                <c:pt idx="559">
                  <c:v>-3.8778823144080623</c:v>
                </c:pt>
                <c:pt idx="560">
                  <c:v>-3.8779520179042137</c:v>
                </c:pt>
                <c:pt idx="561">
                  <c:v>-3.8780217213265193</c:v>
                </c:pt>
                <c:pt idx="562">
                  <c:v>-3.8780914246749592</c:v>
                </c:pt>
                <c:pt idx="563">
                  <c:v>-3.8781611279495101</c:v>
                </c:pt>
                <c:pt idx="564">
                  <c:v>-3.8782308311501579</c:v>
                </c:pt>
                <c:pt idx="565">
                  <c:v>-3.878300534276879</c:v>
                </c:pt>
                <c:pt idx="566">
                  <c:v>-3.8783702373296567</c:v>
                </c:pt>
                <c:pt idx="567">
                  <c:v>-3.8784399403084695</c:v>
                </c:pt>
                <c:pt idx="568">
                  <c:v>-3.8785096432132962</c:v>
                </c:pt>
                <c:pt idx="569">
                  <c:v>-3.8785793460441202</c:v>
                </c:pt>
                <c:pt idx="570">
                  <c:v>-3.8786490488009182</c:v>
                </c:pt>
                <c:pt idx="571">
                  <c:v>-3.8787187514836754</c:v>
                </c:pt>
                <c:pt idx="572">
                  <c:v>-3.8787884540923692</c:v>
                </c:pt>
                <c:pt idx="573">
                  <c:v>-3.8788581566269782</c:v>
                </c:pt>
                <c:pt idx="574">
                  <c:v>-3.8789278590874896</c:v>
                </c:pt>
                <c:pt idx="575">
                  <c:v>-3.8789975614738745</c:v>
                </c:pt>
                <c:pt idx="576">
                  <c:v>-3.8790672637861174</c:v>
                </c:pt>
                <c:pt idx="577">
                  <c:v>-3.8791369660242023</c:v>
                </c:pt>
                <c:pt idx="578">
                  <c:v>-3.8792066681881039</c:v>
                </c:pt>
                <c:pt idx="579">
                  <c:v>-3.8792763702778061</c:v>
                </c:pt>
                <c:pt idx="580">
                  <c:v>-3.8793460722932904</c:v>
                </c:pt>
                <c:pt idx="581">
                  <c:v>-3.8794157742345328</c:v>
                </c:pt>
                <c:pt idx="582">
                  <c:v>-3.8794854761015154</c:v>
                </c:pt>
                <c:pt idx="583">
                  <c:v>-3.8795551778942197</c:v>
                </c:pt>
                <c:pt idx="584">
                  <c:v>-3.8796248796126256</c:v>
                </c:pt>
                <c:pt idx="585">
                  <c:v>-3.8796945812567114</c:v>
                </c:pt>
                <c:pt idx="586">
                  <c:v>-3.8797642828264594</c:v>
                </c:pt>
                <c:pt idx="587">
                  <c:v>-3.879833984321853</c:v>
                </c:pt>
                <c:pt idx="588">
                  <c:v>-3.8799036857428644</c:v>
                </c:pt>
                <c:pt idx="589">
                  <c:v>-3.8799733870894824</c:v>
                </c:pt>
                <c:pt idx="590">
                  <c:v>-3.8800430883616817</c:v>
                </c:pt>
                <c:pt idx="591">
                  <c:v>-3.8801127895594449</c:v>
                </c:pt>
                <c:pt idx="592">
                  <c:v>-3.8801824906827522</c:v>
                </c:pt>
                <c:pt idx="593">
                  <c:v>-3.880252191731584</c:v>
                </c:pt>
                <c:pt idx="594">
                  <c:v>-3.8803218927059193</c:v>
                </c:pt>
                <c:pt idx="595">
                  <c:v>-3.8803915936057423</c:v>
                </c:pt>
                <c:pt idx="596">
                  <c:v>-3.880461294431031</c:v>
                </c:pt>
                <c:pt idx="597">
                  <c:v>-3.8805309951817644</c:v>
                </c:pt>
                <c:pt idx="598">
                  <c:v>-3.8806006958579244</c:v>
                </c:pt>
                <c:pt idx="599">
                  <c:v>-3.8806703964594895</c:v>
                </c:pt>
                <c:pt idx="600">
                  <c:v>-3.8807400969864427</c:v>
                </c:pt>
                <c:pt idx="601">
                  <c:v>-3.8808097974387641</c:v>
                </c:pt>
                <c:pt idx="602">
                  <c:v>-3.8808794978164323</c:v>
                </c:pt>
                <c:pt idx="603">
                  <c:v>-3.8809491981194286</c:v>
                </c:pt>
                <c:pt idx="604">
                  <c:v>-3.8810188983477336</c:v>
                </c:pt>
                <c:pt idx="605">
                  <c:v>-3.8810885985013277</c:v>
                </c:pt>
                <c:pt idx="606">
                  <c:v>-3.8811582985801882</c:v>
                </c:pt>
                <c:pt idx="607">
                  <c:v>-3.8812279985842992</c:v>
                </c:pt>
                <c:pt idx="608">
                  <c:v>-3.881297698513642</c:v>
                </c:pt>
                <c:pt idx="609">
                  <c:v>-3.8813673983681944</c:v>
                </c:pt>
                <c:pt idx="610">
                  <c:v>-3.8814370981479374</c:v>
                </c:pt>
                <c:pt idx="611">
                  <c:v>-3.8815067978528521</c:v>
                </c:pt>
                <c:pt idx="612">
                  <c:v>-3.8815764974829157</c:v>
                </c:pt>
                <c:pt idx="613">
                  <c:v>-3.8816461970381124</c:v>
                </c:pt>
                <c:pt idx="614">
                  <c:v>-3.8817158965184193</c:v>
                </c:pt>
                <c:pt idx="615">
                  <c:v>-3.8817855959238234</c:v>
                </c:pt>
                <c:pt idx="616">
                  <c:v>-3.8818552952542951</c:v>
                </c:pt>
                <c:pt idx="617">
                  <c:v>-3.8819249945098213</c:v>
                </c:pt>
                <c:pt idx="618">
                  <c:v>-3.8819946936903826</c:v>
                </c:pt>
                <c:pt idx="619">
                  <c:v>-3.8820643927959551</c:v>
                </c:pt>
                <c:pt idx="620">
                  <c:v>-3.8821340918265239</c:v>
                </c:pt>
                <c:pt idx="621">
                  <c:v>-3.8822037907820652</c:v>
                </c:pt>
                <c:pt idx="622">
                  <c:v>-3.8822734896625652</c:v>
                </c:pt>
                <c:pt idx="623">
                  <c:v>-3.8823431884679978</c:v>
                </c:pt>
                <c:pt idx="624">
                  <c:v>-3.8824128871983459</c:v>
                </c:pt>
                <c:pt idx="625">
                  <c:v>-3.8824825858535918</c:v>
                </c:pt>
                <c:pt idx="626">
                  <c:v>-3.8825522844337126</c:v>
                </c:pt>
                <c:pt idx="627">
                  <c:v>-3.8826219829386912</c:v>
                </c:pt>
                <c:pt idx="628">
                  <c:v>-3.8826916813685042</c:v>
                </c:pt>
                <c:pt idx="629">
                  <c:v>-3.8827613797231382</c:v>
                </c:pt>
                <c:pt idx="630">
                  <c:v>-3.8828310780025688</c:v>
                </c:pt>
                <c:pt idx="631">
                  <c:v>-3.8829007762067773</c:v>
                </c:pt>
                <c:pt idx="632">
                  <c:v>-3.8829704743357483</c:v>
                </c:pt>
                <c:pt idx="633">
                  <c:v>-3.8830401723894528</c:v>
                </c:pt>
                <c:pt idx="634">
                  <c:v>-3.8831098703678797</c:v>
                </c:pt>
                <c:pt idx="635">
                  <c:v>-3.8831795682710051</c:v>
                </c:pt>
                <c:pt idx="636">
                  <c:v>-3.8832492660988107</c:v>
                </c:pt>
                <c:pt idx="637">
                  <c:v>-3.8833189638512753</c:v>
                </c:pt>
                <c:pt idx="638">
                  <c:v>-3.8833886615283828</c:v>
                </c:pt>
                <c:pt idx="639">
                  <c:v>-3.8834583591301142</c:v>
                </c:pt>
                <c:pt idx="640">
                  <c:v>-3.883528056656445</c:v>
                </c:pt>
                <c:pt idx="641">
                  <c:v>-3.8835977541073561</c:v>
                </c:pt>
                <c:pt idx="642">
                  <c:v>-3.8836674514828315</c:v>
                </c:pt>
                <c:pt idx="643">
                  <c:v>-3.8837371487828478</c:v>
                </c:pt>
                <c:pt idx="644">
                  <c:v>-3.8838068460073889</c:v>
                </c:pt>
                <c:pt idx="645">
                  <c:v>-3.883876543156433</c:v>
                </c:pt>
                <c:pt idx="646">
                  <c:v>-3.8839462402299607</c:v>
                </c:pt>
                <c:pt idx="647">
                  <c:v>-3.8840159372279532</c:v>
                </c:pt>
                <c:pt idx="648">
                  <c:v>-3.8840856341503933</c:v>
                </c:pt>
                <c:pt idx="649">
                  <c:v>-3.8841553309972539</c:v>
                </c:pt>
                <c:pt idx="650">
                  <c:v>-3.8842250277685229</c:v>
                </c:pt>
                <c:pt idx="651">
                  <c:v>-3.8842947244641763</c:v>
                </c:pt>
                <c:pt idx="652">
                  <c:v>-3.8843644210841957</c:v>
                </c:pt>
                <c:pt idx="653">
                  <c:v>-3.8844341176285608</c:v>
                </c:pt>
                <c:pt idx="654">
                  <c:v>-3.884503814097255</c:v>
                </c:pt>
                <c:pt idx="655">
                  <c:v>-3.8845735104902577</c:v>
                </c:pt>
                <c:pt idx="656">
                  <c:v>-3.8846432068075449</c:v>
                </c:pt>
                <c:pt idx="657">
                  <c:v>-3.8847129030491012</c:v>
                </c:pt>
                <c:pt idx="658">
                  <c:v>-3.8847825992149048</c:v>
                </c:pt>
                <c:pt idx="659">
                  <c:v>-3.8848522953049396</c:v>
                </c:pt>
                <c:pt idx="660">
                  <c:v>-3.8849219913191835</c:v>
                </c:pt>
                <c:pt idx="661">
                  <c:v>-3.8849916872576165</c:v>
                </c:pt>
                <c:pt idx="662">
                  <c:v>-3.8850613831202176</c:v>
                </c:pt>
                <c:pt idx="663">
                  <c:v>-3.885131078906972</c:v>
                </c:pt>
                <c:pt idx="664">
                  <c:v>-3.8852007746178558</c:v>
                </c:pt>
                <c:pt idx="665">
                  <c:v>-3.8852704702528507</c:v>
                </c:pt>
                <c:pt idx="666">
                  <c:v>-3.8853401658119386</c:v>
                </c:pt>
                <c:pt idx="667">
                  <c:v>-3.8854098612950989</c:v>
                </c:pt>
                <c:pt idx="668">
                  <c:v>-3.8854795567023093</c:v>
                </c:pt>
                <c:pt idx="669">
                  <c:v>-3.8855492520335528</c:v>
                </c:pt>
                <c:pt idx="670">
                  <c:v>-3.8856189472888096</c:v>
                </c:pt>
                <c:pt idx="671">
                  <c:v>-3.8856886424680601</c:v>
                </c:pt>
                <c:pt idx="672">
                  <c:v>-3.8857583375712839</c:v>
                </c:pt>
                <c:pt idx="673">
                  <c:v>-3.8858280325984658</c:v>
                </c:pt>
                <c:pt idx="674">
                  <c:v>-3.8858977275495774</c:v>
                </c:pt>
                <c:pt idx="675">
                  <c:v>-3.8859674224246072</c:v>
                </c:pt>
                <c:pt idx="676">
                  <c:v>-3.886037117223534</c:v>
                </c:pt>
                <c:pt idx="677">
                  <c:v>-3.8861068119463327</c:v>
                </c:pt>
                <c:pt idx="678">
                  <c:v>-3.8861765065929901</c:v>
                </c:pt>
                <c:pt idx="679">
                  <c:v>-3.8862462011634809</c:v>
                </c:pt>
                <c:pt idx="680">
                  <c:v>-3.8863158956577917</c:v>
                </c:pt>
                <c:pt idx="681">
                  <c:v>-3.8863855900758977</c:v>
                </c:pt>
                <c:pt idx="682">
                  <c:v>-3.8864552844177838</c:v>
                </c:pt>
                <c:pt idx="683">
                  <c:v>-3.8865249786834268</c:v>
                </c:pt>
                <c:pt idx="684">
                  <c:v>-3.8865946728728096</c:v>
                </c:pt>
                <c:pt idx="685">
                  <c:v>-3.886664366985912</c:v>
                </c:pt>
                <c:pt idx="686">
                  <c:v>-3.8867340610227123</c:v>
                </c:pt>
                <c:pt idx="687">
                  <c:v>-3.8868037549831929</c:v>
                </c:pt>
                <c:pt idx="688">
                  <c:v>-3.8868734488673331</c:v>
                </c:pt>
                <c:pt idx="689">
                  <c:v>-3.8869431426751158</c:v>
                </c:pt>
                <c:pt idx="690">
                  <c:v>-3.8870128364065168</c:v>
                </c:pt>
                <c:pt idx="691">
                  <c:v>-3.887082530061523</c:v>
                </c:pt>
                <c:pt idx="692">
                  <c:v>-3.8871522236401077</c:v>
                </c:pt>
                <c:pt idx="693">
                  <c:v>-3.8872219171422548</c:v>
                </c:pt>
                <c:pt idx="694">
                  <c:v>-3.8872916105679463</c:v>
                </c:pt>
                <c:pt idx="695">
                  <c:v>-3.8873613039171584</c:v>
                </c:pt>
                <c:pt idx="696">
                  <c:v>-3.8874309971898762</c:v>
                </c:pt>
                <c:pt idx="697">
                  <c:v>-3.8875006903860774</c:v>
                </c:pt>
                <c:pt idx="698">
                  <c:v>-3.8875703835057416</c:v>
                </c:pt>
                <c:pt idx="699">
                  <c:v>-3.8876400765488519</c:v>
                </c:pt>
                <c:pt idx="700">
                  <c:v>-3.8877097695153884</c:v>
                </c:pt>
                <c:pt idx="701">
                  <c:v>-3.8877794624053261</c:v>
                </c:pt>
                <c:pt idx="702">
                  <c:v>-3.8878491552186514</c:v>
                </c:pt>
                <c:pt idx="703">
                  <c:v>-3.8879188479553459</c:v>
                </c:pt>
                <c:pt idx="704">
                  <c:v>-3.8879885406153831</c:v>
                </c:pt>
                <c:pt idx="705">
                  <c:v>-3.8880582331987492</c:v>
                </c:pt>
                <c:pt idx="706">
                  <c:v>-3.8881279257054224</c:v>
                </c:pt>
                <c:pt idx="707">
                  <c:v>-3.888197618135385</c:v>
                </c:pt>
                <c:pt idx="708">
                  <c:v>-3.8882673104886138</c:v>
                </c:pt>
                <c:pt idx="709">
                  <c:v>-3.8883370027650939</c:v>
                </c:pt>
                <c:pt idx="710">
                  <c:v>-3.8884066949648006</c:v>
                </c:pt>
                <c:pt idx="711">
                  <c:v>-3.8884763870877164</c:v>
                </c:pt>
                <c:pt idx="712">
                  <c:v>-3.8885460791338233</c:v>
                </c:pt>
                <c:pt idx="713">
                  <c:v>-3.888615771103098</c:v>
                </c:pt>
                <c:pt idx="714">
                  <c:v>-3.8886854629955274</c:v>
                </c:pt>
                <c:pt idx="715">
                  <c:v>-3.8887551548110832</c:v>
                </c:pt>
                <c:pt idx="716">
                  <c:v>-3.8888248465497535</c:v>
                </c:pt>
                <c:pt idx="717">
                  <c:v>-3.8888945382115163</c:v>
                </c:pt>
                <c:pt idx="718">
                  <c:v>-3.8889642297963523</c:v>
                </c:pt>
                <c:pt idx="719">
                  <c:v>-3.8890339213042373</c:v>
                </c:pt>
                <c:pt idx="720">
                  <c:v>-3.889103612735159</c:v>
                </c:pt>
                <c:pt idx="721">
                  <c:v>-3.8891733040890917</c:v>
                </c:pt>
                <c:pt idx="722">
                  <c:v>-3.8892429953660193</c:v>
                </c:pt>
                <c:pt idx="723">
                  <c:v>-3.8893126865659218</c:v>
                </c:pt>
                <c:pt idx="724">
                  <c:v>-3.8893823776887788</c:v>
                </c:pt>
                <c:pt idx="725">
                  <c:v>-3.8894520687345722</c:v>
                </c:pt>
                <c:pt idx="726">
                  <c:v>-3.8895217597032783</c:v>
                </c:pt>
                <c:pt idx="727">
                  <c:v>-3.8895914505948821</c:v>
                </c:pt>
                <c:pt idx="728">
                  <c:v>-3.8896611414093609</c:v>
                </c:pt>
                <c:pt idx="729">
                  <c:v>-3.8897308321466979</c:v>
                </c:pt>
                <c:pt idx="730">
                  <c:v>-3.8898005228068722</c:v>
                </c:pt>
                <c:pt idx="731">
                  <c:v>-3.8898702133898633</c:v>
                </c:pt>
                <c:pt idx="732">
                  <c:v>-3.8899399038956552</c:v>
                </c:pt>
                <c:pt idx="733">
                  <c:v>-3.8900095943242232</c:v>
                </c:pt>
                <c:pt idx="734">
                  <c:v>-3.8900792846755508</c:v>
                </c:pt>
                <c:pt idx="735">
                  <c:v>-3.8901489749496179</c:v>
                </c:pt>
                <c:pt idx="736">
                  <c:v>-3.8902186651464024</c:v>
                </c:pt>
                <c:pt idx="737">
                  <c:v>-3.8902883552658896</c:v>
                </c:pt>
                <c:pt idx="738">
                  <c:v>-3.8903580453080582</c:v>
                </c:pt>
                <c:pt idx="739">
                  <c:v>-3.890427735272886</c:v>
                </c:pt>
                <c:pt idx="740">
                  <c:v>-3.8904974251603566</c:v>
                </c:pt>
                <c:pt idx="741">
                  <c:v>-3.8905671149704455</c:v>
                </c:pt>
                <c:pt idx="742">
                  <c:v>-3.8906368047031403</c:v>
                </c:pt>
                <c:pt idx="743">
                  <c:v>-3.8907064943584184</c:v>
                </c:pt>
                <c:pt idx="744">
                  <c:v>-3.8907761839362589</c:v>
                </c:pt>
                <c:pt idx="745">
                  <c:v>-3.89084587343664</c:v>
                </c:pt>
                <c:pt idx="746">
                  <c:v>-3.8909155628595471</c:v>
                </c:pt>
                <c:pt idx="747">
                  <c:v>-3.8909852522049575</c:v>
                </c:pt>
                <c:pt idx="748">
                  <c:v>-3.8910549414728566</c:v>
                </c:pt>
                <c:pt idx="749">
                  <c:v>-3.8911246306632186</c:v>
                </c:pt>
                <c:pt idx="750">
                  <c:v>-3.8911943197760257</c:v>
                </c:pt>
                <c:pt idx="751">
                  <c:v>-3.8912640088112584</c:v>
                </c:pt>
                <c:pt idx="752">
                  <c:v>-3.8913336977689008</c:v>
                </c:pt>
                <c:pt idx="753">
                  <c:v>-3.8914033866489248</c:v>
                </c:pt>
                <c:pt idx="754">
                  <c:v>-3.8914730754513198</c:v>
                </c:pt>
                <c:pt idx="755">
                  <c:v>-3.8915427641760618</c:v>
                </c:pt>
                <c:pt idx="756">
                  <c:v>-3.8916124528231331</c:v>
                </c:pt>
                <c:pt idx="757">
                  <c:v>-3.8916821413925105</c:v>
                </c:pt>
                <c:pt idx="758">
                  <c:v>-3.8917518298841767</c:v>
                </c:pt>
                <c:pt idx="759">
                  <c:v>-3.8918215182981175</c:v>
                </c:pt>
                <c:pt idx="760">
                  <c:v>-3.8918912066343037</c:v>
                </c:pt>
                <c:pt idx="761">
                  <c:v>-3.8919608948927218</c:v>
                </c:pt>
                <c:pt idx="762">
                  <c:v>-3.8920305830733493</c:v>
                </c:pt>
                <c:pt idx="763">
                  <c:v>-3.8921002711761692</c:v>
                </c:pt>
                <c:pt idx="764">
                  <c:v>-3.8921699592011612</c:v>
                </c:pt>
                <c:pt idx="765">
                  <c:v>-3.892239647148303</c:v>
                </c:pt>
                <c:pt idx="766">
                  <c:v>-3.8923093350175795</c:v>
                </c:pt>
                <c:pt idx="767">
                  <c:v>-3.8923790228089676</c:v>
                </c:pt>
                <c:pt idx="768">
                  <c:v>-3.8924487105224506</c:v>
                </c:pt>
                <c:pt idx="769">
                  <c:v>-3.8925183981580052</c:v>
                </c:pt>
                <c:pt idx="770">
                  <c:v>-3.892588085715615</c:v>
                </c:pt>
                <c:pt idx="771">
                  <c:v>-3.8926577731952601</c:v>
                </c:pt>
                <c:pt idx="772">
                  <c:v>-3.8927274605969191</c:v>
                </c:pt>
                <c:pt idx="773">
                  <c:v>-3.8927971479205765</c:v>
                </c:pt>
                <c:pt idx="774">
                  <c:v>-3.8928668351662048</c:v>
                </c:pt>
                <c:pt idx="775">
                  <c:v>-3.8929365223337942</c:v>
                </c:pt>
                <c:pt idx="776">
                  <c:v>-3.8930062094233193</c:v>
                </c:pt>
                <c:pt idx="777">
                  <c:v>-3.8930758964347589</c:v>
                </c:pt>
                <c:pt idx="778">
                  <c:v>-3.8931455833681006</c:v>
                </c:pt>
                <c:pt idx="779">
                  <c:v>-3.8932152702233176</c:v>
                </c:pt>
                <c:pt idx="780">
                  <c:v>-3.8932849570003922</c:v>
                </c:pt>
                <c:pt idx="781">
                  <c:v>-3.8933546436993076</c:v>
                </c:pt>
                <c:pt idx="782">
                  <c:v>-3.8934243303200429</c:v>
                </c:pt>
                <c:pt idx="783">
                  <c:v>-3.8934940168625762</c:v>
                </c:pt>
                <c:pt idx="784">
                  <c:v>-3.8935637033268904</c:v>
                </c:pt>
                <c:pt idx="785">
                  <c:v>-3.8936333897129654</c:v>
                </c:pt>
                <c:pt idx="786">
                  <c:v>-3.8937030760207807</c:v>
                </c:pt>
                <c:pt idx="787">
                  <c:v>-3.89377276225032</c:v>
                </c:pt>
                <c:pt idx="788">
                  <c:v>-3.8938424484015597</c:v>
                </c:pt>
                <c:pt idx="789">
                  <c:v>-3.8939121344744825</c:v>
                </c:pt>
                <c:pt idx="790">
                  <c:v>-3.8939818204690666</c:v>
                </c:pt>
                <c:pt idx="791">
                  <c:v>-3.8940515063852978</c:v>
                </c:pt>
                <c:pt idx="792">
                  <c:v>-3.8941211922231513</c:v>
                </c:pt>
                <c:pt idx="793">
                  <c:v>-3.8941908779826067</c:v>
                </c:pt>
                <c:pt idx="794">
                  <c:v>-3.8942605636636491</c:v>
                </c:pt>
                <c:pt idx="795">
                  <c:v>-3.8943302492662566</c:v>
                </c:pt>
                <c:pt idx="796">
                  <c:v>-3.8943999347904099</c:v>
                </c:pt>
                <c:pt idx="797">
                  <c:v>-3.894469620236086</c:v>
                </c:pt>
                <c:pt idx="798">
                  <c:v>-3.8945393056032702</c:v>
                </c:pt>
                <c:pt idx="799">
                  <c:v>-3.8946089908919421</c:v>
                </c:pt>
                <c:pt idx="800">
                  <c:v>-3.8946786761020795</c:v>
                </c:pt>
                <c:pt idx="801">
                  <c:v>-3.8947483612336677</c:v>
                </c:pt>
                <c:pt idx="802">
                  <c:v>-3.8948180462866819</c:v>
                </c:pt>
                <c:pt idx="803">
                  <c:v>-3.8948877312611061</c:v>
                </c:pt>
                <c:pt idx="804">
                  <c:v>-3.894957416156918</c:v>
                </c:pt>
                <c:pt idx="805">
                  <c:v>-3.8950271009740991</c:v>
                </c:pt>
                <c:pt idx="806">
                  <c:v>-3.895096785712632</c:v>
                </c:pt>
                <c:pt idx="807">
                  <c:v>-3.8951664703724944</c:v>
                </c:pt>
                <c:pt idx="808">
                  <c:v>-3.8952361549536696</c:v>
                </c:pt>
                <c:pt idx="809">
                  <c:v>-3.8953058394561348</c:v>
                </c:pt>
                <c:pt idx="810">
                  <c:v>-3.8953755238798728</c:v>
                </c:pt>
                <c:pt idx="811">
                  <c:v>-3.8954452082248601</c:v>
                </c:pt>
                <c:pt idx="812">
                  <c:v>-3.8955148924910841</c:v>
                </c:pt>
                <c:pt idx="813">
                  <c:v>-3.8955845766785178</c:v>
                </c:pt>
                <c:pt idx="814">
                  <c:v>-3.8956542607871469</c:v>
                </c:pt>
                <c:pt idx="815">
                  <c:v>-3.8957239448169498</c:v>
                </c:pt>
                <c:pt idx="816">
                  <c:v>-3.8957936287679082</c:v>
                </c:pt>
                <c:pt idx="817">
                  <c:v>-3.8958633126399986</c:v>
                </c:pt>
                <c:pt idx="818">
                  <c:v>-3.8959329964332068</c:v>
                </c:pt>
                <c:pt idx="819">
                  <c:v>-3.8960026801475123</c:v>
                </c:pt>
                <c:pt idx="820">
                  <c:v>-3.8960723637828929</c:v>
                </c:pt>
                <c:pt idx="821">
                  <c:v>-3.8961420473393291</c:v>
                </c:pt>
                <c:pt idx="822">
                  <c:v>-3.8962117308168032</c:v>
                </c:pt>
                <c:pt idx="823">
                  <c:v>-3.8962814142152959</c:v>
                </c:pt>
                <c:pt idx="824">
                  <c:v>-3.8963510975347844</c:v>
                </c:pt>
                <c:pt idx="825">
                  <c:v>-3.8964207807752524</c:v>
                </c:pt>
                <c:pt idx="826">
                  <c:v>-3.896490463936678</c:v>
                </c:pt>
                <c:pt idx="827">
                  <c:v>-3.8965601470190463</c:v>
                </c:pt>
                <c:pt idx="828">
                  <c:v>-3.8966298300223325</c:v>
                </c:pt>
                <c:pt idx="829">
                  <c:v>-3.8966995129465203</c:v>
                </c:pt>
                <c:pt idx="830">
                  <c:v>-3.89676919579159</c:v>
                </c:pt>
                <c:pt idx="831">
                  <c:v>-3.8968388785575199</c:v>
                </c:pt>
                <c:pt idx="832">
                  <c:v>-3.89690856124429</c:v>
                </c:pt>
                <c:pt idx="833">
                  <c:v>-3.896978243851883</c:v>
                </c:pt>
                <c:pt idx="834">
                  <c:v>-3.897047926380282</c:v>
                </c:pt>
                <c:pt idx="835">
                  <c:v>-3.8971176088294595</c:v>
                </c:pt>
                <c:pt idx="836">
                  <c:v>-3.8971872911994034</c:v>
                </c:pt>
                <c:pt idx="837">
                  <c:v>-3.8972569734900921</c:v>
                </c:pt>
                <c:pt idx="838">
                  <c:v>-3.8973266557015025</c:v>
                </c:pt>
                <c:pt idx="839">
                  <c:v>-3.8973963378336185</c:v>
                </c:pt>
                <c:pt idx="840">
                  <c:v>-3.8974660198864211</c:v>
                </c:pt>
                <c:pt idx="841">
                  <c:v>-3.8975357018598884</c:v>
                </c:pt>
                <c:pt idx="842">
                  <c:v>-3.8976053837540046</c:v>
                </c:pt>
                <c:pt idx="843">
                  <c:v>-3.8976750655687442</c:v>
                </c:pt>
                <c:pt idx="844">
                  <c:v>-3.8977447473040909</c:v>
                </c:pt>
                <c:pt idx="845">
                  <c:v>-3.8978144289600287</c:v>
                </c:pt>
                <c:pt idx="846">
                  <c:v>-3.8978841105365354</c:v>
                </c:pt>
                <c:pt idx="847">
                  <c:v>-3.8979537920335878</c:v>
                </c:pt>
                <c:pt idx="848">
                  <c:v>-3.8980234734511723</c:v>
                </c:pt>
                <c:pt idx="849">
                  <c:v>-3.8980931547892639</c:v>
                </c:pt>
                <c:pt idx="850">
                  <c:v>-3.8981628360478466</c:v>
                </c:pt>
                <c:pt idx="851">
                  <c:v>-3.8982325172268992</c:v>
                </c:pt>
                <c:pt idx="852">
                  <c:v>-3.8983021983264039</c:v>
                </c:pt>
                <c:pt idx="853">
                  <c:v>-3.8983718793463398</c:v>
                </c:pt>
                <c:pt idx="854">
                  <c:v>-3.8984415602866891</c:v>
                </c:pt>
                <c:pt idx="855">
                  <c:v>-3.8985112411474305</c:v>
                </c:pt>
                <c:pt idx="856">
                  <c:v>-3.8985809219285419</c:v>
                </c:pt>
                <c:pt idx="857">
                  <c:v>-3.8986506026300103</c:v>
                </c:pt>
                <c:pt idx="858">
                  <c:v>-3.8987202832518095</c:v>
                </c:pt>
                <c:pt idx="859">
                  <c:v>-3.898789963793925</c:v>
                </c:pt>
                <c:pt idx="860">
                  <c:v>-3.8988596442563335</c:v>
                </c:pt>
                <c:pt idx="861">
                  <c:v>-3.8989293246390204</c:v>
                </c:pt>
                <c:pt idx="862">
                  <c:v>-3.8989990049419592</c:v>
                </c:pt>
                <c:pt idx="863">
                  <c:v>-3.8990686851651364</c:v>
                </c:pt>
                <c:pt idx="864">
                  <c:v>-3.8991383653085308</c:v>
                </c:pt>
                <c:pt idx="865">
                  <c:v>-3.8992080453721183</c:v>
                </c:pt>
                <c:pt idx="866">
                  <c:v>-3.8992777253558888</c:v>
                </c:pt>
                <c:pt idx="867">
                  <c:v>-3.8993474052598143</c:v>
                </c:pt>
                <c:pt idx="868">
                  <c:v>-3.8994170850838796</c:v>
                </c:pt>
                <c:pt idx="869">
                  <c:v>-3.8994867648280627</c:v>
                </c:pt>
                <c:pt idx="870">
                  <c:v>-3.8995564444923443</c:v>
                </c:pt>
                <c:pt idx="871">
                  <c:v>-3.8996261240767089</c:v>
                </c:pt>
                <c:pt idx="872">
                  <c:v>-3.8996958035811327</c:v>
                </c:pt>
                <c:pt idx="873">
                  <c:v>-3.899765483005599</c:v>
                </c:pt>
                <c:pt idx="874">
                  <c:v>-3.8998351623500853</c:v>
                </c:pt>
                <c:pt idx="875">
                  <c:v>-3.8999048416145743</c:v>
                </c:pt>
                <c:pt idx="876">
                  <c:v>-3.8999745207990442</c:v>
                </c:pt>
                <c:pt idx="877">
                  <c:v>-3.9000441999034776</c:v>
                </c:pt>
                <c:pt idx="878">
                  <c:v>-3.9001138789278533</c:v>
                </c:pt>
                <c:pt idx="879">
                  <c:v>-3.9001835578721553</c:v>
                </c:pt>
                <c:pt idx="880">
                  <c:v>-3.90025323673636</c:v>
                </c:pt>
                <c:pt idx="881">
                  <c:v>-3.9003229155204489</c:v>
                </c:pt>
                <c:pt idx="882">
                  <c:v>-3.9003925942244049</c:v>
                </c:pt>
                <c:pt idx="883">
                  <c:v>-3.900462272848205</c:v>
                </c:pt>
                <c:pt idx="884">
                  <c:v>-3.9005319513918328</c:v>
                </c:pt>
                <c:pt idx="885">
                  <c:v>-3.9006016298552675</c:v>
                </c:pt>
                <c:pt idx="886">
                  <c:v>-3.9006713082384854</c:v>
                </c:pt>
                <c:pt idx="887">
                  <c:v>-3.9007409865414746</c:v>
                </c:pt>
                <c:pt idx="888">
                  <c:v>-3.9008106647642111</c:v>
                </c:pt>
                <c:pt idx="889">
                  <c:v>-3.9008803429066754</c:v>
                </c:pt>
                <c:pt idx="890">
                  <c:v>-3.9009500209688501</c:v>
                </c:pt>
                <c:pt idx="891">
                  <c:v>-3.9010196989507131</c:v>
                </c:pt>
                <c:pt idx="892">
                  <c:v>-3.9010893768522479</c:v>
                </c:pt>
                <c:pt idx="893">
                  <c:v>-3.9011590546734318</c:v>
                </c:pt>
                <c:pt idx="894">
                  <c:v>-3.9012287324142476</c:v>
                </c:pt>
                <c:pt idx="895">
                  <c:v>-3.901298410074673</c:v>
                </c:pt>
                <c:pt idx="896">
                  <c:v>-3.9013680876546943</c:v>
                </c:pt>
                <c:pt idx="897">
                  <c:v>-3.9014377651542835</c:v>
                </c:pt>
                <c:pt idx="898">
                  <c:v>-3.9015074425734282</c:v>
                </c:pt>
                <c:pt idx="899">
                  <c:v>-3.9015771199121065</c:v>
                </c:pt>
                <c:pt idx="900">
                  <c:v>-3.9016467971702999</c:v>
                </c:pt>
                <c:pt idx="901">
                  <c:v>-3.9017164743479866</c:v>
                </c:pt>
                <c:pt idx="902">
                  <c:v>-3.9017861514451466</c:v>
                </c:pt>
                <c:pt idx="903">
                  <c:v>-3.9018558284617626</c:v>
                </c:pt>
                <c:pt idx="904">
                  <c:v>-3.9019255053978164</c:v>
                </c:pt>
                <c:pt idx="905">
                  <c:v>-3.9019951822532848</c:v>
                </c:pt>
                <c:pt idx="906">
                  <c:v>-3.902064859028151</c:v>
                </c:pt>
                <c:pt idx="907">
                  <c:v>-3.902134535722392</c:v>
                </c:pt>
                <c:pt idx="908">
                  <c:v>-3.9022042123359926</c:v>
                </c:pt>
                <c:pt idx="909">
                  <c:v>-3.9022738888689337</c:v>
                </c:pt>
                <c:pt idx="910">
                  <c:v>-3.9023435653211895</c:v>
                </c:pt>
                <c:pt idx="911">
                  <c:v>-3.9024132416927464</c:v>
                </c:pt>
                <c:pt idx="912">
                  <c:v>-3.9024829179835843</c:v>
                </c:pt>
                <c:pt idx="913">
                  <c:v>-3.9025525941936818</c:v>
                </c:pt>
                <c:pt idx="914">
                  <c:v>-3.9026222703230178</c:v>
                </c:pt>
                <c:pt idx="915">
                  <c:v>-3.9026919463715801</c:v>
                </c:pt>
                <c:pt idx="916">
                  <c:v>-3.9027616223393413</c:v>
                </c:pt>
                <c:pt idx="917">
                  <c:v>-3.9028312982262841</c:v>
                </c:pt>
                <c:pt idx="918">
                  <c:v>-3.9029009740323906</c:v>
                </c:pt>
                <c:pt idx="919">
                  <c:v>-3.9029706497576417</c:v>
                </c:pt>
                <c:pt idx="920">
                  <c:v>-3.903040325402015</c:v>
                </c:pt>
                <c:pt idx="921">
                  <c:v>-3.9031100009654924</c:v>
                </c:pt>
                <c:pt idx="922">
                  <c:v>-3.9031796764480546</c:v>
                </c:pt>
                <c:pt idx="923">
                  <c:v>-3.9032493518496838</c:v>
                </c:pt>
                <c:pt idx="924">
                  <c:v>-3.9033190271703564</c:v>
                </c:pt>
                <c:pt idx="925">
                  <c:v>-3.9033887024100538</c:v>
                </c:pt>
                <c:pt idx="926">
                  <c:v>-3.9034583775687604</c:v>
                </c:pt>
                <c:pt idx="927">
                  <c:v>-3.9035280526464566</c:v>
                </c:pt>
                <c:pt idx="928">
                  <c:v>-3.90359772764312</c:v>
                </c:pt>
                <c:pt idx="929">
                  <c:v>-3.9036674025587272</c:v>
                </c:pt>
                <c:pt idx="930">
                  <c:v>-3.9037370773932678</c:v>
                </c:pt>
                <c:pt idx="931">
                  <c:v>-3.9038067521467132</c:v>
                </c:pt>
                <c:pt idx="932">
                  <c:v>-3.9038764268190538</c:v>
                </c:pt>
                <c:pt idx="933">
                  <c:v>-3.9039461014102614</c:v>
                </c:pt>
                <c:pt idx="934">
                  <c:v>-3.9040157759203189</c:v>
                </c:pt>
                <c:pt idx="935">
                  <c:v>-3.9040854503492097</c:v>
                </c:pt>
                <c:pt idx="936">
                  <c:v>-3.9041551246969108</c:v>
                </c:pt>
                <c:pt idx="937">
                  <c:v>-3.9042247989634076</c:v>
                </c:pt>
                <c:pt idx="938">
                  <c:v>-3.9042944731486728</c:v>
                </c:pt>
                <c:pt idx="939">
                  <c:v>-3.9043641472526938</c:v>
                </c:pt>
                <c:pt idx="940">
                  <c:v>-3.9044338212754459</c:v>
                </c:pt>
                <c:pt idx="941">
                  <c:v>-3.9045034952169146</c:v>
                </c:pt>
                <c:pt idx="942">
                  <c:v>-3.9045731690770782</c:v>
                </c:pt>
                <c:pt idx="943">
                  <c:v>-3.9046428428559157</c:v>
                </c:pt>
                <c:pt idx="944">
                  <c:v>-3.904712516553412</c:v>
                </c:pt>
                <c:pt idx="945">
                  <c:v>-3.9047821901695414</c:v>
                </c:pt>
                <c:pt idx="946">
                  <c:v>-3.9048518637042893</c:v>
                </c:pt>
                <c:pt idx="947">
                  <c:v>-3.9049215371576338</c:v>
                </c:pt>
                <c:pt idx="948">
                  <c:v>-3.9049912105295546</c:v>
                </c:pt>
                <c:pt idx="949">
                  <c:v>-3.9050608838200338</c:v>
                </c:pt>
                <c:pt idx="950">
                  <c:v>-3.9051305570290533</c:v>
                </c:pt>
                <c:pt idx="951">
                  <c:v>-3.9052002301565931</c:v>
                </c:pt>
                <c:pt idx="952">
                  <c:v>-3.905269903202631</c:v>
                </c:pt>
                <c:pt idx="953">
                  <c:v>-3.9053395761671497</c:v>
                </c:pt>
                <c:pt idx="954">
                  <c:v>-3.9054092490501295</c:v>
                </c:pt>
                <c:pt idx="955">
                  <c:v>-3.9054789218515507</c:v>
                </c:pt>
                <c:pt idx="956">
                  <c:v>-3.9055485945713926</c:v>
                </c:pt>
                <c:pt idx="957">
                  <c:v>-3.9056182672096393</c:v>
                </c:pt>
                <c:pt idx="958">
                  <c:v>-3.9056879397662665</c:v>
                </c:pt>
                <c:pt idx="959">
                  <c:v>-3.9057576122412603</c:v>
                </c:pt>
                <c:pt idx="960">
                  <c:v>-3.9058272846345932</c:v>
                </c:pt>
                <c:pt idx="961">
                  <c:v>-3.9058969569462536</c:v>
                </c:pt>
                <c:pt idx="962">
                  <c:v>-3.9059666291762176</c:v>
                </c:pt>
                <c:pt idx="963">
                  <c:v>-3.9060363013244692</c:v>
                </c:pt>
                <c:pt idx="964">
                  <c:v>-3.9061059733909858</c:v>
                </c:pt>
                <c:pt idx="965">
                  <c:v>-3.9061756453757477</c:v>
                </c:pt>
                <c:pt idx="966">
                  <c:v>-3.9062453172787381</c:v>
                </c:pt>
                <c:pt idx="967">
                  <c:v>-3.9063149890999349</c:v>
                </c:pt>
                <c:pt idx="968">
                  <c:v>-3.9063846608393207</c:v>
                </c:pt>
                <c:pt idx="969">
                  <c:v>-3.9064543324968768</c:v>
                </c:pt>
                <c:pt idx="970">
                  <c:v>-3.906524004072581</c:v>
                </c:pt>
                <c:pt idx="971">
                  <c:v>-3.906593675566413</c:v>
                </c:pt>
                <c:pt idx="972">
                  <c:v>-3.9066633469783567</c:v>
                </c:pt>
                <c:pt idx="973">
                  <c:v>-3.9067330183083895</c:v>
                </c:pt>
                <c:pt idx="974">
                  <c:v>-3.9068026895564953</c:v>
                </c:pt>
                <c:pt idx="975">
                  <c:v>-3.9068723607226508</c:v>
                </c:pt>
                <c:pt idx="976">
                  <c:v>-3.9069420318068397</c:v>
                </c:pt>
                <c:pt idx="977">
                  <c:v>-3.907011702809041</c:v>
                </c:pt>
                <c:pt idx="978">
                  <c:v>-3.9070813737292371</c:v>
                </c:pt>
                <c:pt idx="979">
                  <c:v>-3.9071510445674043</c:v>
                </c:pt>
                <c:pt idx="980">
                  <c:v>-3.9072207153235263</c:v>
                </c:pt>
                <c:pt idx="981">
                  <c:v>-3.9072903859975838</c:v>
                </c:pt>
                <c:pt idx="982">
                  <c:v>-3.9073600565895581</c:v>
                </c:pt>
                <c:pt idx="983">
                  <c:v>-3.90742972709943</c:v>
                </c:pt>
                <c:pt idx="984">
                  <c:v>-3.907499397527173</c:v>
                </c:pt>
                <c:pt idx="985">
                  <c:v>-3.9075690678727741</c:v>
                </c:pt>
                <c:pt idx="986">
                  <c:v>-3.9076387381362152</c:v>
                </c:pt>
                <c:pt idx="987">
                  <c:v>-3.9077084083174727</c:v>
                </c:pt>
                <c:pt idx="988">
                  <c:v>-3.9077780784165301</c:v>
                </c:pt>
                <c:pt idx="989">
                  <c:v>-3.9078477484333627</c:v>
                </c:pt>
                <c:pt idx="990">
                  <c:v>-3.9079174183679575</c:v>
                </c:pt>
                <c:pt idx="991">
                  <c:v>-3.9079870882202927</c:v>
                </c:pt>
                <c:pt idx="992">
                  <c:v>-3.9080567579903471</c:v>
                </c:pt>
                <c:pt idx="993">
                  <c:v>-3.9081264276781029</c:v>
                </c:pt>
                <c:pt idx="994">
                  <c:v>-3.9081960972835428</c:v>
                </c:pt>
                <c:pt idx="995">
                  <c:v>-3.9082657668066436</c:v>
                </c:pt>
                <c:pt idx="996">
                  <c:v>-3.908335436247385</c:v>
                </c:pt>
                <c:pt idx="997">
                  <c:v>-3.9084051056057505</c:v>
                </c:pt>
                <c:pt idx="998">
                  <c:v>-3.9084747748817201</c:v>
                </c:pt>
                <c:pt idx="999">
                  <c:v>-3.9085444440752721</c:v>
                </c:pt>
                <c:pt idx="1000">
                  <c:v>-3.908614113186391</c:v>
                </c:pt>
              </c:numCache>
            </c:numRef>
          </c:yVal>
          <c:smooth val="0"/>
          <c:extLst>
            <c:ext xmlns:c16="http://schemas.microsoft.com/office/drawing/2014/chart" uri="{C3380CC4-5D6E-409C-BE32-E72D297353CC}">
              <c16:uniqueId val="{00000001-AB4D-4413-81E2-CAE1696CC3AA}"/>
            </c:ext>
          </c:extLst>
        </c:ser>
        <c:dLbls>
          <c:showLegendKey val="0"/>
          <c:showVal val="0"/>
          <c:showCatName val="0"/>
          <c:showSerName val="0"/>
          <c:showPercent val="0"/>
          <c:showBubbleSize val="0"/>
        </c:dLbls>
        <c:axId val="610334680"/>
        <c:axId val="1"/>
      </c:scatterChart>
      <c:valAx>
        <c:axId val="61033468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63E-2"/>
              <c:y val="0.2973866501981370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610334680"/>
        <c:crosses val="autoZero"/>
        <c:crossBetween val="midCat"/>
      </c:valAx>
      <c:spPr>
        <a:noFill/>
        <a:ln w="12700">
          <a:solidFill>
            <a:srgbClr val="808080"/>
          </a:solidFill>
          <a:prstDash val="solid"/>
        </a:ln>
      </c:spPr>
    </c:plotArea>
    <c:legend>
      <c:legendPos val="r"/>
      <c:layout>
        <c:manualLayout>
          <c:xMode val="edge"/>
          <c:yMode val="edge"/>
          <c:x val="0.66155660377358494"/>
          <c:y val="0.25163467311684079"/>
          <c:w val="0.31014150943396224"/>
          <c:h val="0.1568630881924073"/>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Calculs!$J$4:$J$1004</c:f>
              <c:numCache>
                <c:formatCode>0.00</c:formatCode>
                <c:ptCount val="1001"/>
                <c:pt idx="0">
                  <c:v>0</c:v>
                </c:pt>
                <c:pt idx="1">
                  <c:v>2.4733681936185822E-4</c:v>
                </c:pt>
                <c:pt idx="2">
                  <c:v>1.6523851771565153E-3</c:v>
                </c:pt>
                <c:pt idx="3">
                  <c:v>5.1575534632956246E-3</c:v>
                </c:pt>
                <c:pt idx="4">
                  <c:v>1.093687033726265E-2</c:v>
                </c:pt>
                <c:pt idx="5">
                  <c:v>1.8830297531210832E-2</c:v>
                </c:pt>
                <c:pt idx="6">
                  <c:v>2.8779233377834022E-2</c:v>
                </c:pt>
                <c:pt idx="7">
                  <c:v>4.0775839458927189E-2</c:v>
                </c:pt>
                <c:pt idx="8">
                  <c:v>5.4812221647415865E-2</c:v>
                </c:pt>
                <c:pt idx="9">
                  <c:v>7.0880430523417109E-2</c:v>
                </c:pt>
                <c:pt idx="10">
                  <c:v>8.8972461795073399E-2</c:v>
                </c:pt>
                <c:pt idx="11">
                  <c:v>0.10908025672407436</c:v>
                </c:pt>
                <c:pt idx="12">
                  <c:v>0.13119570255578028</c:v>
                </c:pt>
                <c:pt idx="13">
                  <c:v>0.15531063295386047</c:v>
                </c:pt>
                <c:pt idx="14">
                  <c:v>0.18141682843935875</c:v>
                </c:pt>
                <c:pt idx="15">
                  <c:v>0.20950601683409731</c:v>
                </c:pt>
                <c:pt idx="16">
                  <c:v>0.23956987370832988</c:v>
                </c:pt>
                <c:pt idx="17">
                  <c:v>0.27160002283255397</c:v>
                </c:pt>
                <c:pt idx="18">
                  <c:v>0.30558803663339124</c:v>
                </c:pt>
                <c:pt idx="19">
                  <c:v>0.34152543665344459</c:v>
                </c:pt>
                <c:pt idx="20">
                  <c:v>0.37940369401504004</c:v>
                </c:pt>
                <c:pt idx="21">
                  <c:v>0.41921422988776036</c:v>
                </c:pt>
                <c:pt idx="22">
                  <c:v>0.46094841595967706</c:v>
                </c:pt>
                <c:pt idx="23">
                  <c:v>0.50468150886236818</c:v>
                </c:pt>
                <c:pt idx="24">
                  <c:v>0.55049255302931022</c:v>
                </c:pt>
                <c:pt idx="25">
                  <c:v>0.59838032449026124</c:v>
                </c:pt>
                <c:pt idx="26">
                  <c:v>0.64834326406062237</c:v>
                </c:pt>
                <c:pt idx="27">
                  <c:v>0.70037944725150125</c:v>
                </c:pt>
                <c:pt idx="28">
                  <c:v>0.75448660668628786</c:v>
                </c:pt>
                <c:pt idx="29">
                  <c:v>0.81066215215186821</c:v>
                </c:pt>
                <c:pt idx="30">
                  <c:v>0.86890318861732241</c:v>
                </c:pt>
                <c:pt idx="31">
                  <c:v>0.92920653249617413</c:v>
                </c:pt>
                <c:pt idx="32">
                  <c:v>0.99156872638274673</c:v>
                </c:pt>
                <c:pt idx="33">
                  <c:v>1.0559860524564153</c:v>
                </c:pt>
                <c:pt idx="34">
                  <c:v>1.1224545447176153</c:v>
                </c:pt>
                <c:pt idx="35">
                  <c:v>1.1909700001949335</c:v>
                </c:pt>
                <c:pt idx="36">
                  <c:v>1.2615279892423676</c:v>
                </c:pt>
                <c:pt idx="37">
                  <c:v>1.3341238650290372</c:v>
                </c:pt>
                <c:pt idx="38">
                  <c:v>1.4087527723095974</c:v>
                </c:pt>
                <c:pt idx="39">
                  <c:v>1.4854096555518341</c:v>
                </c:pt>
                <c:pt idx="40">
                  <c:v>1.5640892664879815</c:v>
                </c:pt>
                <c:pt idx="41">
                  <c:v>1.6447861711478817</c:v>
                </c:pt>
                <c:pt idx="42">
                  <c:v>1.7274947564249319</c:v>
                </c:pt>
                <c:pt idx="43">
                  <c:v>1.8122092362196334</c:v>
                </c:pt>
                <c:pt idx="44">
                  <c:v>1.8989236572002872</c:v>
                </c:pt>
                <c:pt idx="45">
                  <c:v>1.9876319042158395</c:v>
                </c:pt>
                <c:pt idx="46">
                  <c:v>2.078327705391954</c:v>
                </c:pt>
                <c:pt idx="47">
                  <c:v>2.1710046369379765</c:v>
                </c:pt>
                <c:pt idx="48">
                  <c:v>2.2656561276894851</c:v>
                </c:pt>
                <c:pt idx="49">
                  <c:v>2.362275463408523</c:v>
                </c:pt>
                <c:pt idx="50">
                  <c:v>2.460855790861336</c:v>
                </c:pt>
                <c:pt idx="51">
                  <c:v>2.5613901216914372</c:v>
                </c:pt>
                <c:pt idx="52">
                  <c:v>2.6638713361040534</c:v>
                </c:pt>
                <c:pt idx="53">
                  <c:v>2.7682921863764545</c:v>
                </c:pt>
                <c:pt idx="54">
                  <c:v>2.8746453002072854</c:v>
                </c:pt>
                <c:pt idx="55">
                  <c:v>2.9829231839167862</c:v>
                </c:pt>
                <c:pt idx="56">
                  <c:v>3.0931182255087077</c:v>
                </c:pt>
                <c:pt idx="57">
                  <c:v>3.2052226976037397</c:v>
                </c:pt>
                <c:pt idx="58">
                  <c:v>3.319228760253409</c:v>
                </c:pt>
                <c:pt idx="59">
                  <c:v>3.4351284636426214</c:v>
                </c:pt>
                <c:pt idx="60">
                  <c:v>3.5529137506883135</c:v>
                </c:pt>
                <c:pt idx="61">
                  <c:v>3.6725764595410597</c:v>
                </c:pt>
                <c:pt idx="62">
                  <c:v>3.7941083259959036</c:v>
                </c:pt>
                <c:pt idx="63">
                  <c:v>3.917496048120729</c:v>
                </c:pt>
                <c:pt idx="64">
                  <c:v>4.0427163242127273</c:v>
                </c:pt>
                <c:pt idx="65">
                  <c:v>4.1697407602713668</c:v>
                </c:pt>
                <c:pt idx="66">
                  <c:v>4.2985408054077832</c:v>
                </c:pt>
                <c:pt idx="67">
                  <c:v>4.4290831993679376</c:v>
                </c:pt>
                <c:pt idx="68">
                  <c:v>4.561325397406705</c:v>
                </c:pt>
                <c:pt idx="69">
                  <c:v>4.6952119733493651</c:v>
                </c:pt>
                <c:pt idx="70">
                  <c:v>4.8306710086435158</c:v>
                </c:pt>
                <c:pt idx="71">
                  <c:v>4.9676221874647384</c:v>
                </c:pt>
                <c:pt idx="72">
                  <c:v>5.1059849323957689</c:v>
                </c:pt>
                <c:pt idx="73">
                  <c:v>5.2456784168900583</c:v>
                </c:pt>
                <c:pt idx="74">
                  <c:v>5.3866215772210824</c:v>
                </c:pt>
                <c:pt idx="75">
                  <c:v>5.528733123936207</c:v>
                </c:pt>
                <c:pt idx="76">
                  <c:v>5.6719315528314951</c:v>
                </c:pt>
                <c:pt idx="77">
                  <c:v>5.8161351554616489</c:v>
                </c:pt>
                <c:pt idx="78">
                  <c:v>5.9612620291973553</c:v>
                </c:pt>
                <c:pt idx="79">
                  <c:v>6.1072300868405573</c:v>
                </c:pt>
                <c:pt idx="80">
                  <c:v>6.2539570658066062</c:v>
                </c:pt>
                <c:pt idx="81">
                  <c:v>6.4013703824296009</c:v>
                </c:pt>
                <c:pt idx="82">
                  <c:v>6.549417017138131</c:v>
                </c:pt>
                <c:pt idx="83">
                  <c:v>6.6980537092987333</c:v>
                </c:pt>
                <c:pt idx="84">
                  <c:v>6.8472371180141396</c:v>
                </c:pt>
                <c:pt idx="85">
                  <c:v>6.9969238246839112</c:v>
                </c:pt>
                <c:pt idx="86">
                  <c:v>7.1470703354507741</c:v>
                </c:pt>
                <c:pt idx="87">
                  <c:v>7.2976330835334755</c:v>
                </c:pt>
                <c:pt idx="88">
                  <c:v>7.4485684314468585</c:v>
                </c:pt>
                <c:pt idx="89">
                  <c:v>7.5998358172169214</c:v>
                </c:pt>
                <c:pt idx="90">
                  <c:v>7.7514009092493268</c:v>
                </c:pt>
                <c:pt idx="91">
                  <c:v>7.9032324729050245</c:v>
                </c:pt>
                <c:pt idx="92">
                  <c:v>8.0552992278138085</c:v>
                </c:pt>
                <c:pt idx="93">
                  <c:v>8.2075706390161649</c:v>
                </c:pt>
                <c:pt idx="94">
                  <c:v>8.3600177101543132</c:v>
                </c:pt>
                <c:pt idx="95">
                  <c:v>8.5126121961407506</c:v>
                </c:pt>
                <c:pt idx="96">
                  <c:v>8.6653258135961124</c:v>
                </c:pt>
                <c:pt idx="97">
                  <c:v>8.8181334187900422</c:v>
                </c:pt>
                <c:pt idx="98">
                  <c:v>8.9710161937069852</c:v>
                </c:pt>
                <c:pt idx="99">
                  <c:v>9.1239584771680597</c:v>
                </c:pt>
                <c:pt idx="100">
                  <c:v>9.2769445875761036</c:v>
                </c:pt>
                <c:pt idx="101">
                  <c:v>9.4299588229882936</c:v>
                </c:pt>
                <c:pt idx="102">
                  <c:v>9.5829854611742267</c:v>
                </c:pt>
                <c:pt idx="103">
                  <c:v>9.7360087596594163</c:v>
                </c:pt>
                <c:pt idx="104">
                  <c:v>9.8890129557540938</c:v>
                </c:pt>
                <c:pt idx="105">
                  <c:v>10.041982266567238</c:v>
                </c:pt>
                <c:pt idx="106">
                  <c:v>10.194900889005725</c:v>
                </c:pt>
                <c:pt idx="107">
                  <c:v>10.347752999758482</c:v>
                </c:pt>
                <c:pt idx="108">
                  <c:v>10.500522755265555</c:v>
                </c:pt>
                <c:pt idx="109">
                  <c:v>10.653198324660133</c:v>
                </c:pt>
                <c:pt idx="110">
                  <c:v>10.805775932726542</c:v>
                </c:pt>
                <c:pt idx="111">
                  <c:v>10.9582558367185</c:v>
                </c:pt>
                <c:pt idx="112">
                  <c:v>11.110638293182168</c:v>
                </c:pt>
                <c:pt idx="113">
                  <c:v>11.262923557959095</c:v>
                </c:pt>
                <c:pt idx="114">
                  <c:v>11.415111886189163</c:v>
                </c:pt>
                <c:pt idx="115">
                  <c:v>11.567203532313503</c:v>
                </c:pt>
                <c:pt idx="116">
                  <c:v>11.71919875007741</c:v>
                </c:pt>
                <c:pt idx="117">
                  <c:v>11.871097792533234</c:v>
                </c:pt>
                <c:pt idx="118">
                  <c:v>12.022900912043259</c:v>
                </c:pt>
                <c:pt idx="119">
                  <c:v>12.174608360282566</c:v>
                </c:pt>
                <c:pt idx="120">
                  <c:v>12.326220388241888</c:v>
                </c:pt>
                <c:pt idx="121">
                  <c:v>12.477737246230443</c:v>
                </c:pt>
                <c:pt idx="122">
                  <c:v>12.629159183878759</c:v>
                </c:pt>
                <c:pt idx="123">
                  <c:v>12.780486450141474</c:v>
                </c:pt>
                <c:pt idx="124">
                  <c:v>12.931719293300141</c:v>
                </c:pt>
                <c:pt idx="125">
                  <c:v>13.082857960965999</c:v>
                </c:pt>
                <c:pt idx="126">
                  <c:v>13.233902700082742</c:v>
                </c:pt>
                <c:pt idx="127">
                  <c:v>13.384853756929274</c:v>
                </c:pt>
                <c:pt idx="128">
                  <c:v>13.535711377122443</c:v>
                </c:pt>
                <c:pt idx="129">
                  <c:v>13.686475805619764</c:v>
                </c:pt>
                <c:pt idx="130">
                  <c:v>13.837147286722141</c:v>
                </c:pt>
                <c:pt idx="131">
                  <c:v>13.987726064076554</c:v>
                </c:pt>
                <c:pt idx="132">
                  <c:v>14.138212380678747</c:v>
                </c:pt>
                <c:pt idx="133">
                  <c:v>14.2886064788759</c:v>
                </c:pt>
                <c:pt idx="134">
                  <c:v>14.438908600369288</c:v>
                </c:pt>
                <c:pt idx="135">
                  <c:v>14.589118986216922</c:v>
                </c:pt>
                <c:pt idx="136">
                  <c:v>14.739237876836185</c:v>
                </c:pt>
                <c:pt idx="137">
                  <c:v>14.889265512006446</c:v>
                </c:pt>
                <c:pt idx="138">
                  <c:v>15.039202130871672</c:v>
                </c:pt>
                <c:pt idx="139">
                  <c:v>15.189047971943014</c:v>
                </c:pt>
                <c:pt idx="140">
                  <c:v>15.338803273101393</c:v>
                </c:pt>
                <c:pt idx="141">
                  <c:v>15.488468271600064</c:v>
                </c:pt>
                <c:pt idx="142">
                  <c:v>15.638043204067174</c:v>
                </c:pt>
                <c:pt idx="143">
                  <c:v>15.787528306508298</c:v>
                </c:pt>
                <c:pt idx="144">
                  <c:v>15.936923814308978</c:v>
                </c:pt>
                <c:pt idx="145">
                  <c:v>16.086229962237233</c:v>
                </c:pt>
                <c:pt idx="146">
                  <c:v>16.235446984446067</c:v>
                </c:pt>
                <c:pt idx="147">
                  <c:v>16.384575114475965</c:v>
                </c:pt>
                <c:pt idx="148">
                  <c:v>16.533614585257361</c:v>
                </c:pt>
                <c:pt idx="149">
                  <c:v>16.682565629113125</c:v>
                </c:pt>
                <c:pt idx="150">
                  <c:v>16.831428477761008</c:v>
                </c:pt>
                <c:pt idx="151">
                  <c:v>16.98020336231609</c:v>
                </c:pt>
                <c:pt idx="152">
                  <c:v>17.128890513293204</c:v>
                </c:pt>
                <c:pt idx="153">
                  <c:v>17.277490160609371</c:v>
                </c:pt>
                <c:pt idx="154">
                  <c:v>17.426002533586203</c:v>
                </c:pt>
                <c:pt idx="155">
                  <c:v>17.574427860952294</c:v>
                </c:pt>
                <c:pt idx="156">
                  <c:v>17.722766370845612</c:v>
                </c:pt>
                <c:pt idx="157">
                  <c:v>17.871018290815876</c:v>
                </c:pt>
                <c:pt idx="158">
                  <c:v>18.019183847826909</c:v>
                </c:pt>
                <c:pt idx="159">
                  <c:v>18.167263268258999</c:v>
                </c:pt>
                <c:pt idx="160">
                  <c:v>18.31525677791123</c:v>
                </c:pt>
                <c:pt idx="161">
                  <c:v>18.463164602003818</c:v>
                </c:pt>
                <c:pt idx="162">
                  <c:v>18.610986965180423</c:v>
                </c:pt>
                <c:pt idx="163">
                  <c:v>18.758724091510459</c:v>
                </c:pt>
                <c:pt idx="164">
                  <c:v>18.90637620449138</c:v>
                </c:pt>
                <c:pt idx="165">
                  <c:v>19.053943527050976</c:v>
                </c:pt>
                <c:pt idx="166">
                  <c:v>19.201426281549637</c:v>
                </c:pt>
                <c:pt idx="167">
                  <c:v>19.348824689782617</c:v>
                </c:pt>
                <c:pt idx="168">
                  <c:v>19.496138972982287</c:v>
                </c:pt>
                <c:pt idx="169">
                  <c:v>19.643369351820375</c:v>
                </c:pt>
                <c:pt idx="170">
                  <c:v>19.79051604641019</c:v>
                </c:pt>
                <c:pt idx="171">
                  <c:v>19.937579276308842</c:v>
                </c:pt>
                <c:pt idx="172">
                  <c:v>20.084559260519459</c:v>
                </c:pt>
                <c:pt idx="173">
                  <c:v>20.231456217493374</c:v>
                </c:pt>
                <c:pt idx="174">
                  <c:v>20.37827036513232</c:v>
                </c:pt>
                <c:pt idx="175">
                  <c:v>20.525001920790594</c:v>
                </c:pt>
                <c:pt idx="176">
                  <c:v>20.671651101277234</c:v>
                </c:pt>
                <c:pt idx="177">
                  <c:v>20.818218122858173</c:v>
                </c:pt>
                <c:pt idx="178">
                  <c:v>20.964703201258384</c:v>
                </c:pt>
                <c:pt idx="179">
                  <c:v>21.111106551664008</c:v>
                </c:pt>
                <c:pt idx="180">
                  <c:v>21.257428388724492</c:v>
                </c:pt>
                <c:pt idx="181">
                  <c:v>21.403668926554694</c:v>
                </c:pt>
                <c:pt idx="182">
                  <c:v>21.54982837873699</c:v>
                </c:pt>
                <c:pt idx="183">
                  <c:v>21.695906958323366</c:v>
                </c:pt>
                <c:pt idx="184">
                  <c:v>21.841904877837511</c:v>
                </c:pt>
                <c:pt idx="185">
                  <c:v>21.987822349276883</c:v>
                </c:pt>
                <c:pt idx="186">
                  <c:v>22.133659584114778</c:v>
                </c:pt>
                <c:pt idx="187">
                  <c:v>22.279416793302389</c:v>
                </c:pt>
                <c:pt idx="188">
                  <c:v>22.425094187270844</c:v>
                </c:pt>
                <c:pt idx="189">
                  <c:v>22.570691975933244</c:v>
                </c:pt>
                <c:pt idx="190">
                  <c:v>22.716210368686689</c:v>
                </c:pt>
                <c:pt idx="191">
                  <c:v>22.861649574414301</c:v>
                </c:pt>
                <c:pt idx="192">
                  <c:v>23.007009801487222</c:v>
                </c:pt>
                <c:pt idx="193">
                  <c:v>23.152291257766613</c:v>
                </c:pt>
                <c:pt idx="194">
                  <c:v>23.297494150605651</c:v>
                </c:pt>
                <c:pt idx="195">
                  <c:v>23.442618686851493</c:v>
                </c:pt>
                <c:pt idx="196">
                  <c:v>23.587665072847258</c:v>
                </c:pt>
                <c:pt idx="197">
                  <c:v>23.732633514433985</c:v>
                </c:pt>
                <c:pt idx="198">
                  <c:v>23.877524216952573</c:v>
                </c:pt>
                <c:pt idx="199">
                  <c:v>24.022337385245734</c:v>
                </c:pt>
                <c:pt idx="200">
                  <c:v>24.167073223659926</c:v>
                </c:pt>
                <c:pt idx="201">
                  <c:v>25.610194257447382</c:v>
                </c:pt>
                <c:pt idx="202">
                  <c:v>27.04571394894532</c:v>
                </c:pt>
                <c:pt idx="203">
                  <c:v>28.473832054426985</c:v>
                </c:pt>
                <c:pt idx="204">
                  <c:v>29.894743613360628</c:v>
                </c:pt>
                <c:pt idx="205">
                  <c:v>31.308639126493681</c:v>
                </c:pt>
                <c:pt idx="206">
                  <c:v>32.715704725738377</c:v>
                </c:pt>
                <c:pt idx="207">
                  <c:v>34.116122336258215</c:v>
                </c:pt>
                <c:pt idx="208">
                  <c:v>35.510069831124959</c:v>
                </c:pt>
                <c:pt idx="209">
                  <c:v>36.897721178887487</c:v>
                </c:pt>
                <c:pt idx="210">
                  <c:v>38.279246584366774</c:v>
                </c:pt>
                <c:pt idx="211">
                  <c:v>39.654812622965302</c:v>
                </c:pt>
                <c:pt idx="212">
                  <c:v>41.024582368753926</c:v>
                </c:pt>
                <c:pt idx="213">
                  <c:v>42.388715516574798</c:v>
                </c:pt>
                <c:pt idx="214">
                  <c:v>43.747368498374811</c:v>
                </c:pt>
                <c:pt idx="215">
                  <c:v>45.1006945939601</c:v>
                </c:pt>
                <c:pt idx="216">
                  <c:v>46.448844036338258</c:v>
                </c:pt>
                <c:pt idx="217">
                  <c:v>47.791964111790726</c:v>
                </c:pt>
                <c:pt idx="218">
                  <c:v>49.130199254793006</c:v>
                </c:pt>
                <c:pt idx="219">
                  <c:v>50.463691137874811</c:v>
                </c:pt>
                <c:pt idx="220">
                  <c:v>51.792578756485369</c:v>
                </c:pt>
                <c:pt idx="221">
                  <c:v>53.116998508900764</c:v>
                </c:pt>
                <c:pt idx="222">
                  <c:v>54.437084271179678</c:v>
                </c:pt>
                <c:pt idx="223">
                  <c:v>55.752967467140984</c:v>
                </c:pt>
                <c:pt idx="224">
                  <c:v>57.06477713330051</c:v>
                </c:pt>
                <c:pt idx="225">
                  <c:v>58.372639978664353</c:v>
                </c:pt>
                <c:pt idx="226">
                  <c:v>59.676680439231703</c:v>
                </c:pt>
                <c:pt idx="227">
                  <c:v>60.97702072701</c:v>
                </c:pt>
                <c:pt idx="228">
                  <c:v>62.273780873288729</c:v>
                </c:pt>
                <c:pt idx="229">
                  <c:v>63.567078765853623</c:v>
                </c:pt>
                <c:pt idx="230">
                  <c:v>64.857030179749344</c:v>
                </c:pt>
                <c:pt idx="231">
                  <c:v>66.143748801113986</c:v>
                </c:pt>
                <c:pt idx="232">
                  <c:v>67.427346243511053</c:v>
                </c:pt>
                <c:pt idx="233">
                  <c:v>68.707932056072153</c:v>
                </c:pt>
                <c:pt idx="234">
                  <c:v>69.985613722633445</c:v>
                </c:pt>
                <c:pt idx="235">
                  <c:v>71.260496650899029</c:v>
                </c:pt>
                <c:pt idx="236">
                  <c:v>72.532684150492074</c:v>
                </c:pt>
                <c:pt idx="237">
                  <c:v>73.80227739855701</c:v>
                </c:pt>
                <c:pt idx="238">
                  <c:v>75.069375391352125</c:v>
                </c:pt>
                <c:pt idx="239">
                  <c:v>76.334074880020339</c:v>
                </c:pt>
                <c:pt idx="240">
                  <c:v>77.596470288448629</c:v>
                </c:pt>
                <c:pt idx="241">
                  <c:v>78.856653610828772</c:v>
                </c:pt>
                <c:pt idx="242">
                  <c:v>80.114714286224412</c:v>
                </c:pt>
                <c:pt idx="243">
                  <c:v>81.37073904715335</c:v>
                </c:pt>
                <c:pt idx="244">
                  <c:v>82.624811738942171</c:v>
                </c:pt>
                <c:pt idx="245">
                  <c:v>83.877013106456999</c:v>
                </c:pt>
                <c:pt idx="246">
                  <c:v>85.127420544838913</c:v>
                </c:pt>
                <c:pt idx="247">
                  <c:v>86.376107811187723</c:v>
                </c:pt>
                <c:pt idx="248">
                  <c:v>87.623144694896197</c:v>
                </c:pt>
                <c:pt idx="249">
                  <c:v>88.868596645725077</c:v>
                </c:pt>
                <c:pt idx="250">
                  <c:v>90.112524360937513</c:v>
                </c:pt>
                <c:pt idx="251">
                  <c:v>91.354983336067477</c:v>
                </c:pt>
                <c:pt idx="252">
                  <c:v>92.596023388274858</c:v>
                </c:pt>
                <c:pt idx="253">
                  <c:v>93.835688166624095</c:v>
                </c:pt>
                <c:pt idx="254">
                  <c:v>95.074014669556718</c:v>
                </c:pt>
                <c:pt idx="255">
                  <c:v>96.311032795414846</c:v>
                </c:pt>
                <c:pt idx="256">
                  <c:v>97.5467649558001</c:v>
                </c:pt>
                <c:pt idx="257">
                  <c:v>98.781225782338637</c:v>
                </c:pt>
                <c:pt idx="258">
                  <c:v>100.01442195389393</c:v>
                </c:pt>
                <c:pt idx="259">
                  <c:v>101.24635216313746</c:v>
                </c:pt>
                <c:pt idx="260">
                  <c:v>102.47700722963823</c:v>
                </c:pt>
                <c:pt idx="261">
                  <c:v>103.7063703534139</c:v>
                </c:pt>
                <c:pt idx="262">
                  <c:v>104.93441749085994</c:v>
                </c:pt>
                <c:pt idx="263">
                  <c:v>106.16111782639283</c:v>
                </c:pt>
                <c:pt idx="264">
                  <c:v>107.38643430914735</c:v>
                </c:pt>
                <c:pt idx="265">
                  <c:v>108.6103242245004</c:v>
                </c:pt>
                <c:pt idx="266">
                  <c:v>109.8327397739414</c:v>
                </c:pt>
                <c:pt idx="267">
                  <c:v>111.05362864238195</c:v>
                </c:pt>
                <c:pt idx="268">
                  <c:v>112.27293453803208</c:v>
                </c:pt>
                <c:pt idx="269">
                  <c:v>113.49059769550941</c:v>
                </c:pt>
                <c:pt idx="270">
                  <c:v>114.70655533738721</c:v>
                </c:pt>
                <c:pt idx="271">
                  <c:v>115.92074209278127</c:v>
                </c:pt>
                <c:pt idx="272">
                  <c:v>117.13309037390725</c:v>
                </c:pt>
                <c:pt idx="273">
                  <c:v>118.34353071299832</c:v>
                </c:pt>
                <c:pt idx="274">
                  <c:v>119.55199206277048</c:v>
                </c:pt>
                <c:pt idx="275">
                  <c:v>120.75840206395837</c:v>
                </c:pt>
                <c:pt idx="276">
                  <c:v>121.96268728347303</c:v>
                </c:pt>
                <c:pt idx="277">
                  <c:v>123.16477342657674</c:v>
                </c:pt>
                <c:pt idx="278">
                  <c:v>124.36458552621006</c:v>
                </c:pt>
                <c:pt idx="279">
                  <c:v>125.56204811230009</c:v>
                </c:pt>
                <c:pt idx="280">
                  <c:v>126.7570853635622</c:v>
                </c:pt>
                <c:pt idx="281">
                  <c:v>127.94962124400065</c:v>
                </c:pt>
                <c:pt idx="282">
                  <c:v>129.13957962602939</c:v>
                </c:pt>
                <c:pt idx="283">
                  <c:v>130.32688440187709</c:v>
                </c:pt>
                <c:pt idx="284">
                  <c:v>131.51145958471341</c:v>
                </c:pt>
                <c:pt idx="285">
                  <c:v>132.693229400733</c:v>
                </c:pt>
                <c:pt idx="286">
                  <c:v>133.87211837326174</c:v>
                </c:pt>
                <c:pt idx="287">
                  <c:v>135.04805139979985</c:v>
                </c:pt>
                <c:pt idx="288">
                  <c:v>136.2209538227884</c:v>
                </c:pt>
                <c:pt idx="289">
                  <c:v>137.39075149477634</c:v>
                </c:pt>
                <c:pt idx="290">
                  <c:v>138.55737083857085</c:v>
                </c:pt>
                <c:pt idx="291">
                  <c:v>139.72073890287439</c:v>
                </c:pt>
                <c:pt idx="292">
                  <c:v>140.88078341384289</c:v>
                </c:pt>
                <c:pt idx="293">
                  <c:v>142.03743282294153</c:v>
                </c:pt>
                <c:pt idx="294">
                  <c:v>143.19061635142467</c:v>
                </c:pt>
                <c:pt idx="295">
                  <c:v>144.34026403172379</c:v>
                </c:pt>
                <c:pt idx="296">
                  <c:v>145.48630674599124</c:v>
                </c:pt>
                <c:pt idx="297">
                  <c:v>146.62867626201592</c:v>
                </c:pt>
                <c:pt idx="298">
                  <c:v>147.76730526670079</c:v>
                </c:pt>
                <c:pt idx="299">
                  <c:v>148.902127397269</c:v>
                </c:pt>
                <c:pt idx="300">
                  <c:v>150.03307727034567</c:v>
                </c:pt>
                <c:pt idx="301">
                  <c:v>151.16009050904563</c:v>
                </c:pt>
                <c:pt idx="302">
                  <c:v>152.28310376818251</c:v>
                </c:pt>
                <c:pt idx="303">
                  <c:v>153.4020547577027</c:v>
                </c:pt>
                <c:pt idx="304">
                  <c:v>154.51688226443605</c:v>
                </c:pt>
                <c:pt idx="305">
                  <c:v>155.62752617224655</c:v>
                </c:pt>
                <c:pt idx="306">
                  <c:v>156.73392748065751</c:v>
                </c:pt>
                <c:pt idx="307">
                  <c:v>157.83602832201959</c:v>
                </c:pt>
                <c:pt idx="308">
                  <c:v>158.9337719772831</c:v>
                </c:pt>
                <c:pt idx="309">
                  <c:v>160.02710289043145</c:v>
                </c:pt>
                <c:pt idx="310">
                  <c:v>161.11596668162781</c:v>
                </c:pt>
                <c:pt idx="311">
                  <c:v>162.20031015912301</c:v>
                </c:pt>
                <c:pt idx="312">
                  <c:v>163.28008132996979</c:v>
                </c:pt>
                <c:pt idx="313">
                  <c:v>164.35522940958472</c:v>
                </c:pt>
                <c:pt idx="314">
                  <c:v>165.42570483019762</c:v>
                </c:pt>
                <c:pt idx="315">
                  <c:v>166.49145924822503</c:v>
                </c:pt>
                <c:pt idx="316">
                  <c:v>167.55244555060304</c:v>
                </c:pt>
                <c:pt idx="317">
                  <c:v>168.60861786011296</c:v>
                </c:pt>
                <c:pt idx="318">
                  <c:v>169.65993153973164</c:v>
                </c:pt>
                <c:pt idx="319">
                  <c:v>170.70634319603718</c:v>
                </c:pt>
                <c:pt idx="320">
                  <c:v>171.74781068169949</c:v>
                </c:pt>
                <c:pt idx="321">
                  <c:v>172.78429309708449</c:v>
                </c:pt>
                <c:pt idx="322">
                  <c:v>173.81575079099935</c:v>
                </c:pt>
                <c:pt idx="323">
                  <c:v>174.84214536060614</c:v>
                </c:pt>
                <c:pt idx="324">
                  <c:v>175.86343965052981</c:v>
                </c:pt>
                <c:pt idx="325">
                  <c:v>176.87959775118642</c:v>
                </c:pt>
                <c:pt idx="326">
                  <c:v>177.89058499635672</c:v>
                </c:pt>
                <c:pt idx="327">
                  <c:v>178.89636796002998</c:v>
                </c:pt>
                <c:pt idx="328">
                  <c:v>179.89691445254189</c:v>
                </c:pt>
                <c:pt idx="329">
                  <c:v>180.89219351603109</c:v>
                </c:pt>
                <c:pt idx="330">
                  <c:v>181.88217541923709</c:v>
                </c:pt>
                <c:pt idx="331">
                  <c:v>182.86683165166349</c:v>
                </c:pt>
                <c:pt idx="332">
                  <c:v>183.84613491712884</c:v>
                </c:pt>
                <c:pt idx="333">
                  <c:v>184.8200591267279</c:v>
                </c:pt>
                <c:pt idx="334">
                  <c:v>185.78857939122562</c:v>
                </c:pt>
                <c:pt idx="335">
                  <c:v>186.75167201290583</c:v>
                </c:pt>
                <c:pt idx="336">
                  <c:v>187.70931447689617</c:v>
                </c:pt>
                <c:pt idx="337">
                  <c:v>187.70931447689617</c:v>
                </c:pt>
                <c:pt idx="338">
                  <c:v>187.70931447689617</c:v>
                </c:pt>
                <c:pt idx="339">
                  <c:v>187.70931447689617</c:v>
                </c:pt>
                <c:pt idx="340">
                  <c:v>187.70931447689617</c:v>
                </c:pt>
                <c:pt idx="341">
                  <c:v>187.70931447689617</c:v>
                </c:pt>
                <c:pt idx="342">
                  <c:v>187.70931447689617</c:v>
                </c:pt>
                <c:pt idx="343">
                  <c:v>187.70931447689617</c:v>
                </c:pt>
                <c:pt idx="344">
                  <c:v>187.70931447689617</c:v>
                </c:pt>
                <c:pt idx="345">
                  <c:v>187.70931447689617</c:v>
                </c:pt>
                <c:pt idx="346">
                  <c:v>187.70931447689617</c:v>
                </c:pt>
                <c:pt idx="347">
                  <c:v>187.70931447689617</c:v>
                </c:pt>
                <c:pt idx="348">
                  <c:v>187.70931447689617</c:v>
                </c:pt>
                <c:pt idx="349">
                  <c:v>187.70931447689617</c:v>
                </c:pt>
                <c:pt idx="350">
                  <c:v>187.70931447689617</c:v>
                </c:pt>
                <c:pt idx="351">
                  <c:v>187.70931447689617</c:v>
                </c:pt>
                <c:pt idx="352">
                  <c:v>187.70931447689617</c:v>
                </c:pt>
                <c:pt idx="353">
                  <c:v>187.70931447689617</c:v>
                </c:pt>
                <c:pt idx="354">
                  <c:v>187.70931447689617</c:v>
                </c:pt>
                <c:pt idx="355">
                  <c:v>187.70931447689617</c:v>
                </c:pt>
                <c:pt idx="356">
                  <c:v>187.70931447689617</c:v>
                </c:pt>
                <c:pt idx="357">
                  <c:v>187.70931447689617</c:v>
                </c:pt>
                <c:pt idx="358">
                  <c:v>187.70931447689617</c:v>
                </c:pt>
                <c:pt idx="359">
                  <c:v>187.70931447689617</c:v>
                </c:pt>
                <c:pt idx="360">
                  <c:v>187.70931447689617</c:v>
                </c:pt>
                <c:pt idx="361">
                  <c:v>187.70931447689617</c:v>
                </c:pt>
                <c:pt idx="362">
                  <c:v>187.70931447689617</c:v>
                </c:pt>
                <c:pt idx="363">
                  <c:v>187.70931447689617</c:v>
                </c:pt>
                <c:pt idx="364">
                  <c:v>187.70931447689617</c:v>
                </c:pt>
                <c:pt idx="365">
                  <c:v>187.70931447689617</c:v>
                </c:pt>
                <c:pt idx="366">
                  <c:v>187.70931447689617</c:v>
                </c:pt>
                <c:pt idx="367">
                  <c:v>187.70931447689617</c:v>
                </c:pt>
                <c:pt idx="368">
                  <c:v>187.70931447689617</c:v>
                </c:pt>
                <c:pt idx="369">
                  <c:v>187.70931447689617</c:v>
                </c:pt>
                <c:pt idx="370">
                  <c:v>187.70931447689617</c:v>
                </c:pt>
                <c:pt idx="371">
                  <c:v>187.70931447689617</c:v>
                </c:pt>
                <c:pt idx="372">
                  <c:v>187.70931447689617</c:v>
                </c:pt>
                <c:pt idx="373">
                  <c:v>187.70931447689617</c:v>
                </c:pt>
                <c:pt idx="374">
                  <c:v>187.70931447689617</c:v>
                </c:pt>
                <c:pt idx="375">
                  <c:v>187.70931447689617</c:v>
                </c:pt>
                <c:pt idx="376">
                  <c:v>187.70931447689617</c:v>
                </c:pt>
                <c:pt idx="377">
                  <c:v>187.70931447689617</c:v>
                </c:pt>
                <c:pt idx="378">
                  <c:v>187.70931447689617</c:v>
                </c:pt>
                <c:pt idx="379">
                  <c:v>187.70931447689617</c:v>
                </c:pt>
                <c:pt idx="380">
                  <c:v>187.70931447689617</c:v>
                </c:pt>
                <c:pt idx="381">
                  <c:v>187.70931447689617</c:v>
                </c:pt>
                <c:pt idx="382">
                  <c:v>187.70931447689617</c:v>
                </c:pt>
                <c:pt idx="383">
                  <c:v>187.70931447689617</c:v>
                </c:pt>
                <c:pt idx="384">
                  <c:v>187.70931447689617</c:v>
                </c:pt>
                <c:pt idx="385">
                  <c:v>187.70931447689617</c:v>
                </c:pt>
                <c:pt idx="386">
                  <c:v>187.70931447689617</c:v>
                </c:pt>
                <c:pt idx="387">
                  <c:v>187.70931447689617</c:v>
                </c:pt>
                <c:pt idx="388">
                  <c:v>187.70931447689617</c:v>
                </c:pt>
                <c:pt idx="389">
                  <c:v>187.70931447689617</c:v>
                </c:pt>
                <c:pt idx="390">
                  <c:v>187.70931447689617</c:v>
                </c:pt>
                <c:pt idx="391">
                  <c:v>187.70931447689617</c:v>
                </c:pt>
                <c:pt idx="392">
                  <c:v>187.70931447689617</c:v>
                </c:pt>
                <c:pt idx="393">
                  <c:v>187.70931447689617</c:v>
                </c:pt>
                <c:pt idx="394">
                  <c:v>187.70931447689617</c:v>
                </c:pt>
                <c:pt idx="395">
                  <c:v>187.70931447689617</c:v>
                </c:pt>
                <c:pt idx="396">
                  <c:v>187.70931447689617</c:v>
                </c:pt>
                <c:pt idx="397">
                  <c:v>187.70931447689617</c:v>
                </c:pt>
                <c:pt idx="398">
                  <c:v>187.70931447689617</c:v>
                </c:pt>
                <c:pt idx="399">
                  <c:v>187.70931447689617</c:v>
                </c:pt>
                <c:pt idx="400">
                  <c:v>187.70931447689617</c:v>
                </c:pt>
                <c:pt idx="401">
                  <c:v>187.70931447689617</c:v>
                </c:pt>
                <c:pt idx="402">
                  <c:v>187.70931447689617</c:v>
                </c:pt>
                <c:pt idx="403">
                  <c:v>187.70931447689617</c:v>
                </c:pt>
                <c:pt idx="404">
                  <c:v>187.70931447689617</c:v>
                </c:pt>
                <c:pt idx="405">
                  <c:v>187.70931447689617</c:v>
                </c:pt>
                <c:pt idx="406">
                  <c:v>187.70931447689617</c:v>
                </c:pt>
                <c:pt idx="407">
                  <c:v>187.70931447689617</c:v>
                </c:pt>
                <c:pt idx="408">
                  <c:v>187.70931447689617</c:v>
                </c:pt>
                <c:pt idx="409">
                  <c:v>187.70931447689617</c:v>
                </c:pt>
                <c:pt idx="410">
                  <c:v>187.70931447689617</c:v>
                </c:pt>
                <c:pt idx="411">
                  <c:v>187.70931447689617</c:v>
                </c:pt>
                <c:pt idx="412">
                  <c:v>187.70931447689617</c:v>
                </c:pt>
                <c:pt idx="413">
                  <c:v>187.70931447689617</c:v>
                </c:pt>
                <c:pt idx="414">
                  <c:v>187.70931447689617</c:v>
                </c:pt>
                <c:pt idx="415">
                  <c:v>187.70931447689617</c:v>
                </c:pt>
                <c:pt idx="416">
                  <c:v>187.70931447689617</c:v>
                </c:pt>
                <c:pt idx="417">
                  <c:v>187.70931447689617</c:v>
                </c:pt>
                <c:pt idx="418">
                  <c:v>187.70931447689617</c:v>
                </c:pt>
                <c:pt idx="419">
                  <c:v>187.70931447689617</c:v>
                </c:pt>
                <c:pt idx="420">
                  <c:v>187.70931447689617</c:v>
                </c:pt>
                <c:pt idx="421">
                  <c:v>187.70931447689617</c:v>
                </c:pt>
                <c:pt idx="422">
                  <c:v>187.70931447689617</c:v>
                </c:pt>
                <c:pt idx="423">
                  <c:v>187.70931447689617</c:v>
                </c:pt>
                <c:pt idx="424">
                  <c:v>187.70931447689617</c:v>
                </c:pt>
                <c:pt idx="425">
                  <c:v>187.70931447689617</c:v>
                </c:pt>
                <c:pt idx="426">
                  <c:v>187.70931447689617</c:v>
                </c:pt>
                <c:pt idx="427">
                  <c:v>187.70931447689617</c:v>
                </c:pt>
                <c:pt idx="428">
                  <c:v>187.70931447689617</c:v>
                </c:pt>
                <c:pt idx="429">
                  <c:v>187.70931447689617</c:v>
                </c:pt>
                <c:pt idx="430">
                  <c:v>187.70931447689617</c:v>
                </c:pt>
                <c:pt idx="431">
                  <c:v>187.70931447689617</c:v>
                </c:pt>
                <c:pt idx="432">
                  <c:v>187.70931447689617</c:v>
                </c:pt>
                <c:pt idx="433">
                  <c:v>187.70931447689617</c:v>
                </c:pt>
                <c:pt idx="434">
                  <c:v>187.70931447689617</c:v>
                </c:pt>
                <c:pt idx="435">
                  <c:v>187.70931447689617</c:v>
                </c:pt>
                <c:pt idx="436">
                  <c:v>187.70931447689617</c:v>
                </c:pt>
                <c:pt idx="437">
                  <c:v>187.70931447689617</c:v>
                </c:pt>
                <c:pt idx="438">
                  <c:v>187.70931447689617</c:v>
                </c:pt>
                <c:pt idx="439">
                  <c:v>187.70931447689617</c:v>
                </c:pt>
                <c:pt idx="440">
                  <c:v>187.70931447689617</c:v>
                </c:pt>
                <c:pt idx="441">
                  <c:v>187.70931447689617</c:v>
                </c:pt>
                <c:pt idx="442">
                  <c:v>187.70931447689617</c:v>
                </c:pt>
                <c:pt idx="443">
                  <c:v>187.70931447689617</c:v>
                </c:pt>
                <c:pt idx="444">
                  <c:v>187.70931447689617</c:v>
                </c:pt>
                <c:pt idx="445">
                  <c:v>187.70931447689617</c:v>
                </c:pt>
                <c:pt idx="446">
                  <c:v>187.70931447689617</c:v>
                </c:pt>
                <c:pt idx="447">
                  <c:v>187.70931447689617</c:v>
                </c:pt>
                <c:pt idx="448">
                  <c:v>187.70931447689617</c:v>
                </c:pt>
                <c:pt idx="449">
                  <c:v>187.70931447689617</c:v>
                </c:pt>
                <c:pt idx="450">
                  <c:v>187.70931447689617</c:v>
                </c:pt>
                <c:pt idx="451">
                  <c:v>187.70931447689617</c:v>
                </c:pt>
                <c:pt idx="452">
                  <c:v>187.70931447689617</c:v>
                </c:pt>
                <c:pt idx="453">
                  <c:v>187.70931447689617</c:v>
                </c:pt>
                <c:pt idx="454">
                  <c:v>187.70931447689617</c:v>
                </c:pt>
                <c:pt idx="455">
                  <c:v>187.70931447689617</c:v>
                </c:pt>
                <c:pt idx="456">
                  <c:v>187.70931447689617</c:v>
                </c:pt>
                <c:pt idx="457">
                  <c:v>187.70931447689617</c:v>
                </c:pt>
                <c:pt idx="458">
                  <c:v>187.70931447689617</c:v>
                </c:pt>
                <c:pt idx="459">
                  <c:v>187.70931447689617</c:v>
                </c:pt>
                <c:pt idx="460">
                  <c:v>187.70931447689617</c:v>
                </c:pt>
                <c:pt idx="461">
                  <c:v>187.70931447689617</c:v>
                </c:pt>
                <c:pt idx="462">
                  <c:v>187.70931447689617</c:v>
                </c:pt>
                <c:pt idx="463">
                  <c:v>187.70931447689617</c:v>
                </c:pt>
                <c:pt idx="464">
                  <c:v>187.70931447689617</c:v>
                </c:pt>
                <c:pt idx="465">
                  <c:v>187.70931447689617</c:v>
                </c:pt>
                <c:pt idx="466">
                  <c:v>187.70931447689617</c:v>
                </c:pt>
                <c:pt idx="467">
                  <c:v>187.70931447689617</c:v>
                </c:pt>
                <c:pt idx="468">
                  <c:v>187.70931447689617</c:v>
                </c:pt>
                <c:pt idx="469">
                  <c:v>187.70931447689617</c:v>
                </c:pt>
                <c:pt idx="470">
                  <c:v>187.70931447689617</c:v>
                </c:pt>
                <c:pt idx="471">
                  <c:v>187.70931447689617</c:v>
                </c:pt>
                <c:pt idx="472">
                  <c:v>187.70931447689617</c:v>
                </c:pt>
                <c:pt idx="473">
                  <c:v>187.70931447689617</c:v>
                </c:pt>
                <c:pt idx="474">
                  <c:v>187.70931447689617</c:v>
                </c:pt>
                <c:pt idx="475">
                  <c:v>187.70931447689617</c:v>
                </c:pt>
                <c:pt idx="476">
                  <c:v>187.70931447689617</c:v>
                </c:pt>
                <c:pt idx="477">
                  <c:v>187.70931447689617</c:v>
                </c:pt>
                <c:pt idx="478">
                  <c:v>187.70931447689617</c:v>
                </c:pt>
                <c:pt idx="479">
                  <c:v>187.70931447689617</c:v>
                </c:pt>
                <c:pt idx="480">
                  <c:v>187.70931447689617</c:v>
                </c:pt>
                <c:pt idx="481">
                  <c:v>187.70931447689617</c:v>
                </c:pt>
                <c:pt idx="482">
                  <c:v>187.70931447689617</c:v>
                </c:pt>
                <c:pt idx="483">
                  <c:v>187.70931447689617</c:v>
                </c:pt>
                <c:pt idx="484">
                  <c:v>187.70931447689617</c:v>
                </c:pt>
                <c:pt idx="485">
                  <c:v>187.70931447689617</c:v>
                </c:pt>
                <c:pt idx="486">
                  <c:v>187.70931447689617</c:v>
                </c:pt>
                <c:pt idx="487">
                  <c:v>187.70931447689617</c:v>
                </c:pt>
                <c:pt idx="488">
                  <c:v>187.70931447689617</c:v>
                </c:pt>
                <c:pt idx="489">
                  <c:v>187.70931447689617</c:v>
                </c:pt>
                <c:pt idx="490">
                  <c:v>187.70931447689617</c:v>
                </c:pt>
                <c:pt idx="491">
                  <c:v>187.70931447689617</c:v>
                </c:pt>
                <c:pt idx="492">
                  <c:v>187.70931447689617</c:v>
                </c:pt>
                <c:pt idx="493">
                  <c:v>187.70931447689617</c:v>
                </c:pt>
                <c:pt idx="494">
                  <c:v>187.70931447689617</c:v>
                </c:pt>
                <c:pt idx="495">
                  <c:v>187.70931447689617</c:v>
                </c:pt>
                <c:pt idx="496">
                  <c:v>187.70931447689617</c:v>
                </c:pt>
                <c:pt idx="497">
                  <c:v>187.70931447689617</c:v>
                </c:pt>
                <c:pt idx="498">
                  <c:v>187.70931447689617</c:v>
                </c:pt>
                <c:pt idx="499">
                  <c:v>187.70931447689617</c:v>
                </c:pt>
                <c:pt idx="500">
                  <c:v>187.70931447689617</c:v>
                </c:pt>
                <c:pt idx="501">
                  <c:v>187.70931447689617</c:v>
                </c:pt>
                <c:pt idx="502">
                  <c:v>187.70931447689617</c:v>
                </c:pt>
                <c:pt idx="503">
                  <c:v>187.70931447689617</c:v>
                </c:pt>
                <c:pt idx="504">
                  <c:v>187.70931447689617</c:v>
                </c:pt>
                <c:pt idx="505">
                  <c:v>187.70931447689617</c:v>
                </c:pt>
                <c:pt idx="506">
                  <c:v>187.70931447689617</c:v>
                </c:pt>
                <c:pt idx="507">
                  <c:v>187.70931447689617</c:v>
                </c:pt>
                <c:pt idx="508">
                  <c:v>187.70931447689617</c:v>
                </c:pt>
                <c:pt idx="509">
                  <c:v>187.70931447689617</c:v>
                </c:pt>
                <c:pt idx="510">
                  <c:v>187.70931447689617</c:v>
                </c:pt>
                <c:pt idx="511">
                  <c:v>187.70931447689617</c:v>
                </c:pt>
                <c:pt idx="512">
                  <c:v>187.70931447689617</c:v>
                </c:pt>
                <c:pt idx="513">
                  <c:v>187.70931447689617</c:v>
                </c:pt>
                <c:pt idx="514">
                  <c:v>187.70931447689617</c:v>
                </c:pt>
                <c:pt idx="515">
                  <c:v>187.70931447689617</c:v>
                </c:pt>
                <c:pt idx="516">
                  <c:v>187.70931447689617</c:v>
                </c:pt>
                <c:pt idx="517">
                  <c:v>187.70931447689617</c:v>
                </c:pt>
                <c:pt idx="518">
                  <c:v>187.70931447689617</c:v>
                </c:pt>
                <c:pt idx="519">
                  <c:v>187.70931447689617</c:v>
                </c:pt>
                <c:pt idx="520">
                  <c:v>187.70931447689617</c:v>
                </c:pt>
                <c:pt idx="521">
                  <c:v>187.70931447689617</c:v>
                </c:pt>
                <c:pt idx="522">
                  <c:v>187.70931447689617</c:v>
                </c:pt>
                <c:pt idx="523">
                  <c:v>187.70931447689617</c:v>
                </c:pt>
                <c:pt idx="524">
                  <c:v>187.70931447689617</c:v>
                </c:pt>
                <c:pt idx="525">
                  <c:v>187.70931447689617</c:v>
                </c:pt>
                <c:pt idx="526">
                  <c:v>187.70931447689617</c:v>
                </c:pt>
                <c:pt idx="527">
                  <c:v>187.70931447689617</c:v>
                </c:pt>
                <c:pt idx="528">
                  <c:v>187.70931447689617</c:v>
                </c:pt>
                <c:pt idx="529">
                  <c:v>187.70931447689617</c:v>
                </c:pt>
                <c:pt idx="530">
                  <c:v>187.70931447689617</c:v>
                </c:pt>
                <c:pt idx="531">
                  <c:v>187.70931447689617</c:v>
                </c:pt>
                <c:pt idx="532">
                  <c:v>187.70931447689617</c:v>
                </c:pt>
                <c:pt idx="533">
                  <c:v>187.70931447689617</c:v>
                </c:pt>
                <c:pt idx="534">
                  <c:v>187.70931447689617</c:v>
                </c:pt>
                <c:pt idx="535">
                  <c:v>187.70931447689617</c:v>
                </c:pt>
                <c:pt idx="536">
                  <c:v>187.70931447689617</c:v>
                </c:pt>
                <c:pt idx="537">
                  <c:v>187.70931447689617</c:v>
                </c:pt>
                <c:pt idx="538">
                  <c:v>187.70931447689617</c:v>
                </c:pt>
                <c:pt idx="539">
                  <c:v>187.70931447689617</c:v>
                </c:pt>
                <c:pt idx="540">
                  <c:v>187.70931447689617</c:v>
                </c:pt>
                <c:pt idx="541">
                  <c:v>187.70931447689617</c:v>
                </c:pt>
                <c:pt idx="542">
                  <c:v>187.70931447689617</c:v>
                </c:pt>
                <c:pt idx="543">
                  <c:v>187.70931447689617</c:v>
                </c:pt>
                <c:pt idx="544">
                  <c:v>187.70931447689617</c:v>
                </c:pt>
                <c:pt idx="545">
                  <c:v>187.70931447689617</c:v>
                </c:pt>
                <c:pt idx="546">
                  <c:v>187.70931447689617</c:v>
                </c:pt>
                <c:pt idx="547">
                  <c:v>187.70931447689617</c:v>
                </c:pt>
                <c:pt idx="548">
                  <c:v>187.70931447689617</c:v>
                </c:pt>
                <c:pt idx="549">
                  <c:v>187.70931447689617</c:v>
                </c:pt>
                <c:pt idx="550">
                  <c:v>187.70931447689617</c:v>
                </c:pt>
                <c:pt idx="551">
                  <c:v>187.70931447689617</c:v>
                </c:pt>
                <c:pt idx="552">
                  <c:v>187.70931447689617</c:v>
                </c:pt>
                <c:pt idx="553">
                  <c:v>187.70931447689617</c:v>
                </c:pt>
                <c:pt idx="554">
                  <c:v>187.70931447689617</c:v>
                </c:pt>
                <c:pt idx="555">
                  <c:v>187.70931447689617</c:v>
                </c:pt>
                <c:pt idx="556">
                  <c:v>187.70931447689617</c:v>
                </c:pt>
                <c:pt idx="557">
                  <c:v>187.70931447689617</c:v>
                </c:pt>
                <c:pt idx="558">
                  <c:v>187.70931447689617</c:v>
                </c:pt>
                <c:pt idx="559">
                  <c:v>187.70931447689617</c:v>
                </c:pt>
                <c:pt idx="560">
                  <c:v>187.70931447689617</c:v>
                </c:pt>
                <c:pt idx="561">
                  <c:v>187.70931447689617</c:v>
                </c:pt>
                <c:pt idx="562">
                  <c:v>187.70931447689617</c:v>
                </c:pt>
                <c:pt idx="563">
                  <c:v>187.70931447689617</c:v>
                </c:pt>
                <c:pt idx="564">
                  <c:v>187.70931447689617</c:v>
                </c:pt>
                <c:pt idx="565">
                  <c:v>187.70931447689617</c:v>
                </c:pt>
                <c:pt idx="566">
                  <c:v>187.70931447689617</c:v>
                </c:pt>
                <c:pt idx="567">
                  <c:v>187.70931447689617</c:v>
                </c:pt>
                <c:pt idx="568">
                  <c:v>187.70931447689617</c:v>
                </c:pt>
                <c:pt idx="569">
                  <c:v>187.70931447689617</c:v>
                </c:pt>
                <c:pt idx="570">
                  <c:v>187.70931447689617</c:v>
                </c:pt>
                <c:pt idx="571">
                  <c:v>187.70931447689617</c:v>
                </c:pt>
                <c:pt idx="572">
                  <c:v>187.70931447689617</c:v>
                </c:pt>
                <c:pt idx="573">
                  <c:v>187.70931447689617</c:v>
                </c:pt>
                <c:pt idx="574">
                  <c:v>187.70931447689617</c:v>
                </c:pt>
                <c:pt idx="575">
                  <c:v>187.70931447689617</c:v>
                </c:pt>
                <c:pt idx="576">
                  <c:v>187.70931447689617</c:v>
                </c:pt>
                <c:pt idx="577">
                  <c:v>187.70931447689617</c:v>
                </c:pt>
                <c:pt idx="578">
                  <c:v>187.70931447689617</c:v>
                </c:pt>
                <c:pt idx="579">
                  <c:v>187.70931447689617</c:v>
                </c:pt>
                <c:pt idx="580">
                  <c:v>187.70931447689617</c:v>
                </c:pt>
                <c:pt idx="581">
                  <c:v>187.70931447689617</c:v>
                </c:pt>
                <c:pt idx="582">
                  <c:v>187.70931447689617</c:v>
                </c:pt>
                <c:pt idx="583">
                  <c:v>187.70931447689617</c:v>
                </c:pt>
                <c:pt idx="584">
                  <c:v>187.70931447689617</c:v>
                </c:pt>
                <c:pt idx="585">
                  <c:v>187.70931447689617</c:v>
                </c:pt>
                <c:pt idx="586">
                  <c:v>187.70931447689617</c:v>
                </c:pt>
                <c:pt idx="587">
                  <c:v>187.70931447689617</c:v>
                </c:pt>
                <c:pt idx="588">
                  <c:v>187.70931447689617</c:v>
                </c:pt>
                <c:pt idx="589">
                  <c:v>187.70931447689617</c:v>
                </c:pt>
                <c:pt idx="590">
                  <c:v>187.70931447689617</c:v>
                </c:pt>
                <c:pt idx="591">
                  <c:v>187.70931447689617</c:v>
                </c:pt>
                <c:pt idx="592">
                  <c:v>187.70931447689617</c:v>
                </c:pt>
                <c:pt idx="593">
                  <c:v>187.70931447689617</c:v>
                </c:pt>
                <c:pt idx="594">
                  <c:v>187.70931447689617</c:v>
                </c:pt>
                <c:pt idx="595">
                  <c:v>187.70931447689617</c:v>
                </c:pt>
                <c:pt idx="596">
                  <c:v>187.70931447689617</c:v>
                </c:pt>
                <c:pt idx="597">
                  <c:v>187.70931447689617</c:v>
                </c:pt>
                <c:pt idx="598">
                  <c:v>187.70931447689617</c:v>
                </c:pt>
                <c:pt idx="599">
                  <c:v>187.70931447689617</c:v>
                </c:pt>
                <c:pt idx="600">
                  <c:v>187.70931447689617</c:v>
                </c:pt>
                <c:pt idx="601">
                  <c:v>187.70931447689617</c:v>
                </c:pt>
                <c:pt idx="602">
                  <c:v>187.70931447689617</c:v>
                </c:pt>
                <c:pt idx="603">
                  <c:v>187.70931447689617</c:v>
                </c:pt>
                <c:pt idx="604">
                  <c:v>187.70931447689617</c:v>
                </c:pt>
                <c:pt idx="605">
                  <c:v>187.70931447689617</c:v>
                </c:pt>
                <c:pt idx="606">
                  <c:v>187.70931447689617</c:v>
                </c:pt>
                <c:pt idx="607">
                  <c:v>187.70931447689617</c:v>
                </c:pt>
                <c:pt idx="608">
                  <c:v>187.70931447689617</c:v>
                </c:pt>
                <c:pt idx="609">
                  <c:v>187.70931447689617</c:v>
                </c:pt>
                <c:pt idx="610">
                  <c:v>187.70931447689617</c:v>
                </c:pt>
                <c:pt idx="611">
                  <c:v>187.70931447689617</c:v>
                </c:pt>
                <c:pt idx="612">
                  <c:v>187.70931447689617</c:v>
                </c:pt>
                <c:pt idx="613">
                  <c:v>187.70931447689617</c:v>
                </c:pt>
                <c:pt idx="614">
                  <c:v>187.70931447689617</c:v>
                </c:pt>
                <c:pt idx="615">
                  <c:v>187.70931447689617</c:v>
                </c:pt>
                <c:pt idx="616">
                  <c:v>187.70931447689617</c:v>
                </c:pt>
                <c:pt idx="617">
                  <c:v>187.70931447689617</c:v>
                </c:pt>
                <c:pt idx="618">
                  <c:v>187.70931447689617</c:v>
                </c:pt>
                <c:pt idx="619">
                  <c:v>187.70931447689617</c:v>
                </c:pt>
                <c:pt idx="620">
                  <c:v>187.70931447689617</c:v>
                </c:pt>
                <c:pt idx="621">
                  <c:v>187.70931447689617</c:v>
                </c:pt>
                <c:pt idx="622">
                  <c:v>187.70931447689617</c:v>
                </c:pt>
                <c:pt idx="623">
                  <c:v>187.70931447689617</c:v>
                </c:pt>
                <c:pt idx="624">
                  <c:v>187.70931447689617</c:v>
                </c:pt>
                <c:pt idx="625">
                  <c:v>187.70931447689617</c:v>
                </c:pt>
                <c:pt idx="626">
                  <c:v>187.70931447689617</c:v>
                </c:pt>
                <c:pt idx="627">
                  <c:v>187.70931447689617</c:v>
                </c:pt>
                <c:pt idx="628">
                  <c:v>187.70931447689617</c:v>
                </c:pt>
                <c:pt idx="629">
                  <c:v>187.70931447689617</c:v>
                </c:pt>
                <c:pt idx="630">
                  <c:v>187.70931447689617</c:v>
                </c:pt>
                <c:pt idx="631">
                  <c:v>187.70931447689617</c:v>
                </c:pt>
                <c:pt idx="632">
                  <c:v>187.70931447689617</c:v>
                </c:pt>
                <c:pt idx="633">
                  <c:v>187.70931447689617</c:v>
                </c:pt>
                <c:pt idx="634">
                  <c:v>187.70931447689617</c:v>
                </c:pt>
                <c:pt idx="635">
                  <c:v>187.70931447689617</c:v>
                </c:pt>
                <c:pt idx="636">
                  <c:v>187.70931447689617</c:v>
                </c:pt>
                <c:pt idx="637">
                  <c:v>187.70931447689617</c:v>
                </c:pt>
                <c:pt idx="638">
                  <c:v>187.70931447689617</c:v>
                </c:pt>
                <c:pt idx="639">
                  <c:v>187.70931447689617</c:v>
                </c:pt>
                <c:pt idx="640">
                  <c:v>187.70931447689617</c:v>
                </c:pt>
                <c:pt idx="641">
                  <c:v>187.70931447689617</c:v>
                </c:pt>
                <c:pt idx="642">
                  <c:v>187.70931447689617</c:v>
                </c:pt>
                <c:pt idx="643">
                  <c:v>187.70931447689617</c:v>
                </c:pt>
                <c:pt idx="644">
                  <c:v>187.70931447689617</c:v>
                </c:pt>
                <c:pt idx="645">
                  <c:v>187.70931447689617</c:v>
                </c:pt>
                <c:pt idx="646">
                  <c:v>187.70931447689617</c:v>
                </c:pt>
                <c:pt idx="647">
                  <c:v>187.70931447689617</c:v>
                </c:pt>
                <c:pt idx="648">
                  <c:v>187.70931447689617</c:v>
                </c:pt>
                <c:pt idx="649">
                  <c:v>187.70931447689617</c:v>
                </c:pt>
                <c:pt idx="650">
                  <c:v>187.70931447689617</c:v>
                </c:pt>
                <c:pt idx="651">
                  <c:v>187.70931447689617</c:v>
                </c:pt>
                <c:pt idx="652">
                  <c:v>187.70931447689617</c:v>
                </c:pt>
                <c:pt idx="653">
                  <c:v>187.70931447689617</c:v>
                </c:pt>
                <c:pt idx="654">
                  <c:v>187.70931447689617</c:v>
                </c:pt>
                <c:pt idx="655">
                  <c:v>187.70931447689617</c:v>
                </c:pt>
                <c:pt idx="656">
                  <c:v>187.70931447689617</c:v>
                </c:pt>
                <c:pt idx="657">
                  <c:v>187.70931447689617</c:v>
                </c:pt>
                <c:pt idx="658">
                  <c:v>187.70931447689617</c:v>
                </c:pt>
                <c:pt idx="659">
                  <c:v>187.70931447689617</c:v>
                </c:pt>
                <c:pt idx="660">
                  <c:v>187.70931447689617</c:v>
                </c:pt>
                <c:pt idx="661">
                  <c:v>187.70931447689617</c:v>
                </c:pt>
                <c:pt idx="662">
                  <c:v>187.70931447689617</c:v>
                </c:pt>
                <c:pt idx="663">
                  <c:v>187.70931447689617</c:v>
                </c:pt>
                <c:pt idx="664">
                  <c:v>187.70931447689617</c:v>
                </c:pt>
                <c:pt idx="665">
                  <c:v>187.70931447689617</c:v>
                </c:pt>
                <c:pt idx="666">
                  <c:v>187.70931447689617</c:v>
                </c:pt>
                <c:pt idx="667">
                  <c:v>187.70931447689617</c:v>
                </c:pt>
                <c:pt idx="668">
                  <c:v>187.70931447689617</c:v>
                </c:pt>
                <c:pt idx="669">
                  <c:v>187.70931447689617</c:v>
                </c:pt>
                <c:pt idx="670">
                  <c:v>187.70931447689617</c:v>
                </c:pt>
                <c:pt idx="671">
                  <c:v>187.70931447689617</c:v>
                </c:pt>
                <c:pt idx="672">
                  <c:v>187.70931447689617</c:v>
                </c:pt>
                <c:pt idx="673">
                  <c:v>187.70931447689617</c:v>
                </c:pt>
                <c:pt idx="674">
                  <c:v>187.70931447689617</c:v>
                </c:pt>
                <c:pt idx="675">
                  <c:v>187.70931447689617</c:v>
                </c:pt>
                <c:pt idx="676">
                  <c:v>187.70931447689617</c:v>
                </c:pt>
                <c:pt idx="677">
                  <c:v>187.70931447689617</c:v>
                </c:pt>
                <c:pt idx="678">
                  <c:v>187.70931447689617</c:v>
                </c:pt>
                <c:pt idx="679">
                  <c:v>187.70931447689617</c:v>
                </c:pt>
                <c:pt idx="680">
                  <c:v>187.70931447689617</c:v>
                </c:pt>
                <c:pt idx="681">
                  <c:v>187.70931447689617</c:v>
                </c:pt>
                <c:pt idx="682">
                  <c:v>187.70931447689617</c:v>
                </c:pt>
                <c:pt idx="683">
                  <c:v>187.70931447689617</c:v>
                </c:pt>
                <c:pt idx="684">
                  <c:v>187.70931447689617</c:v>
                </c:pt>
                <c:pt idx="685">
                  <c:v>187.70931447689617</c:v>
                </c:pt>
                <c:pt idx="686">
                  <c:v>187.70931447689617</c:v>
                </c:pt>
                <c:pt idx="687">
                  <c:v>187.70931447689617</c:v>
                </c:pt>
                <c:pt idx="688">
                  <c:v>187.70931447689617</c:v>
                </c:pt>
                <c:pt idx="689">
                  <c:v>187.70931447689617</c:v>
                </c:pt>
                <c:pt idx="690">
                  <c:v>187.70931447689617</c:v>
                </c:pt>
                <c:pt idx="691">
                  <c:v>187.70931447689617</c:v>
                </c:pt>
                <c:pt idx="692">
                  <c:v>187.70931447689617</c:v>
                </c:pt>
                <c:pt idx="693">
                  <c:v>187.70931447689617</c:v>
                </c:pt>
                <c:pt idx="694">
                  <c:v>187.70931447689617</c:v>
                </c:pt>
                <c:pt idx="695">
                  <c:v>187.70931447689617</c:v>
                </c:pt>
                <c:pt idx="696">
                  <c:v>187.70931447689617</c:v>
                </c:pt>
                <c:pt idx="697">
                  <c:v>187.70931447689617</c:v>
                </c:pt>
                <c:pt idx="698">
                  <c:v>187.70931447689617</c:v>
                </c:pt>
                <c:pt idx="699">
                  <c:v>187.70931447689617</c:v>
                </c:pt>
                <c:pt idx="700">
                  <c:v>187.70931447689617</c:v>
                </c:pt>
                <c:pt idx="701">
                  <c:v>187.70931447689617</c:v>
                </c:pt>
                <c:pt idx="702">
                  <c:v>187.70931447689617</c:v>
                </c:pt>
                <c:pt idx="703">
                  <c:v>187.70931447689617</c:v>
                </c:pt>
                <c:pt idx="704">
                  <c:v>187.70931447689617</c:v>
                </c:pt>
                <c:pt idx="705">
                  <c:v>187.70931447689617</c:v>
                </c:pt>
                <c:pt idx="706">
                  <c:v>187.70931447689617</c:v>
                </c:pt>
                <c:pt idx="707">
                  <c:v>187.70931447689617</c:v>
                </c:pt>
                <c:pt idx="708">
                  <c:v>187.70931447689617</c:v>
                </c:pt>
                <c:pt idx="709">
                  <c:v>187.70931447689617</c:v>
                </c:pt>
                <c:pt idx="710">
                  <c:v>187.70931447689617</c:v>
                </c:pt>
                <c:pt idx="711">
                  <c:v>187.70931447689617</c:v>
                </c:pt>
                <c:pt idx="712">
                  <c:v>187.70931447689617</c:v>
                </c:pt>
                <c:pt idx="713">
                  <c:v>187.70931447689617</c:v>
                </c:pt>
                <c:pt idx="714">
                  <c:v>187.70931447689617</c:v>
                </c:pt>
                <c:pt idx="715">
                  <c:v>187.70931447689617</c:v>
                </c:pt>
                <c:pt idx="716">
                  <c:v>187.70931447689617</c:v>
                </c:pt>
                <c:pt idx="717">
                  <c:v>187.70931447689617</c:v>
                </c:pt>
                <c:pt idx="718">
                  <c:v>187.70931447689617</c:v>
                </c:pt>
                <c:pt idx="719">
                  <c:v>187.70931447689617</c:v>
                </c:pt>
                <c:pt idx="720">
                  <c:v>187.70931447689617</c:v>
                </c:pt>
                <c:pt idx="721">
                  <c:v>187.70931447689617</c:v>
                </c:pt>
                <c:pt idx="722">
                  <c:v>187.70931447689617</c:v>
                </c:pt>
                <c:pt idx="723">
                  <c:v>187.70931447689617</c:v>
                </c:pt>
                <c:pt idx="724">
                  <c:v>187.70931447689617</c:v>
                </c:pt>
                <c:pt idx="725">
                  <c:v>187.70931447689617</c:v>
                </c:pt>
                <c:pt idx="726">
                  <c:v>187.70931447689617</c:v>
                </c:pt>
                <c:pt idx="727">
                  <c:v>187.70931447689617</c:v>
                </c:pt>
                <c:pt idx="728">
                  <c:v>187.70931447689617</c:v>
                </c:pt>
                <c:pt idx="729">
                  <c:v>187.70931447689617</c:v>
                </c:pt>
                <c:pt idx="730">
                  <c:v>187.70931447689617</c:v>
                </c:pt>
                <c:pt idx="731">
                  <c:v>187.70931447689617</c:v>
                </c:pt>
                <c:pt idx="732">
                  <c:v>187.70931447689617</c:v>
                </c:pt>
                <c:pt idx="733">
                  <c:v>187.70931447689617</c:v>
                </c:pt>
                <c:pt idx="734">
                  <c:v>187.70931447689617</c:v>
                </c:pt>
                <c:pt idx="735">
                  <c:v>187.70931447689617</c:v>
                </c:pt>
                <c:pt idx="736">
                  <c:v>187.70931447689617</c:v>
                </c:pt>
                <c:pt idx="737">
                  <c:v>187.70931447689617</c:v>
                </c:pt>
                <c:pt idx="738">
                  <c:v>187.70931447689617</c:v>
                </c:pt>
                <c:pt idx="739">
                  <c:v>187.70931447689617</c:v>
                </c:pt>
                <c:pt idx="740">
                  <c:v>187.70931447689617</c:v>
                </c:pt>
                <c:pt idx="741">
                  <c:v>187.70931447689617</c:v>
                </c:pt>
                <c:pt idx="742">
                  <c:v>187.70931447689617</c:v>
                </c:pt>
                <c:pt idx="743">
                  <c:v>187.70931447689617</c:v>
                </c:pt>
                <c:pt idx="744">
                  <c:v>187.70931447689617</c:v>
                </c:pt>
                <c:pt idx="745">
                  <c:v>187.70931447689617</c:v>
                </c:pt>
                <c:pt idx="746">
                  <c:v>187.70931447689617</c:v>
                </c:pt>
                <c:pt idx="747">
                  <c:v>187.70931447689617</c:v>
                </c:pt>
                <c:pt idx="748">
                  <c:v>187.70931447689617</c:v>
                </c:pt>
                <c:pt idx="749">
                  <c:v>187.70931447689617</c:v>
                </c:pt>
                <c:pt idx="750">
                  <c:v>187.70931447689617</c:v>
                </c:pt>
                <c:pt idx="751">
                  <c:v>187.70931447689617</c:v>
                </c:pt>
                <c:pt idx="752">
                  <c:v>187.70931447689617</c:v>
                </c:pt>
                <c:pt idx="753">
                  <c:v>187.70931447689617</c:v>
                </c:pt>
                <c:pt idx="754">
                  <c:v>187.70931447689617</c:v>
                </c:pt>
                <c:pt idx="755">
                  <c:v>187.70931447689617</c:v>
                </c:pt>
                <c:pt idx="756">
                  <c:v>187.70931447689617</c:v>
                </c:pt>
                <c:pt idx="757">
                  <c:v>187.70931447689617</c:v>
                </c:pt>
                <c:pt idx="758">
                  <c:v>187.70931447689617</c:v>
                </c:pt>
                <c:pt idx="759">
                  <c:v>187.70931447689617</c:v>
                </c:pt>
                <c:pt idx="760">
                  <c:v>187.70931447689617</c:v>
                </c:pt>
                <c:pt idx="761">
                  <c:v>187.70931447689617</c:v>
                </c:pt>
                <c:pt idx="762">
                  <c:v>187.70931447689617</c:v>
                </c:pt>
                <c:pt idx="763">
                  <c:v>187.70931447689617</c:v>
                </c:pt>
                <c:pt idx="764">
                  <c:v>187.70931447689617</c:v>
                </c:pt>
                <c:pt idx="765">
                  <c:v>187.70931447689617</c:v>
                </c:pt>
                <c:pt idx="766">
                  <c:v>187.70931447689617</c:v>
                </c:pt>
                <c:pt idx="767">
                  <c:v>187.70931447689617</c:v>
                </c:pt>
                <c:pt idx="768">
                  <c:v>187.70931447689617</c:v>
                </c:pt>
                <c:pt idx="769">
                  <c:v>187.70931447689617</c:v>
                </c:pt>
                <c:pt idx="770">
                  <c:v>187.70931447689617</c:v>
                </c:pt>
                <c:pt idx="771">
                  <c:v>187.70931447689617</c:v>
                </c:pt>
                <c:pt idx="772">
                  <c:v>187.70931447689617</c:v>
                </c:pt>
                <c:pt idx="773">
                  <c:v>187.70931447689617</c:v>
                </c:pt>
                <c:pt idx="774">
                  <c:v>187.70931447689617</c:v>
                </c:pt>
                <c:pt idx="775">
                  <c:v>187.70931447689617</c:v>
                </c:pt>
                <c:pt idx="776">
                  <c:v>187.70931447689617</c:v>
                </c:pt>
                <c:pt idx="777">
                  <c:v>187.70931447689617</c:v>
                </c:pt>
                <c:pt idx="778">
                  <c:v>187.70931447689617</c:v>
                </c:pt>
                <c:pt idx="779">
                  <c:v>187.70931447689617</c:v>
                </c:pt>
                <c:pt idx="780">
                  <c:v>187.70931447689617</c:v>
                </c:pt>
                <c:pt idx="781">
                  <c:v>187.70931447689617</c:v>
                </c:pt>
                <c:pt idx="782">
                  <c:v>187.70931447689617</c:v>
                </c:pt>
                <c:pt idx="783">
                  <c:v>187.70931447689617</c:v>
                </c:pt>
                <c:pt idx="784">
                  <c:v>187.70931447689617</c:v>
                </c:pt>
                <c:pt idx="785">
                  <c:v>187.70931447689617</c:v>
                </c:pt>
                <c:pt idx="786">
                  <c:v>187.70931447689617</c:v>
                </c:pt>
                <c:pt idx="787">
                  <c:v>187.70931447689617</c:v>
                </c:pt>
                <c:pt idx="788">
                  <c:v>187.70931447689617</c:v>
                </c:pt>
                <c:pt idx="789">
                  <c:v>187.70931447689617</c:v>
                </c:pt>
                <c:pt idx="790">
                  <c:v>187.70931447689617</c:v>
                </c:pt>
                <c:pt idx="791">
                  <c:v>187.70931447689617</c:v>
                </c:pt>
                <c:pt idx="792">
                  <c:v>187.70931447689617</c:v>
                </c:pt>
                <c:pt idx="793">
                  <c:v>187.70931447689617</c:v>
                </c:pt>
                <c:pt idx="794">
                  <c:v>187.70931447689617</c:v>
                </c:pt>
                <c:pt idx="795">
                  <c:v>187.70931447689617</c:v>
                </c:pt>
                <c:pt idx="796">
                  <c:v>187.70931447689617</c:v>
                </c:pt>
                <c:pt idx="797">
                  <c:v>187.70931447689617</c:v>
                </c:pt>
                <c:pt idx="798">
                  <c:v>187.70931447689617</c:v>
                </c:pt>
                <c:pt idx="799">
                  <c:v>187.70931447689617</c:v>
                </c:pt>
                <c:pt idx="800">
                  <c:v>187.70931447689617</c:v>
                </c:pt>
                <c:pt idx="801">
                  <c:v>187.70931447689617</c:v>
                </c:pt>
                <c:pt idx="802">
                  <c:v>187.70931447689617</c:v>
                </c:pt>
                <c:pt idx="803">
                  <c:v>187.70931447689617</c:v>
                </c:pt>
                <c:pt idx="804">
                  <c:v>187.70931447689617</c:v>
                </c:pt>
                <c:pt idx="805">
                  <c:v>187.70931447689617</c:v>
                </c:pt>
                <c:pt idx="806">
                  <c:v>187.70931447689617</c:v>
                </c:pt>
                <c:pt idx="807">
                  <c:v>187.70931447689617</c:v>
                </c:pt>
                <c:pt idx="808">
                  <c:v>187.70931447689617</c:v>
                </c:pt>
                <c:pt idx="809">
                  <c:v>187.70931447689617</c:v>
                </c:pt>
                <c:pt idx="810">
                  <c:v>187.70931447689617</c:v>
                </c:pt>
                <c:pt idx="811">
                  <c:v>187.70931447689617</c:v>
                </c:pt>
                <c:pt idx="812">
                  <c:v>187.70931447689617</c:v>
                </c:pt>
                <c:pt idx="813">
                  <c:v>187.70931447689617</c:v>
                </c:pt>
                <c:pt idx="814">
                  <c:v>187.70931447689617</c:v>
                </c:pt>
                <c:pt idx="815">
                  <c:v>187.70931447689617</c:v>
                </c:pt>
                <c:pt idx="816">
                  <c:v>187.70931447689617</c:v>
                </c:pt>
                <c:pt idx="817">
                  <c:v>187.70931447689617</c:v>
                </c:pt>
                <c:pt idx="818">
                  <c:v>187.70931447689617</c:v>
                </c:pt>
                <c:pt idx="819">
                  <c:v>187.70931447689617</c:v>
                </c:pt>
                <c:pt idx="820">
                  <c:v>187.70931447689617</c:v>
                </c:pt>
                <c:pt idx="821">
                  <c:v>187.70931447689617</c:v>
                </c:pt>
                <c:pt idx="822">
                  <c:v>187.70931447689617</c:v>
                </c:pt>
                <c:pt idx="823">
                  <c:v>187.70931447689617</c:v>
                </c:pt>
                <c:pt idx="824">
                  <c:v>187.70931447689617</c:v>
                </c:pt>
                <c:pt idx="825">
                  <c:v>187.70931447689617</c:v>
                </c:pt>
                <c:pt idx="826">
                  <c:v>187.70931447689617</c:v>
                </c:pt>
                <c:pt idx="827">
                  <c:v>187.70931447689617</c:v>
                </c:pt>
                <c:pt idx="828">
                  <c:v>187.70931447689617</c:v>
                </c:pt>
                <c:pt idx="829">
                  <c:v>187.70931447689617</c:v>
                </c:pt>
                <c:pt idx="830">
                  <c:v>187.70931447689617</c:v>
                </c:pt>
                <c:pt idx="831">
                  <c:v>187.70931447689617</c:v>
                </c:pt>
                <c:pt idx="832">
                  <c:v>187.70931447689617</c:v>
                </c:pt>
                <c:pt idx="833">
                  <c:v>187.70931447689617</c:v>
                </c:pt>
                <c:pt idx="834">
                  <c:v>187.70931447689617</c:v>
                </c:pt>
                <c:pt idx="835">
                  <c:v>187.70931447689617</c:v>
                </c:pt>
                <c:pt idx="836">
                  <c:v>187.70931447689617</c:v>
                </c:pt>
                <c:pt idx="837">
                  <c:v>187.70931447689617</c:v>
                </c:pt>
                <c:pt idx="838">
                  <c:v>187.70931447689617</c:v>
                </c:pt>
                <c:pt idx="839">
                  <c:v>187.70931447689617</c:v>
                </c:pt>
                <c:pt idx="840">
                  <c:v>187.70931447689617</c:v>
                </c:pt>
                <c:pt idx="841">
                  <c:v>187.70931447689617</c:v>
                </c:pt>
                <c:pt idx="842">
                  <c:v>187.70931447689617</c:v>
                </c:pt>
                <c:pt idx="843">
                  <c:v>187.70931447689617</c:v>
                </c:pt>
                <c:pt idx="844">
                  <c:v>187.70931447689617</c:v>
                </c:pt>
                <c:pt idx="845">
                  <c:v>187.70931447689617</c:v>
                </c:pt>
                <c:pt idx="846">
                  <c:v>187.70931447689617</c:v>
                </c:pt>
                <c:pt idx="847">
                  <c:v>187.70931447689617</c:v>
                </c:pt>
                <c:pt idx="848">
                  <c:v>187.70931447689617</c:v>
                </c:pt>
                <c:pt idx="849">
                  <c:v>187.70931447689617</c:v>
                </c:pt>
                <c:pt idx="850">
                  <c:v>187.70931447689617</c:v>
                </c:pt>
                <c:pt idx="851">
                  <c:v>187.70931447689617</c:v>
                </c:pt>
                <c:pt idx="852">
                  <c:v>187.70931447689617</c:v>
                </c:pt>
                <c:pt idx="853">
                  <c:v>187.70931447689617</c:v>
                </c:pt>
                <c:pt idx="854">
                  <c:v>187.70931447689617</c:v>
                </c:pt>
                <c:pt idx="855">
                  <c:v>187.70931447689617</c:v>
                </c:pt>
                <c:pt idx="856">
                  <c:v>187.70931447689617</c:v>
                </c:pt>
                <c:pt idx="857">
                  <c:v>187.70931447689617</c:v>
                </c:pt>
                <c:pt idx="858">
                  <c:v>187.70931447689617</c:v>
                </c:pt>
                <c:pt idx="859">
                  <c:v>187.70931447689617</c:v>
                </c:pt>
                <c:pt idx="860">
                  <c:v>187.70931447689617</c:v>
                </c:pt>
                <c:pt idx="861">
                  <c:v>187.70931447689617</c:v>
                </c:pt>
                <c:pt idx="862">
                  <c:v>187.70931447689617</c:v>
                </c:pt>
                <c:pt idx="863">
                  <c:v>187.70931447689617</c:v>
                </c:pt>
                <c:pt idx="864">
                  <c:v>187.70931447689617</c:v>
                </c:pt>
                <c:pt idx="865">
                  <c:v>187.70931447689617</c:v>
                </c:pt>
                <c:pt idx="866">
                  <c:v>187.70931447689617</c:v>
                </c:pt>
                <c:pt idx="867">
                  <c:v>187.70931447689617</c:v>
                </c:pt>
                <c:pt idx="868">
                  <c:v>187.70931447689617</c:v>
                </c:pt>
                <c:pt idx="869">
                  <c:v>187.70931447689617</c:v>
                </c:pt>
                <c:pt idx="870">
                  <c:v>187.70931447689617</c:v>
                </c:pt>
                <c:pt idx="871">
                  <c:v>187.70931447689617</c:v>
                </c:pt>
                <c:pt idx="872">
                  <c:v>187.70931447689617</c:v>
                </c:pt>
                <c:pt idx="873">
                  <c:v>187.70931447689617</c:v>
                </c:pt>
                <c:pt idx="874">
                  <c:v>187.70931447689617</c:v>
                </c:pt>
                <c:pt idx="875">
                  <c:v>187.70931447689617</c:v>
                </c:pt>
                <c:pt idx="876">
                  <c:v>187.70931447689617</c:v>
                </c:pt>
                <c:pt idx="877">
                  <c:v>187.70931447689617</c:v>
                </c:pt>
                <c:pt idx="878">
                  <c:v>187.70931447689617</c:v>
                </c:pt>
                <c:pt idx="879">
                  <c:v>187.70931447689617</c:v>
                </c:pt>
                <c:pt idx="880">
                  <c:v>187.70931447689617</c:v>
                </c:pt>
                <c:pt idx="881">
                  <c:v>187.70931447689617</c:v>
                </c:pt>
                <c:pt idx="882">
                  <c:v>187.70931447689617</c:v>
                </c:pt>
                <c:pt idx="883">
                  <c:v>187.70931447689617</c:v>
                </c:pt>
                <c:pt idx="884">
                  <c:v>187.70931447689617</c:v>
                </c:pt>
                <c:pt idx="885">
                  <c:v>187.70931447689617</c:v>
                </c:pt>
                <c:pt idx="886">
                  <c:v>187.70931447689617</c:v>
                </c:pt>
                <c:pt idx="887">
                  <c:v>187.70931447689617</c:v>
                </c:pt>
                <c:pt idx="888">
                  <c:v>187.70931447689617</c:v>
                </c:pt>
                <c:pt idx="889">
                  <c:v>187.70931447689617</c:v>
                </c:pt>
                <c:pt idx="890">
                  <c:v>187.70931447689617</c:v>
                </c:pt>
                <c:pt idx="891">
                  <c:v>187.70931447689617</c:v>
                </c:pt>
                <c:pt idx="892">
                  <c:v>187.70931447689617</c:v>
                </c:pt>
                <c:pt idx="893">
                  <c:v>187.70931447689617</c:v>
                </c:pt>
                <c:pt idx="894">
                  <c:v>187.70931447689617</c:v>
                </c:pt>
                <c:pt idx="895">
                  <c:v>187.70931447689617</c:v>
                </c:pt>
                <c:pt idx="896">
                  <c:v>187.70931447689617</c:v>
                </c:pt>
                <c:pt idx="897">
                  <c:v>187.70931447689617</c:v>
                </c:pt>
                <c:pt idx="898">
                  <c:v>187.70931447689617</c:v>
                </c:pt>
                <c:pt idx="899">
                  <c:v>187.70931447689617</c:v>
                </c:pt>
                <c:pt idx="900">
                  <c:v>187.70931447689617</c:v>
                </c:pt>
                <c:pt idx="901">
                  <c:v>187.70931447689617</c:v>
                </c:pt>
                <c:pt idx="902">
                  <c:v>187.70931447689617</c:v>
                </c:pt>
                <c:pt idx="903">
                  <c:v>187.70931447689617</c:v>
                </c:pt>
                <c:pt idx="904">
                  <c:v>187.70931447689617</c:v>
                </c:pt>
                <c:pt idx="905">
                  <c:v>187.70931447689617</c:v>
                </c:pt>
                <c:pt idx="906">
                  <c:v>187.70931447689617</c:v>
                </c:pt>
                <c:pt idx="907">
                  <c:v>187.70931447689617</c:v>
                </c:pt>
                <c:pt idx="908">
                  <c:v>187.70931447689617</c:v>
                </c:pt>
                <c:pt idx="909">
                  <c:v>187.70931447689617</c:v>
                </c:pt>
                <c:pt idx="910">
                  <c:v>187.70931447689617</c:v>
                </c:pt>
                <c:pt idx="911">
                  <c:v>187.70931447689617</c:v>
                </c:pt>
                <c:pt idx="912">
                  <c:v>187.70931447689617</c:v>
                </c:pt>
                <c:pt idx="913">
                  <c:v>187.70931447689617</c:v>
                </c:pt>
                <c:pt idx="914">
                  <c:v>187.70931447689617</c:v>
                </c:pt>
                <c:pt idx="915">
                  <c:v>187.70931447689617</c:v>
                </c:pt>
                <c:pt idx="916">
                  <c:v>187.70931447689617</c:v>
                </c:pt>
                <c:pt idx="917">
                  <c:v>187.70931447689617</c:v>
                </c:pt>
                <c:pt idx="918">
                  <c:v>187.70931447689617</c:v>
                </c:pt>
                <c:pt idx="919">
                  <c:v>187.70931447689617</c:v>
                </c:pt>
                <c:pt idx="920">
                  <c:v>187.70931447689617</c:v>
                </c:pt>
                <c:pt idx="921">
                  <c:v>187.70931447689617</c:v>
                </c:pt>
                <c:pt idx="922">
                  <c:v>187.70931447689617</c:v>
                </c:pt>
                <c:pt idx="923">
                  <c:v>187.70931447689617</c:v>
                </c:pt>
                <c:pt idx="924">
                  <c:v>187.70931447689617</c:v>
                </c:pt>
                <c:pt idx="925">
                  <c:v>187.70931447689617</c:v>
                </c:pt>
                <c:pt idx="926">
                  <c:v>187.70931447689617</c:v>
                </c:pt>
                <c:pt idx="927">
                  <c:v>187.70931447689617</c:v>
                </c:pt>
                <c:pt idx="928">
                  <c:v>187.70931447689617</c:v>
                </c:pt>
                <c:pt idx="929">
                  <c:v>187.70931447689617</c:v>
                </c:pt>
                <c:pt idx="930">
                  <c:v>187.70931447689617</c:v>
                </c:pt>
                <c:pt idx="931">
                  <c:v>187.70931447689617</c:v>
                </c:pt>
                <c:pt idx="932">
                  <c:v>187.70931447689617</c:v>
                </c:pt>
                <c:pt idx="933">
                  <c:v>187.70931447689617</c:v>
                </c:pt>
                <c:pt idx="934">
                  <c:v>187.70931447689617</c:v>
                </c:pt>
                <c:pt idx="935">
                  <c:v>187.70931447689617</c:v>
                </c:pt>
                <c:pt idx="936">
                  <c:v>187.70931447689617</c:v>
                </c:pt>
                <c:pt idx="937">
                  <c:v>187.70931447689617</c:v>
                </c:pt>
                <c:pt idx="938">
                  <c:v>187.70931447689617</c:v>
                </c:pt>
                <c:pt idx="939">
                  <c:v>187.70931447689617</c:v>
                </c:pt>
                <c:pt idx="940">
                  <c:v>187.70931447689617</c:v>
                </c:pt>
                <c:pt idx="941">
                  <c:v>187.70931447689617</c:v>
                </c:pt>
                <c:pt idx="942">
                  <c:v>187.70931447689617</c:v>
                </c:pt>
                <c:pt idx="943">
                  <c:v>187.70931447689617</c:v>
                </c:pt>
                <c:pt idx="944">
                  <c:v>187.70931447689617</c:v>
                </c:pt>
                <c:pt idx="945">
                  <c:v>187.70931447689617</c:v>
                </c:pt>
                <c:pt idx="946">
                  <c:v>187.70931447689617</c:v>
                </c:pt>
                <c:pt idx="947">
                  <c:v>187.70931447689617</c:v>
                </c:pt>
                <c:pt idx="948">
                  <c:v>187.70931447689617</c:v>
                </c:pt>
                <c:pt idx="949">
                  <c:v>187.70931447689617</c:v>
                </c:pt>
                <c:pt idx="950">
                  <c:v>187.70931447689617</c:v>
                </c:pt>
                <c:pt idx="951">
                  <c:v>187.70931447689617</c:v>
                </c:pt>
                <c:pt idx="952">
                  <c:v>187.70931447689617</c:v>
                </c:pt>
                <c:pt idx="953">
                  <c:v>187.70931447689617</c:v>
                </c:pt>
                <c:pt idx="954">
                  <c:v>187.70931447689617</c:v>
                </c:pt>
                <c:pt idx="955">
                  <c:v>187.70931447689617</c:v>
                </c:pt>
                <c:pt idx="956">
                  <c:v>187.70931447689617</c:v>
                </c:pt>
                <c:pt idx="957">
                  <c:v>187.70931447689617</c:v>
                </c:pt>
                <c:pt idx="958">
                  <c:v>187.70931447689617</c:v>
                </c:pt>
                <c:pt idx="959">
                  <c:v>187.70931447689617</c:v>
                </c:pt>
                <c:pt idx="960">
                  <c:v>187.70931447689617</c:v>
                </c:pt>
                <c:pt idx="961">
                  <c:v>187.70931447689617</c:v>
                </c:pt>
                <c:pt idx="962">
                  <c:v>187.70931447689617</c:v>
                </c:pt>
                <c:pt idx="963">
                  <c:v>187.70931447689617</c:v>
                </c:pt>
                <c:pt idx="964">
                  <c:v>187.70931447689617</c:v>
                </c:pt>
                <c:pt idx="965">
                  <c:v>187.70931447689617</c:v>
                </c:pt>
                <c:pt idx="966">
                  <c:v>187.70931447689617</c:v>
                </c:pt>
                <c:pt idx="967">
                  <c:v>187.70931447689617</c:v>
                </c:pt>
                <c:pt idx="968">
                  <c:v>187.70931447689617</c:v>
                </c:pt>
                <c:pt idx="969">
                  <c:v>187.70931447689617</c:v>
                </c:pt>
                <c:pt idx="970">
                  <c:v>187.70931447689617</c:v>
                </c:pt>
                <c:pt idx="971">
                  <c:v>187.70931447689617</c:v>
                </c:pt>
                <c:pt idx="972">
                  <c:v>187.70931447689617</c:v>
                </c:pt>
                <c:pt idx="973">
                  <c:v>187.70931447689617</c:v>
                </c:pt>
                <c:pt idx="974">
                  <c:v>187.70931447689617</c:v>
                </c:pt>
                <c:pt idx="975">
                  <c:v>187.70931447689617</c:v>
                </c:pt>
                <c:pt idx="976">
                  <c:v>187.70931447689617</c:v>
                </c:pt>
                <c:pt idx="977">
                  <c:v>187.70931447689617</c:v>
                </c:pt>
                <c:pt idx="978">
                  <c:v>187.70931447689617</c:v>
                </c:pt>
                <c:pt idx="979">
                  <c:v>187.70931447689617</c:v>
                </c:pt>
                <c:pt idx="980">
                  <c:v>187.70931447689617</c:v>
                </c:pt>
                <c:pt idx="981">
                  <c:v>187.70931447689617</c:v>
                </c:pt>
                <c:pt idx="982">
                  <c:v>187.70931447689617</c:v>
                </c:pt>
                <c:pt idx="983">
                  <c:v>187.70931447689617</c:v>
                </c:pt>
                <c:pt idx="984">
                  <c:v>187.70931447689617</c:v>
                </c:pt>
                <c:pt idx="985">
                  <c:v>187.70931447689617</c:v>
                </c:pt>
                <c:pt idx="986">
                  <c:v>187.70931447689617</c:v>
                </c:pt>
                <c:pt idx="987">
                  <c:v>187.70931447689617</c:v>
                </c:pt>
                <c:pt idx="988">
                  <c:v>187.70931447689617</c:v>
                </c:pt>
                <c:pt idx="989">
                  <c:v>187.70931447689617</c:v>
                </c:pt>
                <c:pt idx="990">
                  <c:v>187.70931447689617</c:v>
                </c:pt>
                <c:pt idx="991">
                  <c:v>187.70931447689617</c:v>
                </c:pt>
                <c:pt idx="992">
                  <c:v>187.70931447689617</c:v>
                </c:pt>
                <c:pt idx="993">
                  <c:v>187.70931447689617</c:v>
                </c:pt>
                <c:pt idx="994">
                  <c:v>187.70931447689617</c:v>
                </c:pt>
                <c:pt idx="995">
                  <c:v>187.70931447689617</c:v>
                </c:pt>
                <c:pt idx="996">
                  <c:v>187.70931447689617</c:v>
                </c:pt>
                <c:pt idx="997">
                  <c:v>187.70931447689617</c:v>
                </c:pt>
                <c:pt idx="998">
                  <c:v>187.70931447689617</c:v>
                </c:pt>
                <c:pt idx="999">
                  <c:v>187.70931447689617</c:v>
                </c:pt>
                <c:pt idx="1000">
                  <c:v>187.70931447689617</c:v>
                </c:pt>
              </c:numCache>
            </c:numRef>
          </c:yVal>
          <c:smooth val="0"/>
          <c:extLst>
            <c:ext xmlns:c16="http://schemas.microsoft.com/office/drawing/2014/chart" uri="{C3380CC4-5D6E-409C-BE32-E72D297353CC}">
              <c16:uniqueId val="{00000000-FEE0-4D51-B339-CB2A416A37BF}"/>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15.600099999999962</c:v>
                </c:pt>
                <c:pt idx="338">
                  <c:v>15.600199999999962</c:v>
                </c:pt>
                <c:pt idx="339">
                  <c:v>15.600299999999962</c:v>
                </c:pt>
                <c:pt idx="340">
                  <c:v>15.600399999999961</c:v>
                </c:pt>
                <c:pt idx="341">
                  <c:v>15.600499999999961</c:v>
                </c:pt>
                <c:pt idx="342">
                  <c:v>15.600599999999961</c:v>
                </c:pt>
                <c:pt idx="343">
                  <c:v>15.600699999999961</c:v>
                </c:pt>
                <c:pt idx="344">
                  <c:v>15.60079999999996</c:v>
                </c:pt>
                <c:pt idx="345">
                  <c:v>15.60089999999996</c:v>
                </c:pt>
                <c:pt idx="346">
                  <c:v>15.60099999999996</c:v>
                </c:pt>
                <c:pt idx="347">
                  <c:v>15.60109999999996</c:v>
                </c:pt>
                <c:pt idx="348">
                  <c:v>15.60119999999996</c:v>
                </c:pt>
                <c:pt idx="349">
                  <c:v>15.601299999999959</c:v>
                </c:pt>
                <c:pt idx="350">
                  <c:v>15.601399999999959</c:v>
                </c:pt>
                <c:pt idx="351">
                  <c:v>15.601499999999959</c:v>
                </c:pt>
                <c:pt idx="352">
                  <c:v>15.601599999999959</c:v>
                </c:pt>
                <c:pt idx="353">
                  <c:v>15.601699999999958</c:v>
                </c:pt>
                <c:pt idx="354">
                  <c:v>15.601799999999958</c:v>
                </c:pt>
                <c:pt idx="355">
                  <c:v>15.601899999999958</c:v>
                </c:pt>
                <c:pt idx="356">
                  <c:v>15.601999999999958</c:v>
                </c:pt>
                <c:pt idx="357">
                  <c:v>15.602099999999957</c:v>
                </c:pt>
                <c:pt idx="358">
                  <c:v>15.602199999999957</c:v>
                </c:pt>
                <c:pt idx="359">
                  <c:v>15.602299999999957</c:v>
                </c:pt>
                <c:pt idx="360">
                  <c:v>15.602399999999957</c:v>
                </c:pt>
                <c:pt idx="361">
                  <c:v>15.602499999999957</c:v>
                </c:pt>
                <c:pt idx="362">
                  <c:v>15.602599999999956</c:v>
                </c:pt>
                <c:pt idx="363">
                  <c:v>15.602699999999956</c:v>
                </c:pt>
                <c:pt idx="364">
                  <c:v>15.602799999999956</c:v>
                </c:pt>
                <c:pt idx="365">
                  <c:v>15.602899999999956</c:v>
                </c:pt>
                <c:pt idx="366">
                  <c:v>15.602999999999955</c:v>
                </c:pt>
                <c:pt idx="367">
                  <c:v>15.603099999999955</c:v>
                </c:pt>
                <c:pt idx="368">
                  <c:v>15.603199999999955</c:v>
                </c:pt>
                <c:pt idx="369">
                  <c:v>15.603299999999955</c:v>
                </c:pt>
                <c:pt idx="370">
                  <c:v>15.603399999999954</c:v>
                </c:pt>
                <c:pt idx="371">
                  <c:v>15.603499999999954</c:v>
                </c:pt>
                <c:pt idx="372">
                  <c:v>15.603599999999954</c:v>
                </c:pt>
                <c:pt idx="373">
                  <c:v>15.603699999999954</c:v>
                </c:pt>
                <c:pt idx="374">
                  <c:v>15.603799999999953</c:v>
                </c:pt>
                <c:pt idx="375">
                  <c:v>15.603899999999953</c:v>
                </c:pt>
                <c:pt idx="376">
                  <c:v>15.603999999999953</c:v>
                </c:pt>
                <c:pt idx="377">
                  <c:v>15.604099999999953</c:v>
                </c:pt>
                <c:pt idx="378">
                  <c:v>15.604199999999953</c:v>
                </c:pt>
                <c:pt idx="379">
                  <c:v>15.604299999999952</c:v>
                </c:pt>
                <c:pt idx="380">
                  <c:v>15.604399999999952</c:v>
                </c:pt>
                <c:pt idx="381">
                  <c:v>15.604499999999952</c:v>
                </c:pt>
                <c:pt idx="382">
                  <c:v>15.604599999999952</c:v>
                </c:pt>
                <c:pt idx="383">
                  <c:v>15.604699999999951</c:v>
                </c:pt>
                <c:pt idx="384">
                  <c:v>15.604799999999951</c:v>
                </c:pt>
                <c:pt idx="385">
                  <c:v>15.604899999999951</c:v>
                </c:pt>
                <c:pt idx="386">
                  <c:v>15.604999999999951</c:v>
                </c:pt>
                <c:pt idx="387">
                  <c:v>15.60509999999995</c:v>
                </c:pt>
                <c:pt idx="388">
                  <c:v>15.60519999999995</c:v>
                </c:pt>
                <c:pt idx="389">
                  <c:v>15.60529999999995</c:v>
                </c:pt>
                <c:pt idx="390">
                  <c:v>15.60539999999995</c:v>
                </c:pt>
                <c:pt idx="391">
                  <c:v>15.60549999999995</c:v>
                </c:pt>
                <c:pt idx="392">
                  <c:v>15.605599999999949</c:v>
                </c:pt>
                <c:pt idx="393">
                  <c:v>15.605699999999949</c:v>
                </c:pt>
                <c:pt idx="394">
                  <c:v>15.605799999999949</c:v>
                </c:pt>
                <c:pt idx="395">
                  <c:v>15.605899999999949</c:v>
                </c:pt>
                <c:pt idx="396">
                  <c:v>15.605999999999948</c:v>
                </c:pt>
                <c:pt idx="397">
                  <c:v>15.606099999999948</c:v>
                </c:pt>
                <c:pt idx="398">
                  <c:v>15.606199999999948</c:v>
                </c:pt>
                <c:pt idx="399">
                  <c:v>15.606299999999948</c:v>
                </c:pt>
                <c:pt idx="400">
                  <c:v>15.606399999999947</c:v>
                </c:pt>
                <c:pt idx="401">
                  <c:v>15.606499999999947</c:v>
                </c:pt>
                <c:pt idx="402">
                  <c:v>15.606599999999947</c:v>
                </c:pt>
                <c:pt idx="403">
                  <c:v>15.606699999999947</c:v>
                </c:pt>
                <c:pt idx="404">
                  <c:v>15.606799999999946</c:v>
                </c:pt>
                <c:pt idx="405">
                  <c:v>15.606899999999946</c:v>
                </c:pt>
                <c:pt idx="406">
                  <c:v>15.606999999999946</c:v>
                </c:pt>
                <c:pt idx="407">
                  <c:v>15.607099999999946</c:v>
                </c:pt>
                <c:pt idx="408">
                  <c:v>15.607199999999946</c:v>
                </c:pt>
                <c:pt idx="409">
                  <c:v>15.607299999999945</c:v>
                </c:pt>
                <c:pt idx="410">
                  <c:v>15.607399999999945</c:v>
                </c:pt>
                <c:pt idx="411">
                  <c:v>15.607499999999945</c:v>
                </c:pt>
                <c:pt idx="412">
                  <c:v>15.607599999999945</c:v>
                </c:pt>
                <c:pt idx="413">
                  <c:v>15.607699999999944</c:v>
                </c:pt>
                <c:pt idx="414">
                  <c:v>15.607799999999944</c:v>
                </c:pt>
                <c:pt idx="415">
                  <c:v>15.607899999999944</c:v>
                </c:pt>
                <c:pt idx="416">
                  <c:v>15.607999999999944</c:v>
                </c:pt>
                <c:pt idx="417">
                  <c:v>15.608099999999943</c:v>
                </c:pt>
                <c:pt idx="418">
                  <c:v>15.608199999999943</c:v>
                </c:pt>
                <c:pt idx="419">
                  <c:v>15.608299999999943</c:v>
                </c:pt>
                <c:pt idx="420">
                  <c:v>15.608399999999943</c:v>
                </c:pt>
                <c:pt idx="421">
                  <c:v>15.608499999999943</c:v>
                </c:pt>
                <c:pt idx="422">
                  <c:v>15.608599999999942</c:v>
                </c:pt>
                <c:pt idx="423">
                  <c:v>15.608699999999942</c:v>
                </c:pt>
                <c:pt idx="424">
                  <c:v>15.608799999999942</c:v>
                </c:pt>
                <c:pt idx="425">
                  <c:v>15.608899999999942</c:v>
                </c:pt>
                <c:pt idx="426">
                  <c:v>15.608999999999941</c:v>
                </c:pt>
                <c:pt idx="427">
                  <c:v>15.609099999999941</c:v>
                </c:pt>
                <c:pt idx="428">
                  <c:v>15.609199999999941</c:v>
                </c:pt>
                <c:pt idx="429">
                  <c:v>15.609299999999941</c:v>
                </c:pt>
                <c:pt idx="430">
                  <c:v>15.60939999999994</c:v>
                </c:pt>
                <c:pt idx="431">
                  <c:v>15.60949999999994</c:v>
                </c:pt>
                <c:pt idx="432">
                  <c:v>15.60959999999994</c:v>
                </c:pt>
                <c:pt idx="433">
                  <c:v>15.60969999999994</c:v>
                </c:pt>
                <c:pt idx="434">
                  <c:v>15.60979999999994</c:v>
                </c:pt>
                <c:pt idx="435">
                  <c:v>15.609899999999939</c:v>
                </c:pt>
                <c:pt idx="436">
                  <c:v>15.609999999999939</c:v>
                </c:pt>
                <c:pt idx="437">
                  <c:v>15.610099999999939</c:v>
                </c:pt>
                <c:pt idx="438">
                  <c:v>15.610199999999939</c:v>
                </c:pt>
                <c:pt idx="439">
                  <c:v>15.610299999999938</c:v>
                </c:pt>
                <c:pt idx="440">
                  <c:v>15.610399999999938</c:v>
                </c:pt>
                <c:pt idx="441">
                  <c:v>15.610499999999938</c:v>
                </c:pt>
                <c:pt idx="442">
                  <c:v>15.610599999999938</c:v>
                </c:pt>
                <c:pt idx="443">
                  <c:v>15.610699999999937</c:v>
                </c:pt>
                <c:pt idx="444">
                  <c:v>15.610799999999937</c:v>
                </c:pt>
                <c:pt idx="445">
                  <c:v>15.610899999999937</c:v>
                </c:pt>
                <c:pt idx="446">
                  <c:v>15.610999999999937</c:v>
                </c:pt>
                <c:pt idx="447">
                  <c:v>15.611099999999936</c:v>
                </c:pt>
                <c:pt idx="448">
                  <c:v>15.611199999999936</c:v>
                </c:pt>
                <c:pt idx="449">
                  <c:v>15.611299999999936</c:v>
                </c:pt>
                <c:pt idx="450">
                  <c:v>15.611399999999936</c:v>
                </c:pt>
                <c:pt idx="451">
                  <c:v>15.611499999999936</c:v>
                </c:pt>
                <c:pt idx="452">
                  <c:v>15.611599999999935</c:v>
                </c:pt>
                <c:pt idx="453">
                  <c:v>15.611699999999935</c:v>
                </c:pt>
                <c:pt idx="454">
                  <c:v>15.611799999999935</c:v>
                </c:pt>
                <c:pt idx="455">
                  <c:v>15.611899999999935</c:v>
                </c:pt>
                <c:pt idx="456">
                  <c:v>15.611999999999934</c:v>
                </c:pt>
                <c:pt idx="457">
                  <c:v>15.612099999999934</c:v>
                </c:pt>
                <c:pt idx="458">
                  <c:v>15.612199999999934</c:v>
                </c:pt>
                <c:pt idx="459">
                  <c:v>15.612299999999934</c:v>
                </c:pt>
                <c:pt idx="460">
                  <c:v>15.612399999999933</c:v>
                </c:pt>
                <c:pt idx="461">
                  <c:v>15.612499999999933</c:v>
                </c:pt>
                <c:pt idx="462">
                  <c:v>15.612599999999933</c:v>
                </c:pt>
                <c:pt idx="463">
                  <c:v>15.612699999999933</c:v>
                </c:pt>
                <c:pt idx="464">
                  <c:v>15.612799999999933</c:v>
                </c:pt>
                <c:pt idx="465">
                  <c:v>15.612899999999932</c:v>
                </c:pt>
                <c:pt idx="466">
                  <c:v>15.612999999999932</c:v>
                </c:pt>
                <c:pt idx="467">
                  <c:v>15.613099999999932</c:v>
                </c:pt>
                <c:pt idx="468">
                  <c:v>15.613199999999932</c:v>
                </c:pt>
                <c:pt idx="469">
                  <c:v>15.613299999999931</c:v>
                </c:pt>
                <c:pt idx="470">
                  <c:v>15.613399999999931</c:v>
                </c:pt>
                <c:pt idx="471">
                  <c:v>15.613499999999931</c:v>
                </c:pt>
                <c:pt idx="472">
                  <c:v>15.613599999999931</c:v>
                </c:pt>
                <c:pt idx="473">
                  <c:v>15.61369999999993</c:v>
                </c:pt>
                <c:pt idx="474">
                  <c:v>15.61379999999993</c:v>
                </c:pt>
                <c:pt idx="475">
                  <c:v>15.61389999999993</c:v>
                </c:pt>
                <c:pt idx="476">
                  <c:v>15.61399999999993</c:v>
                </c:pt>
                <c:pt idx="477">
                  <c:v>15.614099999999929</c:v>
                </c:pt>
                <c:pt idx="478">
                  <c:v>15.614199999999929</c:v>
                </c:pt>
                <c:pt idx="479">
                  <c:v>15.614299999999929</c:v>
                </c:pt>
                <c:pt idx="480">
                  <c:v>15.614399999999929</c:v>
                </c:pt>
                <c:pt idx="481">
                  <c:v>15.614499999999929</c:v>
                </c:pt>
                <c:pt idx="482">
                  <c:v>15.614599999999928</c:v>
                </c:pt>
                <c:pt idx="483">
                  <c:v>15.614699999999928</c:v>
                </c:pt>
                <c:pt idx="484">
                  <c:v>15.614799999999928</c:v>
                </c:pt>
                <c:pt idx="485">
                  <c:v>15.614899999999928</c:v>
                </c:pt>
                <c:pt idx="486">
                  <c:v>15.614999999999927</c:v>
                </c:pt>
                <c:pt idx="487">
                  <c:v>15.615099999999927</c:v>
                </c:pt>
                <c:pt idx="488">
                  <c:v>15.615199999999927</c:v>
                </c:pt>
                <c:pt idx="489">
                  <c:v>15.615299999999927</c:v>
                </c:pt>
                <c:pt idx="490">
                  <c:v>15.615399999999926</c:v>
                </c:pt>
                <c:pt idx="491">
                  <c:v>15.615499999999926</c:v>
                </c:pt>
                <c:pt idx="492">
                  <c:v>15.615599999999926</c:v>
                </c:pt>
                <c:pt idx="493">
                  <c:v>15.615699999999926</c:v>
                </c:pt>
                <c:pt idx="494">
                  <c:v>15.615799999999926</c:v>
                </c:pt>
                <c:pt idx="495">
                  <c:v>15.615899999999925</c:v>
                </c:pt>
                <c:pt idx="496">
                  <c:v>15.615999999999925</c:v>
                </c:pt>
                <c:pt idx="497">
                  <c:v>15.616099999999925</c:v>
                </c:pt>
                <c:pt idx="498">
                  <c:v>15.616199999999925</c:v>
                </c:pt>
                <c:pt idx="499">
                  <c:v>15.616299999999924</c:v>
                </c:pt>
                <c:pt idx="500">
                  <c:v>15.616399999999924</c:v>
                </c:pt>
                <c:pt idx="501">
                  <c:v>15.616499999999924</c:v>
                </c:pt>
                <c:pt idx="502">
                  <c:v>15.616599999999924</c:v>
                </c:pt>
                <c:pt idx="503">
                  <c:v>15.616699999999923</c:v>
                </c:pt>
                <c:pt idx="504">
                  <c:v>15.616799999999923</c:v>
                </c:pt>
                <c:pt idx="505">
                  <c:v>15.616899999999923</c:v>
                </c:pt>
                <c:pt idx="506">
                  <c:v>15.616999999999923</c:v>
                </c:pt>
                <c:pt idx="507">
                  <c:v>15.617099999999922</c:v>
                </c:pt>
                <c:pt idx="508">
                  <c:v>15.617199999999922</c:v>
                </c:pt>
                <c:pt idx="509">
                  <c:v>15.617299999999922</c:v>
                </c:pt>
                <c:pt idx="510">
                  <c:v>15.617399999999922</c:v>
                </c:pt>
                <c:pt idx="511">
                  <c:v>15.617499999999922</c:v>
                </c:pt>
                <c:pt idx="512">
                  <c:v>15.617599999999921</c:v>
                </c:pt>
                <c:pt idx="513">
                  <c:v>15.617699999999921</c:v>
                </c:pt>
                <c:pt idx="514">
                  <c:v>15.617799999999921</c:v>
                </c:pt>
                <c:pt idx="515">
                  <c:v>15.617899999999921</c:v>
                </c:pt>
                <c:pt idx="516">
                  <c:v>15.61799999999992</c:v>
                </c:pt>
                <c:pt idx="517">
                  <c:v>15.61809999999992</c:v>
                </c:pt>
                <c:pt idx="518">
                  <c:v>15.61819999999992</c:v>
                </c:pt>
                <c:pt idx="519">
                  <c:v>15.61829999999992</c:v>
                </c:pt>
                <c:pt idx="520">
                  <c:v>15.618399999999919</c:v>
                </c:pt>
                <c:pt idx="521">
                  <c:v>15.618499999999919</c:v>
                </c:pt>
                <c:pt idx="522">
                  <c:v>15.618599999999919</c:v>
                </c:pt>
                <c:pt idx="523">
                  <c:v>15.618699999999919</c:v>
                </c:pt>
                <c:pt idx="524">
                  <c:v>15.618799999999919</c:v>
                </c:pt>
                <c:pt idx="525">
                  <c:v>15.618899999999918</c:v>
                </c:pt>
                <c:pt idx="526">
                  <c:v>15.618999999999918</c:v>
                </c:pt>
                <c:pt idx="527">
                  <c:v>15.619099999999918</c:v>
                </c:pt>
                <c:pt idx="528">
                  <c:v>15.619199999999918</c:v>
                </c:pt>
                <c:pt idx="529">
                  <c:v>15.619299999999917</c:v>
                </c:pt>
                <c:pt idx="530">
                  <c:v>15.619399999999917</c:v>
                </c:pt>
                <c:pt idx="531">
                  <c:v>15.619499999999917</c:v>
                </c:pt>
                <c:pt idx="532">
                  <c:v>15.619599999999917</c:v>
                </c:pt>
                <c:pt idx="533">
                  <c:v>15.619699999999916</c:v>
                </c:pt>
                <c:pt idx="534">
                  <c:v>15.619799999999916</c:v>
                </c:pt>
                <c:pt idx="535">
                  <c:v>15.619899999999916</c:v>
                </c:pt>
                <c:pt idx="536">
                  <c:v>15.619999999999916</c:v>
                </c:pt>
                <c:pt idx="537">
                  <c:v>15.620099999999915</c:v>
                </c:pt>
                <c:pt idx="538">
                  <c:v>15.620199999999915</c:v>
                </c:pt>
                <c:pt idx="539">
                  <c:v>15.620299999999915</c:v>
                </c:pt>
                <c:pt idx="540">
                  <c:v>15.620399999999915</c:v>
                </c:pt>
                <c:pt idx="541">
                  <c:v>15.620499999999915</c:v>
                </c:pt>
                <c:pt idx="542">
                  <c:v>15.620599999999914</c:v>
                </c:pt>
                <c:pt idx="543">
                  <c:v>15.620699999999914</c:v>
                </c:pt>
                <c:pt idx="544">
                  <c:v>15.620799999999914</c:v>
                </c:pt>
                <c:pt idx="545">
                  <c:v>15.620899999999914</c:v>
                </c:pt>
                <c:pt idx="546">
                  <c:v>15.620999999999913</c:v>
                </c:pt>
                <c:pt idx="547">
                  <c:v>15.621099999999913</c:v>
                </c:pt>
                <c:pt idx="548">
                  <c:v>15.621199999999913</c:v>
                </c:pt>
                <c:pt idx="549">
                  <c:v>15.621299999999913</c:v>
                </c:pt>
                <c:pt idx="550">
                  <c:v>15.621399999999912</c:v>
                </c:pt>
                <c:pt idx="551">
                  <c:v>15.621499999999912</c:v>
                </c:pt>
                <c:pt idx="552">
                  <c:v>15.621599999999912</c:v>
                </c:pt>
                <c:pt idx="553">
                  <c:v>15.621699999999912</c:v>
                </c:pt>
                <c:pt idx="554">
                  <c:v>15.621799999999912</c:v>
                </c:pt>
                <c:pt idx="555">
                  <c:v>15.621899999999911</c:v>
                </c:pt>
                <c:pt idx="556">
                  <c:v>15.621999999999911</c:v>
                </c:pt>
                <c:pt idx="557">
                  <c:v>15.622099999999911</c:v>
                </c:pt>
                <c:pt idx="558">
                  <c:v>15.622199999999911</c:v>
                </c:pt>
                <c:pt idx="559">
                  <c:v>15.62229999999991</c:v>
                </c:pt>
                <c:pt idx="560">
                  <c:v>15.62239999999991</c:v>
                </c:pt>
                <c:pt idx="561">
                  <c:v>15.62249999999991</c:v>
                </c:pt>
                <c:pt idx="562">
                  <c:v>15.62259999999991</c:v>
                </c:pt>
                <c:pt idx="563">
                  <c:v>15.622699999999909</c:v>
                </c:pt>
                <c:pt idx="564">
                  <c:v>15.622799999999909</c:v>
                </c:pt>
                <c:pt idx="565">
                  <c:v>15.622899999999909</c:v>
                </c:pt>
                <c:pt idx="566">
                  <c:v>15.622999999999909</c:v>
                </c:pt>
                <c:pt idx="567">
                  <c:v>15.623099999999909</c:v>
                </c:pt>
                <c:pt idx="568">
                  <c:v>15.623199999999908</c:v>
                </c:pt>
                <c:pt idx="569">
                  <c:v>15.623299999999908</c:v>
                </c:pt>
                <c:pt idx="570">
                  <c:v>15.623399999999908</c:v>
                </c:pt>
                <c:pt idx="571">
                  <c:v>15.623499999999908</c:v>
                </c:pt>
                <c:pt idx="572">
                  <c:v>15.623599999999907</c:v>
                </c:pt>
                <c:pt idx="573">
                  <c:v>15.623699999999907</c:v>
                </c:pt>
                <c:pt idx="574">
                  <c:v>15.623799999999907</c:v>
                </c:pt>
                <c:pt idx="575">
                  <c:v>15.623899999999907</c:v>
                </c:pt>
                <c:pt idx="576">
                  <c:v>15.623999999999906</c:v>
                </c:pt>
                <c:pt idx="577">
                  <c:v>15.624099999999906</c:v>
                </c:pt>
                <c:pt idx="578">
                  <c:v>15.624199999999906</c:v>
                </c:pt>
                <c:pt idx="579">
                  <c:v>15.624299999999906</c:v>
                </c:pt>
                <c:pt idx="580">
                  <c:v>15.624399999999905</c:v>
                </c:pt>
                <c:pt idx="581">
                  <c:v>15.624499999999905</c:v>
                </c:pt>
                <c:pt idx="582">
                  <c:v>15.624599999999905</c:v>
                </c:pt>
                <c:pt idx="583">
                  <c:v>15.624699999999905</c:v>
                </c:pt>
                <c:pt idx="584">
                  <c:v>15.624799999999905</c:v>
                </c:pt>
                <c:pt idx="585">
                  <c:v>15.624899999999904</c:v>
                </c:pt>
                <c:pt idx="586">
                  <c:v>15.624999999999904</c:v>
                </c:pt>
                <c:pt idx="587">
                  <c:v>15.625099999999904</c:v>
                </c:pt>
                <c:pt idx="588">
                  <c:v>15.625199999999904</c:v>
                </c:pt>
                <c:pt idx="589">
                  <c:v>15.625299999999903</c:v>
                </c:pt>
                <c:pt idx="590">
                  <c:v>15.625399999999903</c:v>
                </c:pt>
                <c:pt idx="591">
                  <c:v>15.625499999999903</c:v>
                </c:pt>
                <c:pt idx="592">
                  <c:v>15.625599999999903</c:v>
                </c:pt>
                <c:pt idx="593">
                  <c:v>15.625699999999902</c:v>
                </c:pt>
                <c:pt idx="594">
                  <c:v>15.625799999999902</c:v>
                </c:pt>
                <c:pt idx="595">
                  <c:v>15.625899999999902</c:v>
                </c:pt>
                <c:pt idx="596">
                  <c:v>15.625999999999902</c:v>
                </c:pt>
                <c:pt idx="597">
                  <c:v>15.626099999999902</c:v>
                </c:pt>
                <c:pt idx="598">
                  <c:v>15.626199999999901</c:v>
                </c:pt>
                <c:pt idx="599">
                  <c:v>15.626299999999901</c:v>
                </c:pt>
                <c:pt idx="600">
                  <c:v>15.626399999999901</c:v>
                </c:pt>
                <c:pt idx="601">
                  <c:v>15.626499999999901</c:v>
                </c:pt>
                <c:pt idx="602">
                  <c:v>15.6265999999999</c:v>
                </c:pt>
                <c:pt idx="603">
                  <c:v>15.6266999999999</c:v>
                </c:pt>
                <c:pt idx="604">
                  <c:v>15.6267999999999</c:v>
                </c:pt>
                <c:pt idx="605">
                  <c:v>15.6268999999999</c:v>
                </c:pt>
                <c:pt idx="606">
                  <c:v>15.626999999999899</c:v>
                </c:pt>
                <c:pt idx="607">
                  <c:v>15.627099999999899</c:v>
                </c:pt>
                <c:pt idx="608">
                  <c:v>15.627199999999899</c:v>
                </c:pt>
                <c:pt idx="609">
                  <c:v>15.627299999999899</c:v>
                </c:pt>
                <c:pt idx="610">
                  <c:v>15.627399999999898</c:v>
                </c:pt>
                <c:pt idx="611">
                  <c:v>15.627499999999898</c:v>
                </c:pt>
                <c:pt idx="612">
                  <c:v>15.627599999999898</c:v>
                </c:pt>
                <c:pt idx="613">
                  <c:v>15.627699999999898</c:v>
                </c:pt>
                <c:pt idx="614">
                  <c:v>15.627799999999898</c:v>
                </c:pt>
                <c:pt idx="615">
                  <c:v>15.627899999999897</c:v>
                </c:pt>
                <c:pt idx="616">
                  <c:v>15.627999999999897</c:v>
                </c:pt>
                <c:pt idx="617">
                  <c:v>15.628099999999897</c:v>
                </c:pt>
                <c:pt idx="618">
                  <c:v>15.628199999999897</c:v>
                </c:pt>
                <c:pt idx="619">
                  <c:v>15.628299999999896</c:v>
                </c:pt>
                <c:pt idx="620">
                  <c:v>15.628399999999896</c:v>
                </c:pt>
                <c:pt idx="621">
                  <c:v>15.628499999999896</c:v>
                </c:pt>
                <c:pt idx="622">
                  <c:v>15.628599999999896</c:v>
                </c:pt>
                <c:pt idx="623">
                  <c:v>15.628699999999895</c:v>
                </c:pt>
                <c:pt idx="624">
                  <c:v>15.628799999999895</c:v>
                </c:pt>
                <c:pt idx="625">
                  <c:v>15.628899999999895</c:v>
                </c:pt>
                <c:pt idx="626">
                  <c:v>15.628999999999895</c:v>
                </c:pt>
                <c:pt idx="627">
                  <c:v>15.629099999999895</c:v>
                </c:pt>
                <c:pt idx="628">
                  <c:v>15.629199999999894</c:v>
                </c:pt>
                <c:pt idx="629">
                  <c:v>15.629299999999894</c:v>
                </c:pt>
                <c:pt idx="630">
                  <c:v>15.629399999999894</c:v>
                </c:pt>
                <c:pt idx="631">
                  <c:v>15.629499999999894</c:v>
                </c:pt>
                <c:pt idx="632">
                  <c:v>15.629599999999893</c:v>
                </c:pt>
                <c:pt idx="633">
                  <c:v>15.629699999999893</c:v>
                </c:pt>
                <c:pt idx="634">
                  <c:v>15.629799999999893</c:v>
                </c:pt>
                <c:pt idx="635">
                  <c:v>15.629899999999893</c:v>
                </c:pt>
                <c:pt idx="636">
                  <c:v>15.629999999999892</c:v>
                </c:pt>
                <c:pt idx="637">
                  <c:v>15.630099999999892</c:v>
                </c:pt>
                <c:pt idx="638">
                  <c:v>15.630199999999892</c:v>
                </c:pt>
                <c:pt idx="639">
                  <c:v>15.630299999999892</c:v>
                </c:pt>
                <c:pt idx="640">
                  <c:v>15.630399999999891</c:v>
                </c:pt>
                <c:pt idx="641">
                  <c:v>15.630499999999891</c:v>
                </c:pt>
                <c:pt idx="642">
                  <c:v>15.630599999999891</c:v>
                </c:pt>
                <c:pt idx="643">
                  <c:v>15.630699999999891</c:v>
                </c:pt>
                <c:pt idx="644">
                  <c:v>15.630799999999891</c:v>
                </c:pt>
                <c:pt idx="645">
                  <c:v>15.63089999999989</c:v>
                </c:pt>
                <c:pt idx="646">
                  <c:v>15.63099999999989</c:v>
                </c:pt>
                <c:pt idx="647">
                  <c:v>15.63109999999989</c:v>
                </c:pt>
                <c:pt idx="648">
                  <c:v>15.63119999999989</c:v>
                </c:pt>
                <c:pt idx="649">
                  <c:v>15.631299999999889</c:v>
                </c:pt>
                <c:pt idx="650">
                  <c:v>15.631399999999889</c:v>
                </c:pt>
                <c:pt idx="651">
                  <c:v>15.631499999999889</c:v>
                </c:pt>
                <c:pt idx="652">
                  <c:v>15.631599999999889</c:v>
                </c:pt>
                <c:pt idx="653">
                  <c:v>15.631699999999888</c:v>
                </c:pt>
                <c:pt idx="654">
                  <c:v>15.631799999999888</c:v>
                </c:pt>
                <c:pt idx="655">
                  <c:v>15.631899999999888</c:v>
                </c:pt>
                <c:pt idx="656">
                  <c:v>15.631999999999888</c:v>
                </c:pt>
                <c:pt idx="657">
                  <c:v>15.632099999999888</c:v>
                </c:pt>
                <c:pt idx="658">
                  <c:v>15.632199999999887</c:v>
                </c:pt>
                <c:pt idx="659">
                  <c:v>15.632299999999887</c:v>
                </c:pt>
                <c:pt idx="660">
                  <c:v>15.632399999999887</c:v>
                </c:pt>
                <c:pt idx="661">
                  <c:v>15.632499999999887</c:v>
                </c:pt>
                <c:pt idx="662">
                  <c:v>15.632599999999886</c:v>
                </c:pt>
                <c:pt idx="663">
                  <c:v>15.632699999999886</c:v>
                </c:pt>
                <c:pt idx="664">
                  <c:v>15.632799999999886</c:v>
                </c:pt>
                <c:pt idx="665">
                  <c:v>15.632899999999886</c:v>
                </c:pt>
                <c:pt idx="666">
                  <c:v>15.632999999999885</c:v>
                </c:pt>
                <c:pt idx="667">
                  <c:v>15.633099999999885</c:v>
                </c:pt>
                <c:pt idx="668">
                  <c:v>15.633199999999885</c:v>
                </c:pt>
                <c:pt idx="669">
                  <c:v>15.633299999999885</c:v>
                </c:pt>
                <c:pt idx="670">
                  <c:v>15.633399999999884</c:v>
                </c:pt>
                <c:pt idx="671">
                  <c:v>15.633499999999884</c:v>
                </c:pt>
                <c:pt idx="672">
                  <c:v>15.633599999999884</c:v>
                </c:pt>
                <c:pt idx="673">
                  <c:v>15.633699999999884</c:v>
                </c:pt>
                <c:pt idx="674">
                  <c:v>15.633799999999884</c:v>
                </c:pt>
                <c:pt idx="675">
                  <c:v>15.633899999999883</c:v>
                </c:pt>
                <c:pt idx="676">
                  <c:v>15.633999999999883</c:v>
                </c:pt>
                <c:pt idx="677">
                  <c:v>15.634099999999883</c:v>
                </c:pt>
                <c:pt idx="678">
                  <c:v>15.634199999999883</c:v>
                </c:pt>
                <c:pt idx="679">
                  <c:v>15.634299999999882</c:v>
                </c:pt>
                <c:pt idx="680">
                  <c:v>15.634399999999882</c:v>
                </c:pt>
                <c:pt idx="681">
                  <c:v>15.634499999999882</c:v>
                </c:pt>
                <c:pt idx="682">
                  <c:v>15.634599999999882</c:v>
                </c:pt>
                <c:pt idx="683">
                  <c:v>15.634699999999881</c:v>
                </c:pt>
                <c:pt idx="684">
                  <c:v>15.634799999999881</c:v>
                </c:pt>
                <c:pt idx="685">
                  <c:v>15.634899999999881</c:v>
                </c:pt>
                <c:pt idx="686">
                  <c:v>15.634999999999881</c:v>
                </c:pt>
                <c:pt idx="687">
                  <c:v>15.635099999999881</c:v>
                </c:pt>
                <c:pt idx="688">
                  <c:v>15.63519999999988</c:v>
                </c:pt>
                <c:pt idx="689">
                  <c:v>15.63529999999988</c:v>
                </c:pt>
                <c:pt idx="690">
                  <c:v>15.63539999999988</c:v>
                </c:pt>
                <c:pt idx="691">
                  <c:v>15.63549999999988</c:v>
                </c:pt>
                <c:pt idx="692">
                  <c:v>15.635599999999879</c:v>
                </c:pt>
                <c:pt idx="693">
                  <c:v>15.635699999999879</c:v>
                </c:pt>
                <c:pt idx="694">
                  <c:v>15.635799999999879</c:v>
                </c:pt>
                <c:pt idx="695">
                  <c:v>15.635899999999879</c:v>
                </c:pt>
                <c:pt idx="696">
                  <c:v>15.635999999999878</c:v>
                </c:pt>
                <c:pt idx="697">
                  <c:v>15.636099999999878</c:v>
                </c:pt>
                <c:pt idx="698">
                  <c:v>15.636199999999878</c:v>
                </c:pt>
                <c:pt idx="699">
                  <c:v>15.636299999999878</c:v>
                </c:pt>
                <c:pt idx="700">
                  <c:v>15.636399999999878</c:v>
                </c:pt>
                <c:pt idx="701">
                  <c:v>15.636499999999877</c:v>
                </c:pt>
                <c:pt idx="702">
                  <c:v>15.636599999999877</c:v>
                </c:pt>
                <c:pt idx="703">
                  <c:v>15.636699999999877</c:v>
                </c:pt>
                <c:pt idx="704">
                  <c:v>15.636799999999877</c:v>
                </c:pt>
                <c:pt idx="705">
                  <c:v>15.636899999999876</c:v>
                </c:pt>
                <c:pt idx="706">
                  <c:v>15.636999999999876</c:v>
                </c:pt>
                <c:pt idx="707">
                  <c:v>15.637099999999876</c:v>
                </c:pt>
                <c:pt idx="708">
                  <c:v>15.637199999999876</c:v>
                </c:pt>
                <c:pt idx="709">
                  <c:v>15.637299999999875</c:v>
                </c:pt>
                <c:pt idx="710">
                  <c:v>15.637399999999875</c:v>
                </c:pt>
                <c:pt idx="711">
                  <c:v>15.637499999999875</c:v>
                </c:pt>
                <c:pt idx="712">
                  <c:v>15.637599999999875</c:v>
                </c:pt>
                <c:pt idx="713">
                  <c:v>15.637699999999874</c:v>
                </c:pt>
                <c:pt idx="714">
                  <c:v>15.637799999999874</c:v>
                </c:pt>
                <c:pt idx="715">
                  <c:v>15.637899999999874</c:v>
                </c:pt>
                <c:pt idx="716">
                  <c:v>15.637999999999874</c:v>
                </c:pt>
                <c:pt idx="717">
                  <c:v>15.638099999999874</c:v>
                </c:pt>
                <c:pt idx="718">
                  <c:v>15.638199999999873</c:v>
                </c:pt>
                <c:pt idx="719">
                  <c:v>15.638299999999873</c:v>
                </c:pt>
                <c:pt idx="720">
                  <c:v>15.638399999999873</c:v>
                </c:pt>
                <c:pt idx="721">
                  <c:v>15.638499999999873</c:v>
                </c:pt>
                <c:pt idx="722">
                  <c:v>15.638599999999872</c:v>
                </c:pt>
                <c:pt idx="723">
                  <c:v>15.638699999999872</c:v>
                </c:pt>
                <c:pt idx="724">
                  <c:v>15.638799999999872</c:v>
                </c:pt>
                <c:pt idx="725">
                  <c:v>15.638899999999872</c:v>
                </c:pt>
                <c:pt idx="726">
                  <c:v>15.638999999999871</c:v>
                </c:pt>
                <c:pt idx="727">
                  <c:v>15.639099999999871</c:v>
                </c:pt>
                <c:pt idx="728">
                  <c:v>15.639199999999871</c:v>
                </c:pt>
                <c:pt idx="729">
                  <c:v>15.639299999999871</c:v>
                </c:pt>
                <c:pt idx="730">
                  <c:v>15.639399999999871</c:v>
                </c:pt>
                <c:pt idx="731">
                  <c:v>15.63949999999987</c:v>
                </c:pt>
                <c:pt idx="732">
                  <c:v>15.63959999999987</c:v>
                </c:pt>
                <c:pt idx="733">
                  <c:v>15.63969999999987</c:v>
                </c:pt>
                <c:pt idx="734">
                  <c:v>15.63979999999987</c:v>
                </c:pt>
                <c:pt idx="735">
                  <c:v>15.639899999999869</c:v>
                </c:pt>
                <c:pt idx="736">
                  <c:v>15.639999999999869</c:v>
                </c:pt>
                <c:pt idx="737">
                  <c:v>15.640099999999869</c:v>
                </c:pt>
                <c:pt idx="738">
                  <c:v>15.640199999999869</c:v>
                </c:pt>
                <c:pt idx="739">
                  <c:v>15.640299999999868</c:v>
                </c:pt>
                <c:pt idx="740">
                  <c:v>15.640399999999868</c:v>
                </c:pt>
                <c:pt idx="741">
                  <c:v>15.640499999999868</c:v>
                </c:pt>
                <c:pt idx="742">
                  <c:v>15.640599999999868</c:v>
                </c:pt>
                <c:pt idx="743">
                  <c:v>15.640699999999867</c:v>
                </c:pt>
                <c:pt idx="744">
                  <c:v>15.640799999999867</c:v>
                </c:pt>
                <c:pt idx="745">
                  <c:v>15.640899999999867</c:v>
                </c:pt>
                <c:pt idx="746">
                  <c:v>15.640999999999867</c:v>
                </c:pt>
                <c:pt idx="747">
                  <c:v>15.641099999999867</c:v>
                </c:pt>
                <c:pt idx="748">
                  <c:v>15.641199999999866</c:v>
                </c:pt>
                <c:pt idx="749">
                  <c:v>15.641299999999866</c:v>
                </c:pt>
                <c:pt idx="750">
                  <c:v>15.641399999999866</c:v>
                </c:pt>
                <c:pt idx="751">
                  <c:v>15.641499999999866</c:v>
                </c:pt>
                <c:pt idx="752">
                  <c:v>15.641599999999865</c:v>
                </c:pt>
                <c:pt idx="753">
                  <c:v>15.641699999999865</c:v>
                </c:pt>
                <c:pt idx="754">
                  <c:v>15.641799999999865</c:v>
                </c:pt>
                <c:pt idx="755">
                  <c:v>15.641899999999865</c:v>
                </c:pt>
                <c:pt idx="756">
                  <c:v>15.641999999999864</c:v>
                </c:pt>
                <c:pt idx="757">
                  <c:v>15.642099999999864</c:v>
                </c:pt>
                <c:pt idx="758">
                  <c:v>15.642199999999864</c:v>
                </c:pt>
                <c:pt idx="759">
                  <c:v>15.642299999999864</c:v>
                </c:pt>
                <c:pt idx="760">
                  <c:v>15.642399999999864</c:v>
                </c:pt>
                <c:pt idx="761">
                  <c:v>15.642499999999863</c:v>
                </c:pt>
                <c:pt idx="762">
                  <c:v>15.642599999999863</c:v>
                </c:pt>
                <c:pt idx="763">
                  <c:v>15.642699999999863</c:v>
                </c:pt>
                <c:pt idx="764">
                  <c:v>15.642799999999863</c:v>
                </c:pt>
                <c:pt idx="765">
                  <c:v>15.642899999999862</c:v>
                </c:pt>
                <c:pt idx="766">
                  <c:v>15.642999999999862</c:v>
                </c:pt>
                <c:pt idx="767">
                  <c:v>15.643099999999862</c:v>
                </c:pt>
                <c:pt idx="768">
                  <c:v>15.643199999999862</c:v>
                </c:pt>
                <c:pt idx="769">
                  <c:v>15.643299999999861</c:v>
                </c:pt>
                <c:pt idx="770">
                  <c:v>15.643399999999861</c:v>
                </c:pt>
                <c:pt idx="771">
                  <c:v>15.643499999999861</c:v>
                </c:pt>
                <c:pt idx="772">
                  <c:v>15.643599999999861</c:v>
                </c:pt>
                <c:pt idx="773">
                  <c:v>15.64369999999986</c:v>
                </c:pt>
                <c:pt idx="774">
                  <c:v>15.64379999999986</c:v>
                </c:pt>
                <c:pt idx="775">
                  <c:v>15.64389999999986</c:v>
                </c:pt>
                <c:pt idx="776">
                  <c:v>15.64399999999986</c:v>
                </c:pt>
                <c:pt idx="777">
                  <c:v>15.64409999999986</c:v>
                </c:pt>
                <c:pt idx="778">
                  <c:v>15.644199999999859</c:v>
                </c:pt>
                <c:pt idx="779">
                  <c:v>15.644299999999859</c:v>
                </c:pt>
                <c:pt idx="780">
                  <c:v>15.644399999999859</c:v>
                </c:pt>
                <c:pt idx="781">
                  <c:v>15.644499999999859</c:v>
                </c:pt>
                <c:pt idx="782">
                  <c:v>15.644599999999858</c:v>
                </c:pt>
                <c:pt idx="783">
                  <c:v>15.644699999999858</c:v>
                </c:pt>
                <c:pt idx="784">
                  <c:v>15.644799999999858</c:v>
                </c:pt>
                <c:pt idx="785">
                  <c:v>15.644899999999858</c:v>
                </c:pt>
                <c:pt idx="786">
                  <c:v>15.644999999999857</c:v>
                </c:pt>
                <c:pt idx="787">
                  <c:v>15.645099999999857</c:v>
                </c:pt>
                <c:pt idx="788">
                  <c:v>15.645199999999857</c:v>
                </c:pt>
                <c:pt idx="789">
                  <c:v>15.645299999999857</c:v>
                </c:pt>
                <c:pt idx="790">
                  <c:v>15.645399999999857</c:v>
                </c:pt>
                <c:pt idx="791">
                  <c:v>15.645499999999856</c:v>
                </c:pt>
                <c:pt idx="792">
                  <c:v>15.645599999999856</c:v>
                </c:pt>
                <c:pt idx="793">
                  <c:v>15.645699999999856</c:v>
                </c:pt>
                <c:pt idx="794">
                  <c:v>15.645799999999856</c:v>
                </c:pt>
                <c:pt idx="795">
                  <c:v>15.645899999999855</c:v>
                </c:pt>
                <c:pt idx="796">
                  <c:v>15.645999999999855</c:v>
                </c:pt>
                <c:pt idx="797">
                  <c:v>15.646099999999855</c:v>
                </c:pt>
                <c:pt idx="798">
                  <c:v>15.646199999999855</c:v>
                </c:pt>
                <c:pt idx="799">
                  <c:v>15.646299999999854</c:v>
                </c:pt>
                <c:pt idx="800">
                  <c:v>15.646399999999854</c:v>
                </c:pt>
                <c:pt idx="801">
                  <c:v>15.646499999999854</c:v>
                </c:pt>
                <c:pt idx="802">
                  <c:v>15.646599999999854</c:v>
                </c:pt>
                <c:pt idx="803">
                  <c:v>15.646699999999854</c:v>
                </c:pt>
                <c:pt idx="804">
                  <c:v>15.646799999999853</c:v>
                </c:pt>
                <c:pt idx="805">
                  <c:v>15.646899999999853</c:v>
                </c:pt>
                <c:pt idx="806">
                  <c:v>15.646999999999853</c:v>
                </c:pt>
                <c:pt idx="807">
                  <c:v>15.647099999999853</c:v>
                </c:pt>
                <c:pt idx="808">
                  <c:v>15.647199999999852</c:v>
                </c:pt>
                <c:pt idx="809">
                  <c:v>15.647299999999852</c:v>
                </c:pt>
                <c:pt idx="810">
                  <c:v>15.647399999999852</c:v>
                </c:pt>
                <c:pt idx="811">
                  <c:v>15.647499999999852</c:v>
                </c:pt>
                <c:pt idx="812">
                  <c:v>15.647599999999851</c:v>
                </c:pt>
                <c:pt idx="813">
                  <c:v>15.647699999999851</c:v>
                </c:pt>
                <c:pt idx="814">
                  <c:v>15.647799999999851</c:v>
                </c:pt>
                <c:pt idx="815">
                  <c:v>15.647899999999851</c:v>
                </c:pt>
                <c:pt idx="816">
                  <c:v>15.64799999999985</c:v>
                </c:pt>
                <c:pt idx="817">
                  <c:v>15.64809999999985</c:v>
                </c:pt>
                <c:pt idx="818">
                  <c:v>15.64819999999985</c:v>
                </c:pt>
                <c:pt idx="819">
                  <c:v>15.64829999999985</c:v>
                </c:pt>
                <c:pt idx="820">
                  <c:v>15.64839999999985</c:v>
                </c:pt>
                <c:pt idx="821">
                  <c:v>15.648499999999849</c:v>
                </c:pt>
                <c:pt idx="822">
                  <c:v>15.648599999999849</c:v>
                </c:pt>
                <c:pt idx="823">
                  <c:v>15.648699999999849</c:v>
                </c:pt>
                <c:pt idx="824">
                  <c:v>15.648799999999849</c:v>
                </c:pt>
                <c:pt idx="825">
                  <c:v>15.648899999999848</c:v>
                </c:pt>
                <c:pt idx="826">
                  <c:v>15.648999999999848</c:v>
                </c:pt>
                <c:pt idx="827">
                  <c:v>15.649099999999848</c:v>
                </c:pt>
                <c:pt idx="828">
                  <c:v>15.649199999999848</c:v>
                </c:pt>
                <c:pt idx="829">
                  <c:v>15.649299999999847</c:v>
                </c:pt>
                <c:pt idx="830">
                  <c:v>15.649399999999847</c:v>
                </c:pt>
                <c:pt idx="831">
                  <c:v>15.649499999999847</c:v>
                </c:pt>
                <c:pt idx="832">
                  <c:v>15.649599999999847</c:v>
                </c:pt>
                <c:pt idx="833">
                  <c:v>15.649699999999847</c:v>
                </c:pt>
                <c:pt idx="834">
                  <c:v>15.649799999999846</c:v>
                </c:pt>
                <c:pt idx="835">
                  <c:v>15.649899999999846</c:v>
                </c:pt>
                <c:pt idx="836">
                  <c:v>15.649999999999846</c:v>
                </c:pt>
                <c:pt idx="837">
                  <c:v>15.650099999999846</c:v>
                </c:pt>
                <c:pt idx="838">
                  <c:v>15.650199999999845</c:v>
                </c:pt>
                <c:pt idx="839">
                  <c:v>15.650299999999845</c:v>
                </c:pt>
                <c:pt idx="840">
                  <c:v>15.650399999999845</c:v>
                </c:pt>
                <c:pt idx="841">
                  <c:v>15.650499999999845</c:v>
                </c:pt>
                <c:pt idx="842">
                  <c:v>15.650599999999844</c:v>
                </c:pt>
                <c:pt idx="843">
                  <c:v>15.650699999999844</c:v>
                </c:pt>
                <c:pt idx="844">
                  <c:v>15.650799999999844</c:v>
                </c:pt>
                <c:pt idx="845">
                  <c:v>15.650899999999844</c:v>
                </c:pt>
                <c:pt idx="846">
                  <c:v>15.650999999999843</c:v>
                </c:pt>
                <c:pt idx="847">
                  <c:v>15.651099999999843</c:v>
                </c:pt>
                <c:pt idx="848">
                  <c:v>15.651199999999843</c:v>
                </c:pt>
                <c:pt idx="849">
                  <c:v>15.651299999999843</c:v>
                </c:pt>
                <c:pt idx="850">
                  <c:v>15.651399999999843</c:v>
                </c:pt>
                <c:pt idx="851">
                  <c:v>15.651499999999842</c:v>
                </c:pt>
                <c:pt idx="852">
                  <c:v>15.651599999999842</c:v>
                </c:pt>
                <c:pt idx="853">
                  <c:v>15.651699999999842</c:v>
                </c:pt>
                <c:pt idx="854">
                  <c:v>15.651799999999842</c:v>
                </c:pt>
                <c:pt idx="855">
                  <c:v>15.651899999999841</c:v>
                </c:pt>
                <c:pt idx="856">
                  <c:v>15.651999999999841</c:v>
                </c:pt>
                <c:pt idx="857">
                  <c:v>15.652099999999841</c:v>
                </c:pt>
                <c:pt idx="858">
                  <c:v>15.652199999999841</c:v>
                </c:pt>
                <c:pt idx="859">
                  <c:v>15.65229999999984</c:v>
                </c:pt>
                <c:pt idx="860">
                  <c:v>15.65239999999984</c:v>
                </c:pt>
                <c:pt idx="861">
                  <c:v>15.65249999999984</c:v>
                </c:pt>
                <c:pt idx="862">
                  <c:v>15.65259999999984</c:v>
                </c:pt>
                <c:pt idx="863">
                  <c:v>15.65269999999984</c:v>
                </c:pt>
                <c:pt idx="864">
                  <c:v>15.652799999999839</c:v>
                </c:pt>
                <c:pt idx="865">
                  <c:v>15.652899999999839</c:v>
                </c:pt>
                <c:pt idx="866">
                  <c:v>15.652999999999839</c:v>
                </c:pt>
                <c:pt idx="867">
                  <c:v>15.653099999999839</c:v>
                </c:pt>
                <c:pt idx="868">
                  <c:v>15.653199999999838</c:v>
                </c:pt>
                <c:pt idx="869">
                  <c:v>15.653299999999838</c:v>
                </c:pt>
                <c:pt idx="870">
                  <c:v>15.653399999999838</c:v>
                </c:pt>
                <c:pt idx="871">
                  <c:v>15.653499999999838</c:v>
                </c:pt>
                <c:pt idx="872">
                  <c:v>15.653599999999837</c:v>
                </c:pt>
                <c:pt idx="873">
                  <c:v>15.653699999999837</c:v>
                </c:pt>
                <c:pt idx="874">
                  <c:v>15.653799999999837</c:v>
                </c:pt>
                <c:pt idx="875">
                  <c:v>15.653899999999837</c:v>
                </c:pt>
                <c:pt idx="876">
                  <c:v>15.653999999999836</c:v>
                </c:pt>
                <c:pt idx="877">
                  <c:v>15.654099999999836</c:v>
                </c:pt>
                <c:pt idx="878">
                  <c:v>15.654199999999836</c:v>
                </c:pt>
                <c:pt idx="879">
                  <c:v>15.654299999999836</c:v>
                </c:pt>
                <c:pt idx="880">
                  <c:v>15.654399999999836</c:v>
                </c:pt>
                <c:pt idx="881">
                  <c:v>15.654499999999835</c:v>
                </c:pt>
                <c:pt idx="882">
                  <c:v>15.654599999999835</c:v>
                </c:pt>
                <c:pt idx="883">
                  <c:v>15.654699999999835</c:v>
                </c:pt>
                <c:pt idx="884">
                  <c:v>15.654799999999835</c:v>
                </c:pt>
                <c:pt idx="885">
                  <c:v>15.654899999999834</c:v>
                </c:pt>
                <c:pt idx="886">
                  <c:v>15.654999999999834</c:v>
                </c:pt>
                <c:pt idx="887">
                  <c:v>15.655099999999834</c:v>
                </c:pt>
                <c:pt idx="888">
                  <c:v>15.655199999999834</c:v>
                </c:pt>
                <c:pt idx="889">
                  <c:v>15.655299999999833</c:v>
                </c:pt>
                <c:pt idx="890">
                  <c:v>15.655399999999833</c:v>
                </c:pt>
                <c:pt idx="891">
                  <c:v>15.655499999999833</c:v>
                </c:pt>
                <c:pt idx="892">
                  <c:v>15.655599999999833</c:v>
                </c:pt>
                <c:pt idx="893">
                  <c:v>15.655699999999833</c:v>
                </c:pt>
                <c:pt idx="894">
                  <c:v>15.655799999999832</c:v>
                </c:pt>
                <c:pt idx="895">
                  <c:v>15.655899999999832</c:v>
                </c:pt>
                <c:pt idx="896">
                  <c:v>15.655999999999832</c:v>
                </c:pt>
                <c:pt idx="897">
                  <c:v>15.656099999999832</c:v>
                </c:pt>
                <c:pt idx="898">
                  <c:v>15.656199999999831</c:v>
                </c:pt>
                <c:pt idx="899">
                  <c:v>15.656299999999831</c:v>
                </c:pt>
                <c:pt idx="900">
                  <c:v>15.656399999999831</c:v>
                </c:pt>
                <c:pt idx="901">
                  <c:v>15.656499999999831</c:v>
                </c:pt>
                <c:pt idx="902">
                  <c:v>15.65659999999983</c:v>
                </c:pt>
                <c:pt idx="903">
                  <c:v>15.65669999999983</c:v>
                </c:pt>
                <c:pt idx="904">
                  <c:v>15.65679999999983</c:v>
                </c:pt>
                <c:pt idx="905">
                  <c:v>15.65689999999983</c:v>
                </c:pt>
                <c:pt idx="906">
                  <c:v>15.656999999999829</c:v>
                </c:pt>
                <c:pt idx="907">
                  <c:v>15.657099999999829</c:v>
                </c:pt>
                <c:pt idx="908">
                  <c:v>15.657199999999829</c:v>
                </c:pt>
                <c:pt idx="909">
                  <c:v>15.657299999999829</c:v>
                </c:pt>
                <c:pt idx="910">
                  <c:v>15.657399999999829</c:v>
                </c:pt>
                <c:pt idx="911">
                  <c:v>15.657499999999828</c:v>
                </c:pt>
                <c:pt idx="912">
                  <c:v>15.657599999999828</c:v>
                </c:pt>
                <c:pt idx="913">
                  <c:v>15.657699999999828</c:v>
                </c:pt>
                <c:pt idx="914">
                  <c:v>15.657799999999828</c:v>
                </c:pt>
                <c:pt idx="915">
                  <c:v>15.657899999999827</c:v>
                </c:pt>
                <c:pt idx="916">
                  <c:v>15.657999999999827</c:v>
                </c:pt>
                <c:pt idx="917">
                  <c:v>15.658099999999827</c:v>
                </c:pt>
                <c:pt idx="918">
                  <c:v>15.658199999999827</c:v>
                </c:pt>
                <c:pt idx="919">
                  <c:v>15.658299999999826</c:v>
                </c:pt>
                <c:pt idx="920">
                  <c:v>15.658399999999826</c:v>
                </c:pt>
                <c:pt idx="921">
                  <c:v>15.658499999999826</c:v>
                </c:pt>
                <c:pt idx="922">
                  <c:v>15.658599999999826</c:v>
                </c:pt>
                <c:pt idx="923">
                  <c:v>15.658699999999826</c:v>
                </c:pt>
                <c:pt idx="924">
                  <c:v>15.658799999999825</c:v>
                </c:pt>
                <c:pt idx="925">
                  <c:v>15.658899999999825</c:v>
                </c:pt>
                <c:pt idx="926">
                  <c:v>15.658999999999825</c:v>
                </c:pt>
                <c:pt idx="927">
                  <c:v>15.659099999999825</c:v>
                </c:pt>
                <c:pt idx="928">
                  <c:v>15.659199999999824</c:v>
                </c:pt>
                <c:pt idx="929">
                  <c:v>15.659299999999824</c:v>
                </c:pt>
                <c:pt idx="930">
                  <c:v>15.659399999999824</c:v>
                </c:pt>
                <c:pt idx="931">
                  <c:v>15.659499999999824</c:v>
                </c:pt>
                <c:pt idx="932">
                  <c:v>15.659599999999823</c:v>
                </c:pt>
                <c:pt idx="933">
                  <c:v>15.659699999999823</c:v>
                </c:pt>
                <c:pt idx="934">
                  <c:v>15.659799999999823</c:v>
                </c:pt>
                <c:pt idx="935">
                  <c:v>15.659899999999823</c:v>
                </c:pt>
                <c:pt idx="936">
                  <c:v>15.659999999999823</c:v>
                </c:pt>
                <c:pt idx="937">
                  <c:v>15.660099999999822</c:v>
                </c:pt>
                <c:pt idx="938">
                  <c:v>15.660199999999822</c:v>
                </c:pt>
                <c:pt idx="939">
                  <c:v>15.660299999999822</c:v>
                </c:pt>
                <c:pt idx="940">
                  <c:v>15.660399999999822</c:v>
                </c:pt>
                <c:pt idx="941">
                  <c:v>15.660499999999821</c:v>
                </c:pt>
                <c:pt idx="942">
                  <c:v>15.660599999999821</c:v>
                </c:pt>
                <c:pt idx="943">
                  <c:v>15.660699999999821</c:v>
                </c:pt>
                <c:pt idx="944">
                  <c:v>15.660799999999821</c:v>
                </c:pt>
                <c:pt idx="945">
                  <c:v>15.66089999999982</c:v>
                </c:pt>
                <c:pt idx="946">
                  <c:v>15.66099999999982</c:v>
                </c:pt>
                <c:pt idx="947">
                  <c:v>15.66109999999982</c:v>
                </c:pt>
                <c:pt idx="948">
                  <c:v>15.66119999999982</c:v>
                </c:pt>
                <c:pt idx="949">
                  <c:v>15.661299999999819</c:v>
                </c:pt>
                <c:pt idx="950">
                  <c:v>15.661399999999819</c:v>
                </c:pt>
                <c:pt idx="951">
                  <c:v>15.661499999999819</c:v>
                </c:pt>
                <c:pt idx="952">
                  <c:v>15.661599999999819</c:v>
                </c:pt>
                <c:pt idx="953">
                  <c:v>15.661699999999819</c:v>
                </c:pt>
                <c:pt idx="954">
                  <c:v>15.661799999999818</c:v>
                </c:pt>
                <c:pt idx="955">
                  <c:v>15.661899999999818</c:v>
                </c:pt>
                <c:pt idx="956">
                  <c:v>15.661999999999818</c:v>
                </c:pt>
                <c:pt idx="957">
                  <c:v>15.662099999999818</c:v>
                </c:pt>
                <c:pt idx="958">
                  <c:v>15.662199999999817</c:v>
                </c:pt>
                <c:pt idx="959">
                  <c:v>15.662299999999817</c:v>
                </c:pt>
                <c:pt idx="960">
                  <c:v>15.662399999999817</c:v>
                </c:pt>
                <c:pt idx="961">
                  <c:v>15.662499999999817</c:v>
                </c:pt>
                <c:pt idx="962">
                  <c:v>15.662599999999816</c:v>
                </c:pt>
                <c:pt idx="963">
                  <c:v>15.662699999999816</c:v>
                </c:pt>
                <c:pt idx="964">
                  <c:v>15.662799999999816</c:v>
                </c:pt>
                <c:pt idx="965">
                  <c:v>15.662899999999816</c:v>
                </c:pt>
                <c:pt idx="966">
                  <c:v>15.662999999999816</c:v>
                </c:pt>
                <c:pt idx="967">
                  <c:v>15.663099999999815</c:v>
                </c:pt>
                <c:pt idx="968">
                  <c:v>15.663199999999815</c:v>
                </c:pt>
                <c:pt idx="969">
                  <c:v>15.663299999999815</c:v>
                </c:pt>
                <c:pt idx="970">
                  <c:v>15.663399999999815</c:v>
                </c:pt>
                <c:pt idx="971">
                  <c:v>15.663499999999814</c:v>
                </c:pt>
                <c:pt idx="972">
                  <c:v>15.663599999999814</c:v>
                </c:pt>
                <c:pt idx="973">
                  <c:v>15.663699999999814</c:v>
                </c:pt>
                <c:pt idx="974">
                  <c:v>15.663799999999814</c:v>
                </c:pt>
                <c:pt idx="975">
                  <c:v>15.663899999999813</c:v>
                </c:pt>
                <c:pt idx="976">
                  <c:v>15.663999999999813</c:v>
                </c:pt>
                <c:pt idx="977">
                  <c:v>15.664099999999813</c:v>
                </c:pt>
                <c:pt idx="978">
                  <c:v>15.664199999999813</c:v>
                </c:pt>
                <c:pt idx="979">
                  <c:v>15.664299999999812</c:v>
                </c:pt>
                <c:pt idx="980">
                  <c:v>15.664399999999812</c:v>
                </c:pt>
                <c:pt idx="981">
                  <c:v>15.664499999999812</c:v>
                </c:pt>
                <c:pt idx="982">
                  <c:v>15.664599999999812</c:v>
                </c:pt>
                <c:pt idx="983">
                  <c:v>15.664699999999812</c:v>
                </c:pt>
                <c:pt idx="984">
                  <c:v>15.664799999999811</c:v>
                </c:pt>
                <c:pt idx="985">
                  <c:v>15.664899999999811</c:v>
                </c:pt>
                <c:pt idx="986">
                  <c:v>15.664999999999811</c:v>
                </c:pt>
                <c:pt idx="987">
                  <c:v>15.665099999999811</c:v>
                </c:pt>
                <c:pt idx="988">
                  <c:v>15.66519999999981</c:v>
                </c:pt>
                <c:pt idx="989">
                  <c:v>15.66529999999981</c:v>
                </c:pt>
                <c:pt idx="990">
                  <c:v>15.66539999999981</c:v>
                </c:pt>
                <c:pt idx="991">
                  <c:v>15.66549999999981</c:v>
                </c:pt>
                <c:pt idx="992">
                  <c:v>15.665599999999809</c:v>
                </c:pt>
                <c:pt idx="993">
                  <c:v>15.665699999999809</c:v>
                </c:pt>
                <c:pt idx="994">
                  <c:v>15.665799999999809</c:v>
                </c:pt>
                <c:pt idx="995">
                  <c:v>15.665899999999809</c:v>
                </c:pt>
                <c:pt idx="996">
                  <c:v>15.665999999999809</c:v>
                </c:pt>
                <c:pt idx="997">
                  <c:v>15.666099999999808</c:v>
                </c:pt>
                <c:pt idx="998">
                  <c:v>15.666199999999808</c:v>
                </c:pt>
                <c:pt idx="999">
                  <c:v>15.666299999999808</c:v>
                </c:pt>
                <c:pt idx="1000">
                  <c:v>15.666399999999808</c:v>
                </c:pt>
              </c:numCache>
            </c:numRef>
          </c:xVal>
          <c:yVal>
            <c:numRef>
              <c:f>Calculs!$K$4:$K$1004</c:f>
              <c:numCache>
                <c:formatCode>0.00</c:formatCode>
                <c:ptCount val="1001"/>
                <c:pt idx="0">
                  <c:v>0</c:v>
                </c:pt>
                <c:pt idx="1">
                  <c:v>1.4028161240247695E-3</c:v>
                </c:pt>
                <c:pt idx="2">
                  <c:v>9.3717380976468829E-3</c:v>
                </c:pt>
                <c:pt idx="3">
                  <c:v>2.9251712078595574E-2</c:v>
                </c:pt>
                <c:pt idx="4">
                  <c:v>6.2029755838153497E-2</c:v>
                </c:pt>
                <c:pt idx="5">
                  <c:v>0.10679819929863105</c:v>
                </c:pt>
                <c:pt idx="6">
                  <c:v>0.16322467835826818</c:v>
                </c:pt>
                <c:pt idx="7">
                  <c:v>0.23126473683980209</c:v>
                </c:pt>
                <c:pt idx="8">
                  <c:v>0.31087360262029817</c:v>
                </c:pt>
                <c:pt idx="9">
                  <c:v>0.40200618999075821</c:v>
                </c:pt>
                <c:pt idx="10">
                  <c:v>0.50461710204279742</c:v>
                </c:pt>
                <c:pt idx="11">
                  <c:v>0.61866063308190777</c:v>
                </c:pt>
                <c:pt idx="12">
                  <c:v>0.7440907710668192</c:v>
                </c:pt>
                <c:pt idx="13">
                  <c:v>0.880861200074466</c:v>
                </c:pt>
                <c:pt idx="14">
                  <c:v>1.0289253027900607</c:v>
                </c:pt>
                <c:pt idx="15">
                  <c:v>1.1882361630217726</c:v>
                </c:pt>
                <c:pt idx="16">
                  <c:v>1.358746568239505</c:v>
                </c:pt>
                <c:pt idx="17">
                  <c:v>1.5404090121372596</c:v>
                </c:pt>
                <c:pt idx="18">
                  <c:v>1.7331756972185728</c:v>
                </c:pt>
                <c:pt idx="19">
                  <c:v>1.9369985374045067</c:v>
                </c:pt>
                <c:pt idx="20">
                  <c:v>2.1518291606636688</c:v>
                </c:pt>
                <c:pt idx="21">
                  <c:v>2.3776189116637378</c:v>
                </c:pt>
                <c:pt idx="22">
                  <c:v>2.6143188544439648</c:v>
                </c:pt>
                <c:pt idx="23">
                  <c:v>2.8618649752881016</c:v>
                </c:pt>
                <c:pt idx="24">
                  <c:v>3.120192307503785</c:v>
                </c:pt>
                <c:pt idx="25">
                  <c:v>3.3892497531465371</c:v>
                </c:pt>
                <c:pt idx="26">
                  <c:v>3.6689859906040372</c:v>
                </c:pt>
                <c:pt idx="27">
                  <c:v>3.9593494832995471</c:v>
                </c:pt>
                <c:pt idx="28">
                  <c:v>4.260288479083072</c:v>
                </c:pt>
                <c:pt idx="29">
                  <c:v>4.5717510099965937</c:v>
                </c:pt>
                <c:pt idx="30">
                  <c:v>4.8936848923636562</c:v>
                </c:pt>
                <c:pt idx="31">
                  <c:v>5.2260377271618346</c:v>
                </c:pt>
                <c:pt idx="32">
                  <c:v>5.5687569006432538</c:v>
                </c:pt>
                <c:pt idx="33">
                  <c:v>5.9217895851737019</c:v>
                </c:pt>
                <c:pt idx="34">
                  <c:v>6.2850827402652749</c:v>
                </c:pt>
                <c:pt idx="35">
                  <c:v>6.6585831137810931</c:v>
                </c:pt>
                <c:pt idx="36">
                  <c:v>7.04223724329362</c:v>
                </c:pt>
                <c:pt idx="37">
                  <c:v>7.4359914575805925</c:v>
                </c:pt>
                <c:pt idx="38">
                  <c:v>7.8397918782446663</c:v>
                </c:pt>
                <c:pt idx="39">
                  <c:v>8.2535844214446108</c:v>
                </c:pt>
                <c:pt idx="40">
                  <c:v>8.6773147997273892</c:v>
                </c:pt>
                <c:pt idx="41">
                  <c:v>9.1109285239516922</c:v>
                </c:pt>
                <c:pt idx="42">
                  <c:v>9.5543709052946024</c:v>
                </c:pt>
                <c:pt idx="43">
                  <c:v>10.007587057333955</c:v>
                </c:pt>
                <c:pt idx="44">
                  <c:v>10.470521898199774</c:v>
                </c:pt>
                <c:pt idx="45">
                  <c:v>10.943120152788826</c:v>
                </c:pt>
                <c:pt idx="46">
                  <c:v>11.425326355036972</c:v>
                </c:pt>
                <c:pt idx="47">
                  <c:v>11.917084850244457</c:v>
                </c:pt>
                <c:pt idx="48">
                  <c:v>12.418339797449772</c:v>
                </c:pt>
                <c:pt idx="49">
                  <c:v>12.929035171848103</c:v>
                </c:pt>
                <c:pt idx="50">
                  <c:v>13.44911476725073</c:v>
                </c:pt>
                <c:pt idx="51">
                  <c:v>13.978522198582056</c:v>
                </c:pt>
                <c:pt idx="52">
                  <c:v>14.517200904411181</c:v>
                </c:pt>
                <c:pt idx="53">
                  <c:v>15.065094149515257</c:v>
                </c:pt>
                <c:pt idx="54">
                  <c:v>15.622145027471962</c:v>
                </c:pt>
                <c:pt idx="55">
                  <c:v>16.188296463278721</c:v>
                </c:pt>
                <c:pt idx="56">
                  <c:v>16.763491215996424</c:v>
                </c:pt>
                <c:pt idx="57">
                  <c:v>17.347671881415547</c:v>
                </c:pt>
                <c:pt idx="58">
                  <c:v>17.94078089474273</c:v>
                </c:pt>
                <c:pt idx="59">
                  <c:v>18.542760533305984</c:v>
                </c:pt>
                <c:pt idx="60">
                  <c:v>19.153552919276816</c:v>
                </c:pt>
                <c:pt idx="61">
                  <c:v>19.773100022407654</c:v>
                </c:pt>
                <c:pt idx="62">
                  <c:v>20.401343662783049</c:v>
                </c:pt>
                <c:pt idx="63">
                  <c:v>21.038200008404608</c:v>
                </c:pt>
                <c:pt idx="64">
                  <c:v>21.683534051955704</c:v>
                </c:pt>
                <c:pt idx="65">
                  <c:v>22.337185103742392</c:v>
                </c:pt>
                <c:pt idx="66">
                  <c:v>22.998992309312332</c:v>
                </c:pt>
                <c:pt idx="67">
                  <c:v>23.668771260501213</c:v>
                </c:pt>
                <c:pt idx="68">
                  <c:v>24.346290592730416</c:v>
                </c:pt>
                <c:pt idx="69">
                  <c:v>25.031253757793419</c:v>
                </c:pt>
                <c:pt idx="70">
                  <c:v>25.723280798831496</c:v>
                </c:pt>
                <c:pt idx="71">
                  <c:v>26.42195001098856</c:v>
                </c:pt>
                <c:pt idx="72">
                  <c:v>27.126839629732267</c:v>
                </c:pt>
                <c:pt idx="73">
                  <c:v>27.837527873127794</c:v>
                </c:pt>
                <c:pt idx="74">
                  <c:v>28.553592983276729</c:v>
                </c:pt>
                <c:pt idx="75">
                  <c:v>29.274613266904993</c:v>
                </c:pt>
                <c:pt idx="76">
                  <c:v>30.000167135084961</c:v>
                </c:pt>
                <c:pt idx="77">
                  <c:v>30.72983314207822</c:v>
                </c:pt>
                <c:pt idx="78">
                  <c:v>31.463190023286586</c:v>
                </c:pt>
                <c:pt idx="79">
                  <c:v>32.199816732300135</c:v>
                </c:pt>
                <c:pt idx="80">
                  <c:v>32.939292477032147</c:v>
                </c:pt>
                <c:pt idx="81">
                  <c:v>33.681246341851093</c:v>
                </c:pt>
                <c:pt idx="82">
                  <c:v>34.425406870286139</c:v>
                </c:pt>
                <c:pt idx="83">
                  <c:v>35.171552414535597</c:v>
                </c:pt>
                <c:pt idx="84">
                  <c:v>35.919461511599756</c:v>
                </c:pt>
                <c:pt idx="85">
                  <c:v>36.668912893220508</c:v>
                </c:pt>
                <c:pt idx="86">
                  <c:v>37.419685495556244</c:v>
                </c:pt>
                <c:pt idx="87">
                  <c:v>38.17155846859162</c:v>
                </c:pt>
                <c:pt idx="88">
                  <c:v>38.924311185281809</c:v>
                </c:pt>
                <c:pt idx="89">
                  <c:v>39.677738920694551</c:v>
                </c:pt>
                <c:pt idx="90">
                  <c:v>40.431668513444286</c:v>
                </c:pt>
                <c:pt idx="91">
                  <c:v>41.185942666190002</c:v>
                </c:pt>
                <c:pt idx="92">
                  <c:v>41.94040426141779</c:v>
                </c:pt>
                <c:pt idx="93">
                  <c:v>42.694900283596034</c:v>
                </c:pt>
                <c:pt idx="94">
                  <c:v>43.449285736365859</c:v>
                </c:pt>
                <c:pt idx="95">
                  <c:v>44.203419718294242</c:v>
                </c:pt>
                <c:pt idx="96">
                  <c:v>44.957161502970564</c:v>
                </c:pt>
                <c:pt idx="97">
                  <c:v>45.710386214131077</c:v>
                </c:pt>
                <c:pt idx="98">
                  <c:v>46.463000479755799</c:v>
                </c:pt>
                <c:pt idx="99">
                  <c:v>47.214926720362541</c:v>
                </c:pt>
                <c:pt idx="100">
                  <c:v>47.966087457182091</c:v>
                </c:pt>
                <c:pt idx="101">
                  <c:v>48.716405312771649</c:v>
                </c:pt>
                <c:pt idx="102">
                  <c:v>49.465803011596371</c:v>
                </c:pt>
                <c:pt idx="103">
                  <c:v>50.214203380579171</c:v>
                </c:pt>
                <c:pt idx="104">
                  <c:v>50.961529349619042</c:v>
                </c:pt>
                <c:pt idx="105">
                  <c:v>51.707703952078056</c:v>
                </c:pt>
                <c:pt idx="106">
                  <c:v>52.452650325237258</c:v>
                </c:pt>
                <c:pt idx="107">
                  <c:v>53.196291710721695</c:v>
                </c:pt>
                <c:pt idx="108">
                  <c:v>53.93855145489475</c:v>
                </c:pt>
                <c:pt idx="109">
                  <c:v>54.679372591275012</c:v>
                </c:pt>
                <c:pt idx="110">
                  <c:v>55.41873739377899</c:v>
                </c:pt>
                <c:pt idx="111">
                  <c:v>56.156647738858382</c:v>
                </c:pt>
                <c:pt idx="112">
                  <c:v>56.893105496634142</c:v>
                </c:pt>
                <c:pt idx="113">
                  <c:v>57.62811253092071</c:v>
                </c:pt>
                <c:pt idx="114">
                  <c:v>58.361670699250084</c:v>
                </c:pt>
                <c:pt idx="115">
                  <c:v>59.093781852895809</c:v>
                </c:pt>
                <c:pt idx="116">
                  <c:v>59.824447836896802</c:v>
                </c:pt>
                <c:pt idx="117">
                  <c:v>60.553670490081089</c:v>
                </c:pt>
                <c:pt idx="118">
                  <c:v>61.28145164508939</c:v>
                </c:pt>
                <c:pt idx="119">
                  <c:v>62.007793128398617</c:v>
                </c:pt>
                <c:pt idx="120">
                  <c:v>62.732696760345213</c:v>
                </c:pt>
                <c:pt idx="121">
                  <c:v>63.456164355148395</c:v>
                </c:pt>
                <c:pt idx="122">
                  <c:v>64.178197720933269</c:v>
                </c:pt>
                <c:pt idx="123">
                  <c:v>64.898798659753851</c:v>
                </c:pt>
                <c:pt idx="124">
                  <c:v>65.617968967615923</c:v>
                </c:pt>
                <c:pt idx="125">
                  <c:v>66.335710434499802</c:v>
                </c:pt>
                <c:pt idx="126">
                  <c:v>67.052024844383013</c:v>
                </c:pt>
                <c:pt idx="127">
                  <c:v>67.766913975262796</c:v>
                </c:pt>
                <c:pt idx="128">
                  <c:v>68.480379599178548</c:v>
                </c:pt>
                <c:pt idx="129">
                  <c:v>69.192423482234091</c:v>
                </c:pt>
                <c:pt idx="130">
                  <c:v>69.90304738461991</c:v>
                </c:pt>
                <c:pt idx="131">
                  <c:v>70.612253060635183</c:v>
                </c:pt>
                <c:pt idx="132">
                  <c:v>71.320042258709805</c:v>
                </c:pt>
                <c:pt idx="133">
                  <c:v>72.026416721426173</c:v>
                </c:pt>
                <c:pt idx="134">
                  <c:v>72.73137818554099</c:v>
                </c:pt>
                <c:pt idx="135">
                  <c:v>73.434928382006845</c:v>
                </c:pt>
                <c:pt idx="136">
                  <c:v>74.137069035993804</c:v>
                </c:pt>
                <c:pt idx="137">
                  <c:v>74.837801866910752</c:v>
                </c:pt>
                <c:pt idx="138">
                  <c:v>75.537128588426739</c:v>
                </c:pt>
                <c:pt idx="139">
                  <c:v>76.235050908492184</c:v>
                </c:pt>
                <c:pt idx="140">
                  <c:v>76.931570529359945</c:v>
                </c:pt>
                <c:pt idx="141">
                  <c:v>77.626689147606314</c:v>
                </c:pt>
                <c:pt idx="142">
                  <c:v>78.320408454151902</c:v>
                </c:pt>
                <c:pt idx="143">
                  <c:v>79.012730134282393</c:v>
                </c:pt>
                <c:pt idx="144">
                  <c:v>79.703655867669227</c:v>
                </c:pt>
                <c:pt idx="145">
                  <c:v>80.393187328390184</c:v>
                </c:pt>
                <c:pt idx="146">
                  <c:v>81.081326184949816</c:v>
                </c:pt>
                <c:pt idx="147">
                  <c:v>81.768074100299813</c:v>
                </c:pt>
                <c:pt idx="148">
                  <c:v>82.45343273185928</c:v>
                </c:pt>
                <c:pt idx="149">
                  <c:v>83.137403731534874</c:v>
                </c:pt>
                <c:pt idx="150">
                  <c:v>83.819988745740844</c:v>
                </c:pt>
                <c:pt idx="151">
                  <c:v>84.501189415419034</c:v>
                </c:pt>
                <c:pt idx="152">
                  <c:v>85.181007376058702</c:v>
                </c:pt>
                <c:pt idx="153">
                  <c:v>85.859444257716277</c:v>
                </c:pt>
                <c:pt idx="154">
                  <c:v>86.53650168503502</c:v>
                </c:pt>
                <c:pt idx="155">
                  <c:v>87.212181277264577</c:v>
                </c:pt>
                <c:pt idx="156">
                  <c:v>87.886484648280458</c:v>
                </c:pt>
                <c:pt idx="157">
                  <c:v>88.559413406603397</c:v>
                </c:pt>
                <c:pt idx="158">
                  <c:v>89.230969155418592</c:v>
                </c:pt>
                <c:pt idx="159">
                  <c:v>89.901153492594929</c:v>
                </c:pt>
                <c:pt idx="160">
                  <c:v>90.569968010703988</c:v>
                </c:pt>
                <c:pt idx="161">
                  <c:v>91.237414297039109</c:v>
                </c:pt>
                <c:pt idx="162">
                  <c:v>91.903493933634195</c:v>
                </c:pt>
                <c:pt idx="163">
                  <c:v>92.568208497282583</c:v>
                </c:pt>
                <c:pt idx="164">
                  <c:v>93.231559559555677</c:v>
                </c:pt>
                <c:pt idx="165">
                  <c:v>93.893548686821617</c:v>
                </c:pt>
                <c:pt idx="166">
                  <c:v>94.554177440263757</c:v>
                </c:pt>
                <c:pt idx="167">
                  <c:v>95.213447375899094</c:v>
                </c:pt>
                <c:pt idx="168">
                  <c:v>95.871360044596614</c:v>
                </c:pt>
                <c:pt idx="169">
                  <c:v>96.527916992095513</c:v>
                </c:pt>
                <c:pt idx="170">
                  <c:v>97.183119759023398</c:v>
                </c:pt>
                <c:pt idx="171">
                  <c:v>97.836969880914296</c:v>
                </c:pt>
                <c:pt idx="172">
                  <c:v>98.489468888226668</c:v>
                </c:pt>
                <c:pt idx="173">
                  <c:v>99.140618306361262</c:v>
                </c:pt>
                <c:pt idx="174">
                  <c:v>99.790419655678946</c:v>
                </c:pt>
                <c:pt idx="175">
                  <c:v>100.43887445151839</c:v>
                </c:pt>
                <c:pt idx="176">
                  <c:v>101.0859842042137</c:v>
                </c:pt>
                <c:pt idx="177">
                  <c:v>101.73175041911198</c:v>
                </c:pt>
                <c:pt idx="178">
                  <c:v>102.37617459659074</c:v>
                </c:pt>
                <c:pt idx="179">
                  <c:v>103.0192582320753</c:v>
                </c:pt>
                <c:pt idx="180">
                  <c:v>103.66100281605604</c:v>
                </c:pt>
                <c:pt idx="181">
                  <c:v>104.30140983410561</c:v>
                </c:pt>
                <c:pt idx="182">
                  <c:v>104.94048076689606</c:v>
                </c:pt>
                <c:pt idx="183">
                  <c:v>105.57821709021584</c:v>
                </c:pt>
                <c:pt idx="184">
                  <c:v>106.21462027498677</c:v>
                </c:pt>
                <c:pt idx="185">
                  <c:v>106.84969178728088</c:v>
                </c:pt>
                <c:pt idx="186">
                  <c:v>107.48343308833719</c:v>
                </c:pt>
                <c:pt idx="187">
                  <c:v>108.11584563457845</c:v>
                </c:pt>
                <c:pt idx="188">
                  <c:v>108.7469308776277</c:v>
                </c:pt>
                <c:pt idx="189">
                  <c:v>109.37669026432486</c:v>
                </c:pt>
                <c:pt idx="190">
                  <c:v>110.00512523674315</c:v>
                </c:pt>
                <c:pt idx="191">
                  <c:v>110.63223723220548</c:v>
                </c:pt>
                <c:pt idx="192">
                  <c:v>111.25802768330074</c:v>
                </c:pt>
                <c:pt idx="193">
                  <c:v>111.88249801790002</c:v>
                </c:pt>
                <c:pt idx="194">
                  <c:v>112.50564965917278</c:v>
                </c:pt>
                <c:pt idx="195">
                  <c:v>113.12748402560284</c:v>
                </c:pt>
                <c:pt idx="196">
                  <c:v>113.74800253100443</c:v>
                </c:pt>
                <c:pt idx="197">
                  <c:v>114.36720658453808</c:v>
                </c:pt>
                <c:pt idx="198">
                  <c:v>114.98509759072644</c:v>
                </c:pt>
                <c:pt idx="199">
                  <c:v>115.60167694947002</c:v>
                </c:pt>
                <c:pt idx="200">
                  <c:v>116.21694605606288</c:v>
                </c:pt>
                <c:pt idx="201">
                  <c:v>122.29768098164219</c:v>
                </c:pt>
                <c:pt idx="202">
                  <c:v>128.24828413716114</c:v>
                </c:pt>
                <c:pt idx="203">
                  <c:v>134.07010307204379</c:v>
                </c:pt>
                <c:pt idx="204">
                  <c:v>139.76444135443245</c:v>
                </c:pt>
                <c:pt idx="205">
                  <c:v>145.33256000912075</c:v>
                </c:pt>
                <c:pt idx="206">
                  <c:v>150.77567888802483</c:v>
                </c:pt>
                <c:pt idx="207">
                  <c:v>156.09497797673606</c:v>
                </c:pt>
                <c:pt idx="208">
                  <c:v>161.29159864047784</c:v>
                </c:pt>
                <c:pt idx="209">
                  <c:v>166.36664481258444</c:v>
                </c:pt>
                <c:pt idx="210">
                  <c:v>171.32118412842914</c:v>
                </c:pt>
                <c:pt idx="211">
                  <c:v>176.15624900755284</c:v>
                </c:pt>
                <c:pt idx="212">
                  <c:v>180.87283768657926</c:v>
                </c:pt>
                <c:pt idx="213">
                  <c:v>185.47191520535108</c:v>
                </c:pt>
                <c:pt idx="214">
                  <c:v>189.95441434857932</c:v>
                </c:pt>
                <c:pt idx="215">
                  <c:v>194.32123654516676</c:v>
                </c:pt>
                <c:pt idx="216">
                  <c:v>198.57325272724469</c:v>
                </c:pt>
                <c:pt idx="217">
                  <c:v>202.71130415084914</c:v>
                </c:pt>
                <c:pt idx="218">
                  <c:v>206.73620318005857</c:v>
                </c:pt>
                <c:pt idx="219">
                  <c:v>210.64873403631921</c:v>
                </c:pt>
                <c:pt idx="220">
                  <c:v>214.44965351459615</c:v>
                </c:pt>
                <c:pt idx="221">
                  <c:v>218.13969166790798</c:v>
                </c:pt>
                <c:pt idx="222">
                  <c:v>221.71955246173039</c:v>
                </c:pt>
                <c:pt idx="223">
                  <c:v>225.18991439968963</c:v>
                </c:pt>
                <c:pt idx="224">
                  <c:v>228.55143112190945</c:v>
                </c:pt>
                <c:pt idx="225">
                  <c:v>231.80473197732735</c:v>
                </c:pt>
                <c:pt idx="226">
                  <c:v>234.95042257125561</c:v>
                </c:pt>
                <c:pt idx="227">
                  <c:v>237.98908528943315</c:v>
                </c:pt>
                <c:pt idx="228">
                  <c:v>240.92127979979441</c:v>
                </c:pt>
                <c:pt idx="229">
                  <c:v>243.74754353317434</c:v>
                </c:pt>
                <c:pt idx="230">
                  <c:v>246.4683921441752</c:v>
                </c:pt>
                <c:pt idx="231">
                  <c:v>249.08431995344336</c:v>
                </c:pt>
                <c:pt idx="232">
                  <c:v>251.59580037264726</c:v>
                </c:pt>
                <c:pt idx="233">
                  <c:v>254.003286313513</c:v>
                </c:pt>
                <c:pt idx="234">
                  <c:v>256.30721058236833</c:v>
                </c:pt>
                <c:pt idx="235">
                  <c:v>258.50798626177522</c:v>
                </c:pt>
                <c:pt idx="236">
                  <c:v>260.60600708100424</c:v>
                </c:pt>
                <c:pt idx="237">
                  <c:v>262.60164777732871</c:v>
                </c:pt>
                <c:pt idx="238">
                  <c:v>264.49526445041147</c:v>
                </c:pt>
                <c:pt idx="239">
                  <c:v>266.28719491243072</c:v>
                </c:pt>
                <c:pt idx="240">
                  <c:v>267.97775903707065</c:v>
                </c:pt>
                <c:pt idx="241">
                  <c:v>269.56725911110613</c:v>
                </c:pt>
                <c:pt idx="242">
                  <c:v>271.0559801930678</c:v>
                </c:pt>
                <c:pt idx="243">
                  <c:v>272.44419048441659</c:v>
                </c:pt>
                <c:pt idx="244">
                  <c:v>273.7321417198109</c:v>
                </c:pt>
                <c:pt idx="245">
                  <c:v>274.92006958444927</c:v>
                </c:pt>
                <c:pt idx="246">
                  <c:v>276.00819416812357</c:v>
                </c:pt>
                <c:pt idx="247">
                  <c:v>276.9967204675126</c:v>
                </c:pt>
                <c:pt idx="248">
                  <c:v>277.88583895031849</c:v>
                </c:pt>
                <c:pt idx="249">
                  <c:v>278.67572619695073</c:v>
                </c:pt>
                <c:pt idx="250">
                  <c:v>279.36654563733219</c:v>
                </c:pt>
                <c:pt idx="251">
                  <c:v>279.95844840160572</c:v>
                </c:pt>
                <c:pt idx="252">
                  <c:v>280.45157430345637</c:v>
                </c:pt>
                <c:pt idx="253">
                  <c:v>280.8460529726762</c:v>
                </c:pt>
                <c:pt idx="254">
                  <c:v>281.14200514870083</c:v>
                </c:pt>
                <c:pt idx="255">
                  <c:v>281.33954413857913</c:v>
                </c:pt>
                <c:pt idx="256">
                  <c:v>281.43877743120714</c:v>
                </c:pt>
                <c:pt idx="257">
                  <c:v>281.43980844558507</c:v>
                </c:pt>
                <c:pt idx="258">
                  <c:v>281.34273837632225</c:v>
                </c:pt>
                <c:pt idx="259">
                  <c:v>281.14766808736249</c:v>
                </c:pt>
                <c:pt idx="260">
                  <c:v>280.85469999768122</c:v>
                </c:pt>
                <c:pt idx="261">
                  <c:v>280.46393990231059</c:v>
                </c:pt>
                <c:pt idx="262">
                  <c:v>279.97549867858748</c:v>
                </c:pt>
                <c:pt idx="263">
                  <c:v>279.38949383937842</c:v>
                </c:pt>
                <c:pt idx="264">
                  <c:v>278.70605090951449</c:v>
                </c:pt>
                <c:pt idx="265">
                  <c:v>277.9253046159692</c:v>
                </c:pt>
                <c:pt idx="266">
                  <c:v>277.04739989432039</c:v>
                </c:pt>
                <c:pt idx="267">
                  <c:v>276.07249272271025</c:v>
                </c:pt>
                <c:pt idx="268">
                  <c:v>275.00075079974772</c:v>
                </c:pt>
                <c:pt idx="269">
                  <c:v>273.83235408512047</c:v>
                </c:pt>
                <c:pt idx="270">
                  <c:v>272.56749522187266</c:v>
                </c:pt>
                <c:pt idx="271">
                  <c:v>271.20637985814369</c:v>
                </c:pt>
                <c:pt idx="272">
                  <c:v>269.74922688428325</c:v>
                </c:pt>
                <c:pt idx="273">
                  <c:v>268.19626859910807</c:v>
                </c:pt>
                <c:pt idx="274">
                  <c:v>266.54775081693504</c:v>
                </c:pt>
                <c:pt idx="275">
                  <c:v>264.80393292506653</c:v>
                </c:pt>
                <c:pt idx="276">
                  <c:v>262.96508789968931</c:v>
                </c:pt>
                <c:pt idx="277">
                  <c:v>261.03150228669551</c:v>
                </c:pt>
                <c:pt idx="278">
                  <c:v>259.00347615272733</c:v>
                </c:pt>
                <c:pt idx="279">
                  <c:v>256.88132301076087</c:v>
                </c:pt>
                <c:pt idx="280">
                  <c:v>254.6653697237478</c:v>
                </c:pt>
                <c:pt idx="281">
                  <c:v>252.35595638919114</c:v>
                </c:pt>
                <c:pt idx="282">
                  <c:v>249.95343620701888</c:v>
                </c:pt>
                <c:pt idx="283">
                  <c:v>247.45817533270966</c:v>
                </c:pt>
                <c:pt idx="284">
                  <c:v>244.87055271729773</c:v>
                </c:pt>
                <c:pt idx="285">
                  <c:v>242.19095993562416</c:v>
                </c:pt>
                <c:pt idx="286">
                  <c:v>239.41980100399337</c:v>
                </c:pt>
                <c:pt idx="287">
                  <c:v>236.5574921882274</c:v>
                </c:pt>
                <c:pt idx="288">
                  <c:v>233.60446180297765</c:v>
                </c:pt>
                <c:pt idx="289">
                  <c:v>230.56115000304678</c:v>
                </c:pt>
                <c:pt idx="290">
                  <c:v>227.4280085673868</c:v>
                </c:pt>
                <c:pt idx="291">
                  <c:v>224.20550067637046</c:v>
                </c:pt>
                <c:pt idx="292">
                  <c:v>220.894100682876</c:v>
                </c:pt>
                <c:pt idx="293">
                  <c:v>217.49429387767935</c:v>
                </c:pt>
                <c:pt idx="294">
                  <c:v>214.00657624961065</c:v>
                </c:pt>
                <c:pt idx="295">
                  <c:v>210.43145424089968</c:v>
                </c:pt>
                <c:pt idx="296">
                  <c:v>206.76944449811074</c:v>
                </c:pt>
                <c:pt idx="297">
                  <c:v>203.02107361904396</c:v>
                </c:pt>
                <c:pt idx="298">
                  <c:v>199.18687789596376</c:v>
                </c:pt>
                <c:pt idx="299">
                  <c:v>195.26740305549816</c:v>
                </c:pt>
                <c:pt idx="300">
                  <c:v>191.26320399554029</c:v>
                </c:pt>
                <c:pt idx="301">
                  <c:v>187.17484451947126</c:v>
                </c:pt>
                <c:pt idx="302">
                  <c:v>183.00289706801351</c:v>
                </c:pt>
                <c:pt idx="303">
                  <c:v>178.74794244901446</c:v>
                </c:pt>
                <c:pt idx="304">
                  <c:v>174.41056956545168</c:v>
                </c:pt>
                <c:pt idx="305">
                  <c:v>169.99137514194342</c:v>
                </c:pt>
                <c:pt idx="306">
                  <c:v>165.49096345004054</c:v>
                </c:pt>
                <c:pt idx="307">
                  <c:v>160.90994603256934</c:v>
                </c:pt>
                <c:pt idx="308">
                  <c:v>156.24894142728803</c:v>
                </c:pt>
                <c:pt idx="309">
                  <c:v>151.50857489011298</c:v>
                </c:pt>
                <c:pt idx="310">
                  <c:v>146.68947811816463</c:v>
                </c:pt>
                <c:pt idx="311">
                  <c:v>141.79228897287683</c:v>
                </c:pt>
                <c:pt idx="312">
                  <c:v>136.81765120340674</c:v>
                </c:pt>
                <c:pt idx="313">
                  <c:v>131.76621417057666</c:v>
                </c:pt>
                <c:pt idx="314">
                  <c:v>126.63863257157261</c:v>
                </c:pt>
                <c:pt idx="315">
                  <c:v>121.43556616561844</c:v>
                </c:pt>
                <c:pt idx="316">
                  <c:v>116.15767950083752</c:v>
                </c:pt>
                <c:pt idx="317">
                  <c:v>110.80564164250836</c:v>
                </c:pt>
                <c:pt idx="318">
                  <c:v>105.38012590291351</c:v>
                </c:pt>
                <c:pt idx="319">
                  <c:v>99.88180957297476</c:v>
                </c:pt>
                <c:pt idx="320">
                  <c:v>94.311373655861502</c:v>
                </c:pt>
                <c:pt idx="321">
                  <c:v>88.669502602751919</c:v>
                </c:pt>
                <c:pt idx="322">
                  <c:v>82.956884050920578</c:v>
                </c:pt>
                <c:pt idx="323">
                  <c:v>77.174208564319102</c:v>
                </c:pt>
                <c:pt idx="324">
                  <c:v>71.32216937680991</c:v>
                </c:pt>
                <c:pt idx="325">
                  <c:v>65.401462138206242</c:v>
                </c:pt>
                <c:pt idx="326">
                  <c:v>59.412784663265199</c:v>
                </c:pt>
                <c:pt idx="327">
                  <c:v>53.356836683773444</c:v>
                </c:pt>
                <c:pt idx="328">
                  <c:v>47.23431960385863</c:v>
                </c:pt>
                <c:pt idx="329">
                  <c:v>41.045936258652951</c:v>
                </c:pt>
                <c:pt idx="330">
                  <c:v>34.792390676428305</c:v>
                </c:pt>
                <c:pt idx="331">
                  <c:v>28.474387844316006</c:v>
                </c:pt>
                <c:pt idx="332">
                  <c:v>22.092633477717278</c:v>
                </c:pt>
                <c:pt idx="333">
                  <c:v>15.647833793504127</c:v>
                </c:pt>
                <c:pt idx="334">
                  <c:v>9.1406952871036502</c:v>
                </c:pt>
                <c:pt idx="335">
                  <c:v>2.5719245135523625</c:v>
                </c:pt>
                <c:pt idx="336">
                  <c:v>-4.0577721273993133</c:v>
                </c:pt>
                <c:pt idx="337">
                  <c:v>-4.0644321403402088</c:v>
                </c:pt>
                <c:pt idx="338">
                  <c:v>-4.0710922131476881</c:v>
                </c:pt>
                <c:pt idx="339">
                  <c:v>-4.0777523458210494</c:v>
                </c:pt>
                <c:pt idx="340">
                  <c:v>-4.0844125383595919</c:v>
                </c:pt>
                <c:pt idx="341">
                  <c:v>-4.0910727907626132</c:v>
                </c:pt>
                <c:pt idx="342">
                  <c:v>-4.0977331030294124</c:v>
                </c:pt>
                <c:pt idx="343">
                  <c:v>-4.1043934751592879</c:v>
                </c:pt>
                <c:pt idx="344">
                  <c:v>-4.111053907151538</c:v>
                </c:pt>
                <c:pt idx="345">
                  <c:v>-4.1177143990054619</c:v>
                </c:pt>
                <c:pt idx="346">
                  <c:v>-4.124374950720358</c:v>
                </c:pt>
                <c:pt idx="347">
                  <c:v>-4.1310355622955237</c:v>
                </c:pt>
                <c:pt idx="348">
                  <c:v>-4.1376962337302592</c:v>
                </c:pt>
                <c:pt idx="349">
                  <c:v>-4.1443569650238619</c:v>
                </c:pt>
                <c:pt idx="350">
                  <c:v>-4.1510177561756301</c:v>
                </c:pt>
                <c:pt idx="351">
                  <c:v>-4.157678607184863</c:v>
                </c:pt>
                <c:pt idx="352">
                  <c:v>-4.1643395180508591</c:v>
                </c:pt>
                <c:pt idx="353">
                  <c:v>-4.1710004887729166</c:v>
                </c:pt>
                <c:pt idx="354">
                  <c:v>-4.1776615193503348</c:v>
                </c:pt>
                <c:pt idx="355">
                  <c:v>-4.1843226097824111</c:v>
                </c:pt>
                <c:pt idx="356">
                  <c:v>-4.1909837600684448</c:v>
                </c:pt>
                <c:pt idx="357">
                  <c:v>-4.1976449702077341</c:v>
                </c:pt>
                <c:pt idx="358">
                  <c:v>-4.2043062401995774</c:v>
                </c:pt>
                <c:pt idx="359">
                  <c:v>-4.210967570043274</c:v>
                </c:pt>
                <c:pt idx="360">
                  <c:v>-4.2176289597381222</c:v>
                </c:pt>
                <c:pt idx="361">
                  <c:v>-4.2242904092834195</c:v>
                </c:pt>
                <c:pt idx="362">
                  <c:v>-4.2309519186784659</c:v>
                </c:pt>
                <c:pt idx="363">
                  <c:v>-4.2376134879225589</c:v>
                </c:pt>
                <c:pt idx="364">
                  <c:v>-4.2442751170149977</c:v>
                </c:pt>
                <c:pt idx="365">
                  <c:v>-4.2509368059550798</c:v>
                </c:pt>
                <c:pt idx="366">
                  <c:v>-4.2575985547421045</c:v>
                </c:pt>
                <c:pt idx="367">
                  <c:v>-4.2642603633753708</c:v>
                </c:pt>
                <c:pt idx="368">
                  <c:v>-4.2709222318541764</c:v>
                </c:pt>
                <c:pt idx="369">
                  <c:v>-4.2775841601778204</c:v>
                </c:pt>
                <c:pt idx="370">
                  <c:v>-4.2842461483456011</c:v>
                </c:pt>
                <c:pt idx="371">
                  <c:v>-4.290908196356817</c:v>
                </c:pt>
                <c:pt idx="372">
                  <c:v>-4.2975703042107662</c:v>
                </c:pt>
                <c:pt idx="373">
                  <c:v>-4.3042324719067482</c:v>
                </c:pt>
                <c:pt idx="374">
                  <c:v>-4.3108946994440611</c:v>
                </c:pt>
                <c:pt idx="375">
                  <c:v>-4.3175569868220034</c:v>
                </c:pt>
                <c:pt idx="376">
                  <c:v>-4.3242193340398734</c:v>
                </c:pt>
                <c:pt idx="377">
                  <c:v>-4.3308817410969702</c:v>
                </c:pt>
                <c:pt idx="378">
                  <c:v>-4.3375442079925923</c:v>
                </c:pt>
                <c:pt idx="379">
                  <c:v>-4.344206734726038</c:v>
                </c:pt>
                <c:pt idx="380">
                  <c:v>-4.3508693212966056</c:v>
                </c:pt>
                <c:pt idx="381">
                  <c:v>-4.3575319677035935</c:v>
                </c:pt>
                <c:pt idx="382">
                  <c:v>-4.3641946739463009</c:v>
                </c:pt>
                <c:pt idx="383">
                  <c:v>-4.3708574400240261</c:v>
                </c:pt>
                <c:pt idx="384">
                  <c:v>-4.3775202659360675</c:v>
                </c:pt>
                <c:pt idx="385">
                  <c:v>-4.3841831516817242</c:v>
                </c:pt>
                <c:pt idx="386">
                  <c:v>-4.3908460972602947</c:v>
                </c:pt>
                <c:pt idx="387">
                  <c:v>-4.3975091026710773</c:v>
                </c:pt>
                <c:pt idx="388">
                  <c:v>-4.4041721679133703</c:v>
                </c:pt>
                <c:pt idx="389">
                  <c:v>-4.410835292986472</c:v>
                </c:pt>
                <c:pt idx="390">
                  <c:v>-4.4174984778896818</c:v>
                </c:pt>
                <c:pt idx="391">
                  <c:v>-4.4241617226222978</c:v>
                </c:pt>
                <c:pt idx="392">
                  <c:v>-4.4308250271836185</c:v>
                </c:pt>
                <c:pt idx="393">
                  <c:v>-4.4374883915729422</c:v>
                </c:pt>
                <c:pt idx="394">
                  <c:v>-4.4441518157895681</c:v>
                </c:pt>
                <c:pt idx="395">
                  <c:v>-4.4508152998327946</c:v>
                </c:pt>
                <c:pt idx="396">
                  <c:v>-4.4574788437019199</c:v>
                </c:pt>
                <c:pt idx="397">
                  <c:v>-4.4641424473962426</c:v>
                </c:pt>
                <c:pt idx="398">
                  <c:v>-4.4708061109150616</c:v>
                </c:pt>
                <c:pt idx="399">
                  <c:v>-4.4774698342576755</c:v>
                </c:pt>
                <c:pt idx="400">
                  <c:v>-4.4841336174233826</c:v>
                </c:pt>
                <c:pt idx="401">
                  <c:v>-4.490797460411482</c:v>
                </c:pt>
                <c:pt idx="402">
                  <c:v>-4.4974613632212712</c:v>
                </c:pt>
                <c:pt idx="403">
                  <c:v>-4.5041253258520495</c:v>
                </c:pt>
                <c:pt idx="404">
                  <c:v>-4.5107893483031152</c:v>
                </c:pt>
                <c:pt idx="405">
                  <c:v>-4.5174534305737675</c:v>
                </c:pt>
                <c:pt idx="406">
                  <c:v>-4.5241175726633047</c:v>
                </c:pt>
                <c:pt idx="407">
                  <c:v>-4.5307817745710244</c:v>
                </c:pt>
                <c:pt idx="408">
                  <c:v>-4.5374460362962266</c:v>
                </c:pt>
                <c:pt idx="409">
                  <c:v>-4.5441103578382087</c:v>
                </c:pt>
                <c:pt idx="410">
                  <c:v>-4.5507747391962701</c:v>
                </c:pt>
                <c:pt idx="411">
                  <c:v>-4.557439180369709</c:v>
                </c:pt>
                <c:pt idx="412">
                  <c:v>-4.5641036813578237</c:v>
                </c:pt>
                <c:pt idx="413">
                  <c:v>-4.5707682421599136</c:v>
                </c:pt>
                <c:pt idx="414">
                  <c:v>-4.5774328627752761</c:v>
                </c:pt>
                <c:pt idx="415">
                  <c:v>-4.5840975432032103</c:v>
                </c:pt>
                <c:pt idx="416">
                  <c:v>-4.5907622834430155</c:v>
                </c:pt>
                <c:pt idx="417">
                  <c:v>-4.5974270834939892</c:v>
                </c:pt>
                <c:pt idx="418">
                  <c:v>-4.6040919433554306</c:v>
                </c:pt>
                <c:pt idx="419">
                  <c:v>-4.610756863026638</c:v>
                </c:pt>
                <c:pt idx="420">
                  <c:v>-4.6174218425069107</c:v>
                </c:pt>
                <c:pt idx="421">
                  <c:v>-4.6240868817955461</c:v>
                </c:pt>
                <c:pt idx="422">
                  <c:v>-4.6307519808918434</c:v>
                </c:pt>
                <c:pt idx="423">
                  <c:v>-4.637417139795101</c:v>
                </c:pt>
                <c:pt idx="424">
                  <c:v>-4.644082358504618</c:v>
                </c:pt>
                <c:pt idx="425">
                  <c:v>-4.650747637019693</c:v>
                </c:pt>
                <c:pt idx="426">
                  <c:v>-4.6574129753396241</c:v>
                </c:pt>
                <c:pt idx="427">
                  <c:v>-4.6640783734637097</c:v>
                </c:pt>
                <c:pt idx="428">
                  <c:v>-4.6707438313912482</c:v>
                </c:pt>
                <c:pt idx="429">
                  <c:v>-4.6774093491215387</c:v>
                </c:pt>
                <c:pt idx="430">
                  <c:v>-4.6840749266538797</c:v>
                </c:pt>
                <c:pt idx="431">
                  <c:v>-4.6907405639875703</c:v>
                </c:pt>
                <c:pt idx="432">
                  <c:v>-4.6974062611219081</c:v>
                </c:pt>
                <c:pt idx="433">
                  <c:v>-4.7040720180561921</c:v>
                </c:pt>
                <c:pt idx="434">
                  <c:v>-4.7107378347897217</c:v>
                </c:pt>
                <c:pt idx="435">
                  <c:v>-4.7174037113217944</c:v>
                </c:pt>
                <c:pt idx="436">
                  <c:v>-4.7240696476517092</c:v>
                </c:pt>
                <c:pt idx="437">
                  <c:v>-4.7307356437787647</c:v>
                </c:pt>
                <c:pt idx="438">
                  <c:v>-4.737401699702259</c:v>
                </c:pt>
                <c:pt idx="439">
                  <c:v>-4.7440678154214915</c:v>
                </c:pt>
                <c:pt idx="440">
                  <c:v>-4.7507339909357604</c:v>
                </c:pt>
                <c:pt idx="441">
                  <c:v>-4.7574002262443642</c:v>
                </c:pt>
                <c:pt idx="442">
                  <c:v>-4.764066521346602</c:v>
                </c:pt>
                <c:pt idx="443">
                  <c:v>-4.7707328762417713</c:v>
                </c:pt>
                <c:pt idx="444">
                  <c:v>-4.7773992909291714</c:v>
                </c:pt>
                <c:pt idx="445">
                  <c:v>-4.7840657654081014</c:v>
                </c:pt>
                <c:pt idx="446">
                  <c:v>-4.7907322996778587</c:v>
                </c:pt>
                <c:pt idx="447">
                  <c:v>-4.7973988937377428</c:v>
                </c:pt>
                <c:pt idx="448">
                  <c:v>-4.8040655475870526</c:v>
                </c:pt>
                <c:pt idx="449">
                  <c:v>-4.8107322612250858</c:v>
                </c:pt>
                <c:pt idx="450">
                  <c:v>-4.8173990346511415</c:v>
                </c:pt>
                <c:pt idx="451">
                  <c:v>-4.8240658678645181</c:v>
                </c:pt>
                <c:pt idx="452">
                  <c:v>-4.8307327608645139</c:v>
                </c:pt>
                <c:pt idx="453">
                  <c:v>-4.8373997136504281</c:v>
                </c:pt>
                <c:pt idx="454">
                  <c:v>-4.8440667262215591</c:v>
                </c:pt>
                <c:pt idx="455">
                  <c:v>-4.8507337985772052</c:v>
                </c:pt>
                <c:pt idx="456">
                  <c:v>-4.8574009307166657</c:v>
                </c:pt>
                <c:pt idx="457">
                  <c:v>-4.8640681226392388</c:v>
                </c:pt>
                <c:pt idx="458">
                  <c:v>-4.870735374344223</c:v>
                </c:pt>
                <c:pt idx="459">
                  <c:v>-4.8774026858309165</c:v>
                </c:pt>
                <c:pt idx="460">
                  <c:v>-4.8840700570986186</c:v>
                </c:pt>
                <c:pt idx="461">
                  <c:v>-4.8907374881466277</c:v>
                </c:pt>
                <c:pt idx="462">
                  <c:v>-4.8974049789742429</c:v>
                </c:pt>
                <c:pt idx="463">
                  <c:v>-4.9040725295807617</c:v>
                </c:pt>
                <c:pt idx="464">
                  <c:v>-4.9107401399654833</c:v>
                </c:pt>
                <c:pt idx="465">
                  <c:v>-4.917407810127707</c:v>
                </c:pt>
                <c:pt idx="466">
                  <c:v>-4.9240755400667302</c:v>
                </c:pt>
                <c:pt idx="467">
                  <c:v>-4.9307433297818521</c:v>
                </c:pt>
                <c:pt idx="468">
                  <c:v>-4.9374111792723712</c:v>
                </c:pt>
                <c:pt idx="469">
                  <c:v>-4.9440790885375865</c:v>
                </c:pt>
                <c:pt idx="470">
                  <c:v>-4.9507470575767965</c:v>
                </c:pt>
                <c:pt idx="471">
                  <c:v>-4.9574150863892994</c:v>
                </c:pt>
                <c:pt idx="472">
                  <c:v>-4.9640831749743937</c:v>
                </c:pt>
                <c:pt idx="473">
                  <c:v>-4.9707513233313785</c:v>
                </c:pt>
                <c:pt idx="474">
                  <c:v>-4.9774195314595522</c:v>
                </c:pt>
                <c:pt idx="475">
                  <c:v>-4.984087799358214</c:v>
                </c:pt>
                <c:pt idx="476">
                  <c:v>-4.9907561270266614</c:v>
                </c:pt>
                <c:pt idx="477">
                  <c:v>-4.9974245144641936</c:v>
                </c:pt>
                <c:pt idx="478">
                  <c:v>-5.0040929616701098</c:v>
                </c:pt>
                <c:pt idx="479">
                  <c:v>-5.0107614686437074</c:v>
                </c:pt>
                <c:pt idx="480">
                  <c:v>-5.0174300353842858</c:v>
                </c:pt>
                <c:pt idx="481">
                  <c:v>-5.0240986618911441</c:v>
                </c:pt>
                <c:pt idx="482">
                  <c:v>-5.0307673481635797</c:v>
                </c:pt>
                <c:pt idx="483">
                  <c:v>-5.037436094200892</c:v>
                </c:pt>
                <c:pt idx="484">
                  <c:v>-5.0441049000023801</c:v>
                </c:pt>
                <c:pt idx="485">
                  <c:v>-5.0507737655673415</c:v>
                </c:pt>
                <c:pt idx="486">
                  <c:v>-5.0574426908950754</c:v>
                </c:pt>
                <c:pt idx="487">
                  <c:v>-5.0641116759848801</c:v>
                </c:pt>
                <c:pt idx="488">
                  <c:v>-5.0707807208360549</c:v>
                </c:pt>
                <c:pt idx="489">
                  <c:v>-5.0774498254478981</c:v>
                </c:pt>
                <c:pt idx="490">
                  <c:v>-5.0841189898197081</c:v>
                </c:pt>
                <c:pt idx="491">
                  <c:v>-5.0907882139507832</c:v>
                </c:pt>
                <c:pt idx="492">
                  <c:v>-5.0974574978404226</c:v>
                </c:pt>
                <c:pt idx="493">
                  <c:v>-5.1041268414879246</c:v>
                </c:pt>
                <c:pt idx="494">
                  <c:v>-5.1107962448925885</c:v>
                </c:pt>
                <c:pt idx="495">
                  <c:v>-5.1174657080537127</c:v>
                </c:pt>
                <c:pt idx="496">
                  <c:v>-5.1241352309705954</c:v>
                </c:pt>
                <c:pt idx="497">
                  <c:v>-5.130804813642535</c:v>
                </c:pt>
                <c:pt idx="498">
                  <c:v>-5.1374744560688308</c:v>
                </c:pt>
                <c:pt idx="499">
                  <c:v>-5.144144158248781</c:v>
                </c:pt>
                <c:pt idx="500">
                  <c:v>-5.1508139201816849</c:v>
                </c:pt>
                <c:pt idx="501">
                  <c:v>-5.1574837418668409</c:v>
                </c:pt>
                <c:pt idx="502">
                  <c:v>-5.1641536233035472</c:v>
                </c:pt>
                <c:pt idx="503">
                  <c:v>-5.1708235644911031</c:v>
                </c:pt>
                <c:pt idx="504">
                  <c:v>-5.1774935654288061</c:v>
                </c:pt>
                <c:pt idx="505">
                  <c:v>-5.1841636261159563</c:v>
                </c:pt>
                <c:pt idx="506">
                  <c:v>-5.190833746551851</c:v>
                </c:pt>
                <c:pt idx="507">
                  <c:v>-5.1975039267357896</c:v>
                </c:pt>
                <c:pt idx="508">
                  <c:v>-5.2041741666670704</c:v>
                </c:pt>
                <c:pt idx="509">
                  <c:v>-5.2108444663449927</c:v>
                </c:pt>
                <c:pt idx="510">
                  <c:v>-5.2175148257688546</c:v>
                </c:pt>
                <c:pt idx="511">
                  <c:v>-5.2241852449379547</c:v>
                </c:pt>
                <c:pt idx="512">
                  <c:v>-5.2308557238515911</c:v>
                </c:pt>
                <c:pt idx="513">
                  <c:v>-5.2375262625090633</c:v>
                </c:pt>
                <c:pt idx="514">
                  <c:v>-5.2441968609096703</c:v>
                </c:pt>
                <c:pt idx="515">
                  <c:v>-5.2508675190527097</c:v>
                </c:pt>
                <c:pt idx="516">
                  <c:v>-5.2575382369374806</c:v>
                </c:pt>
                <c:pt idx="517">
                  <c:v>-5.2642090145632814</c:v>
                </c:pt>
                <c:pt idx="518">
                  <c:v>-5.2708798519294113</c:v>
                </c:pt>
                <c:pt idx="519">
                  <c:v>-5.2775507490351687</c:v>
                </c:pt>
                <c:pt idx="520">
                  <c:v>-5.284221705879852</c:v>
                </c:pt>
                <c:pt idx="521">
                  <c:v>-5.2908927224627602</c:v>
                </c:pt>
                <c:pt idx="522">
                  <c:v>-5.2975637987831918</c:v>
                </c:pt>
                <c:pt idx="523">
                  <c:v>-5.3042349348404461</c:v>
                </c:pt>
                <c:pt idx="524">
                  <c:v>-5.3109061306338203</c:v>
                </c:pt>
                <c:pt idx="525">
                  <c:v>-5.3175773861626148</c:v>
                </c:pt>
                <c:pt idx="526">
                  <c:v>-5.3242487014261268</c:v>
                </c:pt>
                <c:pt idx="527">
                  <c:v>-5.3309200764236557</c:v>
                </c:pt>
                <c:pt idx="528">
                  <c:v>-5.3375915111544998</c:v>
                </c:pt>
                <c:pt idx="529">
                  <c:v>-5.3442630056179583</c:v>
                </c:pt>
                <c:pt idx="530">
                  <c:v>-5.3509345598133295</c:v>
                </c:pt>
                <c:pt idx="531">
                  <c:v>-5.3576061737399119</c:v>
                </c:pt>
                <c:pt idx="532">
                  <c:v>-5.3642778473970036</c:v>
                </c:pt>
                <c:pt idx="533">
                  <c:v>-5.3709495807839041</c:v>
                </c:pt>
                <c:pt idx="534">
                  <c:v>-5.3776213738999123</c:v>
                </c:pt>
                <c:pt idx="535">
                  <c:v>-5.3842932267443269</c:v>
                </c:pt>
                <c:pt idx="536">
                  <c:v>-5.3909651393164459</c:v>
                </c:pt>
                <c:pt idx="537">
                  <c:v>-5.3976371116155679</c:v>
                </c:pt>
                <c:pt idx="538">
                  <c:v>-5.404309143640992</c:v>
                </c:pt>
                <c:pt idx="539">
                  <c:v>-5.4109812353920166</c:v>
                </c:pt>
                <c:pt idx="540">
                  <c:v>-5.4176533868679408</c:v>
                </c:pt>
                <c:pt idx="541">
                  <c:v>-5.4243255980680622</c:v>
                </c:pt>
                <c:pt idx="542">
                  <c:v>-5.4309978689916809</c:v>
                </c:pt>
                <c:pt idx="543">
                  <c:v>-5.4376701996380943</c:v>
                </c:pt>
                <c:pt idx="544">
                  <c:v>-5.4443425900066016</c:v>
                </c:pt>
                <c:pt idx="545">
                  <c:v>-5.4510150400965021</c:v>
                </c:pt>
                <c:pt idx="546">
                  <c:v>-5.457687549907094</c:v>
                </c:pt>
                <c:pt idx="547">
                  <c:v>-5.4643601194376759</c:v>
                </c:pt>
                <c:pt idx="548">
                  <c:v>-5.4710327486875459</c:v>
                </c:pt>
                <c:pt idx="549">
                  <c:v>-5.4777054376560033</c:v>
                </c:pt>
                <c:pt idx="550">
                  <c:v>-5.4843781863423464</c:v>
                </c:pt>
                <c:pt idx="551">
                  <c:v>-5.4910509947458745</c:v>
                </c:pt>
                <c:pt idx="552">
                  <c:v>-5.497723862865886</c:v>
                </c:pt>
                <c:pt idx="553">
                  <c:v>-5.50439679070168</c:v>
                </c:pt>
                <c:pt idx="554">
                  <c:v>-5.511069778252554</c:v>
                </c:pt>
                <c:pt idx="555">
                  <c:v>-5.5177428255178071</c:v>
                </c:pt>
                <c:pt idx="556">
                  <c:v>-5.5244159324967388</c:v>
                </c:pt>
                <c:pt idx="557">
                  <c:v>-5.5310890991886472</c:v>
                </c:pt>
                <c:pt idx="558">
                  <c:v>-5.5377623255928308</c:v>
                </c:pt>
                <c:pt idx="559">
                  <c:v>-5.5444356117085887</c:v>
                </c:pt>
                <c:pt idx="560">
                  <c:v>-5.5511089575352193</c:v>
                </c:pt>
                <c:pt idx="561">
                  <c:v>-5.5577823630720209</c:v>
                </c:pt>
                <c:pt idx="562">
                  <c:v>-5.5644558283182928</c:v>
                </c:pt>
                <c:pt idx="563">
                  <c:v>-5.5711293532733341</c:v>
                </c:pt>
                <c:pt idx="564">
                  <c:v>-5.5778029379364424</c:v>
                </c:pt>
                <c:pt idx="565">
                  <c:v>-5.5844765823069169</c:v>
                </c:pt>
                <c:pt idx="566">
                  <c:v>-5.5911502863840568</c:v>
                </c:pt>
                <c:pt idx="567">
                  <c:v>-5.5978240501671594</c:v>
                </c:pt>
                <c:pt idx="568">
                  <c:v>-5.6044978736555242</c:v>
                </c:pt>
                <c:pt idx="569">
                  <c:v>-5.6111717568484503</c:v>
                </c:pt>
                <c:pt idx="570">
                  <c:v>-5.617845699745236</c:v>
                </c:pt>
                <c:pt idx="571">
                  <c:v>-5.6245197023451796</c:v>
                </c:pt>
                <c:pt idx="572">
                  <c:v>-5.6311937646475805</c:v>
                </c:pt>
                <c:pt idx="573">
                  <c:v>-5.6378678866517369</c:v>
                </c:pt>
                <c:pt idx="574">
                  <c:v>-5.6445420683569481</c:v>
                </c:pt>
                <c:pt idx="575">
                  <c:v>-5.6512163097625123</c:v>
                </c:pt>
                <c:pt idx="576">
                  <c:v>-5.657890610867728</c:v>
                </c:pt>
                <c:pt idx="577">
                  <c:v>-5.6645649716718944</c:v>
                </c:pt>
                <c:pt idx="578">
                  <c:v>-5.6712393921743098</c:v>
                </c:pt>
                <c:pt idx="579">
                  <c:v>-5.6779138723742726</c:v>
                </c:pt>
                <c:pt idx="580">
                  <c:v>-5.6845884122710819</c:v>
                </c:pt>
                <c:pt idx="581">
                  <c:v>-5.691263011864037</c:v>
                </c:pt>
                <c:pt idx="582">
                  <c:v>-5.6979376711524354</c:v>
                </c:pt>
                <c:pt idx="583">
                  <c:v>-5.7046123901355772</c:v>
                </c:pt>
                <c:pt idx="584">
                  <c:v>-5.7112871688127598</c:v>
                </c:pt>
                <c:pt idx="585">
                  <c:v>-5.7179620071832824</c:v>
                </c:pt>
                <c:pt idx="586">
                  <c:v>-5.7246369052464434</c:v>
                </c:pt>
                <c:pt idx="587">
                  <c:v>-5.7313118630015421</c:v>
                </c:pt>
                <c:pt idx="588">
                  <c:v>-5.7379868804478766</c:v>
                </c:pt>
                <c:pt idx="589">
                  <c:v>-5.7446619575847464</c:v>
                </c:pt>
                <c:pt idx="590">
                  <c:v>-5.7513370944114497</c:v>
                </c:pt>
                <c:pt idx="591">
                  <c:v>-5.7580122909272848</c:v>
                </c:pt>
                <c:pt idx="592">
                  <c:v>-5.7646875471315511</c:v>
                </c:pt>
                <c:pt idx="593">
                  <c:v>-5.7713628630235467</c:v>
                </c:pt>
                <c:pt idx="594">
                  <c:v>-5.778038238602571</c:v>
                </c:pt>
                <c:pt idx="595">
                  <c:v>-5.7847136738679223</c:v>
                </c:pt>
                <c:pt idx="596">
                  <c:v>-5.7913891688188999</c:v>
                </c:pt>
                <c:pt idx="597">
                  <c:v>-5.7980647234548011</c:v>
                </c:pt>
                <c:pt idx="598">
                  <c:v>-5.804740337774926</c:v>
                </c:pt>
                <c:pt idx="599">
                  <c:v>-5.8114160117785723</c:v>
                </c:pt>
                <c:pt idx="600">
                  <c:v>-5.8180917454650398</c:v>
                </c:pt>
                <c:pt idx="601">
                  <c:v>-5.8247675388336262</c:v>
                </c:pt>
                <c:pt idx="602">
                  <c:v>-5.8314433918836306</c:v>
                </c:pt>
                <c:pt idx="603">
                  <c:v>-5.8381193046143522</c:v>
                </c:pt>
                <c:pt idx="604">
                  <c:v>-5.8447952770250886</c:v>
                </c:pt>
                <c:pt idx="605">
                  <c:v>-5.8514713091151398</c:v>
                </c:pt>
                <c:pt idx="606">
                  <c:v>-5.8581474008838033</c:v>
                </c:pt>
                <c:pt idx="607">
                  <c:v>-5.8648235523303782</c:v>
                </c:pt>
                <c:pt idx="608">
                  <c:v>-5.8714997634541639</c:v>
                </c:pt>
                <c:pt idx="609">
                  <c:v>-5.8781760342544587</c:v>
                </c:pt>
                <c:pt idx="610">
                  <c:v>-5.8848523647305608</c:v>
                </c:pt>
                <c:pt idx="611">
                  <c:v>-5.8915287548817696</c:v>
                </c:pt>
                <c:pt idx="612">
                  <c:v>-5.8982052047073834</c:v>
                </c:pt>
                <c:pt idx="613">
                  <c:v>-5.9048817142067014</c:v>
                </c:pt>
                <c:pt idx="614">
                  <c:v>-5.9115582833790219</c:v>
                </c:pt>
                <c:pt idx="615">
                  <c:v>-5.9182349122236433</c:v>
                </c:pt>
                <c:pt idx="616">
                  <c:v>-5.9249116007398648</c:v>
                </c:pt>
                <c:pt idx="617">
                  <c:v>-5.9315883489269856</c:v>
                </c:pt>
                <c:pt idx="618">
                  <c:v>-5.9382651567843032</c:v>
                </c:pt>
                <c:pt idx="619">
                  <c:v>-5.9449420243111177</c:v>
                </c:pt>
                <c:pt idx="620">
                  <c:v>-5.9516189515067266</c:v>
                </c:pt>
                <c:pt idx="621">
                  <c:v>-5.958295938370429</c:v>
                </c:pt>
                <c:pt idx="622">
                  <c:v>-5.9649729849015243</c:v>
                </c:pt>
                <c:pt idx="623">
                  <c:v>-5.9716500910993107</c:v>
                </c:pt>
                <c:pt idx="624">
                  <c:v>-5.9783272569630865</c:v>
                </c:pt>
                <c:pt idx="625">
                  <c:v>-5.9850044824921511</c:v>
                </c:pt>
                <c:pt idx="626">
                  <c:v>-5.9916817676858036</c:v>
                </c:pt>
                <c:pt idx="627">
                  <c:v>-5.9983591125433415</c:v>
                </c:pt>
                <c:pt idx="628">
                  <c:v>-6.0050365170640649</c:v>
                </c:pt>
                <c:pt idx="629">
                  <c:v>-6.0117139812472713</c:v>
                </c:pt>
                <c:pt idx="630">
                  <c:v>-6.0183915050922598</c:v>
                </c:pt>
                <c:pt idx="631">
                  <c:v>-6.0250690885983298</c:v>
                </c:pt>
                <c:pt idx="632">
                  <c:v>-6.0317467317647795</c:v>
                </c:pt>
                <c:pt idx="633">
                  <c:v>-6.0384244345909073</c:v>
                </c:pt>
                <c:pt idx="634">
                  <c:v>-6.0451021970760124</c:v>
                </c:pt>
                <c:pt idx="635">
                  <c:v>-6.0517800192193931</c:v>
                </c:pt>
                <c:pt idx="636">
                  <c:v>-6.0584579010203488</c:v>
                </c:pt>
                <c:pt idx="637">
                  <c:v>-6.0651358424781776</c:v>
                </c:pt>
                <c:pt idx="638">
                  <c:v>-6.0718138435921789</c:v>
                </c:pt>
                <c:pt idx="639">
                  <c:v>-6.078491904361651</c:v>
                </c:pt>
                <c:pt idx="640">
                  <c:v>-6.0851700247858931</c:v>
                </c:pt>
                <c:pt idx="641">
                  <c:v>-6.0918482048642035</c:v>
                </c:pt>
                <c:pt idx="642">
                  <c:v>-6.0985264445958807</c:v>
                </c:pt>
                <c:pt idx="643">
                  <c:v>-6.1052047439802237</c:v>
                </c:pt>
                <c:pt idx="644">
                  <c:v>-6.111883103016531</c:v>
                </c:pt>
                <c:pt idx="645">
                  <c:v>-6.1185615217041018</c:v>
                </c:pt>
                <c:pt idx="646">
                  <c:v>-6.1252400000422345</c:v>
                </c:pt>
                <c:pt idx="647">
                  <c:v>-6.1319185380302281</c:v>
                </c:pt>
                <c:pt idx="648">
                  <c:v>-6.1385971356673812</c:v>
                </c:pt>
                <c:pt idx="649">
                  <c:v>-6.1452757929529929</c:v>
                </c:pt>
                <c:pt idx="650">
                  <c:v>-6.1519545098863615</c:v>
                </c:pt>
                <c:pt idx="651">
                  <c:v>-6.1586332864667863</c:v>
                </c:pt>
                <c:pt idx="652">
                  <c:v>-6.1653121226935657</c:v>
                </c:pt>
                <c:pt idx="653">
                  <c:v>-6.1719910185659979</c:v>
                </c:pt>
                <c:pt idx="654">
                  <c:v>-6.1786699740833821</c:v>
                </c:pt>
                <c:pt idx="655">
                  <c:v>-6.1853489892450177</c:v>
                </c:pt>
                <c:pt idx="656">
                  <c:v>-6.192028064050203</c:v>
                </c:pt>
                <c:pt idx="657">
                  <c:v>-6.1987071984982363</c:v>
                </c:pt>
                <c:pt idx="658">
                  <c:v>-6.2053863925884167</c:v>
                </c:pt>
                <c:pt idx="659">
                  <c:v>-6.2120656463200428</c:v>
                </c:pt>
                <c:pt idx="660">
                  <c:v>-6.2187449596924136</c:v>
                </c:pt>
                <c:pt idx="661">
                  <c:v>-6.2254243327048275</c:v>
                </c:pt>
                <c:pt idx="662">
                  <c:v>-6.2321037653565838</c:v>
                </c:pt>
                <c:pt idx="663">
                  <c:v>-6.2387832576469808</c:v>
                </c:pt>
                <c:pt idx="664">
                  <c:v>-6.2454628095753177</c:v>
                </c:pt>
                <c:pt idx="665">
                  <c:v>-6.2521424211408929</c:v>
                </c:pt>
                <c:pt idx="666">
                  <c:v>-6.2588220923430056</c:v>
                </c:pt>
                <c:pt idx="667">
                  <c:v>-6.2655018231809541</c:v>
                </c:pt>
                <c:pt idx="668">
                  <c:v>-6.2721816136540367</c:v>
                </c:pt>
                <c:pt idx="669">
                  <c:v>-6.2788614637615527</c:v>
                </c:pt>
                <c:pt idx="670">
                  <c:v>-6.2855413735028014</c:v>
                </c:pt>
                <c:pt idx="671">
                  <c:v>-6.292221342877081</c:v>
                </c:pt>
                <c:pt idx="672">
                  <c:v>-6.2989013718836899</c:v>
                </c:pt>
                <c:pt idx="673">
                  <c:v>-6.3055814605219274</c:v>
                </c:pt>
                <c:pt idx="674">
                  <c:v>-6.3122616087910925</c:v>
                </c:pt>
                <c:pt idx="675">
                  <c:v>-6.3189418166904838</c:v>
                </c:pt>
                <c:pt idx="676">
                  <c:v>-6.3256220842193995</c:v>
                </c:pt>
                <c:pt idx="677">
                  <c:v>-6.3323024113771389</c:v>
                </c:pt>
                <c:pt idx="678">
                  <c:v>-6.3389827981630003</c:v>
                </c:pt>
                <c:pt idx="679">
                  <c:v>-6.3456632445762828</c:v>
                </c:pt>
                <c:pt idx="680">
                  <c:v>-6.3523437506162859</c:v>
                </c:pt>
                <c:pt idx="681">
                  <c:v>-6.3590243162823068</c:v>
                </c:pt>
                <c:pt idx="682">
                  <c:v>-6.3657049415736457</c:v>
                </c:pt>
                <c:pt idx="683">
                  <c:v>-6.3723856264896011</c:v>
                </c:pt>
                <c:pt idx="684">
                  <c:v>-6.379066371029471</c:v>
                </c:pt>
                <c:pt idx="685">
                  <c:v>-6.385747175192555</c:v>
                </c:pt>
                <c:pt idx="686">
                  <c:v>-6.3924280389781512</c:v>
                </c:pt>
                <c:pt idx="687">
                  <c:v>-6.3991089623855588</c:v>
                </c:pt>
                <c:pt idx="688">
                  <c:v>-6.4057899454140763</c:v>
                </c:pt>
                <c:pt idx="689">
                  <c:v>-6.4124709880630029</c:v>
                </c:pt>
                <c:pt idx="690">
                  <c:v>-6.4191520903316368</c:v>
                </c:pt>
                <c:pt idx="691">
                  <c:v>-6.4258332522192774</c:v>
                </c:pt>
                <c:pt idx="692">
                  <c:v>-6.4325144737252229</c:v>
                </c:pt>
                <c:pt idx="693">
                  <c:v>-6.4391957548487726</c:v>
                </c:pt>
                <c:pt idx="694">
                  <c:v>-6.4458770955892248</c:v>
                </c:pt>
                <c:pt idx="695">
                  <c:v>-6.4525584959458788</c:v>
                </c:pt>
                <c:pt idx="696">
                  <c:v>-6.4592399559180329</c:v>
                </c:pt>
                <c:pt idx="697">
                  <c:v>-6.4659214755049863</c:v>
                </c:pt>
                <c:pt idx="698">
                  <c:v>-6.4726030547060374</c:v>
                </c:pt>
                <c:pt idx="699">
                  <c:v>-6.4792846935204853</c:v>
                </c:pt>
                <c:pt idx="700">
                  <c:v>-6.4859663919476285</c:v>
                </c:pt>
                <c:pt idx="701">
                  <c:v>-6.4926481499867661</c:v>
                </c:pt>
                <c:pt idx="702">
                  <c:v>-6.4993299676371965</c:v>
                </c:pt>
                <c:pt idx="703">
                  <c:v>-6.5060118448982189</c:v>
                </c:pt>
                <c:pt idx="704">
                  <c:v>-6.5126937817691317</c:v>
                </c:pt>
                <c:pt idx="705">
                  <c:v>-6.5193757782492341</c:v>
                </c:pt>
                <c:pt idx="706">
                  <c:v>-6.5260578343378244</c:v>
                </c:pt>
                <c:pt idx="707">
                  <c:v>-6.5327399500342018</c:v>
                </c:pt>
                <c:pt idx="708">
                  <c:v>-6.5394221253376656</c:v>
                </c:pt>
                <c:pt idx="709">
                  <c:v>-6.5461043602475142</c:v>
                </c:pt>
                <c:pt idx="710">
                  <c:v>-6.5527866547630458</c:v>
                </c:pt>
                <c:pt idx="711">
                  <c:v>-6.5594690088835597</c:v>
                </c:pt>
                <c:pt idx="712">
                  <c:v>-6.5661514226083542</c:v>
                </c:pt>
                <c:pt idx="713">
                  <c:v>-6.5728338959367285</c:v>
                </c:pt>
                <c:pt idx="714">
                  <c:v>-6.579516428867981</c:v>
                </c:pt>
                <c:pt idx="715">
                  <c:v>-6.586199021401411</c:v>
                </c:pt>
                <c:pt idx="716">
                  <c:v>-6.5928816735363176</c:v>
                </c:pt>
                <c:pt idx="717">
                  <c:v>-6.5995643852719992</c:v>
                </c:pt>
                <c:pt idx="718">
                  <c:v>-6.6062471566077541</c:v>
                </c:pt>
                <c:pt idx="719">
                  <c:v>-6.6129299875428815</c:v>
                </c:pt>
                <c:pt idx="720">
                  <c:v>-6.6196128780766808</c:v>
                </c:pt>
                <c:pt idx="721">
                  <c:v>-6.6262958282084501</c:v>
                </c:pt>
                <c:pt idx="722">
                  <c:v>-6.6329788379374888</c:v>
                </c:pt>
                <c:pt idx="723">
                  <c:v>-6.6396619072630951</c:v>
                </c:pt>
                <c:pt idx="724">
                  <c:v>-6.6463450361845675</c:v>
                </c:pt>
                <c:pt idx="725">
                  <c:v>-6.653028224701206</c:v>
                </c:pt>
                <c:pt idx="726">
                  <c:v>-6.6597114728123081</c:v>
                </c:pt>
                <c:pt idx="727">
                  <c:v>-6.666394780517173</c:v>
                </c:pt>
                <c:pt idx="728">
                  <c:v>-6.6730781478151</c:v>
                </c:pt>
                <c:pt idx="729">
                  <c:v>-6.6797615747053873</c:v>
                </c:pt>
                <c:pt idx="730">
                  <c:v>-6.6864450611873343</c:v>
                </c:pt>
                <c:pt idx="731">
                  <c:v>-6.6931286072602401</c:v>
                </c:pt>
                <c:pt idx="732">
                  <c:v>-6.6998122129234021</c:v>
                </c:pt>
                <c:pt idx="733">
                  <c:v>-6.7064958781761206</c:v>
                </c:pt>
                <c:pt idx="734">
                  <c:v>-6.7131796030176938</c:v>
                </c:pt>
                <c:pt idx="735">
                  <c:v>-6.7198633874474201</c:v>
                </c:pt>
                <c:pt idx="736">
                  <c:v>-6.7265472314645987</c:v>
                </c:pt>
                <c:pt idx="737">
                  <c:v>-6.7332311350685288</c:v>
                </c:pt>
                <c:pt idx="738">
                  <c:v>-6.7399150982585088</c:v>
                </c:pt>
                <c:pt idx="739">
                  <c:v>-6.7465991210338379</c:v>
                </c:pt>
                <c:pt idx="740">
                  <c:v>-6.7532832033938144</c:v>
                </c:pt>
                <c:pt idx="741">
                  <c:v>-6.7599673453377367</c:v>
                </c:pt>
                <c:pt idx="742">
                  <c:v>-6.7666515468649049</c:v>
                </c:pt>
                <c:pt idx="743">
                  <c:v>-6.7733358079746164</c:v>
                </c:pt>
                <c:pt idx="744">
                  <c:v>-6.7800201286661714</c:v>
                </c:pt>
                <c:pt idx="745">
                  <c:v>-6.7867045089388682</c:v>
                </c:pt>
                <c:pt idx="746">
                  <c:v>-6.7933889487920052</c:v>
                </c:pt>
                <c:pt idx="747">
                  <c:v>-6.8000734482248815</c:v>
                </c:pt>
                <c:pt idx="748">
                  <c:v>-6.8067580072367964</c:v>
                </c:pt>
                <c:pt idx="749">
                  <c:v>-6.8134426258270482</c:v>
                </c:pt>
                <c:pt idx="750">
                  <c:v>-6.8201273039949353</c:v>
                </c:pt>
                <c:pt idx="751">
                  <c:v>-6.8268120417397569</c:v>
                </c:pt>
                <c:pt idx="752">
                  <c:v>-6.8334968390608122</c:v>
                </c:pt>
                <c:pt idx="753">
                  <c:v>-6.8401816959573996</c:v>
                </c:pt>
                <c:pt idx="754">
                  <c:v>-6.8468666124288182</c:v>
                </c:pt>
                <c:pt idx="755">
                  <c:v>-6.8535515884743674</c:v>
                </c:pt>
                <c:pt idx="756">
                  <c:v>-6.8602366240933446</c:v>
                </c:pt>
                <c:pt idx="757">
                  <c:v>-6.8669217192850498</c:v>
                </c:pt>
                <c:pt idx="758">
                  <c:v>-6.8736068740487815</c:v>
                </c:pt>
                <c:pt idx="759">
                  <c:v>-6.8802920883838388</c:v>
                </c:pt>
                <c:pt idx="760">
                  <c:v>-6.8869773622895201</c:v>
                </c:pt>
                <c:pt idx="761">
                  <c:v>-6.8936626957651237</c:v>
                </c:pt>
                <c:pt idx="762">
                  <c:v>-6.9003480888099498</c:v>
                </c:pt>
                <c:pt idx="763">
                  <c:v>-6.9070335414232957</c:v>
                </c:pt>
                <c:pt idx="764">
                  <c:v>-6.9137190536044617</c:v>
                </c:pt>
                <c:pt idx="765">
                  <c:v>-6.920404625352746</c:v>
                </c:pt>
                <c:pt idx="766">
                  <c:v>-6.927090256667447</c:v>
                </c:pt>
                <c:pt idx="767">
                  <c:v>-6.933775947547864</c:v>
                </c:pt>
                <c:pt idx="768">
                  <c:v>-6.940461697993296</c:v>
                </c:pt>
                <c:pt idx="769">
                  <c:v>-6.9471475080030416</c:v>
                </c:pt>
                <c:pt idx="770">
                  <c:v>-6.9538333775763999</c:v>
                </c:pt>
                <c:pt idx="771">
                  <c:v>-6.9605193067126692</c:v>
                </c:pt>
                <c:pt idx="772">
                  <c:v>-6.9672052954111487</c:v>
                </c:pt>
                <c:pt idx="773">
                  <c:v>-6.9738913436711378</c:v>
                </c:pt>
                <c:pt idx="774">
                  <c:v>-6.9805774514919348</c:v>
                </c:pt>
                <c:pt idx="775">
                  <c:v>-6.9872636188728379</c:v>
                </c:pt>
                <c:pt idx="776">
                  <c:v>-6.9939498458131464</c:v>
                </c:pt>
                <c:pt idx="777">
                  <c:v>-7.0006361323121595</c:v>
                </c:pt>
                <c:pt idx="778">
                  <c:v>-7.0073224783691757</c:v>
                </c:pt>
                <c:pt idx="779">
                  <c:v>-7.014008883983494</c:v>
                </c:pt>
                <c:pt idx="780">
                  <c:v>-7.0206953491544137</c:v>
                </c:pt>
                <c:pt idx="781">
                  <c:v>-7.0273818738812333</c:v>
                </c:pt>
                <c:pt idx="782">
                  <c:v>-7.0340684581632509</c:v>
                </c:pt>
                <c:pt idx="783">
                  <c:v>-7.0407551019997667</c:v>
                </c:pt>
                <c:pt idx="784">
                  <c:v>-7.0474418053900783</c:v>
                </c:pt>
                <c:pt idx="785">
                  <c:v>-7.0541285683334856</c:v>
                </c:pt>
                <c:pt idx="786">
                  <c:v>-7.060815390829287</c:v>
                </c:pt>
                <c:pt idx="787">
                  <c:v>-7.0675022728767809</c:v>
                </c:pt>
                <c:pt idx="788">
                  <c:v>-7.0741892144752665</c:v>
                </c:pt>
                <c:pt idx="789">
                  <c:v>-7.080876215624043</c:v>
                </c:pt>
                <c:pt idx="790">
                  <c:v>-7.0875632763224088</c:v>
                </c:pt>
                <c:pt idx="791">
                  <c:v>-7.0942503965696631</c:v>
                </c:pt>
                <c:pt idx="792">
                  <c:v>-7.100937576365105</c:v>
                </c:pt>
                <c:pt idx="793">
                  <c:v>-7.1076248157080331</c:v>
                </c:pt>
                <c:pt idx="794">
                  <c:v>-7.1143121145977455</c:v>
                </c:pt>
                <c:pt idx="795">
                  <c:v>-7.1209994730335415</c:v>
                </c:pt>
                <c:pt idx="796">
                  <c:v>-7.1276868910147204</c:v>
                </c:pt>
                <c:pt idx="797">
                  <c:v>-7.1343743685405814</c:v>
                </c:pt>
                <c:pt idx="798">
                  <c:v>-7.1410619056104219</c:v>
                </c:pt>
                <c:pt idx="799">
                  <c:v>-7.147749502223542</c:v>
                </c:pt>
                <c:pt idx="800">
                  <c:v>-7.1544371583792401</c:v>
                </c:pt>
                <c:pt idx="801">
                  <c:v>-7.1611248740768154</c:v>
                </c:pt>
                <c:pt idx="802">
                  <c:v>-7.1678126493155663</c:v>
                </c:pt>
                <c:pt idx="803">
                  <c:v>-7.1745004840947919</c:v>
                </c:pt>
                <c:pt idx="804">
                  <c:v>-7.1811883784137915</c:v>
                </c:pt>
                <c:pt idx="805">
                  <c:v>-7.1878763322718635</c:v>
                </c:pt>
                <c:pt idx="806">
                  <c:v>-7.194564345668307</c:v>
                </c:pt>
                <c:pt idx="807">
                  <c:v>-7.2012524186024205</c:v>
                </c:pt>
                <c:pt idx="808">
                  <c:v>-7.2079405510735031</c:v>
                </c:pt>
                <c:pt idx="809">
                  <c:v>-7.2146287430808531</c:v>
                </c:pt>
                <c:pt idx="810">
                  <c:v>-7.2213169946237699</c:v>
                </c:pt>
                <c:pt idx="811">
                  <c:v>-7.2280053057015525</c:v>
                </c:pt>
                <c:pt idx="812">
                  <c:v>-7.2346936763135004</c:v>
                </c:pt>
                <c:pt idx="813">
                  <c:v>-7.2413821064589108</c:v>
                </c:pt>
                <c:pt idx="814">
                  <c:v>-7.2480705961370839</c:v>
                </c:pt>
                <c:pt idx="815">
                  <c:v>-7.2547591453473181</c:v>
                </c:pt>
                <c:pt idx="816">
                  <c:v>-7.2614477540889126</c:v>
                </c:pt>
                <c:pt idx="817">
                  <c:v>-7.2681364223611657</c:v>
                </c:pt>
                <c:pt idx="818">
                  <c:v>-7.2748251501633767</c:v>
                </c:pt>
                <c:pt idx="819">
                  <c:v>-7.2815139374948448</c:v>
                </c:pt>
                <c:pt idx="820">
                  <c:v>-7.2882027843548682</c:v>
                </c:pt>
                <c:pt idx="821">
                  <c:v>-7.2948916907427463</c:v>
                </c:pt>
                <c:pt idx="822">
                  <c:v>-7.3015806566577774</c:v>
                </c:pt>
                <c:pt idx="823">
                  <c:v>-7.3082696820992608</c:v>
                </c:pt>
                <c:pt idx="824">
                  <c:v>-7.3149587670664955</c:v>
                </c:pt>
                <c:pt idx="825">
                  <c:v>-7.32164791155878</c:v>
                </c:pt>
                <c:pt idx="826">
                  <c:v>-7.3283371155754136</c:v>
                </c:pt>
                <c:pt idx="827">
                  <c:v>-7.3350263791156953</c:v>
                </c:pt>
                <c:pt idx="828">
                  <c:v>-7.3417157021789237</c:v>
                </c:pt>
                <c:pt idx="829">
                  <c:v>-7.3484050847643969</c:v>
                </c:pt>
                <c:pt idx="830">
                  <c:v>-7.3550945268714152</c:v>
                </c:pt>
                <c:pt idx="831">
                  <c:v>-7.3617840284992768</c:v>
                </c:pt>
                <c:pt idx="832">
                  <c:v>-7.3684735896472802</c:v>
                </c:pt>
                <c:pt idx="833">
                  <c:v>-7.3751632103147244</c:v>
                </c:pt>
                <c:pt idx="834">
                  <c:v>-7.3818528905009089</c:v>
                </c:pt>
                <c:pt idx="835">
                  <c:v>-7.3885426302051327</c:v>
                </c:pt>
                <c:pt idx="836">
                  <c:v>-7.3952324294266942</c:v>
                </c:pt>
                <c:pt idx="837">
                  <c:v>-7.4019222881648927</c:v>
                </c:pt>
                <c:pt idx="838">
                  <c:v>-7.4086122064190265</c:v>
                </c:pt>
                <c:pt idx="839">
                  <c:v>-7.4153021841883948</c:v>
                </c:pt>
                <c:pt idx="840">
                  <c:v>-7.421992221472296</c:v>
                </c:pt>
                <c:pt idx="841">
                  <c:v>-7.4286823182700301</c:v>
                </c:pt>
                <c:pt idx="842">
                  <c:v>-7.4353724745808956</c:v>
                </c:pt>
                <c:pt idx="843">
                  <c:v>-7.4420626904041907</c:v>
                </c:pt>
                <c:pt idx="844">
                  <c:v>-7.4487529657392146</c:v>
                </c:pt>
                <c:pt idx="845">
                  <c:v>-7.4554433005852667</c:v>
                </c:pt>
                <c:pt idx="846">
                  <c:v>-7.4621336949416452</c:v>
                </c:pt>
                <c:pt idx="847">
                  <c:v>-7.4688241488076494</c:v>
                </c:pt>
                <c:pt idx="848">
                  <c:v>-7.4755146621825785</c:v>
                </c:pt>
                <c:pt idx="849">
                  <c:v>-7.4822052350657309</c:v>
                </c:pt>
                <c:pt idx="850">
                  <c:v>-7.4888958674564057</c:v>
                </c:pt>
                <c:pt idx="851">
                  <c:v>-7.4955865593539022</c:v>
                </c:pt>
                <c:pt idx="852">
                  <c:v>-7.5022773107575187</c:v>
                </c:pt>
                <c:pt idx="853">
                  <c:v>-7.5089681216665545</c:v>
                </c:pt>
                <c:pt idx="854">
                  <c:v>-7.5156589920803079</c:v>
                </c:pt>
                <c:pt idx="855">
                  <c:v>-7.5223499219980781</c:v>
                </c:pt>
                <c:pt idx="856">
                  <c:v>-7.5290409114191643</c:v>
                </c:pt>
                <c:pt idx="857">
                  <c:v>-7.5357319603428659</c:v>
                </c:pt>
                <c:pt idx="858">
                  <c:v>-7.542423068768481</c:v>
                </c:pt>
                <c:pt idx="859">
                  <c:v>-7.5491142366953081</c:v>
                </c:pt>
                <c:pt idx="860">
                  <c:v>-7.5558054641226473</c:v>
                </c:pt>
                <c:pt idx="861">
                  <c:v>-7.5624967510497969</c:v>
                </c:pt>
                <c:pt idx="862">
                  <c:v>-7.5691880974760553</c:v>
                </c:pt>
                <c:pt idx="863">
                  <c:v>-7.5758795034007225</c:v>
                </c:pt>
                <c:pt idx="864">
                  <c:v>-7.5825709688230969</c:v>
                </c:pt>
                <c:pt idx="865">
                  <c:v>-7.5892624937424769</c:v>
                </c:pt>
                <c:pt idx="866">
                  <c:v>-7.5959540781581625</c:v>
                </c:pt>
                <c:pt idx="867">
                  <c:v>-7.6026457220694521</c:v>
                </c:pt>
                <c:pt idx="868">
                  <c:v>-7.6093374254756441</c:v>
                </c:pt>
                <c:pt idx="869">
                  <c:v>-7.6160291883760376</c:v>
                </c:pt>
                <c:pt idx="870">
                  <c:v>-7.6227210107699319</c:v>
                </c:pt>
                <c:pt idx="871">
                  <c:v>-7.6294128926566263</c:v>
                </c:pt>
                <c:pt idx="872">
                  <c:v>-7.636104834035419</c:v>
                </c:pt>
                <c:pt idx="873">
                  <c:v>-7.6427968349056092</c:v>
                </c:pt>
                <c:pt idx="874">
                  <c:v>-7.6494888952664954</c:v>
                </c:pt>
                <c:pt idx="875">
                  <c:v>-7.6561810151173768</c:v>
                </c:pt>
                <c:pt idx="876">
                  <c:v>-7.6628731944575526</c:v>
                </c:pt>
                <c:pt idx="877">
                  <c:v>-7.6695654332863219</c:v>
                </c:pt>
                <c:pt idx="878">
                  <c:v>-7.6762577316029832</c:v>
                </c:pt>
                <c:pt idx="879">
                  <c:v>-7.6829500894068357</c:v>
                </c:pt>
                <c:pt idx="880">
                  <c:v>-7.6896425066971776</c:v>
                </c:pt>
                <c:pt idx="881">
                  <c:v>-7.6963349834733084</c:v>
                </c:pt>
                <c:pt idx="882">
                  <c:v>-7.703027519734527</c:v>
                </c:pt>
                <c:pt idx="883">
                  <c:v>-7.7097201154801329</c:v>
                </c:pt>
                <c:pt idx="884">
                  <c:v>-7.7164127707094243</c:v>
                </c:pt>
                <c:pt idx="885">
                  <c:v>-7.7231054854217005</c:v>
                </c:pt>
                <c:pt idx="886">
                  <c:v>-7.7297982596162598</c:v>
                </c:pt>
                <c:pt idx="887">
                  <c:v>-7.7364910932924014</c:v>
                </c:pt>
                <c:pt idx="888">
                  <c:v>-7.7431839864494245</c:v>
                </c:pt>
                <c:pt idx="889">
                  <c:v>-7.7498769390866284</c:v>
                </c:pt>
                <c:pt idx="890">
                  <c:v>-7.7565699512033115</c:v>
                </c:pt>
                <c:pt idx="891">
                  <c:v>-7.7632630227987729</c:v>
                </c:pt>
                <c:pt idx="892">
                  <c:v>-7.769956153872311</c:v>
                </c:pt>
                <c:pt idx="893">
                  <c:v>-7.776649344423225</c:v>
                </c:pt>
                <c:pt idx="894">
                  <c:v>-7.7833425944508141</c:v>
                </c:pt>
                <c:pt idx="895">
                  <c:v>-7.7900359039543776</c:v>
                </c:pt>
                <c:pt idx="896">
                  <c:v>-7.7967292729332138</c:v>
                </c:pt>
                <c:pt idx="897">
                  <c:v>-7.803422701386622</c:v>
                </c:pt>
                <c:pt idx="898">
                  <c:v>-7.8101161893139013</c:v>
                </c:pt>
                <c:pt idx="899">
                  <c:v>-7.8168097367143501</c:v>
                </c:pt>
                <c:pt idx="900">
                  <c:v>-7.8235033435872676</c:v>
                </c:pt>
                <c:pt idx="901">
                  <c:v>-7.8301970099319531</c:v>
                </c:pt>
                <c:pt idx="902">
                  <c:v>-7.8368907357477049</c:v>
                </c:pt>
                <c:pt idx="903">
                  <c:v>-7.8435845210338222</c:v>
                </c:pt>
                <c:pt idx="904">
                  <c:v>-7.8502783657896043</c:v>
                </c:pt>
                <c:pt idx="905">
                  <c:v>-7.8569722700143494</c:v>
                </c:pt>
                <c:pt idx="906">
                  <c:v>-7.8636662337073568</c:v>
                </c:pt>
                <c:pt idx="907">
                  <c:v>-7.8703602568679258</c:v>
                </c:pt>
                <c:pt idx="908">
                  <c:v>-7.8770543394953556</c:v>
                </c:pt>
                <c:pt idx="909">
                  <c:v>-7.8837484815889445</c:v>
                </c:pt>
                <c:pt idx="910">
                  <c:v>-7.8904426831479917</c:v>
                </c:pt>
                <c:pt idx="911">
                  <c:v>-7.8971369441717956</c:v>
                </c:pt>
                <c:pt idx="912">
                  <c:v>-7.9038312646596554</c:v>
                </c:pt>
                <c:pt idx="913">
                  <c:v>-7.9105256446108703</c:v>
                </c:pt>
                <c:pt idx="914">
                  <c:v>-7.9172200840247395</c:v>
                </c:pt>
                <c:pt idx="915">
                  <c:v>-7.9239145829005615</c:v>
                </c:pt>
                <c:pt idx="916">
                  <c:v>-7.9306091412376354</c:v>
                </c:pt>
                <c:pt idx="917">
                  <c:v>-7.9373037590352604</c:v>
                </c:pt>
                <c:pt idx="918">
                  <c:v>-7.9439984362927358</c:v>
                </c:pt>
                <c:pt idx="919">
                  <c:v>-7.95069317300936</c:v>
                </c:pt>
                <c:pt idx="920">
                  <c:v>-7.957387969184432</c:v>
                </c:pt>
                <c:pt idx="921">
                  <c:v>-7.9640828248172504</c:v>
                </c:pt>
                <c:pt idx="922">
                  <c:v>-7.9707777399071142</c:v>
                </c:pt>
                <c:pt idx="923">
                  <c:v>-7.9774727144533228</c:v>
                </c:pt>
                <c:pt idx="924">
                  <c:v>-7.9841677484551754</c:v>
                </c:pt>
                <c:pt idx="925">
                  <c:v>-7.9908628419119703</c:v>
                </c:pt>
                <c:pt idx="926">
                  <c:v>-7.9975579948230067</c:v>
                </c:pt>
                <c:pt idx="927">
                  <c:v>-8.0042532071875847</c:v>
                </c:pt>
                <c:pt idx="928">
                  <c:v>-8.0109484790050018</c:v>
                </c:pt>
                <c:pt idx="929">
                  <c:v>-8.0176438102745564</c:v>
                </c:pt>
                <c:pt idx="930">
                  <c:v>-8.0243392009955485</c:v>
                </c:pt>
                <c:pt idx="931">
                  <c:v>-8.0310346511672783</c:v>
                </c:pt>
                <c:pt idx="932">
                  <c:v>-8.0377301607890423</c:v>
                </c:pt>
                <c:pt idx="933">
                  <c:v>-8.0444257298601407</c:v>
                </c:pt>
                <c:pt idx="934">
                  <c:v>-8.0511213583798735</c:v>
                </c:pt>
                <c:pt idx="935">
                  <c:v>-8.0578170463475374</c:v>
                </c:pt>
                <c:pt idx="936">
                  <c:v>-8.0645127937624341</c:v>
                </c:pt>
                <c:pt idx="937">
                  <c:v>-8.0712086006238604</c:v>
                </c:pt>
                <c:pt idx="938">
                  <c:v>-8.0779044669311162</c:v>
                </c:pt>
                <c:pt idx="939">
                  <c:v>-8.0846003926834999</c:v>
                </c:pt>
                <c:pt idx="940">
                  <c:v>-8.0912963778803118</c:v>
                </c:pt>
                <c:pt idx="941">
                  <c:v>-8.0979924225208482</c:v>
                </c:pt>
                <c:pt idx="942">
                  <c:v>-8.1046885266044111</c:v>
                </c:pt>
                <c:pt idx="943">
                  <c:v>-8.1113846901302971</c:v>
                </c:pt>
                <c:pt idx="944">
                  <c:v>-8.1180809130978062</c:v>
                </c:pt>
                <c:pt idx="945">
                  <c:v>-8.1247771955062387</c:v>
                </c:pt>
                <c:pt idx="946">
                  <c:v>-8.131473537354891</c:v>
                </c:pt>
                <c:pt idx="947">
                  <c:v>-8.1381699386430633</c:v>
                </c:pt>
                <c:pt idx="948">
                  <c:v>-8.1448663993700556</c:v>
                </c:pt>
                <c:pt idx="949">
                  <c:v>-8.1515629195351664</c:v>
                </c:pt>
                <c:pt idx="950">
                  <c:v>-8.158259499137694</c:v>
                </c:pt>
                <c:pt idx="951">
                  <c:v>-8.1649561381769367</c:v>
                </c:pt>
                <c:pt idx="952">
                  <c:v>-8.1716528366521946</c:v>
                </c:pt>
                <c:pt idx="953">
                  <c:v>-8.178349594562766</c:v>
                </c:pt>
                <c:pt idx="954">
                  <c:v>-8.1850464119079511</c:v>
                </c:pt>
                <c:pt idx="955">
                  <c:v>-8.1917432886870483</c:v>
                </c:pt>
                <c:pt idx="956">
                  <c:v>-8.1984402248993558</c:v>
                </c:pt>
                <c:pt idx="957">
                  <c:v>-8.2051372205441737</c:v>
                </c:pt>
                <c:pt idx="958">
                  <c:v>-8.2118342756208005</c:v>
                </c:pt>
                <c:pt idx="959">
                  <c:v>-8.2185313901285362</c:v>
                </c:pt>
                <c:pt idx="960">
                  <c:v>-8.2252285640666791</c:v>
                </c:pt>
                <c:pt idx="961">
                  <c:v>-8.2319257974345277</c:v>
                </c:pt>
                <c:pt idx="962">
                  <c:v>-8.2386230902313802</c:v>
                </c:pt>
                <c:pt idx="963">
                  <c:v>-8.2453204424565367</c:v>
                </c:pt>
                <c:pt idx="964">
                  <c:v>-8.2520178541092974</c:v>
                </c:pt>
                <c:pt idx="965">
                  <c:v>-8.2587153251889589</c:v>
                </c:pt>
                <c:pt idx="966">
                  <c:v>-8.2654128556948212</c:v>
                </c:pt>
                <c:pt idx="967">
                  <c:v>-8.2721104456261845</c:v>
                </c:pt>
                <c:pt idx="968">
                  <c:v>-8.278808094982347</c:v>
                </c:pt>
                <c:pt idx="969">
                  <c:v>-8.2855058037626073</c:v>
                </c:pt>
                <c:pt idx="970">
                  <c:v>-8.2922035719662635</c:v>
                </c:pt>
                <c:pt idx="971">
                  <c:v>-8.2989013995926157</c:v>
                </c:pt>
                <c:pt idx="972">
                  <c:v>-8.3055992866409643</c:v>
                </c:pt>
                <c:pt idx="973">
                  <c:v>-8.3122972331106055</c:v>
                </c:pt>
                <c:pt idx="974">
                  <c:v>-8.3189952390008397</c:v>
                </c:pt>
                <c:pt idx="975">
                  <c:v>-8.3256933043109669</c:v>
                </c:pt>
                <c:pt idx="976">
                  <c:v>-8.3323914290402854</c:v>
                </c:pt>
                <c:pt idx="977">
                  <c:v>-8.3390896131880936</c:v>
                </c:pt>
                <c:pt idx="978">
                  <c:v>-8.3457878567536898</c:v>
                </c:pt>
                <c:pt idx="979">
                  <c:v>-8.3524861597363742</c:v>
                </c:pt>
                <c:pt idx="980">
                  <c:v>-8.3591845221354468</c:v>
                </c:pt>
                <c:pt idx="981">
                  <c:v>-8.3658829439502043</c:v>
                </c:pt>
                <c:pt idx="982">
                  <c:v>-8.3725814251799466</c:v>
                </c:pt>
                <c:pt idx="983">
                  <c:v>-8.3792799658239741</c:v>
                </c:pt>
                <c:pt idx="984">
                  <c:v>-8.3859785658815849</c:v>
                </c:pt>
                <c:pt idx="985">
                  <c:v>-8.3926772253520774</c:v>
                </c:pt>
                <c:pt idx="986">
                  <c:v>-8.39937594423475</c:v>
                </c:pt>
                <c:pt idx="987">
                  <c:v>-8.4060747225289028</c:v>
                </c:pt>
                <c:pt idx="988">
                  <c:v>-8.4127735602338358</c:v>
                </c:pt>
                <c:pt idx="989">
                  <c:v>-8.4194724573488475</c:v>
                </c:pt>
                <c:pt idx="990">
                  <c:v>-8.4261714138732362</c:v>
                </c:pt>
                <c:pt idx="991">
                  <c:v>-8.4328704298063002</c:v>
                </c:pt>
                <c:pt idx="992">
                  <c:v>-8.4395695051473396</c:v>
                </c:pt>
                <c:pt idx="993">
                  <c:v>-8.4462686398956528</c:v>
                </c:pt>
                <c:pt idx="994">
                  <c:v>-8.4529678340505399</c:v>
                </c:pt>
                <c:pt idx="995">
                  <c:v>-8.4596670876112992</c:v>
                </c:pt>
                <c:pt idx="996">
                  <c:v>-8.4663664005772308</c:v>
                </c:pt>
                <c:pt idx="997">
                  <c:v>-8.4730657729476313</c:v>
                </c:pt>
                <c:pt idx="998">
                  <c:v>-8.4797652047218026</c:v>
                </c:pt>
                <c:pt idx="999">
                  <c:v>-8.4864646958990413</c:v>
                </c:pt>
                <c:pt idx="1000">
                  <c:v>-8.4931642464786474</c:v>
                </c:pt>
              </c:numCache>
            </c:numRef>
          </c:yVal>
          <c:smooth val="0"/>
          <c:extLst>
            <c:ext xmlns:c16="http://schemas.microsoft.com/office/drawing/2014/chart" uri="{C3380CC4-5D6E-409C-BE32-E72D297353CC}">
              <c16:uniqueId val="{00000001-FEE0-4D51-B339-CB2A416A37BF}"/>
            </c:ext>
          </c:extLst>
        </c:ser>
        <c:dLbls>
          <c:showLegendKey val="0"/>
          <c:showVal val="0"/>
          <c:showCatName val="0"/>
          <c:showSerName val="0"/>
          <c:showPercent val="0"/>
          <c:showBubbleSize val="0"/>
        </c:dLbls>
        <c:axId val="678623136"/>
        <c:axId val="1"/>
      </c:scatterChart>
      <c:valAx>
        <c:axId val="678623136"/>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54E-2"/>
              <c:y val="0.3006546240543461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678623136"/>
        <c:crosses val="autoZero"/>
        <c:crossBetween val="midCat"/>
      </c:valAx>
      <c:spPr>
        <a:noFill/>
        <a:ln w="12700">
          <a:solidFill>
            <a:srgbClr val="808080"/>
          </a:solidFill>
          <a:prstDash val="solid"/>
        </a:ln>
      </c:spPr>
    </c:plotArea>
    <c:legend>
      <c:legendPos val="r"/>
      <c:layout>
        <c:manualLayout>
          <c:xMode val="edge"/>
          <c:yMode val="edge"/>
          <c:wMode val="edge"/>
          <c:hMode val="edge"/>
          <c:x val="0.83018867924528306"/>
          <c:y val="0.49346576775942219"/>
          <c:w val="0.96698113207547176"/>
          <c:h val="0.65032885595182943"/>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Pandora</c:v>
            </c:pt>
          </c:strCache>
        </c:strRef>
      </c:tx>
      <c:layout>
        <c:manualLayout>
          <c:xMode val="edge"/>
          <c:yMode val="edge"/>
          <c:x val="0.47127079524771087"/>
          <c:y val="3.917870044842181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19E-2"/>
          <c:y val="5.5426586068345704E-2"/>
          <c:w val="0.88973722710617953"/>
          <c:h val="0.82390179871348945"/>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0.02</c:v>
                </c:pt>
                <c:pt idx="2">
                  <c:v>0.04</c:v>
                </c:pt>
                <c:pt idx="3">
                  <c:v>0.62</c:v>
                </c:pt>
                <c:pt idx="4">
                  <c:v>0.66</c:v>
                </c:pt>
                <c:pt idx="5">
                  <c:v>0.68</c:v>
                </c:pt>
                <c:pt idx="6">
                  <c:v>0.8</c:v>
                </c:pt>
                <c:pt idx="7">
                  <c:v>0.84</c:v>
                </c:pt>
                <c:pt idx="8">
                  <c:v>0.88</c:v>
                </c:pt>
                <c:pt idx="9">
                  <c:v>0.92</c:v>
                </c:pt>
                <c:pt idx="10">
                  <c:v>0.96</c:v>
                </c:pt>
                <c:pt idx="11">
                  <c:v>1</c:v>
                </c:pt>
                <c:pt idx="12">
                  <c:v>1.08</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250</c:v>
                </c:pt>
                <c:pt idx="2">
                  <c:v>210</c:v>
                </c:pt>
                <c:pt idx="3">
                  <c:v>160</c:v>
                </c:pt>
                <c:pt idx="4">
                  <c:v>150</c:v>
                </c:pt>
                <c:pt idx="5">
                  <c:v>142</c:v>
                </c:pt>
                <c:pt idx="6">
                  <c:v>62</c:v>
                </c:pt>
                <c:pt idx="7">
                  <c:v>48</c:v>
                </c:pt>
                <c:pt idx="8">
                  <c:v>34</c:v>
                </c:pt>
                <c:pt idx="9">
                  <c:v>24</c:v>
                </c:pt>
                <c:pt idx="10">
                  <c:v>15</c:v>
                </c:pt>
                <c:pt idx="11">
                  <c:v>10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2333-459F-94A4-83AA54796DD8}"/>
            </c:ext>
          </c:extLst>
        </c:ser>
        <c:dLbls>
          <c:showLegendKey val="0"/>
          <c:showVal val="0"/>
          <c:showCatName val="0"/>
          <c:showSerName val="0"/>
          <c:showPercent val="0"/>
          <c:showBubbleSize val="0"/>
        </c:dLbls>
        <c:axId val="678622152"/>
        <c:axId val="1"/>
      </c:scatterChart>
      <c:valAx>
        <c:axId val="678622152"/>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1479813134"/>
              <c:y val="0.68868136870345087"/>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
        <c:crosses val="autoZero"/>
        <c:crossBetween val="midCat"/>
      </c:valAx>
      <c:valAx>
        <c:axId val="1"/>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9764297293E-2"/>
              <c:y val="0.35327657843507571"/>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678622152"/>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1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834"/>
</file>

<file path=xl/ctrlProps/ctrlProp12.xml><?xml version="1.0" encoding="utf-8"?>
<formControlPr xmlns="http://schemas.microsoft.com/office/spreadsheetml/2009/9/main" objectType="Spin" dx="15" fmlaLink="$C$11" inc="100" max="30000" noThreeD="1" page="10" val="1478"/>
</file>

<file path=xl/ctrlProps/ctrlProp13.xml><?xml version="1.0" encoding="utf-8"?>
<formControlPr xmlns="http://schemas.microsoft.com/office/spreadsheetml/2009/9/main" objectType="Spin" dx="15" fmlaLink="$C$11" inc="100" max="30000" noThreeD="1" page="10" val="1478"/>
</file>

<file path=xl/ctrlProps/ctrlProp14.xml><?xml version="1.0" encoding="utf-8"?>
<formControlPr xmlns="http://schemas.microsoft.com/office/spreadsheetml/2009/9/main" objectType="Spin" dx="15" fmlaLink="$C$13" inc="50" max="30000" noThreeD="1" page="10" val="834"/>
</file>

<file path=xl/ctrlProps/ctrlProp15.xml><?xml version="1.0" encoding="utf-8"?>
<formControlPr xmlns="http://schemas.microsoft.com/office/spreadsheetml/2009/9/main" objectType="Spin" dx="15" fmlaLink="Stabilito!C11" inc="100" max="30000" noThreeD="1" page="10" val="1478"/>
</file>

<file path=xl/ctrlProps/ctrlProp16.xml><?xml version="1.0" encoding="utf-8"?>
<formControlPr xmlns="http://schemas.microsoft.com/office/spreadsheetml/2009/9/main" objectType="Spin" dx="15" fmlaLink="$B$43" inc="50" max="30000" noThreeD="1" page="10" val="240"/>
</file>

<file path=xl/ctrlProps/ctrlProp17.xml><?xml version="1.0" encoding="utf-8"?>
<formControlPr xmlns="http://schemas.microsoft.com/office/spreadsheetml/2009/9/main" objectType="Spin" dx="15" fmlaLink="$B$45" inc="50" max="30000" noThreeD="1" page="10" val="240"/>
</file>

<file path=xl/ctrlProps/ctrlProp18.xml><?xml version="1.0" encoding="utf-8"?>
<formControlPr xmlns="http://schemas.microsoft.com/office/spreadsheetml/2009/9/main" objectType="Spin" dx="15" fmlaLink="$B$51" inc="50" max="30000" noThreeD="1" page="10" val="250"/>
</file>

<file path=xl/ctrlProps/ctrlProp19.xml><?xml version="1.0" encoding="utf-8"?>
<formControlPr xmlns="http://schemas.microsoft.com/office/spreadsheetml/2009/9/main" objectType="Spin" dx="15" fmlaLink="$B$53" inc="5" max="30000" noThreeD="1" page="10" val="30"/>
</file>

<file path=xl/ctrlProps/ctrlProp2.xml><?xml version="1.0" encoding="utf-8"?>
<formControlPr xmlns="http://schemas.microsoft.com/office/spreadsheetml/2009/9/main" objectType="Spin" dx="15" fmlaLink="$C$11" inc="100" max="30000" noThreeD="1" page="10" val="1478"/>
</file>

<file path=xl/ctrlProps/ctrlProp20.xml><?xml version="1.0" encoding="utf-8"?>
<formControlPr xmlns="http://schemas.microsoft.com/office/spreadsheetml/2009/9/main" objectType="Spin" dx="15" fmlaLink="Stabilito!C11" inc="100" max="30000" noThreeD="1" page="10" val="1478"/>
</file>

<file path=xl/ctrlProps/ctrlProp21.xml><?xml version="1.0" encoding="utf-8"?>
<formControlPr xmlns="http://schemas.microsoft.com/office/spreadsheetml/2009/9/main" objectType="Spin" dx="15" fmlaLink="Stabilito!C11" inc="100" max="30000" noThreeD="1" page="10" val="1478"/>
</file>

<file path=xl/ctrlProps/ctrlProp3.xml><?xml version="1.0" encoding="utf-8"?>
<formControlPr xmlns="http://schemas.microsoft.com/office/spreadsheetml/2009/9/main" objectType="Spin" dx="15" fmlaLink="$C$12" inc="50" max="30000" noThreeD="1" page="10" val="490"/>
</file>

<file path=xl/ctrlProps/ctrlProp4.xml><?xml version="1.0" encoding="utf-8"?>
<formControlPr xmlns="http://schemas.microsoft.com/office/spreadsheetml/2009/9/main" objectType="Spin" dx="15" fmlaLink="$C$23" inc="20" max="30000" noThreeD="1" page="10" val="60"/>
</file>

<file path=xl/ctrlProps/ctrlProp5.xml><?xml version="1.0" encoding="utf-8"?>
<formControlPr xmlns="http://schemas.microsoft.com/office/spreadsheetml/2009/9/main" objectType="Spin" dx="15" fmlaLink="$C$27" inc="10" max="30000" noThreeD="1" page="10" val="90"/>
</file>

<file path=xl/ctrlProps/ctrlProp6.xml><?xml version="1.0" encoding="utf-8"?>
<formControlPr xmlns="http://schemas.microsoft.com/office/spreadsheetml/2009/9/main" objectType="Spin" dx="15" fmlaLink="$C$28" inc="10" max="30000" noThreeD="1" page="10" val="30"/>
</file>

<file path=xl/ctrlProps/ctrlProp7.xml><?xml version="1.0" encoding="utf-8"?>
<formControlPr xmlns="http://schemas.microsoft.com/office/spreadsheetml/2009/9/main" objectType="Spin" dx="15" fmlaLink="$C$29" inc="10" max="30000" noThreeD="1" page="10" val="30"/>
</file>

<file path=xl/ctrlProps/ctrlProp8.xml><?xml version="1.0" encoding="utf-8"?>
<formControlPr xmlns="http://schemas.microsoft.com/office/spreadsheetml/2009/9/main" objectType="Spin" dx="15" fmlaLink="$C$30" inc="10" max="30000" noThreeD="1" page="10" val="10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4.emf"/><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28575</xdr:colOff>
      <xdr:row>1</xdr:row>
      <xdr:rowOff>28575</xdr:rowOff>
    </xdr:from>
    <xdr:to>
      <xdr:col>12</xdr:col>
      <xdr:colOff>466725</xdr:colOff>
      <xdr:row>1</xdr:row>
      <xdr:rowOff>142875</xdr:rowOff>
    </xdr:to>
    <xdr:grpSp>
      <xdr:nvGrpSpPr>
        <xdr:cNvPr id="5097400" name="Groupe 1">
          <a:extLst>
            <a:ext uri="{FF2B5EF4-FFF2-40B4-BE49-F238E27FC236}">
              <a16:creationId xmlns:a16="http://schemas.microsoft.com/office/drawing/2014/main" id="{00000000-0008-0000-0000-0000B8C74D00}"/>
            </a:ext>
          </a:extLst>
        </xdr:cNvPr>
        <xdr:cNvGrpSpPr>
          <a:grpSpLocks/>
        </xdr:cNvGrpSpPr>
      </xdr:nvGrpSpPr>
      <xdr:grpSpPr bwMode="auto">
        <a:xfrm>
          <a:off x="7372350" y="190500"/>
          <a:ext cx="438150" cy="114300"/>
          <a:chOff x="7067550" y="190500"/>
          <a:chExt cx="438150" cy="114300"/>
        </a:xfrm>
      </xdr:grpSpPr>
      <xdr:pic>
        <xdr:nvPicPr>
          <xdr:cNvPr id="5097406" name="Image 1">
            <a:extLst>
              <a:ext uri="{FF2B5EF4-FFF2-40B4-BE49-F238E27FC236}">
                <a16:creationId xmlns:a16="http://schemas.microsoft.com/office/drawing/2014/main" id="{00000000-0008-0000-0000-0000BEC74D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190500"/>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97407" name="Image 2">
            <a:extLst>
              <a:ext uri="{FF2B5EF4-FFF2-40B4-BE49-F238E27FC236}">
                <a16:creationId xmlns:a16="http://schemas.microsoft.com/office/drawing/2014/main" id="{00000000-0008-0000-0000-0000BFC74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77100" y="190500"/>
            <a:ext cx="2286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4</xdr:col>
      <xdr:colOff>266700</xdr:colOff>
      <xdr:row>1</xdr:row>
      <xdr:rowOff>0</xdr:rowOff>
    </xdr:from>
    <xdr:to>
      <xdr:col>10</xdr:col>
      <xdr:colOff>0</xdr:colOff>
      <xdr:row>24</xdr:row>
      <xdr:rowOff>0</xdr:rowOff>
    </xdr:to>
    <xdr:graphicFrame macro="">
      <xdr:nvGraphicFramePr>
        <xdr:cNvPr id="5097401" name="Graphique 9">
          <a:extLst>
            <a:ext uri="{FF2B5EF4-FFF2-40B4-BE49-F238E27FC236}">
              <a16:creationId xmlns:a16="http://schemas.microsoft.com/office/drawing/2014/main" id="{00000000-0008-0000-0000-0000B9C7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7402" name="Graphique 19">
          <a:extLst>
            <a:ext uri="{FF2B5EF4-FFF2-40B4-BE49-F238E27FC236}">
              <a16:creationId xmlns:a16="http://schemas.microsoft.com/office/drawing/2014/main" id="{00000000-0008-0000-0000-0000BAC7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942975</xdr:colOff>
      <xdr:row>4</xdr:row>
      <xdr:rowOff>152400</xdr:rowOff>
    </xdr:to>
    <xdr:pic>
      <xdr:nvPicPr>
        <xdr:cNvPr id="5097403" name="Picture 8" descr="logoplasci">
          <a:extLst>
            <a:ext uri="{FF2B5EF4-FFF2-40B4-BE49-F238E27FC236}">
              <a16:creationId xmlns:a16="http://schemas.microsoft.com/office/drawing/2014/main" id="{00000000-0008-0000-0000-0000BBC74D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875" y="161925"/>
          <a:ext cx="9429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37</xdr:row>
      <xdr:rowOff>0</xdr:rowOff>
    </xdr:from>
    <xdr:to>
      <xdr:col>2</xdr:col>
      <xdr:colOff>819150</xdr:colOff>
      <xdr:row>48</xdr:row>
      <xdr:rowOff>66675</xdr:rowOff>
    </xdr:to>
    <xdr:pic>
      <xdr:nvPicPr>
        <xdr:cNvPr id="5097404" name="Image 1">
          <a:extLst>
            <a:ext uri="{FF2B5EF4-FFF2-40B4-BE49-F238E27FC236}">
              <a16:creationId xmlns:a16="http://schemas.microsoft.com/office/drawing/2014/main" id="{00000000-0008-0000-0000-0000BCC74D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875" y="5991225"/>
          <a:ext cx="19050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0</xdr:colOff>
      <xdr:row>3</xdr:row>
      <xdr:rowOff>9525</xdr:rowOff>
    </xdr:from>
    <xdr:to>
      <xdr:col>20</xdr:col>
      <xdr:colOff>542925</xdr:colOff>
      <xdr:row>9</xdr:row>
      <xdr:rowOff>9525</xdr:rowOff>
    </xdr:to>
    <xdr:pic>
      <xdr:nvPicPr>
        <xdr:cNvPr id="5097405" name="Image 2">
          <a:extLst>
            <a:ext uri="{FF2B5EF4-FFF2-40B4-BE49-F238E27FC236}">
              <a16:creationId xmlns:a16="http://schemas.microsoft.com/office/drawing/2014/main" id="{00000000-0008-0000-0000-0000BDC74D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44025" y="495300"/>
          <a:ext cx="20669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714375</xdr:colOff>
          <xdr:row>21</xdr:row>
          <xdr:rowOff>9525</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10</xdr:row>
          <xdr:rowOff>9525</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11</xdr:row>
          <xdr:rowOff>9525</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714375</xdr:colOff>
          <xdr:row>22</xdr:row>
          <xdr:rowOff>9525</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26</xdr:row>
          <xdr:rowOff>9525</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27</xdr:row>
          <xdr:rowOff>9525</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28</xdr:row>
          <xdr:rowOff>9525</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29</xdr:row>
          <xdr:rowOff>9525</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30</xdr:row>
          <xdr:rowOff>9525</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714375</xdr:colOff>
          <xdr:row>31</xdr:row>
          <xdr:rowOff>9525</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714375</xdr:colOff>
          <xdr:row>12</xdr:row>
          <xdr:rowOff>9525</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714375</xdr:colOff>
          <xdr:row>17</xdr:row>
          <xdr:rowOff>9525</xdr:rowOff>
        </xdr:from>
        <xdr:to>
          <xdr:col>4</xdr:col>
          <xdr:colOff>0</xdr:colOff>
          <xdr:row>18</xdr:row>
          <xdr:rowOff>0</xdr:rowOff>
        </xdr:to>
        <xdr:sp macro="" textlink="">
          <xdr:nvSpPr>
            <xdr:cNvPr id="5097383" name="Spinner 4007" hidden="1">
              <a:extLst>
                <a:ext uri="{63B3BB69-23CF-44E3-9099-C40C66FF867C}">
                  <a14:compatExt spid="_x0000_s5097383"/>
                </a:ext>
                <a:ext uri="{FF2B5EF4-FFF2-40B4-BE49-F238E27FC236}">
                  <a16:creationId xmlns:a16="http://schemas.microsoft.com/office/drawing/2014/main" id="{00000000-0008-0000-0000-0000A7C7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5606016" name="Graphique 1">
          <a:extLst>
            <a:ext uri="{FF2B5EF4-FFF2-40B4-BE49-F238E27FC236}">
              <a16:creationId xmlns:a16="http://schemas.microsoft.com/office/drawing/2014/main" id="{00000000-0008-0000-0100-0000808A5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5606017" name="Graphique 2">
          <a:extLst>
            <a:ext uri="{FF2B5EF4-FFF2-40B4-BE49-F238E27FC236}">
              <a16:creationId xmlns:a16="http://schemas.microsoft.com/office/drawing/2014/main" id="{00000000-0008-0000-0100-0000818A5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942975</xdr:colOff>
      <xdr:row>4</xdr:row>
      <xdr:rowOff>152400</xdr:rowOff>
    </xdr:to>
    <xdr:pic>
      <xdr:nvPicPr>
        <xdr:cNvPr id="5606018" name="Picture 8" descr="logoplasci">
          <a:extLst>
            <a:ext uri="{FF2B5EF4-FFF2-40B4-BE49-F238E27FC236}">
              <a16:creationId xmlns:a16="http://schemas.microsoft.com/office/drawing/2014/main" id="{00000000-0008-0000-0100-0000828A55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61925"/>
          <a:ext cx="9429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133350</xdr:colOff>
      <xdr:row>38</xdr:row>
      <xdr:rowOff>114300</xdr:rowOff>
    </xdr:from>
    <xdr:to>
      <xdr:col>3</xdr:col>
      <xdr:colOff>695325</xdr:colOff>
      <xdr:row>46</xdr:row>
      <xdr:rowOff>0</xdr:rowOff>
    </xdr:to>
    <xdr:grpSp>
      <xdr:nvGrpSpPr>
        <xdr:cNvPr id="5606019" name="Groupe 1">
          <a:extLst>
            <a:ext uri="{FF2B5EF4-FFF2-40B4-BE49-F238E27FC236}">
              <a16:creationId xmlns:a16="http://schemas.microsoft.com/office/drawing/2014/main" id="{00000000-0008-0000-0100-0000838A5500}"/>
            </a:ext>
          </a:extLst>
        </xdr:cNvPr>
        <xdr:cNvGrpSpPr>
          <a:grpSpLocks/>
        </xdr:cNvGrpSpPr>
      </xdr:nvGrpSpPr>
      <xdr:grpSpPr bwMode="auto">
        <a:xfrm>
          <a:off x="1362075" y="6276975"/>
          <a:ext cx="1323975" cy="1181100"/>
          <a:chOff x="1362075" y="6410325"/>
          <a:chExt cx="1319468" cy="1181100"/>
        </a:xfrm>
      </xdr:grpSpPr>
      <xdr:sp macro="" textlink="">
        <xdr:nvSpPr>
          <xdr:cNvPr id="5606024" name="Line 320">
            <a:extLst>
              <a:ext uri="{FF2B5EF4-FFF2-40B4-BE49-F238E27FC236}">
                <a16:creationId xmlns:a16="http://schemas.microsoft.com/office/drawing/2014/main" id="{00000000-0008-0000-0100-0000888A55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5606025" name="Rectangle 314">
            <a:extLst>
              <a:ext uri="{FF2B5EF4-FFF2-40B4-BE49-F238E27FC236}">
                <a16:creationId xmlns:a16="http://schemas.microsoft.com/office/drawing/2014/main" id="{00000000-0008-0000-0100-0000898A55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5606026" name="Rectangle 315">
            <a:extLst>
              <a:ext uri="{FF2B5EF4-FFF2-40B4-BE49-F238E27FC236}">
                <a16:creationId xmlns:a16="http://schemas.microsoft.com/office/drawing/2014/main" id="{00000000-0008-0000-0100-00008A8A55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5606027" name="Line 316">
            <a:extLst>
              <a:ext uri="{FF2B5EF4-FFF2-40B4-BE49-F238E27FC236}">
                <a16:creationId xmlns:a16="http://schemas.microsoft.com/office/drawing/2014/main" id="{00000000-0008-0000-0100-00008B8A55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06028" name="Line 317">
            <a:extLst>
              <a:ext uri="{FF2B5EF4-FFF2-40B4-BE49-F238E27FC236}">
                <a16:creationId xmlns:a16="http://schemas.microsoft.com/office/drawing/2014/main" id="{00000000-0008-0000-0100-00008C8A55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06029" name="Line 319">
            <a:extLst>
              <a:ext uri="{FF2B5EF4-FFF2-40B4-BE49-F238E27FC236}">
                <a16:creationId xmlns:a16="http://schemas.microsoft.com/office/drawing/2014/main" id="{00000000-0008-0000-0100-00008D8A55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grpSp>
    <xdr:clientData/>
  </xdr:twoCellAnchor>
  <xdr:twoCellAnchor>
    <xdr:from>
      <xdr:col>2</xdr:col>
      <xdr:colOff>247650</xdr:colOff>
      <xdr:row>49</xdr:row>
      <xdr:rowOff>19050</xdr:rowOff>
    </xdr:from>
    <xdr:to>
      <xdr:col>3</xdr:col>
      <xdr:colOff>495300</xdr:colOff>
      <xdr:row>54</xdr:row>
      <xdr:rowOff>114300</xdr:rowOff>
    </xdr:to>
    <xdr:sp macro="" textlink="">
      <xdr:nvSpPr>
        <xdr:cNvPr id="5606020" name="Oval 323">
          <a:extLst>
            <a:ext uri="{FF2B5EF4-FFF2-40B4-BE49-F238E27FC236}">
              <a16:creationId xmlns:a16="http://schemas.microsoft.com/office/drawing/2014/main" id="{00000000-0008-0000-0100-0000848A5500}"/>
            </a:ext>
          </a:extLst>
        </xdr:cNvPr>
        <xdr:cNvSpPr>
          <a:spLocks noChangeArrowheads="1"/>
        </xdr:cNvSpPr>
      </xdr:nvSpPr>
      <xdr:spPr bwMode="auto">
        <a:xfrm>
          <a:off x="1476375" y="7962900"/>
          <a:ext cx="1009650" cy="904875"/>
        </a:xfrm>
        <a:prstGeom prst="ellipse">
          <a:avLst/>
        </a:prstGeom>
        <a:solidFill>
          <a:srgbClr val="F2F2F2"/>
        </a:solidFill>
        <a:ln w="9525">
          <a:solidFill>
            <a:srgbClr val="000000"/>
          </a:solidFill>
          <a:round/>
          <a:headEnd/>
          <a:tailEnd/>
        </a:ln>
      </xdr:spPr>
    </xdr:sp>
    <xdr:clientData/>
  </xdr:twoCellAnchor>
  <xdr:twoCellAnchor>
    <xdr:from>
      <xdr:col>2</xdr:col>
      <xdr:colOff>666750</xdr:colOff>
      <xdr:row>51</xdr:row>
      <xdr:rowOff>57150</xdr:rowOff>
    </xdr:from>
    <xdr:to>
      <xdr:col>3</xdr:col>
      <xdr:colOff>85725</xdr:colOff>
      <xdr:row>52</xdr:row>
      <xdr:rowOff>76200</xdr:rowOff>
    </xdr:to>
    <xdr:sp macro="" textlink="">
      <xdr:nvSpPr>
        <xdr:cNvPr id="5606021" name="Oval 323">
          <a:extLst>
            <a:ext uri="{FF2B5EF4-FFF2-40B4-BE49-F238E27FC236}">
              <a16:creationId xmlns:a16="http://schemas.microsoft.com/office/drawing/2014/main" id="{00000000-0008-0000-0100-0000858A5500}"/>
            </a:ext>
          </a:extLst>
        </xdr:cNvPr>
        <xdr:cNvSpPr>
          <a:spLocks noChangeArrowheads="1"/>
        </xdr:cNvSpPr>
      </xdr:nvSpPr>
      <xdr:spPr bwMode="auto">
        <a:xfrm>
          <a:off x="1895475" y="8324850"/>
          <a:ext cx="180975" cy="180975"/>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142875</xdr:rowOff>
    </xdr:to>
    <xdr:sp macro="" textlink="">
      <xdr:nvSpPr>
        <xdr:cNvPr id="5606022" name="Line 324">
          <a:extLst>
            <a:ext uri="{FF2B5EF4-FFF2-40B4-BE49-F238E27FC236}">
              <a16:creationId xmlns:a16="http://schemas.microsoft.com/office/drawing/2014/main" id="{00000000-0008-0000-0100-0000868A5500}"/>
            </a:ext>
          </a:extLst>
        </xdr:cNvPr>
        <xdr:cNvSpPr>
          <a:spLocks noChangeShapeType="1"/>
        </xdr:cNvSpPr>
      </xdr:nvSpPr>
      <xdr:spPr bwMode="auto">
        <a:xfrm>
          <a:off x="1990725" y="7962900"/>
          <a:ext cx="0" cy="4476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51</xdr:row>
      <xdr:rowOff>142875</xdr:rowOff>
    </xdr:from>
    <xdr:to>
      <xdr:col>3</xdr:col>
      <xdr:colOff>0</xdr:colOff>
      <xdr:row>52</xdr:row>
      <xdr:rowOff>85725</xdr:rowOff>
    </xdr:to>
    <xdr:sp macro="" textlink="">
      <xdr:nvSpPr>
        <xdr:cNvPr id="5606023" name="Line 324">
          <a:extLst>
            <a:ext uri="{FF2B5EF4-FFF2-40B4-BE49-F238E27FC236}">
              <a16:creationId xmlns:a16="http://schemas.microsoft.com/office/drawing/2014/main" id="{00000000-0008-0000-0100-0000878A5500}"/>
            </a:ext>
          </a:extLst>
        </xdr:cNvPr>
        <xdr:cNvSpPr>
          <a:spLocks noChangeShapeType="1"/>
        </xdr:cNvSpPr>
      </xdr:nvSpPr>
      <xdr:spPr bwMode="auto">
        <a:xfrm flipH="1">
          <a:off x="1990725" y="8410575"/>
          <a:ext cx="0" cy="104775"/>
        </a:xfrm>
        <a:prstGeom prst="line">
          <a:avLst/>
        </a:prstGeom>
        <a:noFill/>
        <a:ln w="9525">
          <a:solidFill>
            <a:srgbClr val="000000"/>
          </a:solidFill>
          <a:round/>
          <a:headEnd type="triangle" w="sm" len="sm"/>
          <a:tailEnd type="triangle" w="sm" len="sm"/>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xdr:from>
          <xdr:col>3</xdr:col>
          <xdr:colOff>619125</xdr:colOff>
          <xdr:row>9</xdr:row>
          <xdr:rowOff>9525</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942975</xdr:colOff>
          <xdr:row>42</xdr:row>
          <xdr:rowOff>9525</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942975</xdr:colOff>
          <xdr:row>44</xdr:row>
          <xdr:rowOff>9525</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942975</xdr:colOff>
          <xdr:row>50</xdr:row>
          <xdr:rowOff>9525</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93</xdr:row>
          <xdr:rowOff>66675</xdr:rowOff>
        </xdr:from>
        <xdr:to>
          <xdr:col>4</xdr:col>
          <xdr:colOff>57150</xdr:colOff>
          <xdr:row>99</xdr:row>
          <xdr:rowOff>76200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942975</xdr:colOff>
          <xdr:row>52</xdr:row>
          <xdr:rowOff>9525</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161925</xdr:colOff>
      <xdr:row>1</xdr:row>
      <xdr:rowOff>0</xdr:rowOff>
    </xdr:from>
    <xdr:to>
      <xdr:col>10</xdr:col>
      <xdr:colOff>619125</xdr:colOff>
      <xdr:row>19</xdr:row>
      <xdr:rowOff>0</xdr:rowOff>
    </xdr:to>
    <xdr:graphicFrame macro="">
      <xdr:nvGraphicFramePr>
        <xdr:cNvPr id="5106009" name="Graphique 1">
          <a:extLst>
            <a:ext uri="{FF2B5EF4-FFF2-40B4-BE49-F238E27FC236}">
              <a16:creationId xmlns:a16="http://schemas.microsoft.com/office/drawing/2014/main" id="{00000000-0008-0000-0200-000059E9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37</xdr:row>
      <xdr:rowOff>0</xdr:rowOff>
    </xdr:from>
    <xdr:to>
      <xdr:col>10</xdr:col>
      <xdr:colOff>619125</xdr:colOff>
      <xdr:row>55</xdr:row>
      <xdr:rowOff>0</xdr:rowOff>
    </xdr:to>
    <xdr:graphicFrame macro="">
      <xdr:nvGraphicFramePr>
        <xdr:cNvPr id="5106010" name="Graphique 2">
          <a:extLst>
            <a:ext uri="{FF2B5EF4-FFF2-40B4-BE49-F238E27FC236}">
              <a16:creationId xmlns:a16="http://schemas.microsoft.com/office/drawing/2014/main" id="{00000000-0008-0000-0200-00005AE9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19</xdr:row>
      <xdr:rowOff>0</xdr:rowOff>
    </xdr:from>
    <xdr:to>
      <xdr:col>10</xdr:col>
      <xdr:colOff>619125</xdr:colOff>
      <xdr:row>37</xdr:row>
      <xdr:rowOff>0</xdr:rowOff>
    </xdr:to>
    <xdr:graphicFrame macro="">
      <xdr:nvGraphicFramePr>
        <xdr:cNvPr id="5106011" name="Graphique 3">
          <a:extLst>
            <a:ext uri="{FF2B5EF4-FFF2-40B4-BE49-F238E27FC236}">
              <a16:creationId xmlns:a16="http://schemas.microsoft.com/office/drawing/2014/main" id="{00000000-0008-0000-0200-00005BE9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55</xdr:row>
      <xdr:rowOff>0</xdr:rowOff>
    </xdr:from>
    <xdr:to>
      <xdr:col>10</xdr:col>
      <xdr:colOff>619125</xdr:colOff>
      <xdr:row>73</xdr:row>
      <xdr:rowOff>0</xdr:rowOff>
    </xdr:to>
    <xdr:graphicFrame macro="">
      <xdr:nvGraphicFramePr>
        <xdr:cNvPr id="5106012" name="Graphique 4">
          <a:extLst>
            <a:ext uri="{FF2B5EF4-FFF2-40B4-BE49-F238E27FC236}">
              <a16:creationId xmlns:a16="http://schemas.microsoft.com/office/drawing/2014/main" id="{00000000-0008-0000-0200-00005CE9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4</xdr:row>
      <xdr:rowOff>47625</xdr:rowOff>
    </xdr:from>
    <xdr:to>
      <xdr:col>7</xdr:col>
      <xdr:colOff>219075</xdr:colOff>
      <xdr:row>19</xdr:row>
      <xdr:rowOff>133350</xdr:rowOff>
    </xdr:to>
    <xdr:graphicFrame macro="">
      <xdr:nvGraphicFramePr>
        <xdr:cNvPr id="5110871" name="Graphique 1">
          <a:extLst>
            <a:ext uri="{FF2B5EF4-FFF2-40B4-BE49-F238E27FC236}">
              <a16:creationId xmlns:a16="http://schemas.microsoft.com/office/drawing/2014/main" id="{00000000-0008-0000-0300-000057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257175</xdr:colOff>
      <xdr:row>1008</xdr:row>
      <xdr:rowOff>152400</xdr:rowOff>
    </xdr:from>
    <xdr:to>
      <xdr:col>16</xdr:col>
      <xdr:colOff>142875</xdr:colOff>
      <xdr:row>1010</xdr:row>
      <xdr:rowOff>85725</xdr:rowOff>
    </xdr:to>
    <xdr:sp macro="" textlink="">
      <xdr:nvSpPr>
        <xdr:cNvPr id="3540" name="Line 60">
          <a:extLst>
            <a:ext uri="{FF2B5EF4-FFF2-40B4-BE49-F238E27FC236}">
              <a16:creationId xmlns:a16="http://schemas.microsoft.com/office/drawing/2014/main" id="{00000000-0008-0000-0400-0000D40D0000}"/>
            </a:ext>
          </a:extLst>
        </xdr:cNvPr>
        <xdr:cNvSpPr>
          <a:spLocks noChangeShapeType="1"/>
        </xdr:cNvSpPr>
      </xdr:nvSpPr>
      <xdr:spPr bwMode="auto">
        <a:xfrm flipH="1">
          <a:off x="5486400" y="163382325"/>
          <a:ext cx="1057275" cy="2571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266700</xdr:colOff>
      <xdr:row>1011</xdr:row>
      <xdr:rowOff>95250</xdr:rowOff>
    </xdr:from>
    <xdr:to>
      <xdr:col>17</xdr:col>
      <xdr:colOff>333375</xdr:colOff>
      <xdr:row>1013</xdr:row>
      <xdr:rowOff>142875</xdr:rowOff>
    </xdr:to>
    <xdr:sp macro="" textlink="">
      <xdr:nvSpPr>
        <xdr:cNvPr id="3541" name="Line 71">
          <a:extLst>
            <a:ext uri="{FF2B5EF4-FFF2-40B4-BE49-F238E27FC236}">
              <a16:creationId xmlns:a16="http://schemas.microsoft.com/office/drawing/2014/main" id="{00000000-0008-0000-0400-0000D50D0000}"/>
            </a:ext>
          </a:extLst>
        </xdr:cNvPr>
        <xdr:cNvSpPr>
          <a:spLocks noChangeShapeType="1"/>
        </xdr:cNvSpPr>
      </xdr:nvSpPr>
      <xdr:spPr bwMode="auto">
        <a:xfrm flipH="1" flipV="1">
          <a:off x="5495925" y="163810950"/>
          <a:ext cx="1809750" cy="3714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266700</xdr:colOff>
      <xdr:row>1012</xdr:row>
      <xdr:rowOff>142875</xdr:rowOff>
    </xdr:from>
    <xdr:to>
      <xdr:col>17</xdr:col>
      <xdr:colOff>333375</xdr:colOff>
      <xdr:row>1015</xdr:row>
      <xdr:rowOff>28575</xdr:rowOff>
    </xdr:to>
    <xdr:sp macro="" textlink="">
      <xdr:nvSpPr>
        <xdr:cNvPr id="3542" name="Line 71">
          <a:extLst>
            <a:ext uri="{FF2B5EF4-FFF2-40B4-BE49-F238E27FC236}">
              <a16:creationId xmlns:a16="http://schemas.microsoft.com/office/drawing/2014/main" id="{00000000-0008-0000-0400-0000D60D0000}"/>
            </a:ext>
          </a:extLst>
        </xdr:cNvPr>
        <xdr:cNvSpPr>
          <a:spLocks noChangeShapeType="1"/>
        </xdr:cNvSpPr>
      </xdr:nvSpPr>
      <xdr:spPr bwMode="auto">
        <a:xfrm flipH="1" flipV="1">
          <a:off x="5495925" y="164020500"/>
          <a:ext cx="1809750" cy="3714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85725</xdr:rowOff>
        </xdr:from>
        <xdr:to>
          <xdr:col>20</xdr:col>
          <xdr:colOff>228600</xdr:colOff>
          <xdr:row>1013</xdr:row>
          <xdr:rowOff>19050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1024</xdr:row>
          <xdr:rowOff>133350</xdr:rowOff>
        </xdr:from>
        <xdr:to>
          <xdr:col>25</xdr:col>
          <xdr:colOff>361950</xdr:colOff>
          <xdr:row>1026</xdr:row>
          <xdr:rowOff>66675</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200025</xdr:colOff>
          <xdr:row>1006</xdr:row>
          <xdr:rowOff>19050</xdr:rowOff>
        </xdr:from>
        <xdr:to>
          <xdr:col>24</xdr:col>
          <xdr:colOff>123825</xdr:colOff>
          <xdr:row>1007</xdr:row>
          <xdr:rowOff>85725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142875</xdr:rowOff>
        </xdr:from>
        <xdr:to>
          <xdr:col>10</xdr:col>
          <xdr:colOff>466725</xdr:colOff>
          <xdr:row>1019</xdr:row>
          <xdr:rowOff>114300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152400</xdr:rowOff>
        </xdr:from>
        <xdr:to>
          <xdr:col>11</xdr:col>
          <xdr:colOff>209550</xdr:colOff>
          <xdr:row>1016</xdr:row>
          <xdr:rowOff>57150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66675</xdr:rowOff>
        </xdr:from>
        <xdr:to>
          <xdr:col>11</xdr:col>
          <xdr:colOff>190500</xdr:colOff>
          <xdr:row>1017</xdr:row>
          <xdr:rowOff>133350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57150</xdr:rowOff>
        </xdr:from>
        <xdr:to>
          <xdr:col>17</xdr:col>
          <xdr:colOff>219075</xdr:colOff>
          <xdr:row>1024</xdr:row>
          <xdr:rowOff>142875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190500</xdr:colOff>
          <xdr:row>1010</xdr:row>
          <xdr:rowOff>76200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85725</xdr:rowOff>
        </xdr:from>
        <xdr:to>
          <xdr:col>12</xdr:col>
          <xdr:colOff>190500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85725</xdr:rowOff>
        </xdr:from>
        <xdr:to>
          <xdr:col>3</xdr:col>
          <xdr:colOff>428625</xdr:colOff>
          <xdr:row>1007</xdr:row>
          <xdr:rowOff>152400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152400</xdr:rowOff>
        </xdr:from>
        <xdr:to>
          <xdr:col>16</xdr:col>
          <xdr:colOff>0</xdr:colOff>
          <xdr:row>1026</xdr:row>
          <xdr:rowOff>123825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19050</xdr:colOff>
          <xdr:row>1014</xdr:row>
          <xdr:rowOff>95250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314325</xdr:colOff>
          <xdr:row>1006</xdr:row>
          <xdr:rowOff>76200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152400</xdr:colOff>
          <xdr:row>1014</xdr:row>
          <xdr:rowOff>142875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857250</xdr:colOff>
          <xdr:row>1019</xdr:row>
          <xdr:rowOff>114300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123825</xdr:rowOff>
        </xdr:from>
        <xdr:to>
          <xdr:col>20</xdr:col>
          <xdr:colOff>457200</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142875</xdr:colOff>
          <xdr:row>1019</xdr:row>
          <xdr:rowOff>114300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104775</xdr:rowOff>
        </xdr:from>
        <xdr:to>
          <xdr:col>37</xdr:col>
          <xdr:colOff>228600</xdr:colOff>
          <xdr:row>1010</xdr:row>
          <xdr:rowOff>66675</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76200</xdr:rowOff>
        </xdr:from>
        <xdr:to>
          <xdr:col>35</xdr:col>
          <xdr:colOff>581025</xdr:colOff>
          <xdr:row>1013</xdr:row>
          <xdr:rowOff>38100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19050</xdr:rowOff>
        </xdr:from>
        <xdr:to>
          <xdr:col>11</xdr:col>
          <xdr:colOff>438150</xdr:colOff>
          <xdr:row>1038</xdr:row>
          <xdr:rowOff>19050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19050</xdr:rowOff>
        </xdr:from>
        <xdr:to>
          <xdr:col>12</xdr:col>
          <xdr:colOff>28575</xdr:colOff>
          <xdr:row>1043</xdr:row>
          <xdr:rowOff>19050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104775</xdr:rowOff>
        </xdr:from>
        <xdr:to>
          <xdr:col>20</xdr:col>
          <xdr:colOff>266700</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200025</xdr:colOff>
          <xdr:row>1007</xdr:row>
          <xdr:rowOff>95250</xdr:rowOff>
        </xdr:from>
        <xdr:to>
          <xdr:col>32</xdr:col>
          <xdr:colOff>133350</xdr:colOff>
          <xdr:row>1010</xdr:row>
          <xdr:rowOff>76200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266700</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38100</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533400</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85725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304800</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323850</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333375</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1022</xdr:row>
          <xdr:rowOff>47625</xdr:rowOff>
        </xdr:from>
        <xdr:to>
          <xdr:col>32</xdr:col>
          <xdr:colOff>209550</xdr:colOff>
          <xdr:row>1024</xdr:row>
          <xdr:rowOff>114300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19050</xdr:rowOff>
        </xdr:from>
        <xdr:to>
          <xdr:col>36</xdr:col>
          <xdr:colOff>133350</xdr:colOff>
          <xdr:row>1020</xdr:row>
          <xdr:rowOff>19050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561975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38100</xdr:rowOff>
        </xdr:from>
        <xdr:to>
          <xdr:col>35</xdr:col>
          <xdr:colOff>104775</xdr:colOff>
          <xdr:row>1023</xdr:row>
          <xdr:rowOff>38100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57150</xdr:rowOff>
        </xdr:from>
        <xdr:to>
          <xdr:col>36</xdr:col>
          <xdr:colOff>38100</xdr:colOff>
          <xdr:row>1026</xdr:row>
          <xdr:rowOff>57150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276225</xdr:colOff>
          <xdr:row>1051</xdr:row>
          <xdr:rowOff>76200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942975</xdr:colOff>
      <xdr:row>4</xdr:row>
      <xdr:rowOff>152400</xdr:rowOff>
    </xdr:to>
    <xdr:pic>
      <xdr:nvPicPr>
        <xdr:cNvPr id="2604548" name="Picture 8" descr="logoplasci">
          <a:extLst>
            <a:ext uri="{FF2B5EF4-FFF2-40B4-BE49-F238E27FC236}">
              <a16:creationId xmlns:a16="http://schemas.microsoft.com/office/drawing/2014/main" id="{00000000-0008-0000-0500-000004BE27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61925"/>
          <a:ext cx="9429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447675</xdr:colOff>
      <xdr:row>0</xdr:row>
      <xdr:rowOff>114300</xdr:rowOff>
    </xdr:from>
    <xdr:to>
      <xdr:col>12</xdr:col>
      <xdr:colOff>447675</xdr:colOff>
      <xdr:row>17</xdr:row>
      <xdr:rowOff>28575</xdr:rowOff>
    </xdr:to>
    <xdr:graphicFrame macro="">
      <xdr:nvGraphicFramePr>
        <xdr:cNvPr id="2604549" name="Graphique 2">
          <a:extLst>
            <a:ext uri="{FF2B5EF4-FFF2-40B4-BE49-F238E27FC236}">
              <a16:creationId xmlns:a16="http://schemas.microsoft.com/office/drawing/2014/main" id="{00000000-0008-0000-0500-000005BE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447675</xdr:colOff>
      <xdr:row>17</xdr:row>
      <xdr:rowOff>28575</xdr:rowOff>
    </xdr:from>
    <xdr:to>
      <xdr:col>12</xdr:col>
      <xdr:colOff>447675</xdr:colOff>
      <xdr:row>34</xdr:row>
      <xdr:rowOff>19050</xdr:rowOff>
    </xdr:to>
    <xdr:graphicFrame macro="">
      <xdr:nvGraphicFramePr>
        <xdr:cNvPr id="2604550" name="Graphique 2">
          <a:extLst>
            <a:ext uri="{FF2B5EF4-FFF2-40B4-BE49-F238E27FC236}">
              <a16:creationId xmlns:a16="http://schemas.microsoft.com/office/drawing/2014/main" id="{00000000-0008-0000-0500-000006BE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17</xdr:row>
      <xdr:rowOff>28575</xdr:rowOff>
    </xdr:from>
    <xdr:to>
      <xdr:col>6</xdr:col>
      <xdr:colOff>447675</xdr:colOff>
      <xdr:row>34</xdr:row>
      <xdr:rowOff>19050</xdr:rowOff>
    </xdr:to>
    <xdr:graphicFrame macro="">
      <xdr:nvGraphicFramePr>
        <xdr:cNvPr id="2604551" name="Graphique 2">
          <a:extLst>
            <a:ext uri="{FF2B5EF4-FFF2-40B4-BE49-F238E27FC236}">
              <a16:creationId xmlns:a16="http://schemas.microsoft.com/office/drawing/2014/main" id="{00000000-0008-0000-0500-000007BE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619125</xdr:colOff>
          <xdr:row>9</xdr:row>
          <xdr:rowOff>9525</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68</xdr:row>
          <xdr:rowOff>19050</xdr:rowOff>
        </xdr:from>
        <xdr:to>
          <xdr:col>12</xdr:col>
          <xdr:colOff>752475</xdr:colOff>
          <xdr:row>85</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619125</xdr:colOff>
          <xdr:row>10</xdr:row>
          <xdr:rowOff>9525</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33</xdr:row>
      <xdr:rowOff>28575</xdr:rowOff>
    </xdr:from>
    <xdr:to>
      <xdr:col>2</xdr:col>
      <xdr:colOff>9525</xdr:colOff>
      <xdr:row>44</xdr:row>
      <xdr:rowOff>19050</xdr:rowOff>
    </xdr:to>
    <xdr:pic>
      <xdr:nvPicPr>
        <xdr:cNvPr id="6085" name="Image 1">
          <a:extLst>
            <a:ext uri="{FF2B5EF4-FFF2-40B4-BE49-F238E27FC236}">
              <a16:creationId xmlns:a16="http://schemas.microsoft.com/office/drawing/2014/main" id="{00000000-0008-0000-0600-0000C51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372100"/>
          <a:ext cx="1171575"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1076325</xdr:colOff>
      <xdr:row>52</xdr:row>
      <xdr:rowOff>47625</xdr:rowOff>
    </xdr:from>
    <xdr:to>
      <xdr:col>10</xdr:col>
      <xdr:colOff>609600</xdr:colOff>
      <xdr:row>80</xdr:row>
      <xdr:rowOff>28575</xdr:rowOff>
    </xdr:to>
    <xdr:pic>
      <xdr:nvPicPr>
        <xdr:cNvPr id="6086" name="Image 2">
          <a:extLst>
            <a:ext uri="{FF2B5EF4-FFF2-40B4-BE49-F238E27FC236}">
              <a16:creationId xmlns:a16="http://schemas.microsoft.com/office/drawing/2014/main" id="{00000000-0008-0000-0600-0000C61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467725"/>
          <a:ext cx="7000875" cy="451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942975</xdr:colOff>
      <xdr:row>4</xdr:row>
      <xdr:rowOff>152400</xdr:rowOff>
    </xdr:to>
    <xdr:pic>
      <xdr:nvPicPr>
        <xdr:cNvPr id="6087" name="Picture 8" descr="logoplasci">
          <a:extLst>
            <a:ext uri="{FF2B5EF4-FFF2-40B4-BE49-F238E27FC236}">
              <a16:creationId xmlns:a16="http://schemas.microsoft.com/office/drawing/2014/main" id="{00000000-0008-0000-0600-0000C71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61925"/>
          <a:ext cx="9429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66675</xdr:colOff>
      <xdr:row>80</xdr:row>
      <xdr:rowOff>9525</xdr:rowOff>
    </xdr:from>
    <xdr:to>
      <xdr:col>8</xdr:col>
      <xdr:colOff>0</xdr:colOff>
      <xdr:row>102</xdr:row>
      <xdr:rowOff>104775</xdr:rowOff>
    </xdr:to>
    <xdr:grpSp>
      <xdr:nvGrpSpPr>
        <xdr:cNvPr id="6098775" name="Group 232">
          <a:extLst>
            <a:ext uri="{FF2B5EF4-FFF2-40B4-BE49-F238E27FC236}">
              <a16:creationId xmlns:a16="http://schemas.microsoft.com/office/drawing/2014/main" id="{00000000-0008-0000-0700-0000570F5D00}"/>
            </a:ext>
          </a:extLst>
        </xdr:cNvPr>
        <xdr:cNvGrpSpPr>
          <a:grpSpLocks/>
        </xdr:cNvGrpSpPr>
      </xdr:nvGrpSpPr>
      <xdr:grpSpPr bwMode="auto">
        <a:xfrm>
          <a:off x="4133850" y="13211175"/>
          <a:ext cx="2152650" cy="3752850"/>
          <a:chOff x="3421" y="5379"/>
          <a:chExt cx="2289" cy="5759"/>
        </a:xfrm>
      </xdr:grpSpPr>
      <xdr:grpSp>
        <xdr:nvGrpSpPr>
          <xdr:cNvPr id="6098879" name="Group 233">
            <a:extLst>
              <a:ext uri="{FF2B5EF4-FFF2-40B4-BE49-F238E27FC236}">
                <a16:creationId xmlns:a16="http://schemas.microsoft.com/office/drawing/2014/main" id="{00000000-0008-0000-0700-0000BF0F5D00}"/>
              </a:ext>
            </a:extLst>
          </xdr:cNvPr>
          <xdr:cNvGrpSpPr>
            <a:grpSpLocks/>
          </xdr:cNvGrpSpPr>
        </xdr:nvGrpSpPr>
        <xdr:grpSpPr bwMode="auto">
          <a:xfrm>
            <a:off x="4047" y="5379"/>
            <a:ext cx="515" cy="4096"/>
            <a:chOff x="4047" y="5379"/>
            <a:chExt cx="515" cy="4096"/>
          </a:xfrm>
        </xdr:grpSpPr>
        <xdr:sp macro="" textlink="">
          <xdr:nvSpPr>
            <xdr:cNvPr id="6098897" name="Arc 234">
              <a:extLst>
                <a:ext uri="{FF2B5EF4-FFF2-40B4-BE49-F238E27FC236}">
                  <a16:creationId xmlns:a16="http://schemas.microsoft.com/office/drawing/2014/main" id="{00000000-0008-0000-0700-0000D10F5D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a:extLst>
              <a:ext uri="{909E8E84-426E-40DD-AFC4-6F175D3DCCD1}">
                <a14:hiddenFill xmlns:a14="http://schemas.microsoft.com/office/drawing/2010/main">
                  <a:solidFill>
                    <a:srgbClr val="FFFFFF"/>
                  </a:solidFill>
                </a14:hiddenFill>
              </a:ext>
            </a:extLst>
          </xdr:spPr>
        </xdr:sp>
        <xdr:grpSp>
          <xdr:nvGrpSpPr>
            <xdr:cNvPr id="6098898" name="Group 235">
              <a:extLst>
                <a:ext uri="{FF2B5EF4-FFF2-40B4-BE49-F238E27FC236}">
                  <a16:creationId xmlns:a16="http://schemas.microsoft.com/office/drawing/2014/main" id="{00000000-0008-0000-0700-0000D20F5D00}"/>
                </a:ext>
              </a:extLst>
            </xdr:cNvPr>
            <xdr:cNvGrpSpPr>
              <a:grpSpLocks/>
            </xdr:cNvGrpSpPr>
          </xdr:nvGrpSpPr>
          <xdr:grpSpPr bwMode="auto">
            <a:xfrm>
              <a:off x="4047" y="6306"/>
              <a:ext cx="285" cy="3169"/>
              <a:chOff x="4050" y="6306"/>
              <a:chExt cx="285" cy="3169"/>
            </a:xfrm>
          </xdr:grpSpPr>
          <xdr:sp macro="" textlink="">
            <xdr:nvSpPr>
              <xdr:cNvPr id="6098899" name="Line 236">
                <a:extLst>
                  <a:ext uri="{FF2B5EF4-FFF2-40B4-BE49-F238E27FC236}">
                    <a16:creationId xmlns:a16="http://schemas.microsoft.com/office/drawing/2014/main" id="{00000000-0008-0000-0700-0000D30F5D00}"/>
                  </a:ext>
                </a:extLst>
              </xdr:cNvPr>
              <xdr:cNvSpPr>
                <a:spLocks noChangeShapeType="1"/>
              </xdr:cNvSpPr>
            </xdr:nvSpPr>
            <xdr:spPr bwMode="auto">
              <a:xfrm flipH="1">
                <a:off x="4202" y="6306"/>
                <a:ext cx="0" cy="93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900" name="Line 237">
                <a:extLst>
                  <a:ext uri="{FF2B5EF4-FFF2-40B4-BE49-F238E27FC236}">
                    <a16:creationId xmlns:a16="http://schemas.microsoft.com/office/drawing/2014/main" id="{00000000-0008-0000-0700-0000D40F5D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901" name="Line 238">
                <a:extLst>
                  <a:ext uri="{FF2B5EF4-FFF2-40B4-BE49-F238E27FC236}">
                    <a16:creationId xmlns:a16="http://schemas.microsoft.com/office/drawing/2014/main" id="{00000000-0008-0000-0700-0000D50F5D00}"/>
                  </a:ext>
                </a:extLst>
              </xdr:cNvPr>
              <xdr:cNvSpPr>
                <a:spLocks noChangeShapeType="1"/>
              </xdr:cNvSpPr>
            </xdr:nvSpPr>
            <xdr:spPr bwMode="auto">
              <a:xfrm>
                <a:off x="4050" y="7496"/>
                <a:ext cx="0" cy="64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902" name="Line 239">
                <a:extLst>
                  <a:ext uri="{FF2B5EF4-FFF2-40B4-BE49-F238E27FC236}">
                    <a16:creationId xmlns:a16="http://schemas.microsoft.com/office/drawing/2014/main" id="{00000000-0008-0000-0700-0000D60F5D00}"/>
                  </a:ext>
                </a:extLst>
              </xdr:cNvPr>
              <xdr:cNvSpPr>
                <a:spLocks noChangeShapeType="1"/>
              </xdr:cNvSpPr>
            </xdr:nvSpPr>
            <xdr:spPr bwMode="auto">
              <a:xfrm>
                <a:off x="4050" y="8138"/>
                <a:ext cx="285" cy="367"/>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903" name="Line 240">
                <a:extLst>
                  <a:ext uri="{FF2B5EF4-FFF2-40B4-BE49-F238E27FC236}">
                    <a16:creationId xmlns:a16="http://schemas.microsoft.com/office/drawing/2014/main" id="{00000000-0008-0000-0700-0000D70F5D00}"/>
                  </a:ext>
                </a:extLst>
              </xdr:cNvPr>
              <xdr:cNvSpPr>
                <a:spLocks noChangeShapeType="1"/>
              </xdr:cNvSpPr>
            </xdr:nvSpPr>
            <xdr:spPr bwMode="auto">
              <a:xfrm>
                <a:off x="4335" y="8505"/>
                <a:ext cx="0" cy="970"/>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grpSp>
      </xdr:grpSp>
      <xdr:grpSp>
        <xdr:nvGrpSpPr>
          <xdr:cNvPr id="6098880" name="Group 241">
            <a:extLst>
              <a:ext uri="{FF2B5EF4-FFF2-40B4-BE49-F238E27FC236}">
                <a16:creationId xmlns:a16="http://schemas.microsoft.com/office/drawing/2014/main" id="{00000000-0008-0000-0700-0000C00F5D00}"/>
              </a:ext>
            </a:extLst>
          </xdr:cNvPr>
          <xdr:cNvGrpSpPr>
            <a:grpSpLocks/>
          </xdr:cNvGrpSpPr>
        </xdr:nvGrpSpPr>
        <xdr:grpSpPr bwMode="auto">
          <a:xfrm flipH="1">
            <a:off x="4560" y="5379"/>
            <a:ext cx="515" cy="4096"/>
            <a:chOff x="4047" y="5379"/>
            <a:chExt cx="515" cy="4096"/>
          </a:xfrm>
        </xdr:grpSpPr>
        <xdr:sp macro="" textlink="">
          <xdr:nvSpPr>
            <xdr:cNvPr id="6098890" name="Arc 242">
              <a:extLst>
                <a:ext uri="{FF2B5EF4-FFF2-40B4-BE49-F238E27FC236}">
                  <a16:creationId xmlns:a16="http://schemas.microsoft.com/office/drawing/2014/main" id="{00000000-0008-0000-0700-0000CA0F5D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a:extLst>
              <a:ext uri="{909E8E84-426E-40DD-AFC4-6F175D3DCCD1}">
                <a14:hiddenFill xmlns:a14="http://schemas.microsoft.com/office/drawing/2010/main">
                  <a:solidFill>
                    <a:srgbClr val="FFFFFF"/>
                  </a:solidFill>
                </a14:hiddenFill>
              </a:ext>
            </a:extLst>
          </xdr:spPr>
        </xdr:sp>
        <xdr:grpSp>
          <xdr:nvGrpSpPr>
            <xdr:cNvPr id="6098891" name="Group 243">
              <a:extLst>
                <a:ext uri="{FF2B5EF4-FFF2-40B4-BE49-F238E27FC236}">
                  <a16:creationId xmlns:a16="http://schemas.microsoft.com/office/drawing/2014/main" id="{00000000-0008-0000-0700-0000CB0F5D00}"/>
                </a:ext>
              </a:extLst>
            </xdr:cNvPr>
            <xdr:cNvGrpSpPr>
              <a:grpSpLocks/>
            </xdr:cNvGrpSpPr>
          </xdr:nvGrpSpPr>
          <xdr:grpSpPr bwMode="auto">
            <a:xfrm>
              <a:off x="4047" y="6306"/>
              <a:ext cx="285" cy="3169"/>
              <a:chOff x="4050" y="6306"/>
              <a:chExt cx="285" cy="3169"/>
            </a:xfrm>
          </xdr:grpSpPr>
          <xdr:sp macro="" textlink="">
            <xdr:nvSpPr>
              <xdr:cNvPr id="6098892" name="Line 244">
                <a:extLst>
                  <a:ext uri="{FF2B5EF4-FFF2-40B4-BE49-F238E27FC236}">
                    <a16:creationId xmlns:a16="http://schemas.microsoft.com/office/drawing/2014/main" id="{00000000-0008-0000-0700-0000CC0F5D00}"/>
                  </a:ext>
                </a:extLst>
              </xdr:cNvPr>
              <xdr:cNvSpPr>
                <a:spLocks noChangeShapeType="1"/>
              </xdr:cNvSpPr>
            </xdr:nvSpPr>
            <xdr:spPr bwMode="auto">
              <a:xfrm flipH="1">
                <a:off x="4202" y="6306"/>
                <a:ext cx="0" cy="93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93" name="Line 245">
                <a:extLst>
                  <a:ext uri="{FF2B5EF4-FFF2-40B4-BE49-F238E27FC236}">
                    <a16:creationId xmlns:a16="http://schemas.microsoft.com/office/drawing/2014/main" id="{00000000-0008-0000-0700-0000CD0F5D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94" name="Line 246">
                <a:extLst>
                  <a:ext uri="{FF2B5EF4-FFF2-40B4-BE49-F238E27FC236}">
                    <a16:creationId xmlns:a16="http://schemas.microsoft.com/office/drawing/2014/main" id="{00000000-0008-0000-0700-0000CE0F5D00}"/>
                  </a:ext>
                </a:extLst>
              </xdr:cNvPr>
              <xdr:cNvSpPr>
                <a:spLocks noChangeShapeType="1"/>
              </xdr:cNvSpPr>
            </xdr:nvSpPr>
            <xdr:spPr bwMode="auto">
              <a:xfrm>
                <a:off x="4050" y="7496"/>
                <a:ext cx="0" cy="64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95" name="Line 247">
                <a:extLst>
                  <a:ext uri="{FF2B5EF4-FFF2-40B4-BE49-F238E27FC236}">
                    <a16:creationId xmlns:a16="http://schemas.microsoft.com/office/drawing/2014/main" id="{00000000-0008-0000-0700-0000CF0F5D00}"/>
                  </a:ext>
                </a:extLst>
              </xdr:cNvPr>
              <xdr:cNvSpPr>
                <a:spLocks noChangeShapeType="1"/>
              </xdr:cNvSpPr>
            </xdr:nvSpPr>
            <xdr:spPr bwMode="auto">
              <a:xfrm>
                <a:off x="4050" y="8138"/>
                <a:ext cx="285" cy="367"/>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96" name="Line 248">
                <a:extLst>
                  <a:ext uri="{FF2B5EF4-FFF2-40B4-BE49-F238E27FC236}">
                    <a16:creationId xmlns:a16="http://schemas.microsoft.com/office/drawing/2014/main" id="{00000000-0008-0000-0700-0000D00F5D00}"/>
                  </a:ext>
                </a:extLst>
              </xdr:cNvPr>
              <xdr:cNvSpPr>
                <a:spLocks noChangeShapeType="1"/>
              </xdr:cNvSpPr>
            </xdr:nvSpPr>
            <xdr:spPr bwMode="auto">
              <a:xfrm>
                <a:off x="4335" y="8505"/>
                <a:ext cx="0" cy="970"/>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grpSp>
      </xdr:grpSp>
      <xdr:sp macro="" textlink="">
        <xdr:nvSpPr>
          <xdr:cNvPr id="6098881" name="Line 249">
            <a:extLst>
              <a:ext uri="{FF2B5EF4-FFF2-40B4-BE49-F238E27FC236}">
                <a16:creationId xmlns:a16="http://schemas.microsoft.com/office/drawing/2014/main" id="{00000000-0008-0000-0700-0000C10F5D00}"/>
              </a:ext>
            </a:extLst>
          </xdr:cNvPr>
          <xdr:cNvSpPr>
            <a:spLocks noChangeShapeType="1"/>
          </xdr:cNvSpPr>
        </xdr:nvSpPr>
        <xdr:spPr bwMode="auto">
          <a:xfrm>
            <a:off x="4332" y="9310"/>
            <a:ext cx="2" cy="1319"/>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2" name="Line 250">
            <a:extLst>
              <a:ext uri="{FF2B5EF4-FFF2-40B4-BE49-F238E27FC236}">
                <a16:creationId xmlns:a16="http://schemas.microsoft.com/office/drawing/2014/main" id="{00000000-0008-0000-0700-0000C20F5D00}"/>
              </a:ext>
            </a:extLst>
          </xdr:cNvPr>
          <xdr:cNvSpPr>
            <a:spLocks noChangeShapeType="1"/>
          </xdr:cNvSpPr>
        </xdr:nvSpPr>
        <xdr:spPr bwMode="auto">
          <a:xfrm>
            <a:off x="4790" y="9310"/>
            <a:ext cx="0" cy="1319"/>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3" name="Line 251">
            <a:extLst>
              <a:ext uri="{FF2B5EF4-FFF2-40B4-BE49-F238E27FC236}">
                <a16:creationId xmlns:a16="http://schemas.microsoft.com/office/drawing/2014/main" id="{00000000-0008-0000-0700-0000C30F5D00}"/>
              </a:ext>
            </a:extLst>
          </xdr:cNvPr>
          <xdr:cNvSpPr>
            <a:spLocks noChangeShapeType="1"/>
          </xdr:cNvSpPr>
        </xdr:nvSpPr>
        <xdr:spPr bwMode="auto">
          <a:xfrm>
            <a:off x="4330" y="10629"/>
            <a:ext cx="458" cy="0"/>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4" name="Line 252">
            <a:extLst>
              <a:ext uri="{FF2B5EF4-FFF2-40B4-BE49-F238E27FC236}">
                <a16:creationId xmlns:a16="http://schemas.microsoft.com/office/drawing/2014/main" id="{00000000-0008-0000-0700-0000C40F5D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5" name="Line 253">
            <a:extLst>
              <a:ext uri="{FF2B5EF4-FFF2-40B4-BE49-F238E27FC236}">
                <a16:creationId xmlns:a16="http://schemas.microsoft.com/office/drawing/2014/main" id="{00000000-0008-0000-0700-0000C50F5D00}"/>
              </a:ext>
            </a:extLst>
          </xdr:cNvPr>
          <xdr:cNvSpPr>
            <a:spLocks noChangeShapeType="1"/>
          </xdr:cNvSpPr>
        </xdr:nvSpPr>
        <xdr:spPr bwMode="auto">
          <a:xfrm>
            <a:off x="4796" y="10419"/>
            <a:ext cx="909" cy="71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6" name="Line 254">
            <a:extLst>
              <a:ext uri="{FF2B5EF4-FFF2-40B4-BE49-F238E27FC236}">
                <a16:creationId xmlns:a16="http://schemas.microsoft.com/office/drawing/2014/main" id="{00000000-0008-0000-0700-0000C60F5D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7" name="Line 255">
            <a:extLst>
              <a:ext uri="{FF2B5EF4-FFF2-40B4-BE49-F238E27FC236}">
                <a16:creationId xmlns:a16="http://schemas.microsoft.com/office/drawing/2014/main" id="{00000000-0008-0000-0700-0000C70F5D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8" name="Line 256">
            <a:extLst>
              <a:ext uri="{FF2B5EF4-FFF2-40B4-BE49-F238E27FC236}">
                <a16:creationId xmlns:a16="http://schemas.microsoft.com/office/drawing/2014/main" id="{00000000-0008-0000-0700-0000C80F5D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89" name="Line 257">
            <a:extLst>
              <a:ext uri="{FF2B5EF4-FFF2-40B4-BE49-F238E27FC236}">
                <a16:creationId xmlns:a16="http://schemas.microsoft.com/office/drawing/2014/main" id="{00000000-0008-0000-0700-0000C90F5D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grpSp>
    <xdr:clientData/>
  </xdr:twoCellAnchor>
  <xdr:twoCellAnchor>
    <xdr:from>
      <xdr:col>6</xdr:col>
      <xdr:colOff>781050</xdr:colOff>
      <xdr:row>84</xdr:row>
      <xdr:rowOff>104775</xdr:rowOff>
    </xdr:from>
    <xdr:to>
      <xdr:col>6</xdr:col>
      <xdr:colOff>1466850</xdr:colOff>
      <xdr:row>84</xdr:row>
      <xdr:rowOff>104775</xdr:rowOff>
    </xdr:to>
    <xdr:sp macro="" textlink="">
      <xdr:nvSpPr>
        <xdr:cNvPr id="6098776" name="Line 268">
          <a:extLst>
            <a:ext uri="{FF2B5EF4-FFF2-40B4-BE49-F238E27FC236}">
              <a16:creationId xmlns:a16="http://schemas.microsoft.com/office/drawing/2014/main" id="{00000000-0008-0000-0700-0000580F5D00}"/>
            </a:ext>
          </a:extLst>
        </xdr:cNvPr>
        <xdr:cNvSpPr>
          <a:spLocks noChangeShapeType="1"/>
        </xdr:cNvSpPr>
      </xdr:nvSpPr>
      <xdr:spPr bwMode="auto">
        <a:xfrm flipV="1">
          <a:off x="4848225" y="13982700"/>
          <a:ext cx="685800" cy="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6</xdr:col>
      <xdr:colOff>142875</xdr:colOff>
      <xdr:row>80</xdr:row>
      <xdr:rowOff>0</xdr:rowOff>
    </xdr:from>
    <xdr:to>
      <xdr:col>8</xdr:col>
      <xdr:colOff>619125</xdr:colOff>
      <xdr:row>80</xdr:row>
      <xdr:rowOff>0</xdr:rowOff>
    </xdr:to>
    <xdr:sp macro="" textlink="">
      <xdr:nvSpPr>
        <xdr:cNvPr id="6098777" name="Line 269">
          <a:extLst>
            <a:ext uri="{FF2B5EF4-FFF2-40B4-BE49-F238E27FC236}">
              <a16:creationId xmlns:a16="http://schemas.microsoft.com/office/drawing/2014/main" id="{00000000-0008-0000-0700-0000590F5D00}"/>
            </a:ext>
          </a:extLst>
        </xdr:cNvPr>
        <xdr:cNvSpPr>
          <a:spLocks noChangeShapeType="1"/>
        </xdr:cNvSpPr>
      </xdr:nvSpPr>
      <xdr:spPr bwMode="auto">
        <a:xfrm flipV="1">
          <a:off x="4210050" y="13201650"/>
          <a:ext cx="252412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219075</xdr:colOff>
      <xdr:row>80</xdr:row>
      <xdr:rowOff>9525</xdr:rowOff>
    </xdr:from>
    <xdr:to>
      <xdr:col>8</xdr:col>
      <xdr:colOff>219075</xdr:colOff>
      <xdr:row>93</xdr:row>
      <xdr:rowOff>85725</xdr:rowOff>
    </xdr:to>
    <xdr:sp macro="" textlink="">
      <xdr:nvSpPr>
        <xdr:cNvPr id="6098778" name="Line 270">
          <a:extLst>
            <a:ext uri="{FF2B5EF4-FFF2-40B4-BE49-F238E27FC236}">
              <a16:creationId xmlns:a16="http://schemas.microsoft.com/office/drawing/2014/main" id="{00000000-0008-0000-0700-00005A0F5D00}"/>
            </a:ext>
          </a:extLst>
        </xdr:cNvPr>
        <xdr:cNvSpPr>
          <a:spLocks noChangeShapeType="1"/>
        </xdr:cNvSpPr>
      </xdr:nvSpPr>
      <xdr:spPr bwMode="auto">
        <a:xfrm>
          <a:off x="6505575" y="13211175"/>
          <a:ext cx="0" cy="2238375"/>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6</xdr:col>
      <xdr:colOff>133350</xdr:colOff>
      <xdr:row>83</xdr:row>
      <xdr:rowOff>57150</xdr:rowOff>
    </xdr:from>
    <xdr:to>
      <xdr:col>6</xdr:col>
      <xdr:colOff>800100</xdr:colOff>
      <xdr:row>83</xdr:row>
      <xdr:rowOff>57150</xdr:rowOff>
    </xdr:to>
    <xdr:sp macro="" textlink="">
      <xdr:nvSpPr>
        <xdr:cNvPr id="6098779" name="Line 271">
          <a:extLst>
            <a:ext uri="{FF2B5EF4-FFF2-40B4-BE49-F238E27FC236}">
              <a16:creationId xmlns:a16="http://schemas.microsoft.com/office/drawing/2014/main" id="{00000000-0008-0000-0700-00005B0F5D00}"/>
            </a:ext>
          </a:extLst>
        </xdr:cNvPr>
        <xdr:cNvSpPr>
          <a:spLocks noChangeShapeType="1"/>
        </xdr:cNvSpPr>
      </xdr:nvSpPr>
      <xdr:spPr bwMode="auto">
        <a:xfrm>
          <a:off x="4200525" y="13763625"/>
          <a:ext cx="66675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142875</xdr:colOff>
      <xdr:row>80</xdr:row>
      <xdr:rowOff>0</xdr:rowOff>
    </xdr:from>
    <xdr:to>
      <xdr:col>6</xdr:col>
      <xdr:colOff>142875</xdr:colOff>
      <xdr:row>83</xdr:row>
      <xdr:rowOff>57150</xdr:rowOff>
    </xdr:to>
    <xdr:sp macro="" textlink="">
      <xdr:nvSpPr>
        <xdr:cNvPr id="6098780" name="Line 272">
          <a:extLst>
            <a:ext uri="{FF2B5EF4-FFF2-40B4-BE49-F238E27FC236}">
              <a16:creationId xmlns:a16="http://schemas.microsoft.com/office/drawing/2014/main" id="{00000000-0008-0000-0700-00005C0F5D00}"/>
            </a:ext>
          </a:extLst>
        </xdr:cNvPr>
        <xdr:cNvSpPr>
          <a:spLocks noChangeShapeType="1"/>
        </xdr:cNvSpPr>
      </xdr:nvSpPr>
      <xdr:spPr bwMode="auto">
        <a:xfrm>
          <a:off x="4210050" y="13201650"/>
          <a:ext cx="0" cy="561975"/>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7</xdr:col>
      <xdr:colOff>752475</xdr:colOff>
      <xdr:row>102</xdr:row>
      <xdr:rowOff>95250</xdr:rowOff>
    </xdr:from>
    <xdr:to>
      <xdr:col>8</xdr:col>
      <xdr:colOff>523875</xdr:colOff>
      <xdr:row>102</xdr:row>
      <xdr:rowOff>95250</xdr:rowOff>
    </xdr:to>
    <xdr:sp macro="" textlink="">
      <xdr:nvSpPr>
        <xdr:cNvPr id="6098781" name="Line 277">
          <a:extLst>
            <a:ext uri="{FF2B5EF4-FFF2-40B4-BE49-F238E27FC236}">
              <a16:creationId xmlns:a16="http://schemas.microsoft.com/office/drawing/2014/main" id="{00000000-0008-0000-0700-00005D0F5D00}"/>
            </a:ext>
          </a:extLst>
        </xdr:cNvPr>
        <xdr:cNvSpPr>
          <a:spLocks noChangeShapeType="1"/>
        </xdr:cNvSpPr>
      </xdr:nvSpPr>
      <xdr:spPr bwMode="auto">
        <a:xfrm>
          <a:off x="6286500" y="16954500"/>
          <a:ext cx="44767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98</xdr:row>
      <xdr:rowOff>133350</xdr:rowOff>
    </xdr:from>
    <xdr:to>
      <xdr:col>8</xdr:col>
      <xdr:colOff>447675</xdr:colOff>
      <xdr:row>98</xdr:row>
      <xdr:rowOff>133350</xdr:rowOff>
    </xdr:to>
    <xdr:sp macro="" textlink="">
      <xdr:nvSpPr>
        <xdr:cNvPr id="6098782" name="Line 278">
          <a:extLst>
            <a:ext uri="{FF2B5EF4-FFF2-40B4-BE49-F238E27FC236}">
              <a16:creationId xmlns:a16="http://schemas.microsoft.com/office/drawing/2014/main" id="{00000000-0008-0000-0700-00005E0F5D00}"/>
            </a:ext>
          </a:extLst>
        </xdr:cNvPr>
        <xdr:cNvSpPr>
          <a:spLocks noChangeShapeType="1"/>
        </xdr:cNvSpPr>
      </xdr:nvSpPr>
      <xdr:spPr bwMode="auto">
        <a:xfrm>
          <a:off x="6296025" y="16325850"/>
          <a:ext cx="43815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93</xdr:row>
      <xdr:rowOff>76200</xdr:rowOff>
    </xdr:from>
    <xdr:to>
      <xdr:col>8</xdr:col>
      <xdr:colOff>523875</xdr:colOff>
      <xdr:row>93</xdr:row>
      <xdr:rowOff>76200</xdr:rowOff>
    </xdr:to>
    <xdr:sp macro="" textlink="">
      <xdr:nvSpPr>
        <xdr:cNvPr id="6098783" name="Line 279">
          <a:extLst>
            <a:ext uri="{FF2B5EF4-FFF2-40B4-BE49-F238E27FC236}">
              <a16:creationId xmlns:a16="http://schemas.microsoft.com/office/drawing/2014/main" id="{00000000-0008-0000-0700-00005F0F5D00}"/>
            </a:ext>
          </a:extLst>
        </xdr:cNvPr>
        <xdr:cNvSpPr>
          <a:spLocks noChangeShapeType="1"/>
        </xdr:cNvSpPr>
      </xdr:nvSpPr>
      <xdr:spPr bwMode="auto">
        <a:xfrm flipV="1">
          <a:off x="4524375" y="15440025"/>
          <a:ext cx="220980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99</xdr:row>
      <xdr:rowOff>152400</xdr:rowOff>
    </xdr:from>
    <xdr:to>
      <xdr:col>6</xdr:col>
      <xdr:colOff>1362075</xdr:colOff>
      <xdr:row>99</xdr:row>
      <xdr:rowOff>152400</xdr:rowOff>
    </xdr:to>
    <xdr:sp macro="" textlink="">
      <xdr:nvSpPr>
        <xdr:cNvPr id="6098784" name="Line 280">
          <a:extLst>
            <a:ext uri="{FF2B5EF4-FFF2-40B4-BE49-F238E27FC236}">
              <a16:creationId xmlns:a16="http://schemas.microsoft.com/office/drawing/2014/main" id="{00000000-0008-0000-0700-0000600F5D00}"/>
            </a:ext>
          </a:extLst>
        </xdr:cNvPr>
        <xdr:cNvSpPr>
          <a:spLocks noChangeShapeType="1"/>
        </xdr:cNvSpPr>
      </xdr:nvSpPr>
      <xdr:spPr bwMode="auto">
        <a:xfrm flipV="1">
          <a:off x="4524375" y="16506825"/>
          <a:ext cx="90487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93</xdr:row>
      <xdr:rowOff>76200</xdr:rowOff>
    </xdr:from>
    <xdr:to>
      <xdr:col>6</xdr:col>
      <xdr:colOff>457200</xdr:colOff>
      <xdr:row>100</xdr:row>
      <xdr:rowOff>0</xdr:rowOff>
    </xdr:to>
    <xdr:sp macro="" textlink="">
      <xdr:nvSpPr>
        <xdr:cNvPr id="6098785" name="Line 281">
          <a:extLst>
            <a:ext uri="{FF2B5EF4-FFF2-40B4-BE49-F238E27FC236}">
              <a16:creationId xmlns:a16="http://schemas.microsoft.com/office/drawing/2014/main" id="{00000000-0008-0000-0700-0000610F5D00}"/>
            </a:ext>
          </a:extLst>
        </xdr:cNvPr>
        <xdr:cNvSpPr>
          <a:spLocks noChangeShapeType="1"/>
        </xdr:cNvSpPr>
      </xdr:nvSpPr>
      <xdr:spPr bwMode="auto">
        <a:xfrm>
          <a:off x="4524375" y="15440025"/>
          <a:ext cx="0" cy="108585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8</xdr:col>
      <xdr:colOff>466725</xdr:colOff>
      <xdr:row>98</xdr:row>
      <xdr:rowOff>133350</xdr:rowOff>
    </xdr:from>
    <xdr:to>
      <xdr:col>8</xdr:col>
      <xdr:colOff>466725</xdr:colOff>
      <xdr:row>102</xdr:row>
      <xdr:rowOff>95250</xdr:rowOff>
    </xdr:to>
    <xdr:sp macro="" textlink="">
      <xdr:nvSpPr>
        <xdr:cNvPr id="6098786" name="Line 282">
          <a:extLst>
            <a:ext uri="{FF2B5EF4-FFF2-40B4-BE49-F238E27FC236}">
              <a16:creationId xmlns:a16="http://schemas.microsoft.com/office/drawing/2014/main" id="{00000000-0008-0000-0700-0000620F5D00}"/>
            </a:ext>
          </a:extLst>
        </xdr:cNvPr>
        <xdr:cNvSpPr>
          <a:spLocks noChangeShapeType="1"/>
        </xdr:cNvSpPr>
      </xdr:nvSpPr>
      <xdr:spPr bwMode="auto">
        <a:xfrm>
          <a:off x="6734175" y="16325850"/>
          <a:ext cx="0" cy="62865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8</xdr:col>
      <xdr:colOff>466725</xdr:colOff>
      <xdr:row>93</xdr:row>
      <xdr:rowOff>66675</xdr:rowOff>
    </xdr:from>
    <xdr:to>
      <xdr:col>8</xdr:col>
      <xdr:colOff>466725</xdr:colOff>
      <xdr:row>98</xdr:row>
      <xdr:rowOff>133350</xdr:rowOff>
    </xdr:to>
    <xdr:sp macro="" textlink="">
      <xdr:nvSpPr>
        <xdr:cNvPr id="6098787" name="Line 283">
          <a:extLst>
            <a:ext uri="{FF2B5EF4-FFF2-40B4-BE49-F238E27FC236}">
              <a16:creationId xmlns:a16="http://schemas.microsoft.com/office/drawing/2014/main" id="{00000000-0008-0000-0700-0000630F5D00}"/>
            </a:ext>
          </a:extLst>
        </xdr:cNvPr>
        <xdr:cNvSpPr>
          <a:spLocks noChangeShapeType="1"/>
        </xdr:cNvSpPr>
      </xdr:nvSpPr>
      <xdr:spPr bwMode="auto">
        <a:xfrm>
          <a:off x="6734175" y="15430500"/>
          <a:ext cx="0" cy="89535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8</xdr:col>
      <xdr:colOff>0</xdr:colOff>
      <xdr:row>102</xdr:row>
      <xdr:rowOff>95250</xdr:rowOff>
    </xdr:from>
    <xdr:to>
      <xdr:col>8</xdr:col>
      <xdr:colOff>0</xdr:colOff>
      <xdr:row>103</xdr:row>
      <xdr:rowOff>0</xdr:rowOff>
    </xdr:to>
    <xdr:sp macro="" textlink="">
      <xdr:nvSpPr>
        <xdr:cNvPr id="6098788" name="Line 284">
          <a:extLst>
            <a:ext uri="{FF2B5EF4-FFF2-40B4-BE49-F238E27FC236}">
              <a16:creationId xmlns:a16="http://schemas.microsoft.com/office/drawing/2014/main" id="{00000000-0008-0000-0700-0000640F5D00}"/>
            </a:ext>
          </a:extLst>
        </xdr:cNvPr>
        <xdr:cNvSpPr>
          <a:spLocks noChangeShapeType="1"/>
        </xdr:cNvSpPr>
      </xdr:nvSpPr>
      <xdr:spPr bwMode="auto">
        <a:xfrm flipV="1">
          <a:off x="6286500" y="16954500"/>
          <a:ext cx="0" cy="66675"/>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1362075</xdr:colOff>
      <xdr:row>99</xdr:row>
      <xdr:rowOff>142875</xdr:rowOff>
    </xdr:from>
    <xdr:to>
      <xdr:col>6</xdr:col>
      <xdr:colOff>1362075</xdr:colOff>
      <xdr:row>103</xdr:row>
      <xdr:rowOff>0</xdr:rowOff>
    </xdr:to>
    <xdr:sp macro="" textlink="">
      <xdr:nvSpPr>
        <xdr:cNvPr id="6098789" name="Line 285">
          <a:extLst>
            <a:ext uri="{FF2B5EF4-FFF2-40B4-BE49-F238E27FC236}">
              <a16:creationId xmlns:a16="http://schemas.microsoft.com/office/drawing/2014/main" id="{00000000-0008-0000-0700-0000650F5D00}"/>
            </a:ext>
          </a:extLst>
        </xdr:cNvPr>
        <xdr:cNvSpPr>
          <a:spLocks noChangeShapeType="1"/>
        </xdr:cNvSpPr>
      </xdr:nvSpPr>
      <xdr:spPr bwMode="auto">
        <a:xfrm flipH="1" flipV="1">
          <a:off x="5429250" y="16497300"/>
          <a:ext cx="0" cy="523875"/>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1352550</xdr:colOff>
      <xdr:row>103</xdr:row>
      <xdr:rowOff>0</xdr:rowOff>
    </xdr:from>
    <xdr:to>
      <xdr:col>8</xdr:col>
      <xdr:colOff>0</xdr:colOff>
      <xdr:row>103</xdr:row>
      <xdr:rowOff>0</xdr:rowOff>
    </xdr:to>
    <xdr:sp macro="" textlink="">
      <xdr:nvSpPr>
        <xdr:cNvPr id="6098790" name="Line 286">
          <a:extLst>
            <a:ext uri="{FF2B5EF4-FFF2-40B4-BE49-F238E27FC236}">
              <a16:creationId xmlns:a16="http://schemas.microsoft.com/office/drawing/2014/main" id="{00000000-0008-0000-0700-0000660F5D00}"/>
            </a:ext>
          </a:extLst>
        </xdr:cNvPr>
        <xdr:cNvSpPr>
          <a:spLocks noChangeShapeType="1"/>
        </xdr:cNvSpPr>
      </xdr:nvSpPr>
      <xdr:spPr bwMode="auto">
        <a:xfrm>
          <a:off x="5419725" y="17021175"/>
          <a:ext cx="866775" cy="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6</xdr:col>
      <xdr:colOff>647700</xdr:colOff>
      <xdr:row>89</xdr:row>
      <xdr:rowOff>66675</xdr:rowOff>
    </xdr:from>
    <xdr:to>
      <xdr:col>6</xdr:col>
      <xdr:colOff>1609725</xdr:colOff>
      <xdr:row>89</xdr:row>
      <xdr:rowOff>66675</xdr:rowOff>
    </xdr:to>
    <xdr:sp macro="" textlink="">
      <xdr:nvSpPr>
        <xdr:cNvPr id="6098791" name="Line 287">
          <a:extLst>
            <a:ext uri="{FF2B5EF4-FFF2-40B4-BE49-F238E27FC236}">
              <a16:creationId xmlns:a16="http://schemas.microsoft.com/office/drawing/2014/main" id="{00000000-0008-0000-0700-0000670F5D00}"/>
            </a:ext>
          </a:extLst>
        </xdr:cNvPr>
        <xdr:cNvSpPr>
          <a:spLocks noChangeShapeType="1"/>
        </xdr:cNvSpPr>
      </xdr:nvSpPr>
      <xdr:spPr bwMode="auto">
        <a:xfrm>
          <a:off x="4714875" y="14773275"/>
          <a:ext cx="962025" cy="0"/>
        </a:xfrm>
        <a:prstGeom prst="line">
          <a:avLst/>
        </a:prstGeom>
        <a:noFill/>
        <a:ln w="317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942975</xdr:colOff>
      <xdr:row>93</xdr:row>
      <xdr:rowOff>28575</xdr:rowOff>
    </xdr:from>
    <xdr:to>
      <xdr:col>6</xdr:col>
      <xdr:colOff>1333500</xdr:colOff>
      <xdr:row>93</xdr:row>
      <xdr:rowOff>28575</xdr:rowOff>
    </xdr:to>
    <xdr:sp macro="" textlink="">
      <xdr:nvSpPr>
        <xdr:cNvPr id="6098792" name="Line 288">
          <a:extLst>
            <a:ext uri="{FF2B5EF4-FFF2-40B4-BE49-F238E27FC236}">
              <a16:creationId xmlns:a16="http://schemas.microsoft.com/office/drawing/2014/main" id="{00000000-0008-0000-0700-0000680F5D00}"/>
            </a:ext>
          </a:extLst>
        </xdr:cNvPr>
        <xdr:cNvSpPr>
          <a:spLocks noChangeShapeType="1"/>
        </xdr:cNvSpPr>
      </xdr:nvSpPr>
      <xdr:spPr bwMode="auto">
        <a:xfrm>
          <a:off x="5010150" y="15392400"/>
          <a:ext cx="390525" cy="0"/>
        </a:xfrm>
        <a:prstGeom prst="line">
          <a:avLst/>
        </a:prstGeom>
        <a:noFill/>
        <a:ln w="317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809625</xdr:colOff>
      <xdr:row>87</xdr:row>
      <xdr:rowOff>57150</xdr:rowOff>
    </xdr:from>
    <xdr:to>
      <xdr:col>8</xdr:col>
      <xdr:colOff>38100</xdr:colOff>
      <xdr:row>87</xdr:row>
      <xdr:rowOff>57150</xdr:rowOff>
    </xdr:to>
    <xdr:sp macro="" textlink="">
      <xdr:nvSpPr>
        <xdr:cNvPr id="6098793" name="Line 289">
          <a:extLst>
            <a:ext uri="{FF2B5EF4-FFF2-40B4-BE49-F238E27FC236}">
              <a16:creationId xmlns:a16="http://schemas.microsoft.com/office/drawing/2014/main" id="{00000000-0008-0000-0700-0000690F5D00}"/>
            </a:ext>
          </a:extLst>
        </xdr:cNvPr>
        <xdr:cNvSpPr>
          <a:spLocks noChangeShapeType="1"/>
        </xdr:cNvSpPr>
      </xdr:nvSpPr>
      <xdr:spPr bwMode="auto">
        <a:xfrm>
          <a:off x="4876800" y="14430375"/>
          <a:ext cx="1447800"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666750</xdr:colOff>
      <xdr:row>88</xdr:row>
      <xdr:rowOff>57150</xdr:rowOff>
    </xdr:from>
    <xdr:to>
      <xdr:col>8</xdr:col>
      <xdr:colOff>57150</xdr:colOff>
      <xdr:row>88</xdr:row>
      <xdr:rowOff>57150</xdr:rowOff>
    </xdr:to>
    <xdr:sp macro="" textlink="">
      <xdr:nvSpPr>
        <xdr:cNvPr id="6098794" name="Line 290">
          <a:extLst>
            <a:ext uri="{FF2B5EF4-FFF2-40B4-BE49-F238E27FC236}">
              <a16:creationId xmlns:a16="http://schemas.microsoft.com/office/drawing/2014/main" id="{00000000-0008-0000-0700-00006A0F5D00}"/>
            </a:ext>
          </a:extLst>
        </xdr:cNvPr>
        <xdr:cNvSpPr>
          <a:spLocks noChangeShapeType="1"/>
        </xdr:cNvSpPr>
      </xdr:nvSpPr>
      <xdr:spPr bwMode="auto">
        <a:xfrm>
          <a:off x="4733925" y="14592300"/>
          <a:ext cx="1609725"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666750</xdr:colOff>
      <xdr:row>90</xdr:row>
      <xdr:rowOff>142875</xdr:rowOff>
    </xdr:from>
    <xdr:to>
      <xdr:col>8</xdr:col>
      <xdr:colOff>66675</xdr:colOff>
      <xdr:row>90</xdr:row>
      <xdr:rowOff>142875</xdr:rowOff>
    </xdr:to>
    <xdr:sp macro="" textlink="">
      <xdr:nvSpPr>
        <xdr:cNvPr id="6098795" name="Line 291">
          <a:extLst>
            <a:ext uri="{FF2B5EF4-FFF2-40B4-BE49-F238E27FC236}">
              <a16:creationId xmlns:a16="http://schemas.microsoft.com/office/drawing/2014/main" id="{00000000-0008-0000-0700-00006B0F5D00}"/>
            </a:ext>
          </a:extLst>
        </xdr:cNvPr>
        <xdr:cNvSpPr>
          <a:spLocks noChangeShapeType="1"/>
        </xdr:cNvSpPr>
      </xdr:nvSpPr>
      <xdr:spPr bwMode="auto">
        <a:xfrm>
          <a:off x="4733925" y="15020925"/>
          <a:ext cx="1619250"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933450</xdr:colOff>
      <xdr:row>92</xdr:row>
      <xdr:rowOff>47625</xdr:rowOff>
    </xdr:from>
    <xdr:to>
      <xdr:col>8</xdr:col>
      <xdr:colOff>38100</xdr:colOff>
      <xdr:row>92</xdr:row>
      <xdr:rowOff>47625</xdr:rowOff>
    </xdr:to>
    <xdr:sp macro="" textlink="">
      <xdr:nvSpPr>
        <xdr:cNvPr id="6098796" name="Line 292">
          <a:extLst>
            <a:ext uri="{FF2B5EF4-FFF2-40B4-BE49-F238E27FC236}">
              <a16:creationId xmlns:a16="http://schemas.microsoft.com/office/drawing/2014/main" id="{00000000-0008-0000-0700-00006C0F5D00}"/>
            </a:ext>
          </a:extLst>
        </xdr:cNvPr>
        <xdr:cNvSpPr>
          <a:spLocks noChangeShapeType="1"/>
        </xdr:cNvSpPr>
      </xdr:nvSpPr>
      <xdr:spPr bwMode="auto">
        <a:xfrm>
          <a:off x="5000625" y="15249525"/>
          <a:ext cx="1323975"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1704975</xdr:colOff>
      <xdr:row>80</xdr:row>
      <xdr:rowOff>0</xdr:rowOff>
    </xdr:from>
    <xdr:to>
      <xdr:col>6</xdr:col>
      <xdr:colOff>1704975</xdr:colOff>
      <xdr:row>87</xdr:row>
      <xdr:rowOff>66675</xdr:rowOff>
    </xdr:to>
    <xdr:sp macro="" textlink="">
      <xdr:nvSpPr>
        <xdr:cNvPr id="6098797" name="Line 293">
          <a:extLst>
            <a:ext uri="{FF2B5EF4-FFF2-40B4-BE49-F238E27FC236}">
              <a16:creationId xmlns:a16="http://schemas.microsoft.com/office/drawing/2014/main" id="{00000000-0008-0000-0700-00006D0F5D00}"/>
            </a:ext>
          </a:extLst>
        </xdr:cNvPr>
        <xdr:cNvSpPr>
          <a:spLocks noChangeShapeType="1"/>
        </xdr:cNvSpPr>
      </xdr:nvSpPr>
      <xdr:spPr bwMode="auto">
        <a:xfrm>
          <a:off x="5772150" y="13201650"/>
          <a:ext cx="0" cy="1238250"/>
        </a:xfrm>
        <a:prstGeom prst="line">
          <a:avLst/>
        </a:prstGeom>
        <a:noFill/>
        <a:ln w="952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180975</xdr:colOff>
      <xdr:row>80</xdr:row>
      <xdr:rowOff>0</xdr:rowOff>
    </xdr:from>
    <xdr:to>
      <xdr:col>7</xdr:col>
      <xdr:colOff>180975</xdr:colOff>
      <xdr:row>90</xdr:row>
      <xdr:rowOff>133350</xdr:rowOff>
    </xdr:to>
    <xdr:sp macro="" textlink="">
      <xdr:nvSpPr>
        <xdr:cNvPr id="6098798" name="Line 294">
          <a:extLst>
            <a:ext uri="{FF2B5EF4-FFF2-40B4-BE49-F238E27FC236}">
              <a16:creationId xmlns:a16="http://schemas.microsoft.com/office/drawing/2014/main" id="{00000000-0008-0000-0700-00006E0F5D00}"/>
            </a:ext>
          </a:extLst>
        </xdr:cNvPr>
        <xdr:cNvSpPr>
          <a:spLocks noChangeShapeType="1"/>
        </xdr:cNvSpPr>
      </xdr:nvSpPr>
      <xdr:spPr bwMode="auto">
        <a:xfrm>
          <a:off x="6019800" y="13201650"/>
          <a:ext cx="0" cy="1809750"/>
        </a:xfrm>
        <a:prstGeom prst="line">
          <a:avLst/>
        </a:prstGeom>
        <a:noFill/>
        <a:ln w="952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8</xdr:col>
      <xdr:colOff>38100</xdr:colOff>
      <xdr:row>87</xdr:row>
      <xdr:rowOff>57150</xdr:rowOff>
    </xdr:from>
    <xdr:to>
      <xdr:col>8</xdr:col>
      <xdr:colOff>38100</xdr:colOff>
      <xdr:row>88</xdr:row>
      <xdr:rowOff>57150</xdr:rowOff>
    </xdr:to>
    <xdr:sp macro="" textlink="">
      <xdr:nvSpPr>
        <xdr:cNvPr id="6098799" name="Line 295">
          <a:extLst>
            <a:ext uri="{FF2B5EF4-FFF2-40B4-BE49-F238E27FC236}">
              <a16:creationId xmlns:a16="http://schemas.microsoft.com/office/drawing/2014/main" id="{00000000-0008-0000-0700-00006F0F5D00}"/>
            </a:ext>
          </a:extLst>
        </xdr:cNvPr>
        <xdr:cNvSpPr>
          <a:spLocks noChangeShapeType="1"/>
        </xdr:cNvSpPr>
      </xdr:nvSpPr>
      <xdr:spPr bwMode="auto">
        <a:xfrm>
          <a:off x="6324600" y="14430375"/>
          <a:ext cx="0" cy="161925"/>
        </a:xfrm>
        <a:prstGeom prst="line">
          <a:avLst/>
        </a:prstGeom>
        <a:noFill/>
        <a:ln w="317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8</xdr:col>
      <xdr:colOff>38100</xdr:colOff>
      <xdr:row>90</xdr:row>
      <xdr:rowOff>142875</xdr:rowOff>
    </xdr:from>
    <xdr:to>
      <xdr:col>8</xdr:col>
      <xdr:colOff>38100</xdr:colOff>
      <xdr:row>92</xdr:row>
      <xdr:rowOff>47625</xdr:rowOff>
    </xdr:to>
    <xdr:sp macro="" textlink="">
      <xdr:nvSpPr>
        <xdr:cNvPr id="6098800" name="Line 296">
          <a:extLst>
            <a:ext uri="{FF2B5EF4-FFF2-40B4-BE49-F238E27FC236}">
              <a16:creationId xmlns:a16="http://schemas.microsoft.com/office/drawing/2014/main" id="{00000000-0008-0000-0700-0000700F5D00}"/>
            </a:ext>
          </a:extLst>
        </xdr:cNvPr>
        <xdr:cNvSpPr>
          <a:spLocks noChangeShapeType="1"/>
        </xdr:cNvSpPr>
      </xdr:nvSpPr>
      <xdr:spPr bwMode="auto">
        <a:xfrm>
          <a:off x="6324600" y="15020925"/>
          <a:ext cx="0" cy="228600"/>
        </a:xfrm>
        <a:prstGeom prst="line">
          <a:avLst/>
        </a:prstGeom>
        <a:noFill/>
        <a:ln w="952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0</xdr:colOff>
      <xdr:row>84</xdr:row>
      <xdr:rowOff>104775</xdr:rowOff>
    </xdr:from>
    <xdr:to>
      <xdr:col>6</xdr:col>
      <xdr:colOff>800100</xdr:colOff>
      <xdr:row>84</xdr:row>
      <xdr:rowOff>104775</xdr:rowOff>
    </xdr:to>
    <xdr:sp macro="" textlink="">
      <xdr:nvSpPr>
        <xdr:cNvPr id="6098801" name="Line 297">
          <a:extLst>
            <a:ext uri="{FF2B5EF4-FFF2-40B4-BE49-F238E27FC236}">
              <a16:creationId xmlns:a16="http://schemas.microsoft.com/office/drawing/2014/main" id="{00000000-0008-0000-0700-0000710F5D00}"/>
            </a:ext>
          </a:extLst>
        </xdr:cNvPr>
        <xdr:cNvSpPr>
          <a:spLocks noChangeShapeType="1"/>
        </xdr:cNvSpPr>
      </xdr:nvSpPr>
      <xdr:spPr bwMode="auto">
        <a:xfrm>
          <a:off x="4067175" y="13982700"/>
          <a:ext cx="8001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89</xdr:row>
      <xdr:rowOff>66675</xdr:rowOff>
    </xdr:from>
    <xdr:to>
      <xdr:col>6</xdr:col>
      <xdr:colOff>647700</xdr:colOff>
      <xdr:row>89</xdr:row>
      <xdr:rowOff>66675</xdr:rowOff>
    </xdr:to>
    <xdr:sp macro="" textlink="">
      <xdr:nvSpPr>
        <xdr:cNvPr id="6098802" name="Line 298">
          <a:extLst>
            <a:ext uri="{FF2B5EF4-FFF2-40B4-BE49-F238E27FC236}">
              <a16:creationId xmlns:a16="http://schemas.microsoft.com/office/drawing/2014/main" id="{00000000-0008-0000-0700-0000720F5D00}"/>
            </a:ext>
          </a:extLst>
        </xdr:cNvPr>
        <xdr:cNvSpPr>
          <a:spLocks noChangeShapeType="1"/>
        </xdr:cNvSpPr>
      </xdr:nvSpPr>
      <xdr:spPr bwMode="auto">
        <a:xfrm>
          <a:off x="4067175" y="14773275"/>
          <a:ext cx="647700" cy="0"/>
        </a:xfrm>
        <a:prstGeom prst="line">
          <a:avLst/>
        </a:prstGeom>
        <a:noFill/>
        <a:ln w="9525">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93</xdr:row>
      <xdr:rowOff>28575</xdr:rowOff>
    </xdr:from>
    <xdr:to>
      <xdr:col>6</xdr:col>
      <xdr:colOff>923925</xdr:colOff>
      <xdr:row>93</xdr:row>
      <xdr:rowOff>28575</xdr:rowOff>
    </xdr:to>
    <xdr:sp macro="" textlink="">
      <xdr:nvSpPr>
        <xdr:cNvPr id="6098803" name="Line 299">
          <a:extLst>
            <a:ext uri="{FF2B5EF4-FFF2-40B4-BE49-F238E27FC236}">
              <a16:creationId xmlns:a16="http://schemas.microsoft.com/office/drawing/2014/main" id="{00000000-0008-0000-0700-0000730F5D00}"/>
            </a:ext>
          </a:extLst>
        </xdr:cNvPr>
        <xdr:cNvSpPr>
          <a:spLocks noChangeShapeType="1"/>
        </xdr:cNvSpPr>
      </xdr:nvSpPr>
      <xdr:spPr bwMode="auto">
        <a:xfrm>
          <a:off x="4067175" y="15392400"/>
          <a:ext cx="923925" cy="0"/>
        </a:xfrm>
        <a:prstGeom prst="line">
          <a:avLst/>
        </a:prstGeom>
        <a:noFill/>
        <a:ln w="9525">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96</xdr:row>
      <xdr:rowOff>76200</xdr:rowOff>
    </xdr:from>
    <xdr:to>
      <xdr:col>6</xdr:col>
      <xdr:colOff>457200</xdr:colOff>
      <xdr:row>96</xdr:row>
      <xdr:rowOff>76200</xdr:rowOff>
    </xdr:to>
    <xdr:sp macro="" textlink="">
      <xdr:nvSpPr>
        <xdr:cNvPr id="6098804" name="Line 300">
          <a:extLst>
            <a:ext uri="{FF2B5EF4-FFF2-40B4-BE49-F238E27FC236}">
              <a16:creationId xmlns:a16="http://schemas.microsoft.com/office/drawing/2014/main" id="{00000000-0008-0000-0700-0000740F5D00}"/>
            </a:ext>
          </a:extLst>
        </xdr:cNvPr>
        <xdr:cNvSpPr>
          <a:spLocks noChangeShapeType="1"/>
        </xdr:cNvSpPr>
      </xdr:nvSpPr>
      <xdr:spPr bwMode="auto">
        <a:xfrm>
          <a:off x="4067175" y="15935325"/>
          <a:ext cx="457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142875</xdr:colOff>
      <xdr:row>103</xdr:row>
      <xdr:rowOff>0</xdr:rowOff>
    </xdr:from>
    <xdr:to>
      <xdr:col>7</xdr:col>
      <xdr:colOff>142875</xdr:colOff>
      <xdr:row>104</xdr:row>
      <xdr:rowOff>9525</xdr:rowOff>
    </xdr:to>
    <xdr:sp macro="" textlink="">
      <xdr:nvSpPr>
        <xdr:cNvPr id="6098805" name="Line 301">
          <a:extLst>
            <a:ext uri="{FF2B5EF4-FFF2-40B4-BE49-F238E27FC236}">
              <a16:creationId xmlns:a16="http://schemas.microsoft.com/office/drawing/2014/main" id="{00000000-0008-0000-0700-0000750F5D00}"/>
            </a:ext>
          </a:extLst>
        </xdr:cNvPr>
        <xdr:cNvSpPr>
          <a:spLocks noChangeShapeType="1"/>
        </xdr:cNvSpPr>
      </xdr:nvSpPr>
      <xdr:spPr bwMode="auto">
        <a:xfrm>
          <a:off x="5981700" y="17021175"/>
          <a:ext cx="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81</xdr:row>
      <xdr:rowOff>76200</xdr:rowOff>
    </xdr:from>
    <xdr:to>
      <xdr:col>6</xdr:col>
      <xdr:colOff>142875</xdr:colOff>
      <xdr:row>81</xdr:row>
      <xdr:rowOff>76200</xdr:rowOff>
    </xdr:to>
    <xdr:sp macro="" textlink="">
      <xdr:nvSpPr>
        <xdr:cNvPr id="6098806" name="Line 302">
          <a:extLst>
            <a:ext uri="{FF2B5EF4-FFF2-40B4-BE49-F238E27FC236}">
              <a16:creationId xmlns:a16="http://schemas.microsoft.com/office/drawing/2014/main" id="{00000000-0008-0000-0700-0000760F5D00}"/>
            </a:ext>
          </a:extLst>
        </xdr:cNvPr>
        <xdr:cNvSpPr>
          <a:spLocks noChangeShapeType="1"/>
        </xdr:cNvSpPr>
      </xdr:nvSpPr>
      <xdr:spPr bwMode="auto">
        <a:xfrm>
          <a:off x="4067175" y="13449300"/>
          <a:ext cx="1428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1695450</xdr:colOff>
      <xdr:row>83</xdr:row>
      <xdr:rowOff>85725</xdr:rowOff>
    </xdr:from>
    <xdr:to>
      <xdr:col>9</xdr:col>
      <xdr:colOff>0</xdr:colOff>
      <xdr:row>83</xdr:row>
      <xdr:rowOff>85725</xdr:rowOff>
    </xdr:to>
    <xdr:sp macro="" textlink="">
      <xdr:nvSpPr>
        <xdr:cNvPr id="6098807" name="Line 303">
          <a:extLst>
            <a:ext uri="{FF2B5EF4-FFF2-40B4-BE49-F238E27FC236}">
              <a16:creationId xmlns:a16="http://schemas.microsoft.com/office/drawing/2014/main" id="{00000000-0008-0000-0700-0000770F5D00}"/>
            </a:ext>
          </a:extLst>
        </xdr:cNvPr>
        <xdr:cNvSpPr>
          <a:spLocks noChangeShapeType="1"/>
        </xdr:cNvSpPr>
      </xdr:nvSpPr>
      <xdr:spPr bwMode="auto">
        <a:xfrm flipV="1">
          <a:off x="5762625" y="13792200"/>
          <a:ext cx="971550" cy="0"/>
        </a:xfrm>
        <a:prstGeom prst="line">
          <a:avLst/>
        </a:prstGeom>
        <a:noFill/>
        <a:ln w="9525">
          <a:solidFill>
            <a:srgbClr val="92D05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180975</xdr:colOff>
      <xdr:row>85</xdr:row>
      <xdr:rowOff>76200</xdr:rowOff>
    </xdr:from>
    <xdr:to>
      <xdr:col>9</xdr:col>
      <xdr:colOff>0</xdr:colOff>
      <xdr:row>85</xdr:row>
      <xdr:rowOff>76200</xdr:rowOff>
    </xdr:to>
    <xdr:sp macro="" textlink="">
      <xdr:nvSpPr>
        <xdr:cNvPr id="6098808" name="Line 304">
          <a:extLst>
            <a:ext uri="{FF2B5EF4-FFF2-40B4-BE49-F238E27FC236}">
              <a16:creationId xmlns:a16="http://schemas.microsoft.com/office/drawing/2014/main" id="{00000000-0008-0000-0700-0000780F5D00}"/>
            </a:ext>
          </a:extLst>
        </xdr:cNvPr>
        <xdr:cNvSpPr>
          <a:spLocks noChangeShapeType="1"/>
        </xdr:cNvSpPr>
      </xdr:nvSpPr>
      <xdr:spPr bwMode="auto">
        <a:xfrm flipV="1">
          <a:off x="6019800" y="14125575"/>
          <a:ext cx="714375" cy="0"/>
        </a:xfrm>
        <a:prstGeom prst="line">
          <a:avLst/>
        </a:prstGeom>
        <a:noFill/>
        <a:ln w="9525">
          <a:solidFill>
            <a:srgbClr val="92D05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38100</xdr:colOff>
      <xdr:row>87</xdr:row>
      <xdr:rowOff>133350</xdr:rowOff>
    </xdr:from>
    <xdr:to>
      <xdr:col>9</xdr:col>
      <xdr:colOff>0</xdr:colOff>
      <xdr:row>87</xdr:row>
      <xdr:rowOff>133350</xdr:rowOff>
    </xdr:to>
    <xdr:sp macro="" textlink="">
      <xdr:nvSpPr>
        <xdr:cNvPr id="6098809" name="Line 305">
          <a:extLst>
            <a:ext uri="{FF2B5EF4-FFF2-40B4-BE49-F238E27FC236}">
              <a16:creationId xmlns:a16="http://schemas.microsoft.com/office/drawing/2014/main" id="{00000000-0008-0000-0700-0000790F5D00}"/>
            </a:ext>
          </a:extLst>
        </xdr:cNvPr>
        <xdr:cNvSpPr>
          <a:spLocks noChangeShapeType="1"/>
        </xdr:cNvSpPr>
      </xdr:nvSpPr>
      <xdr:spPr bwMode="auto">
        <a:xfrm flipV="1">
          <a:off x="6324600" y="14506575"/>
          <a:ext cx="409575" cy="0"/>
        </a:xfrm>
        <a:prstGeom prst="line">
          <a:avLst/>
        </a:prstGeom>
        <a:noFill/>
        <a:ln w="9525">
          <a:solidFill>
            <a:srgbClr val="92D05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466725</xdr:colOff>
      <xdr:row>89</xdr:row>
      <xdr:rowOff>85725</xdr:rowOff>
    </xdr:from>
    <xdr:to>
      <xdr:col>9</xdr:col>
      <xdr:colOff>0</xdr:colOff>
      <xdr:row>89</xdr:row>
      <xdr:rowOff>85725</xdr:rowOff>
    </xdr:to>
    <xdr:sp macro="" textlink="">
      <xdr:nvSpPr>
        <xdr:cNvPr id="6098810" name="Line 307">
          <a:extLst>
            <a:ext uri="{FF2B5EF4-FFF2-40B4-BE49-F238E27FC236}">
              <a16:creationId xmlns:a16="http://schemas.microsoft.com/office/drawing/2014/main" id="{00000000-0008-0000-0700-00007A0F5D00}"/>
            </a:ext>
          </a:extLst>
        </xdr:cNvPr>
        <xdr:cNvSpPr>
          <a:spLocks noChangeShapeType="1"/>
        </xdr:cNvSpPr>
      </xdr:nvSpPr>
      <xdr:spPr bwMode="auto">
        <a:xfrm flipV="1">
          <a:off x="6734175" y="147923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38100</xdr:colOff>
      <xdr:row>91</xdr:row>
      <xdr:rowOff>76200</xdr:rowOff>
    </xdr:from>
    <xdr:to>
      <xdr:col>9</xdr:col>
      <xdr:colOff>9525</xdr:colOff>
      <xdr:row>91</xdr:row>
      <xdr:rowOff>76200</xdr:rowOff>
    </xdr:to>
    <xdr:sp macro="" textlink="">
      <xdr:nvSpPr>
        <xdr:cNvPr id="6098811" name="Line 308">
          <a:extLst>
            <a:ext uri="{FF2B5EF4-FFF2-40B4-BE49-F238E27FC236}">
              <a16:creationId xmlns:a16="http://schemas.microsoft.com/office/drawing/2014/main" id="{00000000-0008-0000-0700-00007B0F5D00}"/>
            </a:ext>
          </a:extLst>
        </xdr:cNvPr>
        <xdr:cNvSpPr>
          <a:spLocks noChangeShapeType="1"/>
        </xdr:cNvSpPr>
      </xdr:nvSpPr>
      <xdr:spPr bwMode="auto">
        <a:xfrm flipH="1" flipV="1">
          <a:off x="6324600" y="15116175"/>
          <a:ext cx="419100" cy="0"/>
        </a:xfrm>
        <a:prstGeom prst="line">
          <a:avLst/>
        </a:prstGeom>
        <a:noFill/>
        <a:ln w="9525">
          <a:solidFill>
            <a:srgbClr val="92D050"/>
          </a:solidFill>
          <a:prstDash val="sysDot"/>
          <a:round/>
          <a:headEnd type="none" w="sm" len="sm"/>
          <a:tailEnd type="none" w="sm" len="sm"/>
        </a:ln>
        <a:extLst>
          <a:ext uri="{909E8E84-426E-40DD-AFC4-6F175D3DCCD1}">
            <a14:hiddenFill xmlns:a14="http://schemas.microsoft.com/office/drawing/2010/main">
              <a:noFill/>
            </a14:hiddenFill>
          </a:ext>
        </a:extLst>
      </xdr:spPr>
    </xdr:sp>
    <xdr:clientData/>
  </xdr:twoCellAnchor>
  <xdr:twoCellAnchor>
    <xdr:from>
      <xdr:col>8</xdr:col>
      <xdr:colOff>466725</xdr:colOff>
      <xdr:row>96</xdr:row>
      <xdr:rowOff>76200</xdr:rowOff>
    </xdr:from>
    <xdr:to>
      <xdr:col>9</xdr:col>
      <xdr:colOff>0</xdr:colOff>
      <xdr:row>96</xdr:row>
      <xdr:rowOff>76200</xdr:rowOff>
    </xdr:to>
    <xdr:sp macro="" textlink="">
      <xdr:nvSpPr>
        <xdr:cNvPr id="6098812" name="Line 309">
          <a:extLst>
            <a:ext uri="{FF2B5EF4-FFF2-40B4-BE49-F238E27FC236}">
              <a16:creationId xmlns:a16="http://schemas.microsoft.com/office/drawing/2014/main" id="{00000000-0008-0000-0700-00007C0F5D00}"/>
            </a:ext>
          </a:extLst>
        </xdr:cNvPr>
        <xdr:cNvSpPr>
          <a:spLocks noChangeShapeType="1"/>
        </xdr:cNvSpPr>
      </xdr:nvSpPr>
      <xdr:spPr bwMode="auto">
        <a:xfrm>
          <a:off x="6734175" y="159353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466725</xdr:colOff>
      <xdr:row>100</xdr:row>
      <xdr:rowOff>85725</xdr:rowOff>
    </xdr:from>
    <xdr:to>
      <xdr:col>9</xdr:col>
      <xdr:colOff>0</xdr:colOff>
      <xdr:row>100</xdr:row>
      <xdr:rowOff>85725</xdr:rowOff>
    </xdr:to>
    <xdr:sp macro="" textlink="">
      <xdr:nvSpPr>
        <xdr:cNvPr id="6098813" name="Line 310">
          <a:extLst>
            <a:ext uri="{FF2B5EF4-FFF2-40B4-BE49-F238E27FC236}">
              <a16:creationId xmlns:a16="http://schemas.microsoft.com/office/drawing/2014/main" id="{00000000-0008-0000-0700-00007D0F5D00}"/>
            </a:ext>
          </a:extLst>
        </xdr:cNvPr>
        <xdr:cNvSpPr>
          <a:spLocks noChangeShapeType="1"/>
        </xdr:cNvSpPr>
      </xdr:nvSpPr>
      <xdr:spPr bwMode="auto">
        <a:xfrm>
          <a:off x="6734175" y="16611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209550</xdr:colOff>
      <xdr:row>89</xdr:row>
      <xdr:rowOff>85725</xdr:rowOff>
    </xdr:from>
    <xdr:to>
      <xdr:col>8</xdr:col>
      <xdr:colOff>438150</xdr:colOff>
      <xdr:row>89</xdr:row>
      <xdr:rowOff>85725</xdr:rowOff>
    </xdr:to>
    <xdr:sp macro="" textlink="">
      <xdr:nvSpPr>
        <xdr:cNvPr id="6098814" name="Line 278">
          <a:extLst>
            <a:ext uri="{FF2B5EF4-FFF2-40B4-BE49-F238E27FC236}">
              <a16:creationId xmlns:a16="http://schemas.microsoft.com/office/drawing/2014/main" id="{00000000-0008-0000-0700-00007E0F5D00}"/>
            </a:ext>
          </a:extLst>
        </xdr:cNvPr>
        <xdr:cNvSpPr>
          <a:spLocks noChangeShapeType="1"/>
        </xdr:cNvSpPr>
      </xdr:nvSpPr>
      <xdr:spPr bwMode="auto">
        <a:xfrm>
          <a:off x="6496050" y="14792325"/>
          <a:ext cx="22860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66675</xdr:colOff>
      <xdr:row>1</xdr:row>
      <xdr:rowOff>9525</xdr:rowOff>
    </xdr:from>
    <xdr:to>
      <xdr:col>19</xdr:col>
      <xdr:colOff>0</xdr:colOff>
      <xdr:row>31</xdr:row>
      <xdr:rowOff>104775</xdr:rowOff>
    </xdr:to>
    <xdr:grpSp>
      <xdr:nvGrpSpPr>
        <xdr:cNvPr id="6098815" name="Group 232">
          <a:extLst>
            <a:ext uri="{FF2B5EF4-FFF2-40B4-BE49-F238E27FC236}">
              <a16:creationId xmlns:a16="http://schemas.microsoft.com/office/drawing/2014/main" id="{00000000-0008-0000-0700-00007F0F5D00}"/>
            </a:ext>
          </a:extLst>
        </xdr:cNvPr>
        <xdr:cNvGrpSpPr>
          <a:grpSpLocks/>
        </xdr:cNvGrpSpPr>
      </xdr:nvGrpSpPr>
      <xdr:grpSpPr bwMode="auto">
        <a:xfrm>
          <a:off x="12982575" y="180975"/>
          <a:ext cx="2105025" cy="5133975"/>
          <a:chOff x="3421" y="5379"/>
          <a:chExt cx="2289" cy="5759"/>
        </a:xfrm>
      </xdr:grpSpPr>
      <xdr:grpSp>
        <xdr:nvGrpSpPr>
          <xdr:cNvPr id="6098854" name="Group 233">
            <a:extLst>
              <a:ext uri="{FF2B5EF4-FFF2-40B4-BE49-F238E27FC236}">
                <a16:creationId xmlns:a16="http://schemas.microsoft.com/office/drawing/2014/main" id="{00000000-0008-0000-0700-0000A60F5D00}"/>
              </a:ext>
            </a:extLst>
          </xdr:cNvPr>
          <xdr:cNvGrpSpPr>
            <a:grpSpLocks/>
          </xdr:cNvGrpSpPr>
        </xdr:nvGrpSpPr>
        <xdr:grpSpPr bwMode="auto">
          <a:xfrm>
            <a:off x="4047" y="5379"/>
            <a:ext cx="515" cy="4096"/>
            <a:chOff x="4047" y="5379"/>
            <a:chExt cx="515" cy="4096"/>
          </a:xfrm>
        </xdr:grpSpPr>
        <xdr:sp macro="" textlink="">
          <xdr:nvSpPr>
            <xdr:cNvPr id="6098872" name="Arc 234">
              <a:extLst>
                <a:ext uri="{FF2B5EF4-FFF2-40B4-BE49-F238E27FC236}">
                  <a16:creationId xmlns:a16="http://schemas.microsoft.com/office/drawing/2014/main" id="{00000000-0008-0000-0700-0000B80F5D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a:extLst>
              <a:ext uri="{909E8E84-426E-40DD-AFC4-6F175D3DCCD1}">
                <a14:hiddenFill xmlns:a14="http://schemas.microsoft.com/office/drawing/2010/main">
                  <a:solidFill>
                    <a:srgbClr val="FFFFFF"/>
                  </a:solidFill>
                </a14:hiddenFill>
              </a:ext>
            </a:extLst>
          </xdr:spPr>
        </xdr:sp>
        <xdr:grpSp>
          <xdr:nvGrpSpPr>
            <xdr:cNvPr id="6098873" name="Group 235">
              <a:extLst>
                <a:ext uri="{FF2B5EF4-FFF2-40B4-BE49-F238E27FC236}">
                  <a16:creationId xmlns:a16="http://schemas.microsoft.com/office/drawing/2014/main" id="{00000000-0008-0000-0700-0000B90F5D00}"/>
                </a:ext>
              </a:extLst>
            </xdr:cNvPr>
            <xdr:cNvGrpSpPr>
              <a:grpSpLocks/>
            </xdr:cNvGrpSpPr>
          </xdr:nvGrpSpPr>
          <xdr:grpSpPr bwMode="auto">
            <a:xfrm>
              <a:off x="4047" y="6306"/>
              <a:ext cx="285" cy="3169"/>
              <a:chOff x="4050" y="6306"/>
              <a:chExt cx="285" cy="3169"/>
            </a:xfrm>
          </xdr:grpSpPr>
          <xdr:sp macro="" textlink="">
            <xdr:nvSpPr>
              <xdr:cNvPr id="6098874" name="Line 236">
                <a:extLst>
                  <a:ext uri="{FF2B5EF4-FFF2-40B4-BE49-F238E27FC236}">
                    <a16:creationId xmlns:a16="http://schemas.microsoft.com/office/drawing/2014/main" id="{00000000-0008-0000-0700-0000BA0F5D00}"/>
                  </a:ext>
                </a:extLst>
              </xdr:cNvPr>
              <xdr:cNvSpPr>
                <a:spLocks noChangeShapeType="1"/>
              </xdr:cNvSpPr>
            </xdr:nvSpPr>
            <xdr:spPr bwMode="auto">
              <a:xfrm flipH="1">
                <a:off x="4202" y="6306"/>
                <a:ext cx="0" cy="93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75" name="Line 237">
                <a:extLst>
                  <a:ext uri="{FF2B5EF4-FFF2-40B4-BE49-F238E27FC236}">
                    <a16:creationId xmlns:a16="http://schemas.microsoft.com/office/drawing/2014/main" id="{00000000-0008-0000-0700-0000BB0F5D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76" name="Line 238">
                <a:extLst>
                  <a:ext uri="{FF2B5EF4-FFF2-40B4-BE49-F238E27FC236}">
                    <a16:creationId xmlns:a16="http://schemas.microsoft.com/office/drawing/2014/main" id="{00000000-0008-0000-0700-0000BC0F5D00}"/>
                  </a:ext>
                </a:extLst>
              </xdr:cNvPr>
              <xdr:cNvSpPr>
                <a:spLocks noChangeShapeType="1"/>
              </xdr:cNvSpPr>
            </xdr:nvSpPr>
            <xdr:spPr bwMode="auto">
              <a:xfrm>
                <a:off x="4050" y="7496"/>
                <a:ext cx="0" cy="64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77" name="Line 239">
                <a:extLst>
                  <a:ext uri="{FF2B5EF4-FFF2-40B4-BE49-F238E27FC236}">
                    <a16:creationId xmlns:a16="http://schemas.microsoft.com/office/drawing/2014/main" id="{00000000-0008-0000-0700-0000BD0F5D00}"/>
                  </a:ext>
                </a:extLst>
              </xdr:cNvPr>
              <xdr:cNvSpPr>
                <a:spLocks noChangeShapeType="1"/>
              </xdr:cNvSpPr>
            </xdr:nvSpPr>
            <xdr:spPr bwMode="auto">
              <a:xfrm>
                <a:off x="4050" y="8138"/>
                <a:ext cx="285" cy="367"/>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78" name="Line 240">
                <a:extLst>
                  <a:ext uri="{FF2B5EF4-FFF2-40B4-BE49-F238E27FC236}">
                    <a16:creationId xmlns:a16="http://schemas.microsoft.com/office/drawing/2014/main" id="{00000000-0008-0000-0700-0000BE0F5D00}"/>
                  </a:ext>
                </a:extLst>
              </xdr:cNvPr>
              <xdr:cNvSpPr>
                <a:spLocks noChangeShapeType="1"/>
              </xdr:cNvSpPr>
            </xdr:nvSpPr>
            <xdr:spPr bwMode="auto">
              <a:xfrm>
                <a:off x="4335" y="8505"/>
                <a:ext cx="0" cy="970"/>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grpSp>
      </xdr:grpSp>
      <xdr:grpSp>
        <xdr:nvGrpSpPr>
          <xdr:cNvPr id="6098855" name="Group 241">
            <a:extLst>
              <a:ext uri="{FF2B5EF4-FFF2-40B4-BE49-F238E27FC236}">
                <a16:creationId xmlns:a16="http://schemas.microsoft.com/office/drawing/2014/main" id="{00000000-0008-0000-0700-0000A70F5D00}"/>
              </a:ext>
            </a:extLst>
          </xdr:cNvPr>
          <xdr:cNvGrpSpPr>
            <a:grpSpLocks/>
          </xdr:cNvGrpSpPr>
        </xdr:nvGrpSpPr>
        <xdr:grpSpPr bwMode="auto">
          <a:xfrm flipH="1">
            <a:off x="4560" y="5379"/>
            <a:ext cx="515" cy="4096"/>
            <a:chOff x="4047" y="5379"/>
            <a:chExt cx="515" cy="4096"/>
          </a:xfrm>
        </xdr:grpSpPr>
        <xdr:sp macro="" textlink="">
          <xdr:nvSpPr>
            <xdr:cNvPr id="6098865" name="Arc 242">
              <a:extLst>
                <a:ext uri="{FF2B5EF4-FFF2-40B4-BE49-F238E27FC236}">
                  <a16:creationId xmlns:a16="http://schemas.microsoft.com/office/drawing/2014/main" id="{00000000-0008-0000-0700-0000B10F5D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a:extLst>
              <a:ext uri="{909E8E84-426E-40DD-AFC4-6F175D3DCCD1}">
                <a14:hiddenFill xmlns:a14="http://schemas.microsoft.com/office/drawing/2010/main">
                  <a:solidFill>
                    <a:srgbClr val="FFFFFF"/>
                  </a:solidFill>
                </a14:hiddenFill>
              </a:ext>
            </a:extLst>
          </xdr:spPr>
        </xdr:sp>
        <xdr:grpSp>
          <xdr:nvGrpSpPr>
            <xdr:cNvPr id="6098866" name="Group 243">
              <a:extLst>
                <a:ext uri="{FF2B5EF4-FFF2-40B4-BE49-F238E27FC236}">
                  <a16:creationId xmlns:a16="http://schemas.microsoft.com/office/drawing/2014/main" id="{00000000-0008-0000-0700-0000B20F5D00}"/>
                </a:ext>
              </a:extLst>
            </xdr:cNvPr>
            <xdr:cNvGrpSpPr>
              <a:grpSpLocks/>
            </xdr:cNvGrpSpPr>
          </xdr:nvGrpSpPr>
          <xdr:grpSpPr bwMode="auto">
            <a:xfrm>
              <a:off x="4047" y="6306"/>
              <a:ext cx="285" cy="3169"/>
              <a:chOff x="4050" y="6306"/>
              <a:chExt cx="285" cy="3169"/>
            </a:xfrm>
          </xdr:grpSpPr>
          <xdr:sp macro="" textlink="">
            <xdr:nvSpPr>
              <xdr:cNvPr id="6098867" name="Line 244">
                <a:extLst>
                  <a:ext uri="{FF2B5EF4-FFF2-40B4-BE49-F238E27FC236}">
                    <a16:creationId xmlns:a16="http://schemas.microsoft.com/office/drawing/2014/main" id="{00000000-0008-0000-0700-0000B30F5D00}"/>
                  </a:ext>
                </a:extLst>
              </xdr:cNvPr>
              <xdr:cNvSpPr>
                <a:spLocks noChangeShapeType="1"/>
              </xdr:cNvSpPr>
            </xdr:nvSpPr>
            <xdr:spPr bwMode="auto">
              <a:xfrm flipH="1">
                <a:off x="4202" y="6306"/>
                <a:ext cx="0" cy="93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8" name="Line 245">
                <a:extLst>
                  <a:ext uri="{FF2B5EF4-FFF2-40B4-BE49-F238E27FC236}">
                    <a16:creationId xmlns:a16="http://schemas.microsoft.com/office/drawing/2014/main" id="{00000000-0008-0000-0700-0000B40F5D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9" name="Line 246">
                <a:extLst>
                  <a:ext uri="{FF2B5EF4-FFF2-40B4-BE49-F238E27FC236}">
                    <a16:creationId xmlns:a16="http://schemas.microsoft.com/office/drawing/2014/main" id="{00000000-0008-0000-0700-0000B50F5D00}"/>
                  </a:ext>
                </a:extLst>
              </xdr:cNvPr>
              <xdr:cNvSpPr>
                <a:spLocks noChangeShapeType="1"/>
              </xdr:cNvSpPr>
            </xdr:nvSpPr>
            <xdr:spPr bwMode="auto">
              <a:xfrm>
                <a:off x="4050" y="7496"/>
                <a:ext cx="0" cy="64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70" name="Line 247">
                <a:extLst>
                  <a:ext uri="{FF2B5EF4-FFF2-40B4-BE49-F238E27FC236}">
                    <a16:creationId xmlns:a16="http://schemas.microsoft.com/office/drawing/2014/main" id="{00000000-0008-0000-0700-0000B60F5D00}"/>
                  </a:ext>
                </a:extLst>
              </xdr:cNvPr>
              <xdr:cNvSpPr>
                <a:spLocks noChangeShapeType="1"/>
              </xdr:cNvSpPr>
            </xdr:nvSpPr>
            <xdr:spPr bwMode="auto">
              <a:xfrm>
                <a:off x="4050" y="8138"/>
                <a:ext cx="285" cy="367"/>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71" name="Line 248">
                <a:extLst>
                  <a:ext uri="{FF2B5EF4-FFF2-40B4-BE49-F238E27FC236}">
                    <a16:creationId xmlns:a16="http://schemas.microsoft.com/office/drawing/2014/main" id="{00000000-0008-0000-0700-0000B70F5D00}"/>
                  </a:ext>
                </a:extLst>
              </xdr:cNvPr>
              <xdr:cNvSpPr>
                <a:spLocks noChangeShapeType="1"/>
              </xdr:cNvSpPr>
            </xdr:nvSpPr>
            <xdr:spPr bwMode="auto">
              <a:xfrm>
                <a:off x="4335" y="8505"/>
                <a:ext cx="0" cy="970"/>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grpSp>
      </xdr:grpSp>
      <xdr:sp macro="" textlink="">
        <xdr:nvSpPr>
          <xdr:cNvPr id="6098856" name="Line 249">
            <a:extLst>
              <a:ext uri="{FF2B5EF4-FFF2-40B4-BE49-F238E27FC236}">
                <a16:creationId xmlns:a16="http://schemas.microsoft.com/office/drawing/2014/main" id="{00000000-0008-0000-0700-0000A80F5D00}"/>
              </a:ext>
            </a:extLst>
          </xdr:cNvPr>
          <xdr:cNvSpPr>
            <a:spLocks noChangeShapeType="1"/>
          </xdr:cNvSpPr>
        </xdr:nvSpPr>
        <xdr:spPr bwMode="auto">
          <a:xfrm>
            <a:off x="4332" y="9310"/>
            <a:ext cx="2" cy="1319"/>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57" name="Line 250">
            <a:extLst>
              <a:ext uri="{FF2B5EF4-FFF2-40B4-BE49-F238E27FC236}">
                <a16:creationId xmlns:a16="http://schemas.microsoft.com/office/drawing/2014/main" id="{00000000-0008-0000-0700-0000A90F5D00}"/>
              </a:ext>
            </a:extLst>
          </xdr:cNvPr>
          <xdr:cNvSpPr>
            <a:spLocks noChangeShapeType="1"/>
          </xdr:cNvSpPr>
        </xdr:nvSpPr>
        <xdr:spPr bwMode="auto">
          <a:xfrm>
            <a:off x="4790" y="9310"/>
            <a:ext cx="0" cy="1319"/>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58" name="Line 251">
            <a:extLst>
              <a:ext uri="{FF2B5EF4-FFF2-40B4-BE49-F238E27FC236}">
                <a16:creationId xmlns:a16="http://schemas.microsoft.com/office/drawing/2014/main" id="{00000000-0008-0000-0700-0000AA0F5D00}"/>
              </a:ext>
            </a:extLst>
          </xdr:cNvPr>
          <xdr:cNvSpPr>
            <a:spLocks noChangeShapeType="1"/>
          </xdr:cNvSpPr>
        </xdr:nvSpPr>
        <xdr:spPr bwMode="auto">
          <a:xfrm>
            <a:off x="4330" y="10629"/>
            <a:ext cx="458" cy="0"/>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59" name="Line 252">
            <a:extLst>
              <a:ext uri="{FF2B5EF4-FFF2-40B4-BE49-F238E27FC236}">
                <a16:creationId xmlns:a16="http://schemas.microsoft.com/office/drawing/2014/main" id="{00000000-0008-0000-0700-0000AB0F5D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0" name="Line 253">
            <a:extLst>
              <a:ext uri="{FF2B5EF4-FFF2-40B4-BE49-F238E27FC236}">
                <a16:creationId xmlns:a16="http://schemas.microsoft.com/office/drawing/2014/main" id="{00000000-0008-0000-0700-0000AC0F5D00}"/>
              </a:ext>
            </a:extLst>
          </xdr:cNvPr>
          <xdr:cNvSpPr>
            <a:spLocks noChangeShapeType="1"/>
          </xdr:cNvSpPr>
        </xdr:nvSpPr>
        <xdr:spPr bwMode="auto">
          <a:xfrm>
            <a:off x="4796" y="10419"/>
            <a:ext cx="909" cy="71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1" name="Line 254">
            <a:extLst>
              <a:ext uri="{FF2B5EF4-FFF2-40B4-BE49-F238E27FC236}">
                <a16:creationId xmlns:a16="http://schemas.microsoft.com/office/drawing/2014/main" id="{00000000-0008-0000-0700-0000AD0F5D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2" name="Line 255">
            <a:extLst>
              <a:ext uri="{FF2B5EF4-FFF2-40B4-BE49-F238E27FC236}">
                <a16:creationId xmlns:a16="http://schemas.microsoft.com/office/drawing/2014/main" id="{00000000-0008-0000-0700-0000AE0F5D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3" name="Line 256">
            <a:extLst>
              <a:ext uri="{FF2B5EF4-FFF2-40B4-BE49-F238E27FC236}">
                <a16:creationId xmlns:a16="http://schemas.microsoft.com/office/drawing/2014/main" id="{00000000-0008-0000-0700-0000AF0F5D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sp macro="" textlink="">
        <xdr:nvSpPr>
          <xdr:cNvPr id="6098864" name="Line 257">
            <a:extLst>
              <a:ext uri="{FF2B5EF4-FFF2-40B4-BE49-F238E27FC236}">
                <a16:creationId xmlns:a16="http://schemas.microsoft.com/office/drawing/2014/main" id="{00000000-0008-0000-0700-0000B00F5D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a:extLst>
            <a:ext uri="{909E8E84-426E-40DD-AFC4-6F175D3DCCD1}">
              <a14:hiddenFill xmlns:a14="http://schemas.microsoft.com/office/drawing/2010/main">
                <a:noFill/>
              </a14:hiddenFill>
            </a:ext>
          </a:extLst>
        </xdr:spPr>
      </xdr:sp>
    </xdr:grpSp>
    <xdr:clientData/>
  </xdr:twoCellAnchor>
  <xdr:twoCellAnchor>
    <xdr:from>
      <xdr:col>17</xdr:col>
      <xdr:colOff>790575</xdr:colOff>
      <xdr:row>11</xdr:row>
      <xdr:rowOff>104775</xdr:rowOff>
    </xdr:from>
    <xdr:to>
      <xdr:col>18</xdr:col>
      <xdr:colOff>352425</xdr:colOff>
      <xdr:row>11</xdr:row>
      <xdr:rowOff>104775</xdr:rowOff>
    </xdr:to>
    <xdr:sp macro="" textlink="">
      <xdr:nvSpPr>
        <xdr:cNvPr id="6098816" name="Line 268">
          <a:extLst>
            <a:ext uri="{FF2B5EF4-FFF2-40B4-BE49-F238E27FC236}">
              <a16:creationId xmlns:a16="http://schemas.microsoft.com/office/drawing/2014/main" id="{00000000-0008-0000-0700-0000800F5D00}"/>
            </a:ext>
          </a:extLst>
        </xdr:cNvPr>
        <xdr:cNvSpPr>
          <a:spLocks noChangeShapeType="1"/>
        </xdr:cNvSpPr>
      </xdr:nvSpPr>
      <xdr:spPr bwMode="auto">
        <a:xfrm flipV="1">
          <a:off x="13706475" y="2028825"/>
          <a:ext cx="647700" cy="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17</xdr:col>
      <xdr:colOff>85725</xdr:colOff>
      <xdr:row>1</xdr:row>
      <xdr:rowOff>9525</xdr:rowOff>
    </xdr:from>
    <xdr:to>
      <xdr:col>19</xdr:col>
      <xdr:colOff>323850</xdr:colOff>
      <xdr:row>1</xdr:row>
      <xdr:rowOff>9525</xdr:rowOff>
    </xdr:to>
    <xdr:sp macro="" textlink="">
      <xdr:nvSpPr>
        <xdr:cNvPr id="6098817" name="Line 269">
          <a:extLst>
            <a:ext uri="{FF2B5EF4-FFF2-40B4-BE49-F238E27FC236}">
              <a16:creationId xmlns:a16="http://schemas.microsoft.com/office/drawing/2014/main" id="{00000000-0008-0000-0700-0000810F5D00}"/>
            </a:ext>
          </a:extLst>
        </xdr:cNvPr>
        <xdr:cNvSpPr>
          <a:spLocks noChangeShapeType="1"/>
        </xdr:cNvSpPr>
      </xdr:nvSpPr>
      <xdr:spPr bwMode="auto">
        <a:xfrm flipV="1">
          <a:off x="13001625" y="180975"/>
          <a:ext cx="240982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1009650</xdr:colOff>
      <xdr:row>1</xdr:row>
      <xdr:rowOff>9525</xdr:rowOff>
    </xdr:from>
    <xdr:to>
      <xdr:col>18</xdr:col>
      <xdr:colOff>1009650</xdr:colOff>
      <xdr:row>28</xdr:row>
      <xdr:rowOff>142875</xdr:rowOff>
    </xdr:to>
    <xdr:sp macro="" textlink="">
      <xdr:nvSpPr>
        <xdr:cNvPr id="6098818" name="Line 270">
          <a:extLst>
            <a:ext uri="{FF2B5EF4-FFF2-40B4-BE49-F238E27FC236}">
              <a16:creationId xmlns:a16="http://schemas.microsoft.com/office/drawing/2014/main" id="{00000000-0008-0000-0700-0000820F5D00}"/>
            </a:ext>
          </a:extLst>
        </xdr:cNvPr>
        <xdr:cNvSpPr>
          <a:spLocks noChangeShapeType="1"/>
        </xdr:cNvSpPr>
      </xdr:nvSpPr>
      <xdr:spPr bwMode="auto">
        <a:xfrm>
          <a:off x="15011400" y="180975"/>
          <a:ext cx="0" cy="4657725"/>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17</xdr:col>
      <xdr:colOff>114300</xdr:colOff>
      <xdr:row>10</xdr:row>
      <xdr:rowOff>152400</xdr:rowOff>
    </xdr:from>
    <xdr:to>
      <xdr:col>18</xdr:col>
      <xdr:colOff>390525</xdr:colOff>
      <xdr:row>10</xdr:row>
      <xdr:rowOff>152400</xdr:rowOff>
    </xdr:to>
    <xdr:sp macro="" textlink="">
      <xdr:nvSpPr>
        <xdr:cNvPr id="6098819" name="Line 271">
          <a:extLst>
            <a:ext uri="{FF2B5EF4-FFF2-40B4-BE49-F238E27FC236}">
              <a16:creationId xmlns:a16="http://schemas.microsoft.com/office/drawing/2014/main" id="{00000000-0008-0000-0700-0000830F5D00}"/>
            </a:ext>
          </a:extLst>
        </xdr:cNvPr>
        <xdr:cNvSpPr>
          <a:spLocks noChangeShapeType="1"/>
        </xdr:cNvSpPr>
      </xdr:nvSpPr>
      <xdr:spPr bwMode="auto">
        <a:xfrm>
          <a:off x="13030200" y="1905000"/>
          <a:ext cx="136207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142875</xdr:colOff>
      <xdr:row>0</xdr:row>
      <xdr:rowOff>161925</xdr:rowOff>
    </xdr:from>
    <xdr:to>
      <xdr:col>17</xdr:col>
      <xdr:colOff>142875</xdr:colOff>
      <xdr:row>10</xdr:row>
      <xdr:rowOff>142875</xdr:rowOff>
    </xdr:to>
    <xdr:sp macro="" textlink="">
      <xdr:nvSpPr>
        <xdr:cNvPr id="6098820" name="Line 272">
          <a:extLst>
            <a:ext uri="{FF2B5EF4-FFF2-40B4-BE49-F238E27FC236}">
              <a16:creationId xmlns:a16="http://schemas.microsoft.com/office/drawing/2014/main" id="{00000000-0008-0000-0700-0000840F5D00}"/>
            </a:ext>
          </a:extLst>
        </xdr:cNvPr>
        <xdr:cNvSpPr>
          <a:spLocks noChangeShapeType="1"/>
        </xdr:cNvSpPr>
      </xdr:nvSpPr>
      <xdr:spPr bwMode="auto">
        <a:xfrm flipH="1">
          <a:off x="13058775" y="161925"/>
          <a:ext cx="0" cy="173355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16</xdr:col>
      <xdr:colOff>219075</xdr:colOff>
      <xdr:row>31</xdr:row>
      <xdr:rowOff>95250</xdr:rowOff>
    </xdr:from>
    <xdr:to>
      <xdr:col>17</xdr:col>
      <xdr:colOff>76200</xdr:colOff>
      <xdr:row>31</xdr:row>
      <xdr:rowOff>95250</xdr:rowOff>
    </xdr:to>
    <xdr:sp macro="" textlink="">
      <xdr:nvSpPr>
        <xdr:cNvPr id="6098821" name="Line 277">
          <a:extLst>
            <a:ext uri="{FF2B5EF4-FFF2-40B4-BE49-F238E27FC236}">
              <a16:creationId xmlns:a16="http://schemas.microsoft.com/office/drawing/2014/main" id="{00000000-0008-0000-0700-0000850F5D00}"/>
            </a:ext>
          </a:extLst>
        </xdr:cNvPr>
        <xdr:cNvSpPr>
          <a:spLocks noChangeShapeType="1"/>
        </xdr:cNvSpPr>
      </xdr:nvSpPr>
      <xdr:spPr bwMode="auto">
        <a:xfrm>
          <a:off x="12363450" y="5305425"/>
          <a:ext cx="62865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190500</xdr:colOff>
      <xdr:row>29</xdr:row>
      <xdr:rowOff>85725</xdr:rowOff>
    </xdr:from>
    <xdr:to>
      <xdr:col>18</xdr:col>
      <xdr:colOff>990600</xdr:colOff>
      <xdr:row>29</xdr:row>
      <xdr:rowOff>85725</xdr:rowOff>
    </xdr:to>
    <xdr:sp macro="" textlink="">
      <xdr:nvSpPr>
        <xdr:cNvPr id="6098822" name="Line 280">
          <a:extLst>
            <a:ext uri="{FF2B5EF4-FFF2-40B4-BE49-F238E27FC236}">
              <a16:creationId xmlns:a16="http://schemas.microsoft.com/office/drawing/2014/main" id="{00000000-0008-0000-0700-0000860F5D00}"/>
            </a:ext>
          </a:extLst>
        </xdr:cNvPr>
        <xdr:cNvSpPr>
          <a:spLocks noChangeShapeType="1"/>
        </xdr:cNvSpPr>
      </xdr:nvSpPr>
      <xdr:spPr bwMode="auto">
        <a:xfrm>
          <a:off x="14192250" y="4953000"/>
          <a:ext cx="80010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485775</xdr:colOff>
      <xdr:row>20</xdr:row>
      <xdr:rowOff>0</xdr:rowOff>
    </xdr:from>
    <xdr:to>
      <xdr:col>17</xdr:col>
      <xdr:colOff>485775</xdr:colOff>
      <xdr:row>28</xdr:row>
      <xdr:rowOff>123825</xdr:rowOff>
    </xdr:to>
    <xdr:sp macro="" textlink="">
      <xdr:nvSpPr>
        <xdr:cNvPr id="6098823" name="Line 281">
          <a:extLst>
            <a:ext uri="{FF2B5EF4-FFF2-40B4-BE49-F238E27FC236}">
              <a16:creationId xmlns:a16="http://schemas.microsoft.com/office/drawing/2014/main" id="{00000000-0008-0000-0700-0000870F5D00}"/>
            </a:ext>
          </a:extLst>
        </xdr:cNvPr>
        <xdr:cNvSpPr>
          <a:spLocks noChangeShapeType="1"/>
        </xdr:cNvSpPr>
      </xdr:nvSpPr>
      <xdr:spPr bwMode="auto">
        <a:xfrm flipH="1">
          <a:off x="13401675" y="3390900"/>
          <a:ext cx="0" cy="142875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16</xdr:col>
      <xdr:colOff>295275</xdr:colOff>
      <xdr:row>27</xdr:row>
      <xdr:rowOff>133350</xdr:rowOff>
    </xdr:from>
    <xdr:to>
      <xdr:col>16</xdr:col>
      <xdr:colOff>304800</xdr:colOff>
      <xdr:row>31</xdr:row>
      <xdr:rowOff>95250</xdr:rowOff>
    </xdr:to>
    <xdr:sp macro="" textlink="">
      <xdr:nvSpPr>
        <xdr:cNvPr id="6098824" name="Line 282">
          <a:extLst>
            <a:ext uri="{FF2B5EF4-FFF2-40B4-BE49-F238E27FC236}">
              <a16:creationId xmlns:a16="http://schemas.microsoft.com/office/drawing/2014/main" id="{00000000-0008-0000-0700-0000880F5D00}"/>
            </a:ext>
          </a:extLst>
        </xdr:cNvPr>
        <xdr:cNvSpPr>
          <a:spLocks noChangeShapeType="1"/>
        </xdr:cNvSpPr>
      </xdr:nvSpPr>
      <xdr:spPr bwMode="auto">
        <a:xfrm flipH="1">
          <a:off x="12439650" y="4657725"/>
          <a:ext cx="9525" cy="64770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16</xdr:col>
      <xdr:colOff>695325</xdr:colOff>
      <xdr:row>20</xdr:row>
      <xdr:rowOff>0</xdr:rowOff>
    </xdr:from>
    <xdr:to>
      <xdr:col>16</xdr:col>
      <xdr:colOff>695325</xdr:colOff>
      <xdr:row>27</xdr:row>
      <xdr:rowOff>133350</xdr:rowOff>
    </xdr:to>
    <xdr:sp macro="" textlink="">
      <xdr:nvSpPr>
        <xdr:cNvPr id="6098825" name="Line 283">
          <a:extLst>
            <a:ext uri="{FF2B5EF4-FFF2-40B4-BE49-F238E27FC236}">
              <a16:creationId xmlns:a16="http://schemas.microsoft.com/office/drawing/2014/main" id="{00000000-0008-0000-0700-0000890F5D00}"/>
            </a:ext>
          </a:extLst>
        </xdr:cNvPr>
        <xdr:cNvSpPr>
          <a:spLocks noChangeShapeType="1"/>
        </xdr:cNvSpPr>
      </xdr:nvSpPr>
      <xdr:spPr bwMode="auto">
        <a:xfrm>
          <a:off x="12839700" y="3390900"/>
          <a:ext cx="0" cy="1266825"/>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17</xdr:col>
      <xdr:colOff>66675</xdr:colOff>
      <xdr:row>31</xdr:row>
      <xdr:rowOff>95250</xdr:rowOff>
    </xdr:from>
    <xdr:to>
      <xdr:col>17</xdr:col>
      <xdr:colOff>66675</xdr:colOff>
      <xdr:row>32</xdr:row>
      <xdr:rowOff>0</xdr:rowOff>
    </xdr:to>
    <xdr:sp macro="" textlink="">
      <xdr:nvSpPr>
        <xdr:cNvPr id="6098826" name="Line 284">
          <a:extLst>
            <a:ext uri="{FF2B5EF4-FFF2-40B4-BE49-F238E27FC236}">
              <a16:creationId xmlns:a16="http://schemas.microsoft.com/office/drawing/2014/main" id="{00000000-0008-0000-0700-00008A0F5D00}"/>
            </a:ext>
          </a:extLst>
        </xdr:cNvPr>
        <xdr:cNvSpPr>
          <a:spLocks noChangeShapeType="1"/>
        </xdr:cNvSpPr>
      </xdr:nvSpPr>
      <xdr:spPr bwMode="auto">
        <a:xfrm flipV="1">
          <a:off x="12982575" y="5305425"/>
          <a:ext cx="0" cy="7620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904875</xdr:colOff>
      <xdr:row>29</xdr:row>
      <xdr:rowOff>85725</xdr:rowOff>
    </xdr:from>
    <xdr:to>
      <xdr:col>17</xdr:col>
      <xdr:colOff>904875</xdr:colOff>
      <xdr:row>31</xdr:row>
      <xdr:rowOff>161925</xdr:rowOff>
    </xdr:to>
    <xdr:sp macro="" textlink="">
      <xdr:nvSpPr>
        <xdr:cNvPr id="6098827" name="Line 285">
          <a:extLst>
            <a:ext uri="{FF2B5EF4-FFF2-40B4-BE49-F238E27FC236}">
              <a16:creationId xmlns:a16="http://schemas.microsoft.com/office/drawing/2014/main" id="{00000000-0008-0000-0700-00008B0F5D00}"/>
            </a:ext>
          </a:extLst>
        </xdr:cNvPr>
        <xdr:cNvSpPr>
          <a:spLocks noChangeShapeType="1"/>
        </xdr:cNvSpPr>
      </xdr:nvSpPr>
      <xdr:spPr bwMode="auto">
        <a:xfrm flipH="1" flipV="1">
          <a:off x="13820775" y="4953000"/>
          <a:ext cx="0" cy="41910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85725</xdr:colOff>
      <xdr:row>31</xdr:row>
      <xdr:rowOff>123825</xdr:rowOff>
    </xdr:from>
    <xdr:to>
      <xdr:col>17</xdr:col>
      <xdr:colOff>914400</xdr:colOff>
      <xdr:row>31</xdr:row>
      <xdr:rowOff>123825</xdr:rowOff>
    </xdr:to>
    <xdr:sp macro="" textlink="">
      <xdr:nvSpPr>
        <xdr:cNvPr id="6098828" name="Line 286">
          <a:extLst>
            <a:ext uri="{FF2B5EF4-FFF2-40B4-BE49-F238E27FC236}">
              <a16:creationId xmlns:a16="http://schemas.microsoft.com/office/drawing/2014/main" id="{00000000-0008-0000-0700-00008C0F5D00}"/>
            </a:ext>
          </a:extLst>
        </xdr:cNvPr>
        <xdr:cNvSpPr>
          <a:spLocks noChangeShapeType="1"/>
        </xdr:cNvSpPr>
      </xdr:nvSpPr>
      <xdr:spPr bwMode="auto">
        <a:xfrm flipV="1">
          <a:off x="13001625" y="5334000"/>
          <a:ext cx="828675" cy="0"/>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17</xdr:col>
      <xdr:colOff>638175</xdr:colOff>
      <xdr:row>16</xdr:row>
      <xdr:rowOff>57150</xdr:rowOff>
    </xdr:from>
    <xdr:to>
      <xdr:col>18</xdr:col>
      <xdr:colOff>495300</xdr:colOff>
      <xdr:row>16</xdr:row>
      <xdr:rowOff>57150</xdr:rowOff>
    </xdr:to>
    <xdr:sp macro="" textlink="">
      <xdr:nvSpPr>
        <xdr:cNvPr id="6098829" name="Line 287">
          <a:extLst>
            <a:ext uri="{FF2B5EF4-FFF2-40B4-BE49-F238E27FC236}">
              <a16:creationId xmlns:a16="http://schemas.microsoft.com/office/drawing/2014/main" id="{00000000-0008-0000-0700-00008D0F5D00}"/>
            </a:ext>
          </a:extLst>
        </xdr:cNvPr>
        <xdr:cNvSpPr>
          <a:spLocks noChangeShapeType="1"/>
        </xdr:cNvSpPr>
      </xdr:nvSpPr>
      <xdr:spPr bwMode="auto">
        <a:xfrm flipV="1">
          <a:off x="13554075" y="2800350"/>
          <a:ext cx="942975" cy="0"/>
        </a:xfrm>
        <a:prstGeom prst="line">
          <a:avLst/>
        </a:prstGeom>
        <a:noFill/>
        <a:ln w="317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17</xdr:col>
      <xdr:colOff>790575</xdr:colOff>
      <xdr:row>14</xdr:row>
      <xdr:rowOff>123825</xdr:rowOff>
    </xdr:from>
    <xdr:to>
      <xdr:col>19</xdr:col>
      <xdr:colOff>19050</xdr:colOff>
      <xdr:row>14</xdr:row>
      <xdr:rowOff>123825</xdr:rowOff>
    </xdr:to>
    <xdr:sp macro="" textlink="">
      <xdr:nvSpPr>
        <xdr:cNvPr id="6098830" name="Line 289">
          <a:extLst>
            <a:ext uri="{FF2B5EF4-FFF2-40B4-BE49-F238E27FC236}">
              <a16:creationId xmlns:a16="http://schemas.microsoft.com/office/drawing/2014/main" id="{00000000-0008-0000-0700-00008E0F5D00}"/>
            </a:ext>
          </a:extLst>
        </xdr:cNvPr>
        <xdr:cNvSpPr>
          <a:spLocks noChangeShapeType="1"/>
        </xdr:cNvSpPr>
      </xdr:nvSpPr>
      <xdr:spPr bwMode="auto">
        <a:xfrm>
          <a:off x="13706475" y="2543175"/>
          <a:ext cx="1400175"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647700</xdr:colOff>
      <xdr:row>15</xdr:row>
      <xdr:rowOff>123825</xdr:rowOff>
    </xdr:from>
    <xdr:to>
      <xdr:col>19</xdr:col>
      <xdr:colOff>38100</xdr:colOff>
      <xdr:row>15</xdr:row>
      <xdr:rowOff>123825</xdr:rowOff>
    </xdr:to>
    <xdr:sp macro="" textlink="">
      <xdr:nvSpPr>
        <xdr:cNvPr id="6098831" name="Line 290">
          <a:extLst>
            <a:ext uri="{FF2B5EF4-FFF2-40B4-BE49-F238E27FC236}">
              <a16:creationId xmlns:a16="http://schemas.microsoft.com/office/drawing/2014/main" id="{00000000-0008-0000-0700-00008F0F5D00}"/>
            </a:ext>
          </a:extLst>
        </xdr:cNvPr>
        <xdr:cNvSpPr>
          <a:spLocks noChangeShapeType="1"/>
        </xdr:cNvSpPr>
      </xdr:nvSpPr>
      <xdr:spPr bwMode="auto">
        <a:xfrm>
          <a:off x="13563600" y="2705100"/>
          <a:ext cx="1562100"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638175</xdr:colOff>
      <xdr:row>18</xdr:row>
      <xdr:rowOff>66675</xdr:rowOff>
    </xdr:from>
    <xdr:to>
      <xdr:col>19</xdr:col>
      <xdr:colOff>38100</xdr:colOff>
      <xdr:row>18</xdr:row>
      <xdr:rowOff>66675</xdr:rowOff>
    </xdr:to>
    <xdr:sp macro="" textlink="">
      <xdr:nvSpPr>
        <xdr:cNvPr id="6098832" name="Line 291">
          <a:extLst>
            <a:ext uri="{FF2B5EF4-FFF2-40B4-BE49-F238E27FC236}">
              <a16:creationId xmlns:a16="http://schemas.microsoft.com/office/drawing/2014/main" id="{00000000-0008-0000-0700-0000900F5D00}"/>
            </a:ext>
          </a:extLst>
        </xdr:cNvPr>
        <xdr:cNvSpPr>
          <a:spLocks noChangeShapeType="1"/>
        </xdr:cNvSpPr>
      </xdr:nvSpPr>
      <xdr:spPr bwMode="auto">
        <a:xfrm>
          <a:off x="13554075" y="3133725"/>
          <a:ext cx="1571625"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904875</xdr:colOff>
      <xdr:row>19</xdr:row>
      <xdr:rowOff>133350</xdr:rowOff>
    </xdr:from>
    <xdr:to>
      <xdr:col>19</xdr:col>
      <xdr:colOff>9525</xdr:colOff>
      <xdr:row>19</xdr:row>
      <xdr:rowOff>133350</xdr:rowOff>
    </xdr:to>
    <xdr:sp macro="" textlink="">
      <xdr:nvSpPr>
        <xdr:cNvPr id="6098833" name="Line 292">
          <a:extLst>
            <a:ext uri="{FF2B5EF4-FFF2-40B4-BE49-F238E27FC236}">
              <a16:creationId xmlns:a16="http://schemas.microsoft.com/office/drawing/2014/main" id="{00000000-0008-0000-0700-0000910F5D00}"/>
            </a:ext>
          </a:extLst>
        </xdr:cNvPr>
        <xdr:cNvSpPr>
          <a:spLocks noChangeShapeType="1"/>
        </xdr:cNvSpPr>
      </xdr:nvSpPr>
      <xdr:spPr bwMode="auto">
        <a:xfrm>
          <a:off x="13820775" y="3362325"/>
          <a:ext cx="1276350" cy="0"/>
        </a:xfrm>
        <a:prstGeom prst="line">
          <a:avLst/>
        </a:prstGeom>
        <a:noFill/>
        <a:ln w="6350">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1085850</xdr:colOff>
      <xdr:row>1</xdr:row>
      <xdr:rowOff>0</xdr:rowOff>
    </xdr:from>
    <xdr:to>
      <xdr:col>18</xdr:col>
      <xdr:colOff>0</xdr:colOff>
      <xdr:row>14</xdr:row>
      <xdr:rowOff>123825</xdr:rowOff>
    </xdr:to>
    <xdr:sp macro="" textlink="">
      <xdr:nvSpPr>
        <xdr:cNvPr id="6098834" name="Line 293">
          <a:extLst>
            <a:ext uri="{FF2B5EF4-FFF2-40B4-BE49-F238E27FC236}">
              <a16:creationId xmlns:a16="http://schemas.microsoft.com/office/drawing/2014/main" id="{00000000-0008-0000-0700-0000920F5D00}"/>
            </a:ext>
          </a:extLst>
        </xdr:cNvPr>
        <xdr:cNvSpPr>
          <a:spLocks noChangeShapeType="1"/>
        </xdr:cNvSpPr>
      </xdr:nvSpPr>
      <xdr:spPr bwMode="auto">
        <a:xfrm flipH="1">
          <a:off x="14001750" y="171450"/>
          <a:ext cx="0" cy="2371725"/>
        </a:xfrm>
        <a:prstGeom prst="line">
          <a:avLst/>
        </a:prstGeom>
        <a:noFill/>
        <a:ln w="952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18</xdr:col>
      <xdr:colOff>180975</xdr:colOff>
      <xdr:row>1</xdr:row>
      <xdr:rowOff>0</xdr:rowOff>
    </xdr:from>
    <xdr:to>
      <xdr:col>18</xdr:col>
      <xdr:colOff>180975</xdr:colOff>
      <xdr:row>18</xdr:row>
      <xdr:rowOff>66675</xdr:rowOff>
    </xdr:to>
    <xdr:sp macro="" textlink="">
      <xdr:nvSpPr>
        <xdr:cNvPr id="6098835" name="Line 294">
          <a:extLst>
            <a:ext uri="{FF2B5EF4-FFF2-40B4-BE49-F238E27FC236}">
              <a16:creationId xmlns:a16="http://schemas.microsoft.com/office/drawing/2014/main" id="{00000000-0008-0000-0700-0000930F5D00}"/>
            </a:ext>
          </a:extLst>
        </xdr:cNvPr>
        <xdr:cNvSpPr>
          <a:spLocks noChangeShapeType="1"/>
        </xdr:cNvSpPr>
      </xdr:nvSpPr>
      <xdr:spPr bwMode="auto">
        <a:xfrm>
          <a:off x="14182725" y="171450"/>
          <a:ext cx="0" cy="2962275"/>
        </a:xfrm>
        <a:prstGeom prst="line">
          <a:avLst/>
        </a:prstGeom>
        <a:noFill/>
        <a:ln w="952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19</xdr:col>
      <xdr:colOff>19050</xdr:colOff>
      <xdr:row>14</xdr:row>
      <xdr:rowOff>123825</xdr:rowOff>
    </xdr:from>
    <xdr:to>
      <xdr:col>19</xdr:col>
      <xdr:colOff>19050</xdr:colOff>
      <xdr:row>15</xdr:row>
      <xdr:rowOff>123825</xdr:rowOff>
    </xdr:to>
    <xdr:sp macro="" textlink="">
      <xdr:nvSpPr>
        <xdr:cNvPr id="6098836" name="Line 295">
          <a:extLst>
            <a:ext uri="{FF2B5EF4-FFF2-40B4-BE49-F238E27FC236}">
              <a16:creationId xmlns:a16="http://schemas.microsoft.com/office/drawing/2014/main" id="{00000000-0008-0000-0700-0000940F5D00}"/>
            </a:ext>
          </a:extLst>
        </xdr:cNvPr>
        <xdr:cNvSpPr>
          <a:spLocks noChangeShapeType="1"/>
        </xdr:cNvSpPr>
      </xdr:nvSpPr>
      <xdr:spPr bwMode="auto">
        <a:xfrm>
          <a:off x="15106650" y="2543175"/>
          <a:ext cx="0" cy="161925"/>
        </a:xfrm>
        <a:prstGeom prst="line">
          <a:avLst/>
        </a:prstGeom>
        <a:noFill/>
        <a:ln w="317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19</xdr:col>
      <xdr:colOff>9525</xdr:colOff>
      <xdr:row>18</xdr:row>
      <xdr:rowOff>66675</xdr:rowOff>
    </xdr:from>
    <xdr:to>
      <xdr:col>19</xdr:col>
      <xdr:colOff>9525</xdr:colOff>
      <xdr:row>19</xdr:row>
      <xdr:rowOff>133350</xdr:rowOff>
    </xdr:to>
    <xdr:sp macro="" textlink="">
      <xdr:nvSpPr>
        <xdr:cNvPr id="6098837" name="Line 296">
          <a:extLst>
            <a:ext uri="{FF2B5EF4-FFF2-40B4-BE49-F238E27FC236}">
              <a16:creationId xmlns:a16="http://schemas.microsoft.com/office/drawing/2014/main" id="{00000000-0008-0000-0700-0000950F5D00}"/>
            </a:ext>
          </a:extLst>
        </xdr:cNvPr>
        <xdr:cNvSpPr>
          <a:spLocks noChangeShapeType="1"/>
        </xdr:cNvSpPr>
      </xdr:nvSpPr>
      <xdr:spPr bwMode="auto">
        <a:xfrm>
          <a:off x="15097125" y="3133725"/>
          <a:ext cx="0" cy="228600"/>
        </a:xfrm>
        <a:prstGeom prst="line">
          <a:avLst/>
        </a:prstGeom>
        <a:noFill/>
        <a:ln w="9525">
          <a:solidFill>
            <a:srgbClr val="92D050"/>
          </a:solidFill>
          <a:prstDash val="sysDot"/>
          <a:round/>
          <a:headEnd type="triangle" w="sm" len="sm"/>
          <a:tailEnd type="triangle" w="sm" len="sm"/>
        </a:ln>
        <a:extLst>
          <a:ext uri="{909E8E84-426E-40DD-AFC4-6F175D3DCCD1}">
            <a14:hiddenFill xmlns:a14="http://schemas.microsoft.com/office/drawing/2010/main">
              <a:noFill/>
            </a14:hiddenFill>
          </a:ext>
        </a:extLst>
      </xdr:spPr>
    </xdr:sp>
    <xdr:clientData/>
  </xdr:twoCellAnchor>
  <xdr:twoCellAnchor>
    <xdr:from>
      <xdr:col>17</xdr:col>
      <xdr:colOff>0</xdr:colOff>
      <xdr:row>11</xdr:row>
      <xdr:rowOff>104775</xdr:rowOff>
    </xdr:from>
    <xdr:to>
      <xdr:col>17</xdr:col>
      <xdr:colOff>800100</xdr:colOff>
      <xdr:row>11</xdr:row>
      <xdr:rowOff>104775</xdr:rowOff>
    </xdr:to>
    <xdr:sp macro="" textlink="">
      <xdr:nvSpPr>
        <xdr:cNvPr id="6098838" name="Line 297">
          <a:extLst>
            <a:ext uri="{FF2B5EF4-FFF2-40B4-BE49-F238E27FC236}">
              <a16:creationId xmlns:a16="http://schemas.microsoft.com/office/drawing/2014/main" id="{00000000-0008-0000-0700-0000960F5D00}"/>
            </a:ext>
          </a:extLst>
        </xdr:cNvPr>
        <xdr:cNvSpPr>
          <a:spLocks noChangeShapeType="1"/>
        </xdr:cNvSpPr>
      </xdr:nvSpPr>
      <xdr:spPr bwMode="auto">
        <a:xfrm>
          <a:off x="12915900" y="2028825"/>
          <a:ext cx="8001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16</xdr:row>
      <xdr:rowOff>66675</xdr:rowOff>
    </xdr:from>
    <xdr:to>
      <xdr:col>17</xdr:col>
      <xdr:colOff>647700</xdr:colOff>
      <xdr:row>16</xdr:row>
      <xdr:rowOff>66675</xdr:rowOff>
    </xdr:to>
    <xdr:sp macro="" textlink="">
      <xdr:nvSpPr>
        <xdr:cNvPr id="6098839" name="Line 298">
          <a:extLst>
            <a:ext uri="{FF2B5EF4-FFF2-40B4-BE49-F238E27FC236}">
              <a16:creationId xmlns:a16="http://schemas.microsoft.com/office/drawing/2014/main" id="{00000000-0008-0000-0700-0000970F5D00}"/>
            </a:ext>
          </a:extLst>
        </xdr:cNvPr>
        <xdr:cNvSpPr>
          <a:spLocks noChangeShapeType="1"/>
        </xdr:cNvSpPr>
      </xdr:nvSpPr>
      <xdr:spPr bwMode="auto">
        <a:xfrm>
          <a:off x="12915900" y="2809875"/>
          <a:ext cx="647700" cy="0"/>
        </a:xfrm>
        <a:prstGeom prst="line">
          <a:avLst/>
        </a:prstGeom>
        <a:noFill/>
        <a:ln w="9525">
          <a:solidFill>
            <a:srgbClr val="92D05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495300</xdr:colOff>
      <xdr:row>31</xdr:row>
      <xdr:rowOff>123825</xdr:rowOff>
    </xdr:from>
    <xdr:to>
      <xdr:col>17</xdr:col>
      <xdr:colOff>495300</xdr:colOff>
      <xdr:row>33</xdr:row>
      <xdr:rowOff>95250</xdr:rowOff>
    </xdr:to>
    <xdr:sp macro="" textlink="">
      <xdr:nvSpPr>
        <xdr:cNvPr id="6098840" name="Line 301">
          <a:extLst>
            <a:ext uri="{FF2B5EF4-FFF2-40B4-BE49-F238E27FC236}">
              <a16:creationId xmlns:a16="http://schemas.microsoft.com/office/drawing/2014/main" id="{00000000-0008-0000-0700-0000980F5D00}"/>
            </a:ext>
          </a:extLst>
        </xdr:cNvPr>
        <xdr:cNvSpPr>
          <a:spLocks noChangeShapeType="1"/>
        </xdr:cNvSpPr>
      </xdr:nvSpPr>
      <xdr:spPr bwMode="auto">
        <a:xfrm flipH="1">
          <a:off x="13411200" y="5334000"/>
          <a:ext cx="0" cy="314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2</xdr:row>
      <xdr:rowOff>76200</xdr:rowOff>
    </xdr:from>
    <xdr:to>
      <xdr:col>17</xdr:col>
      <xdr:colOff>142875</xdr:colOff>
      <xdr:row>2</xdr:row>
      <xdr:rowOff>76200</xdr:rowOff>
    </xdr:to>
    <xdr:sp macro="" textlink="">
      <xdr:nvSpPr>
        <xdr:cNvPr id="6098841" name="Line 302">
          <a:extLst>
            <a:ext uri="{FF2B5EF4-FFF2-40B4-BE49-F238E27FC236}">
              <a16:creationId xmlns:a16="http://schemas.microsoft.com/office/drawing/2014/main" id="{00000000-0008-0000-0700-0000990F5D00}"/>
            </a:ext>
          </a:extLst>
        </xdr:cNvPr>
        <xdr:cNvSpPr>
          <a:spLocks noChangeShapeType="1"/>
        </xdr:cNvSpPr>
      </xdr:nvSpPr>
      <xdr:spPr bwMode="auto">
        <a:xfrm>
          <a:off x="12915900" y="419100"/>
          <a:ext cx="1428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1695450</xdr:colOff>
      <xdr:row>10</xdr:row>
      <xdr:rowOff>85725</xdr:rowOff>
    </xdr:from>
    <xdr:to>
      <xdr:col>20</xdr:col>
      <xdr:colOff>0</xdr:colOff>
      <xdr:row>10</xdr:row>
      <xdr:rowOff>85725</xdr:rowOff>
    </xdr:to>
    <xdr:sp macro="" textlink="">
      <xdr:nvSpPr>
        <xdr:cNvPr id="6098842" name="Line 303">
          <a:extLst>
            <a:ext uri="{FF2B5EF4-FFF2-40B4-BE49-F238E27FC236}">
              <a16:creationId xmlns:a16="http://schemas.microsoft.com/office/drawing/2014/main" id="{00000000-0008-0000-0700-00009A0F5D00}"/>
            </a:ext>
          </a:extLst>
        </xdr:cNvPr>
        <xdr:cNvSpPr>
          <a:spLocks noChangeShapeType="1"/>
        </xdr:cNvSpPr>
      </xdr:nvSpPr>
      <xdr:spPr bwMode="auto">
        <a:xfrm flipV="1">
          <a:off x="14001750" y="1838325"/>
          <a:ext cx="1857375" cy="0"/>
        </a:xfrm>
        <a:prstGeom prst="line">
          <a:avLst/>
        </a:prstGeom>
        <a:noFill/>
        <a:ln w="9525">
          <a:solidFill>
            <a:srgbClr val="92D05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18</xdr:col>
      <xdr:colOff>180975</xdr:colOff>
      <xdr:row>12</xdr:row>
      <xdr:rowOff>76200</xdr:rowOff>
    </xdr:from>
    <xdr:to>
      <xdr:col>20</xdr:col>
      <xdr:colOff>0</xdr:colOff>
      <xdr:row>12</xdr:row>
      <xdr:rowOff>76200</xdr:rowOff>
    </xdr:to>
    <xdr:sp macro="" textlink="">
      <xdr:nvSpPr>
        <xdr:cNvPr id="6098843" name="Line 304">
          <a:extLst>
            <a:ext uri="{FF2B5EF4-FFF2-40B4-BE49-F238E27FC236}">
              <a16:creationId xmlns:a16="http://schemas.microsoft.com/office/drawing/2014/main" id="{00000000-0008-0000-0700-00009B0F5D00}"/>
            </a:ext>
          </a:extLst>
        </xdr:cNvPr>
        <xdr:cNvSpPr>
          <a:spLocks noChangeShapeType="1"/>
        </xdr:cNvSpPr>
      </xdr:nvSpPr>
      <xdr:spPr bwMode="auto">
        <a:xfrm flipV="1">
          <a:off x="14182725" y="2171700"/>
          <a:ext cx="1676400" cy="0"/>
        </a:xfrm>
        <a:prstGeom prst="line">
          <a:avLst/>
        </a:prstGeom>
        <a:noFill/>
        <a:ln w="9525">
          <a:solidFill>
            <a:srgbClr val="92D05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19</xdr:col>
      <xdr:colOff>19050</xdr:colOff>
      <xdr:row>15</xdr:row>
      <xdr:rowOff>47625</xdr:rowOff>
    </xdr:from>
    <xdr:to>
      <xdr:col>19</xdr:col>
      <xdr:colOff>752475</xdr:colOff>
      <xdr:row>15</xdr:row>
      <xdr:rowOff>47625</xdr:rowOff>
    </xdr:to>
    <xdr:sp macro="" textlink="">
      <xdr:nvSpPr>
        <xdr:cNvPr id="6098844" name="Line 305">
          <a:extLst>
            <a:ext uri="{FF2B5EF4-FFF2-40B4-BE49-F238E27FC236}">
              <a16:creationId xmlns:a16="http://schemas.microsoft.com/office/drawing/2014/main" id="{00000000-0008-0000-0700-00009C0F5D00}"/>
            </a:ext>
          </a:extLst>
        </xdr:cNvPr>
        <xdr:cNvSpPr>
          <a:spLocks noChangeShapeType="1"/>
        </xdr:cNvSpPr>
      </xdr:nvSpPr>
      <xdr:spPr bwMode="auto">
        <a:xfrm flipV="1">
          <a:off x="15106650" y="2628900"/>
          <a:ext cx="733425" cy="0"/>
        </a:xfrm>
        <a:prstGeom prst="line">
          <a:avLst/>
        </a:prstGeom>
        <a:noFill/>
        <a:ln w="9525">
          <a:solidFill>
            <a:srgbClr val="92D05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19</xdr:col>
      <xdr:colOff>19050</xdr:colOff>
      <xdr:row>19</xdr:row>
      <xdr:rowOff>28575</xdr:rowOff>
    </xdr:from>
    <xdr:to>
      <xdr:col>19</xdr:col>
      <xdr:colOff>762000</xdr:colOff>
      <xdr:row>19</xdr:row>
      <xdr:rowOff>28575</xdr:rowOff>
    </xdr:to>
    <xdr:sp macro="" textlink="">
      <xdr:nvSpPr>
        <xdr:cNvPr id="6098845" name="Line 308">
          <a:extLst>
            <a:ext uri="{FF2B5EF4-FFF2-40B4-BE49-F238E27FC236}">
              <a16:creationId xmlns:a16="http://schemas.microsoft.com/office/drawing/2014/main" id="{00000000-0008-0000-0700-00009D0F5D00}"/>
            </a:ext>
          </a:extLst>
        </xdr:cNvPr>
        <xdr:cNvSpPr>
          <a:spLocks noChangeShapeType="1"/>
        </xdr:cNvSpPr>
      </xdr:nvSpPr>
      <xdr:spPr bwMode="auto">
        <a:xfrm flipH="1" flipV="1">
          <a:off x="15106650" y="3257550"/>
          <a:ext cx="742950" cy="0"/>
        </a:xfrm>
        <a:prstGeom prst="line">
          <a:avLst/>
        </a:prstGeom>
        <a:noFill/>
        <a:ln w="9525">
          <a:solidFill>
            <a:srgbClr val="92D050"/>
          </a:solidFill>
          <a:prstDash val="sysDot"/>
          <a:round/>
          <a:headEnd type="none" w="sm" len="sm"/>
          <a:tailEnd type="none" w="sm" len="sm"/>
        </a:ln>
        <a:extLst>
          <a:ext uri="{909E8E84-426E-40DD-AFC4-6F175D3DCCD1}">
            <a14:hiddenFill xmlns:a14="http://schemas.microsoft.com/office/drawing/2010/main">
              <a:noFill/>
            </a14:hiddenFill>
          </a:ext>
        </a:extLst>
      </xdr:spPr>
    </xdr:sp>
    <xdr:clientData/>
  </xdr:twoCellAnchor>
  <xdr:twoCellAnchor>
    <xdr:from>
      <xdr:col>15</xdr:col>
      <xdr:colOff>771525</xdr:colOff>
      <xdr:row>28</xdr:row>
      <xdr:rowOff>85725</xdr:rowOff>
    </xdr:from>
    <xdr:to>
      <xdr:col>16</xdr:col>
      <xdr:colOff>304800</xdr:colOff>
      <xdr:row>28</xdr:row>
      <xdr:rowOff>85725</xdr:rowOff>
    </xdr:to>
    <xdr:sp macro="" textlink="">
      <xdr:nvSpPr>
        <xdr:cNvPr id="6098846" name="Line 310">
          <a:extLst>
            <a:ext uri="{FF2B5EF4-FFF2-40B4-BE49-F238E27FC236}">
              <a16:creationId xmlns:a16="http://schemas.microsoft.com/office/drawing/2014/main" id="{00000000-0008-0000-0700-00009E0F5D00}"/>
            </a:ext>
          </a:extLst>
        </xdr:cNvPr>
        <xdr:cNvSpPr>
          <a:spLocks noChangeShapeType="1"/>
        </xdr:cNvSpPr>
      </xdr:nvSpPr>
      <xdr:spPr bwMode="auto">
        <a:xfrm>
          <a:off x="12144375" y="4781550"/>
          <a:ext cx="3048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219075</xdr:colOff>
      <xdr:row>27</xdr:row>
      <xdr:rowOff>123825</xdr:rowOff>
    </xdr:from>
    <xdr:to>
      <xdr:col>17</xdr:col>
      <xdr:colOff>66675</xdr:colOff>
      <xdr:row>27</xdr:row>
      <xdr:rowOff>123825</xdr:rowOff>
    </xdr:to>
    <xdr:sp macro="" textlink="">
      <xdr:nvSpPr>
        <xdr:cNvPr id="6098847" name="Line 277">
          <a:extLst>
            <a:ext uri="{FF2B5EF4-FFF2-40B4-BE49-F238E27FC236}">
              <a16:creationId xmlns:a16="http://schemas.microsoft.com/office/drawing/2014/main" id="{00000000-0008-0000-0700-00009F0F5D00}"/>
            </a:ext>
          </a:extLst>
        </xdr:cNvPr>
        <xdr:cNvSpPr>
          <a:spLocks noChangeShapeType="1"/>
        </xdr:cNvSpPr>
      </xdr:nvSpPr>
      <xdr:spPr bwMode="auto">
        <a:xfrm>
          <a:off x="12363450" y="4648200"/>
          <a:ext cx="61912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390525</xdr:colOff>
      <xdr:row>28</xdr:row>
      <xdr:rowOff>123825</xdr:rowOff>
    </xdr:from>
    <xdr:to>
      <xdr:col>19</xdr:col>
      <xdr:colOff>76200</xdr:colOff>
      <xdr:row>28</xdr:row>
      <xdr:rowOff>123825</xdr:rowOff>
    </xdr:to>
    <xdr:sp macro="" textlink="">
      <xdr:nvSpPr>
        <xdr:cNvPr id="6098848" name="Line 280">
          <a:extLst>
            <a:ext uri="{FF2B5EF4-FFF2-40B4-BE49-F238E27FC236}">
              <a16:creationId xmlns:a16="http://schemas.microsoft.com/office/drawing/2014/main" id="{00000000-0008-0000-0700-0000A00F5D00}"/>
            </a:ext>
          </a:extLst>
        </xdr:cNvPr>
        <xdr:cNvSpPr>
          <a:spLocks noChangeShapeType="1"/>
        </xdr:cNvSpPr>
      </xdr:nvSpPr>
      <xdr:spPr bwMode="auto">
        <a:xfrm flipV="1">
          <a:off x="13306425" y="4819650"/>
          <a:ext cx="1857375"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161925</xdr:colOff>
      <xdr:row>30</xdr:row>
      <xdr:rowOff>47625</xdr:rowOff>
    </xdr:from>
    <xdr:to>
      <xdr:col>18</xdr:col>
      <xdr:colOff>885825</xdr:colOff>
      <xdr:row>30</xdr:row>
      <xdr:rowOff>47625</xdr:rowOff>
    </xdr:to>
    <xdr:sp macro="" textlink="">
      <xdr:nvSpPr>
        <xdr:cNvPr id="6098849" name="Line 280">
          <a:extLst>
            <a:ext uri="{FF2B5EF4-FFF2-40B4-BE49-F238E27FC236}">
              <a16:creationId xmlns:a16="http://schemas.microsoft.com/office/drawing/2014/main" id="{00000000-0008-0000-0700-0000A10F5D00}"/>
            </a:ext>
          </a:extLst>
        </xdr:cNvPr>
        <xdr:cNvSpPr>
          <a:spLocks noChangeShapeType="1"/>
        </xdr:cNvSpPr>
      </xdr:nvSpPr>
      <xdr:spPr bwMode="auto">
        <a:xfrm>
          <a:off x="14163675" y="5086350"/>
          <a:ext cx="723900" cy="0"/>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1000125</xdr:colOff>
      <xdr:row>20</xdr:row>
      <xdr:rowOff>0</xdr:rowOff>
    </xdr:from>
    <xdr:to>
      <xdr:col>18</xdr:col>
      <xdr:colOff>152400</xdr:colOff>
      <xdr:row>30</xdr:row>
      <xdr:rowOff>47625</xdr:rowOff>
    </xdr:to>
    <xdr:sp macro="" textlink="">
      <xdr:nvSpPr>
        <xdr:cNvPr id="6098850" name="Rectangle 139">
          <a:extLst>
            <a:ext uri="{FF2B5EF4-FFF2-40B4-BE49-F238E27FC236}">
              <a16:creationId xmlns:a16="http://schemas.microsoft.com/office/drawing/2014/main" id="{00000000-0008-0000-0700-0000A20F5D00}"/>
            </a:ext>
          </a:extLst>
        </xdr:cNvPr>
        <xdr:cNvSpPr>
          <a:spLocks noChangeArrowheads="1"/>
        </xdr:cNvSpPr>
      </xdr:nvSpPr>
      <xdr:spPr bwMode="auto">
        <a:xfrm>
          <a:off x="13916025" y="3390900"/>
          <a:ext cx="238125" cy="1695450"/>
        </a:xfrm>
        <a:prstGeom prst="rect">
          <a:avLst/>
        </a:prstGeom>
        <a:noFill/>
        <a:ln w="9525" algn="ctr">
          <a:solidFill>
            <a:srgbClr val="00B0F0"/>
          </a:solidFill>
          <a:prstDash val="sys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885825</xdr:colOff>
      <xdr:row>1</xdr:row>
      <xdr:rowOff>9525</xdr:rowOff>
    </xdr:from>
    <xdr:to>
      <xdr:col>18</xdr:col>
      <xdr:colOff>885825</xdr:colOff>
      <xdr:row>29</xdr:row>
      <xdr:rowOff>66675</xdr:rowOff>
    </xdr:to>
    <xdr:sp macro="" textlink="">
      <xdr:nvSpPr>
        <xdr:cNvPr id="6098851" name="Line 270">
          <a:extLst>
            <a:ext uri="{FF2B5EF4-FFF2-40B4-BE49-F238E27FC236}">
              <a16:creationId xmlns:a16="http://schemas.microsoft.com/office/drawing/2014/main" id="{00000000-0008-0000-0700-0000A30F5D00}"/>
            </a:ext>
          </a:extLst>
        </xdr:cNvPr>
        <xdr:cNvSpPr>
          <a:spLocks noChangeShapeType="1"/>
        </xdr:cNvSpPr>
      </xdr:nvSpPr>
      <xdr:spPr bwMode="auto">
        <a:xfrm flipH="1">
          <a:off x="14887575" y="180975"/>
          <a:ext cx="0" cy="4752975"/>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twoCellAnchor>
    <xdr:from>
      <xdr:col>17</xdr:col>
      <xdr:colOff>9525</xdr:colOff>
      <xdr:row>33</xdr:row>
      <xdr:rowOff>95250</xdr:rowOff>
    </xdr:from>
    <xdr:to>
      <xdr:col>17</xdr:col>
      <xdr:colOff>495300</xdr:colOff>
      <xdr:row>33</xdr:row>
      <xdr:rowOff>95250</xdr:rowOff>
    </xdr:to>
    <xdr:sp macro="" textlink="">
      <xdr:nvSpPr>
        <xdr:cNvPr id="6098852" name="Line 301">
          <a:extLst>
            <a:ext uri="{FF2B5EF4-FFF2-40B4-BE49-F238E27FC236}">
              <a16:creationId xmlns:a16="http://schemas.microsoft.com/office/drawing/2014/main" id="{00000000-0008-0000-0700-0000A40F5D00}"/>
            </a:ext>
          </a:extLst>
        </xdr:cNvPr>
        <xdr:cNvSpPr>
          <a:spLocks noChangeShapeType="1"/>
        </xdr:cNvSpPr>
      </xdr:nvSpPr>
      <xdr:spPr bwMode="auto">
        <a:xfrm>
          <a:off x="12925425" y="5648325"/>
          <a:ext cx="4857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752475</xdr:colOff>
      <xdr:row>1</xdr:row>
      <xdr:rowOff>19050</xdr:rowOff>
    </xdr:from>
    <xdr:to>
      <xdr:col>18</xdr:col>
      <xdr:colOff>752475</xdr:colOff>
      <xdr:row>30</xdr:row>
      <xdr:rowOff>38100</xdr:rowOff>
    </xdr:to>
    <xdr:sp macro="" textlink="">
      <xdr:nvSpPr>
        <xdr:cNvPr id="6098853" name="Line 270">
          <a:extLst>
            <a:ext uri="{FF2B5EF4-FFF2-40B4-BE49-F238E27FC236}">
              <a16:creationId xmlns:a16="http://schemas.microsoft.com/office/drawing/2014/main" id="{00000000-0008-0000-0700-0000A50F5D00}"/>
            </a:ext>
          </a:extLst>
        </xdr:cNvPr>
        <xdr:cNvSpPr>
          <a:spLocks noChangeShapeType="1"/>
        </xdr:cNvSpPr>
      </xdr:nvSpPr>
      <xdr:spPr bwMode="auto">
        <a:xfrm>
          <a:off x="14754225" y="190500"/>
          <a:ext cx="0" cy="4886325"/>
        </a:xfrm>
        <a:prstGeom prst="line">
          <a:avLst/>
        </a:prstGeom>
        <a:noFill/>
        <a:ln w="6350">
          <a:solidFill>
            <a:srgbClr val="000000"/>
          </a:solidFill>
          <a:round/>
          <a:headEnd type="triangle" w="sm" len="lg"/>
          <a:tailEnd type="triangle" w="sm" len="lg"/>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2.vml"/><Relationship Id="rId7" Type="http://schemas.openxmlformats.org/officeDocument/2006/relationships/ctrlProp" Target="../ctrlProps/ctrlProp1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5.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9.xml"/><Relationship Id="rId4" Type="http://schemas.openxmlformats.org/officeDocument/2006/relationships/oleObject" Target="../embeddings/oleObject1.bin"/><Relationship Id="rId9" Type="http://schemas.openxmlformats.org/officeDocument/2006/relationships/ctrlProp" Target="../ctrlProps/ctrlProp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image" Target="../media/image10.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23.emf"/><Relationship Id="rId21" Type="http://schemas.openxmlformats.org/officeDocument/2006/relationships/image" Target="../media/image14.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7.emf"/><Relationship Id="rId50" Type="http://schemas.openxmlformats.org/officeDocument/2006/relationships/oleObject" Target="../embeddings/oleObject24.bin"/><Relationship Id="rId55" Type="http://schemas.openxmlformats.org/officeDocument/2006/relationships/image" Target="../media/image31.emf"/><Relationship Id="rId63" Type="http://schemas.openxmlformats.org/officeDocument/2006/relationships/image" Target="../media/image35.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16" Type="http://schemas.openxmlformats.org/officeDocument/2006/relationships/oleObject" Target="../embeddings/oleObject7.bin"/><Relationship Id="rId29" Type="http://schemas.openxmlformats.org/officeDocument/2006/relationships/image" Target="../media/image18.emf"/><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61" Type="http://schemas.openxmlformats.org/officeDocument/2006/relationships/image" Target="../media/image34.emf"/><Relationship Id="rId10" Type="http://schemas.openxmlformats.org/officeDocument/2006/relationships/oleObject" Target="../embeddings/oleObject4.bin"/><Relationship Id="rId19" Type="http://schemas.openxmlformats.org/officeDocument/2006/relationships/image" Target="../media/image13.emf"/><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1.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20.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Normal="100" zoomScaleSheetLayoutView="100" workbookViewId="0">
      <selection activeCell="G35" sqref="G35"/>
    </sheetView>
  </sheetViews>
  <sheetFormatPr baseColWidth="10" defaultRowHeight="12.75" x14ac:dyDescent="0.2"/>
  <cols>
    <col min="1" max="1" width="2.140625" style="35" customWidth="1"/>
    <col min="2" max="2" width="16.28515625" style="35" customWidth="1"/>
    <col min="3" max="3" width="12.85546875" style="52" customWidth="1"/>
    <col min="4" max="4" width="12.85546875" style="35" customWidth="1"/>
    <col min="5" max="5" width="4.140625" style="119" customWidth="1"/>
    <col min="6" max="6" width="10.140625" style="56" bestFit="1" customWidth="1"/>
    <col min="7" max="7" width="10" style="56" bestFit="1" customWidth="1"/>
    <col min="8" max="9" width="8.5703125" style="56" customWidth="1"/>
    <col min="10" max="10" width="5.42578125" style="35" customWidth="1"/>
    <col min="11" max="11" width="2.140625" style="35" customWidth="1"/>
    <col min="12" max="12" width="17" style="35" customWidth="1"/>
    <col min="13" max="13" width="8.5703125" style="35" customWidth="1"/>
    <col min="14" max="15" width="4.28515625" style="35" customWidth="1"/>
    <col min="16" max="16" width="8.5703125" style="35" customWidth="1"/>
    <col min="17" max="18" width="2.140625" style="35" customWidth="1"/>
    <col min="19" max="16384" width="11.42578125" style="35"/>
  </cols>
  <sheetData>
    <row r="1" spans="1:20" ht="12.75" customHeight="1" x14ac:dyDescent="0.2">
      <c r="A1" s="29"/>
      <c r="B1" s="30"/>
      <c r="C1" s="31"/>
      <c r="D1" s="30"/>
      <c r="E1" s="113"/>
      <c r="F1" s="32"/>
      <c r="G1" s="32"/>
      <c r="H1" s="32"/>
      <c r="I1" s="32"/>
      <c r="J1" s="30"/>
      <c r="K1" s="30"/>
      <c r="L1" s="30"/>
      <c r="M1" s="30"/>
      <c r="N1" s="30"/>
      <c r="O1" s="30"/>
      <c r="P1" s="30"/>
      <c r="Q1" s="33"/>
      <c r="R1" s="34"/>
    </row>
    <row r="2" spans="1:20" ht="12.75" customHeight="1" x14ac:dyDescent="0.2">
      <c r="A2" s="36"/>
      <c r="B2" s="34"/>
      <c r="C2" s="674" t="s">
        <v>56</v>
      </c>
      <c r="D2" s="674"/>
      <c r="E2" s="114"/>
      <c r="F2" s="37"/>
      <c r="G2" s="37"/>
      <c r="H2" s="37"/>
      <c r="I2" s="37"/>
      <c r="J2" s="34"/>
      <c r="K2" s="34"/>
      <c r="L2" s="180" t="str">
        <f>"Language/Langue"</f>
        <v>Language/Langue</v>
      </c>
      <c r="M2" s="657" t="s">
        <v>1</v>
      </c>
      <c r="N2" s="657"/>
      <c r="O2" s="657"/>
      <c r="P2" s="658"/>
      <c r="Q2" s="38"/>
      <c r="R2" s="34"/>
    </row>
    <row r="3" spans="1:20" ht="12.75" customHeight="1" x14ac:dyDescent="0.2">
      <c r="A3" s="36"/>
      <c r="B3" s="34"/>
      <c r="C3" s="674"/>
      <c r="D3" s="674"/>
      <c r="E3" s="114"/>
      <c r="F3" s="37"/>
      <c r="G3" s="37"/>
      <c r="H3" s="37"/>
      <c r="I3" s="37"/>
      <c r="J3" s="34"/>
      <c r="K3" s="34"/>
      <c r="L3" s="668"/>
      <c r="M3" s="668"/>
      <c r="N3" s="214"/>
      <c r="O3" s="34"/>
      <c r="P3" s="34"/>
      <c r="Q3" s="38"/>
      <c r="R3" s="34"/>
    </row>
    <row r="4" spans="1:20" ht="12.75" customHeight="1" x14ac:dyDescent="0.2">
      <c r="A4" s="36"/>
      <c r="B4" s="34"/>
      <c r="C4" s="675" t="str">
        <f>IF(Lang="Français","Stabilité de fusée à ailerons",IF(Lang="English","Stability for rocket with fins",""))</f>
        <v>Stabilité de fusée à ailerons</v>
      </c>
      <c r="D4" s="675"/>
      <c r="E4" s="114"/>
      <c r="F4" s="37"/>
      <c r="G4" s="37"/>
      <c r="H4" s="37"/>
      <c r="I4" s="37"/>
      <c r="J4" s="34"/>
      <c r="K4" s="34"/>
      <c r="L4" s="45"/>
      <c r="M4" s="657" t="s">
        <v>547</v>
      </c>
      <c r="N4" s="657"/>
      <c r="O4" s="657"/>
      <c r="P4" s="658"/>
      <c r="Q4" s="38"/>
      <c r="R4" s="34"/>
    </row>
    <row r="5" spans="1:20" ht="12.75" customHeight="1" x14ac:dyDescent="0.25">
      <c r="A5" s="36"/>
      <c r="B5" s="39"/>
      <c r="C5" s="687"/>
      <c r="D5" s="687"/>
      <c r="E5" s="114"/>
      <c r="F5" s="37"/>
      <c r="G5" s="37"/>
      <c r="H5" s="37"/>
      <c r="I5" s="37"/>
      <c r="J5" s="34"/>
      <c r="K5" s="34"/>
      <c r="L5" s="45"/>
      <c r="M5" s="664" t="s">
        <v>159</v>
      </c>
      <c r="N5" s="665"/>
      <c r="O5" s="671" t="s">
        <v>160</v>
      </c>
      <c r="P5" s="671"/>
      <c r="Q5" s="40"/>
      <c r="R5" s="34"/>
    </row>
    <row r="6" spans="1:20" ht="12.75" customHeight="1" thickBot="1" x14ac:dyDescent="0.25">
      <c r="A6" s="36"/>
      <c r="B6" s="111"/>
      <c r="C6" s="697" t="str">
        <f>IF(Lang="Français","Remplir les cases jaunes",IF(Lang="English","Fill-in yellow cells only",""))</f>
        <v>Remplir les cases jaunes</v>
      </c>
      <c r="D6" s="697"/>
      <c r="E6" s="114"/>
      <c r="F6" s="37"/>
      <c r="G6" s="37"/>
      <c r="H6" s="37"/>
      <c r="I6" s="37"/>
      <c r="J6" s="34"/>
      <c r="K6" s="34"/>
      <c r="L6" s="172" t="str">
        <f>IF(Lang="Français","Longueur      'L'",IF(Lang="English","Length      'L'",""))</f>
        <v>Longueur      'L'</v>
      </c>
      <c r="M6" s="666">
        <v>50</v>
      </c>
      <c r="N6" s="667"/>
      <c r="O6" s="663">
        <v>50</v>
      </c>
      <c r="P6" s="663"/>
      <c r="Q6" s="40"/>
      <c r="R6" s="34"/>
    </row>
    <row r="7" spans="1:20" ht="12.75" customHeight="1" thickTop="1" thickBot="1" x14ac:dyDescent="0.25">
      <c r="A7" s="36"/>
      <c r="B7" s="42"/>
      <c r="C7" s="677" t="str">
        <f>IF(Lang="Français","Fusée",IF(Lang="English","Rocket",""))</f>
        <v>Fusée</v>
      </c>
      <c r="D7" s="678"/>
      <c r="E7" s="114"/>
      <c r="F7" s="37"/>
      <c r="G7" s="37"/>
      <c r="H7" s="37"/>
      <c r="I7" s="37"/>
      <c r="J7" s="34"/>
      <c r="K7" s="34"/>
      <c r="L7" s="172" t="str">
        <f>IF(Lang="Français","Diamètre     'D1'",IF(Lang="English","Diameter 'D1'",""))</f>
        <v>Diamètre     'D1'</v>
      </c>
      <c r="M7" s="666">
        <v>60</v>
      </c>
      <c r="N7" s="667"/>
      <c r="O7" s="663">
        <v>80</v>
      </c>
      <c r="P7" s="663"/>
      <c r="Q7" s="40"/>
      <c r="R7" s="34"/>
    </row>
    <row r="8" spans="1:20" ht="12.75" customHeight="1" thickTop="1" x14ac:dyDescent="0.2">
      <c r="A8" s="36"/>
      <c r="B8" s="171" t="str">
        <f>IF(Lang="Français","Nom",IF(Lang="English","Name",""))</f>
        <v>Nom</v>
      </c>
      <c r="C8" s="681" t="s">
        <v>551</v>
      </c>
      <c r="D8" s="681"/>
      <c r="E8" s="115"/>
      <c r="F8" s="37"/>
      <c r="G8" s="37"/>
      <c r="H8" s="37"/>
      <c r="I8" s="37"/>
      <c r="J8" s="34"/>
      <c r="K8" s="44"/>
      <c r="L8" s="172" t="str">
        <f>IF(Lang="Français","Diamètre     'D2'",IF(Lang="English","Diameter 'D2'",""))</f>
        <v>Diamètre     'D2'</v>
      </c>
      <c r="M8" s="666">
        <v>80</v>
      </c>
      <c r="N8" s="667"/>
      <c r="O8" s="663">
        <v>60</v>
      </c>
      <c r="P8" s="663"/>
      <c r="Q8" s="40"/>
      <c r="R8" s="34"/>
    </row>
    <row r="9" spans="1:20" ht="12.75" customHeight="1" x14ac:dyDescent="0.2">
      <c r="A9" s="36"/>
      <c r="B9" s="171" t="s">
        <v>4</v>
      </c>
      <c r="C9" s="682" t="s">
        <v>552</v>
      </c>
      <c r="D9" s="682"/>
      <c r="E9" s="115"/>
      <c r="F9" s="37"/>
      <c r="G9" s="37"/>
      <c r="H9" s="37"/>
      <c r="I9" s="37"/>
      <c r="J9" s="34"/>
      <c r="K9" s="44"/>
      <c r="L9" s="172" t="str">
        <f>IF(Lang="Français","Implantation 'x'",IF(Lang="English","Basement 'x'",""))</f>
        <v>Implantation 'x'</v>
      </c>
      <c r="M9" s="666">
        <v>300</v>
      </c>
      <c r="N9" s="667"/>
      <c r="O9" s="663">
        <v>500</v>
      </c>
      <c r="P9" s="663"/>
      <c r="Q9" s="40"/>
      <c r="R9" s="34"/>
    </row>
    <row r="10" spans="1:20" ht="12.75" customHeight="1" x14ac:dyDescent="0.2">
      <c r="A10" s="36"/>
      <c r="B10" s="172" t="s">
        <v>57</v>
      </c>
      <c r="C10" s="679" t="s">
        <v>544</v>
      </c>
      <c r="D10" s="680"/>
      <c r="E10" s="115"/>
      <c r="F10" s="37"/>
      <c r="G10" s="37"/>
      <c r="H10" s="37"/>
      <c r="I10" s="37"/>
      <c r="J10" s="34"/>
      <c r="K10" s="44"/>
      <c r="L10" s="34"/>
      <c r="M10" s="34"/>
      <c r="N10" s="34"/>
      <c r="O10" s="34"/>
      <c r="P10" s="34"/>
      <c r="Q10" s="40"/>
      <c r="R10" s="34"/>
    </row>
    <row r="11" spans="1:20" ht="12.75" customHeight="1" x14ac:dyDescent="0.2">
      <c r="A11" s="36"/>
      <c r="B11" s="172" t="str">
        <f>IF(Lang="Français","Masse",IF(Lang="English","Weight",""))</f>
        <v>Masse</v>
      </c>
      <c r="C11" s="260">
        <v>1478.7</v>
      </c>
      <c r="D11" s="47" t="s">
        <v>425</v>
      </c>
      <c r="E11" s="116"/>
      <c r="F11" s="37"/>
      <c r="G11" s="37"/>
      <c r="H11" s="37"/>
      <c r="I11" s="37"/>
      <c r="J11" s="34"/>
      <c r="K11" s="45"/>
      <c r="L11" s="136"/>
      <c r="M11" s="262" t="str">
        <f>IF(Lang="Français","Propu plein",IF(Lang="English","Loaded Motor",""))</f>
        <v>Propu plein</v>
      </c>
      <c r="N11" s="669" t="str">
        <f>IF(Lang="Français","Propu vide",IF(Lang="English","Empty Motor",""))</f>
        <v>Propu vide</v>
      </c>
      <c r="O11" s="670"/>
      <c r="P11" s="262" t="str">
        <f>IF(Lang="Français","Sans propu",IF(Lang="English","Without M",""))</f>
        <v>Sans propu</v>
      </c>
      <c r="Q11" s="40"/>
      <c r="R11" s="34"/>
      <c r="S11" s="446"/>
      <c r="T11" s="447" t="str">
        <f>IF(Lang="Français","Propulseur",IF(Lang="English","Motor",""))</f>
        <v>Propulseur</v>
      </c>
    </row>
    <row r="12" spans="1:20" ht="12.75" customHeight="1" x14ac:dyDescent="0.2">
      <c r="A12" s="36"/>
      <c r="B12" s="172" t="str">
        <f>IF(Lang="Français","Centre de Masse",IF(Lang="English","Center of Mass",""))</f>
        <v>Centre de Masse</v>
      </c>
      <c r="C12" s="48">
        <v>490</v>
      </c>
      <c r="D12" s="47" t="s">
        <v>425</v>
      </c>
      <c r="E12" s="114"/>
      <c r="F12" s="37"/>
      <c r="G12" s="37"/>
      <c r="H12" s="37"/>
      <c r="I12" s="37"/>
      <c r="J12" s="34"/>
      <c r="K12" s="34"/>
      <c r="L12" s="137" t="str">
        <f>IF(Lang="Français","Masse propu",IF(Lang="English","Motor Mass",""))</f>
        <v>Masse propu</v>
      </c>
      <c r="M12" s="138">
        <f ca="1">MpropuPlein</f>
        <v>0.15989999999999999</v>
      </c>
      <c r="N12" s="661">
        <f ca="1">MpropuVide</f>
        <v>8.43E-2</v>
      </c>
      <c r="O12" s="662"/>
      <c r="P12" s="139" t="s">
        <v>14</v>
      </c>
      <c r="Q12" s="40"/>
      <c r="R12" s="34"/>
      <c r="S12" s="447" t="str">
        <f>IF(Lang="Français","Haut",IF(Lang="English","Top",""))</f>
        <v>Haut</v>
      </c>
      <c r="T12" s="448">
        <f ca="1">XpropuRef-Long_propu</f>
        <v>613.01400000000001</v>
      </c>
    </row>
    <row r="13" spans="1:20" ht="12.75" customHeight="1" x14ac:dyDescent="0.2">
      <c r="A13" s="36"/>
      <c r="B13" s="172" t="str">
        <f>IF(Lang="Français","Longueur totale",IF(Lang="English","Total length",""))</f>
        <v>Longueur totale</v>
      </c>
      <c r="C13" s="666">
        <f>684.664+150</f>
        <v>834.66399999999999</v>
      </c>
      <c r="D13" s="667"/>
      <c r="E13" s="114"/>
      <c r="F13" s="37"/>
      <c r="G13" s="37"/>
      <c r="H13" s="37"/>
      <c r="I13" s="37"/>
      <c r="J13" s="34"/>
      <c r="K13" s="34"/>
      <c r="L13" s="137" t="str">
        <f>IF(Lang="Français","CdM propu",IF(Lang="English","Motor CoM",""))</f>
        <v>CdM propu</v>
      </c>
      <c r="M13" s="140">
        <f ca="1">XpropuPlein</f>
        <v>114</v>
      </c>
      <c r="N13" s="659">
        <f ca="1">XpropuVide</f>
        <v>114</v>
      </c>
      <c r="O13" s="660"/>
      <c r="P13" s="139" t="s">
        <v>14</v>
      </c>
      <c r="Q13" s="40"/>
      <c r="R13" s="34"/>
      <c r="S13" s="447" t="str">
        <f>IF(Lang="Français","Longueur",IF(Lang="English","Length",""))</f>
        <v>Longueur</v>
      </c>
      <c r="T13" s="448">
        <f ca="1">Long_propu</f>
        <v>228</v>
      </c>
    </row>
    <row r="14" spans="1:20" ht="12.75" customHeight="1" x14ac:dyDescent="0.2">
      <c r="A14" s="36"/>
      <c r="B14" s="172" t="str">
        <f>IF(Lang="Français","Diamètre Réf.",IF(Lang="English","Ref. Diameter",""))</f>
        <v>Diamètre Réf.</v>
      </c>
      <c r="C14" s="666">
        <f>D_og</f>
        <v>60</v>
      </c>
      <c r="D14" s="667"/>
      <c r="E14" s="114"/>
      <c r="F14" s="37"/>
      <c r="G14" s="37"/>
      <c r="H14" s="37"/>
      <c r="I14" s="37"/>
      <c r="J14" s="34"/>
      <c r="K14" s="34"/>
      <c r="L14" s="137" t="str">
        <f>IF(Lang="Français","Masse fusée",IF(Lang="English","Rocket Mass",""))</f>
        <v>Masse fusée</v>
      </c>
      <c r="M14" s="141">
        <f ca="1">MasseSans+MpropuPlein</f>
        <v>1.6386000000000001</v>
      </c>
      <c r="N14" s="683">
        <f ca="1">MasseSans+MpropuVide</f>
        <v>1.5630000000000002</v>
      </c>
      <c r="O14" s="684"/>
      <c r="P14" s="138">
        <f>IF(OR(D11="sans propu",D11="without motor"),C11/1000,IF(OR(D11="avec propu vide",D11="with empty motor"),C11/1000-MpropuVide,IF(OR(D11="avec propu plein",D11="with loaded motor"),C11/1000-MpropuPlein,"Erreur")))</f>
        <v>1.4787000000000001</v>
      </c>
      <c r="Q14" s="40"/>
      <c r="R14" s="34"/>
      <c r="S14" s="447" t="str">
        <f>IF(Lang="Français","Bas",IF(Lang="English","Base",""))</f>
        <v>Bas</v>
      </c>
      <c r="T14" s="448">
        <f>XpropuRef</f>
        <v>841.01400000000001</v>
      </c>
    </row>
    <row r="15" spans="1:20" ht="12.75" customHeight="1" thickBot="1" x14ac:dyDescent="0.25">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513.12860893445634</v>
      </c>
      <c r="N15" s="685">
        <f ca="1">(XcgSans*MasseSans+(XpropuRef-Long_propu+XpropuVide)*MpropuVide)/MasseVide</f>
        <v>502.78328867562379</v>
      </c>
      <c r="O15" s="686"/>
      <c r="P15" s="142">
        <f>IF(OR(D12="sans propu",D12="without motor"),C12,IF(OR(D12="avec propu vide",D12="with empty motor"),(C12*MasseVide-(XpropuRef-Long_propu+XpropuVide)*MpropuVide)/MasseSans,IF(OR(D12="avec propu plein",D12="with loaded motor"),(C12*MassePlein-(XpropuRef-Long_propu+XpropuPlein)*MpropuPlein)/MasseSans,"Erreur")))</f>
        <v>490</v>
      </c>
      <c r="Q15" s="40"/>
      <c r="R15" s="34"/>
    </row>
    <row r="16" spans="1:20" ht="12.75" customHeight="1" thickTop="1" thickBot="1" x14ac:dyDescent="0.25">
      <c r="A16" s="36"/>
      <c r="B16" s="34"/>
      <c r="C16" s="689" t="str">
        <f>IF(Lang="Français","Propulseur",IF(Lang="English","Motor",""))</f>
        <v>Propulseur</v>
      </c>
      <c r="D16" s="690"/>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
      <c r="A17" s="36"/>
      <c r="B17" s="172" t="s">
        <v>57</v>
      </c>
      <c r="C17" s="691" t="s">
        <v>546</v>
      </c>
      <c r="D17" s="692"/>
      <c r="E17" s="114"/>
      <c r="F17" s="37"/>
      <c r="G17" s="37"/>
      <c r="H17" s="37"/>
      <c r="I17" s="37"/>
      <c r="J17" s="34"/>
      <c r="K17" s="34"/>
      <c r="L17" s="143"/>
      <c r="M17" s="655" t="s">
        <v>58</v>
      </c>
      <c r="N17" s="656"/>
      <c r="O17" s="645" t="s">
        <v>68</v>
      </c>
      <c r="P17" s="645"/>
      <c r="Q17" s="40"/>
      <c r="R17" s="34"/>
      <c r="S17" s="447" t="str">
        <f>IF(Lang="Français","Haut","Top")</f>
        <v>Haut</v>
      </c>
      <c r="T17" s="448">
        <f>X_ail-m_ail</f>
        <v>744.66399999999999</v>
      </c>
    </row>
    <row r="18" spans="1:20" ht="12.75" customHeight="1" x14ac:dyDescent="0.2">
      <c r="A18" s="36"/>
      <c r="B18" s="172" t="str">
        <f>IF(Lang="Français","Position du bas",IF(Lang="English","Basement",""))</f>
        <v>Position du bas</v>
      </c>
      <c r="C18" s="666">
        <f>684.664+150+6.35</f>
        <v>841.01400000000001</v>
      </c>
      <c r="D18" s="667"/>
      <c r="F18" s="37"/>
      <c r="G18" s="37"/>
      <c r="H18" s="37"/>
      <c r="I18" s="37"/>
      <c r="J18" s="34"/>
      <c r="K18" s="50"/>
      <c r="L18" s="137" t="str">
        <f>IF(Lang="Français","Coiffe",IF(Lang="English","Nose Cone",""))</f>
        <v>Coiffe</v>
      </c>
      <c r="M18" s="653">
        <f>IF(LEFT(Forme_ogive,5)="Parab",1/2*Long_ogive,IF(LEFT(Forme_ogive,4)="Ogiv",7/15*Long_ogive,IF(LEFT(Forme_ogive,3)="Con",2/3*Long_ogive)))</f>
        <v>75</v>
      </c>
      <c r="N18" s="654"/>
      <c r="O18" s="646">
        <f>2*POWER(D_og/D_ref, 2)</f>
        <v>2</v>
      </c>
      <c r="P18" s="646"/>
      <c r="Q18" s="40"/>
      <c r="R18" s="34"/>
      <c r="S18" s="447" t="str">
        <f>IF(Lang="Français","Emplanture","Root edge")</f>
        <v>Emplanture</v>
      </c>
      <c r="T18" s="448">
        <f>m_ail</f>
        <v>90</v>
      </c>
    </row>
    <row r="19" spans="1:20" ht="12.75" customHeight="1" thickBot="1" x14ac:dyDescent="0.25">
      <c r="A19" s="36"/>
      <c r="B19" s="493" t="str">
        <f>IF(Propu="Cariacou","Cariacou :"," ")</f>
        <v xml:space="preserve"> </v>
      </c>
      <c r="C19" s="700" t="str">
        <f>IF(Propu="Cariacou",IF(Lang="Français","Campagne nationale",IF(Lang="English","National campagn only","")),"")</f>
        <v/>
      </c>
      <c r="D19" s="700"/>
      <c r="E19" s="114"/>
      <c r="F19" s="37"/>
      <c r="G19" s="37"/>
      <c r="H19" s="37"/>
      <c r="I19" s="37"/>
      <c r="J19" s="34"/>
      <c r="K19" s="34"/>
      <c r="L19" s="137" t="str">
        <f>IF(Lang="Français","Ailerons",IF(Lang="English","Fins",""))</f>
        <v>Ailerons</v>
      </c>
      <c r="M19" s="653">
        <f>(XCpa*Cnail-0.5*XCpi*Cni)/Cnai</f>
        <v>773.41399999999999</v>
      </c>
      <c r="N19" s="654"/>
      <c r="O19" s="693">
        <f>Cnail-Cni/2</f>
        <v>18.58265859180505</v>
      </c>
      <c r="P19" s="694"/>
      <c r="Q19" s="40"/>
      <c r="R19" s="34"/>
      <c r="S19" s="447" t="str">
        <f>IF(Lang="Français","Bas","Base")</f>
        <v>Bas</v>
      </c>
      <c r="T19" s="448">
        <f>X_ail</f>
        <v>834.66399999999999</v>
      </c>
    </row>
    <row r="20" spans="1:20" ht="12.75" customHeight="1" thickTop="1" thickBot="1" x14ac:dyDescent="0.25">
      <c r="A20" s="36"/>
      <c r="B20" s="51"/>
      <c r="C20" s="695" t="str">
        <f>IF(Lang="Français","Coiffe",IF(Lang="English","Nose Cone",""))</f>
        <v>Coiffe</v>
      </c>
      <c r="D20" s="696"/>
      <c r="E20" s="114"/>
      <c r="F20" s="37"/>
      <c r="G20" s="37"/>
      <c r="H20" s="37"/>
      <c r="I20" s="37"/>
      <c r="J20" s="34"/>
      <c r="K20" s="34"/>
      <c r="L20" s="137" t="str">
        <f>IF(Lang="Français","Ail bas entier",IF(Lang="English","Total Lower Fins",""))</f>
        <v>Ail bas entier</v>
      </c>
      <c r="M20" s="653">
        <f>X_ail-m_ail+p_ail*(m_ail+2*n_ail)/(3*(m_ail+n_ail))+(m_ail+n_ail-m_ail*n_ail/(m_ail+n_ail))/6</f>
        <v>773.41399999999999</v>
      </c>
      <c r="N20" s="654"/>
      <c r="O20" s="646">
        <f>4*Q_ail*POWER((E_ail/D_ref),2)*(1+D_ail/(2*E_ail+D_ail))/(1+SQRT(1+POWER(2*f_ail/(m_ail+n_ail),2)))</f>
        <v>18.58265859180505</v>
      </c>
      <c r="P20" s="646"/>
      <c r="Q20" s="40"/>
      <c r="R20" s="34"/>
    </row>
    <row r="21" spans="1:20" ht="12.75" customHeight="1" thickTop="1" x14ac:dyDescent="0.2">
      <c r="A21" s="36"/>
      <c r="B21" s="172" t="str">
        <f>IF(Lang="Français","Forme",IF(Lang="English","Shape",""))</f>
        <v>Forme</v>
      </c>
      <c r="C21" s="672" t="s">
        <v>553</v>
      </c>
      <c r="D21" s="673"/>
      <c r="E21" s="114"/>
      <c r="F21" s="37"/>
      <c r="G21" s="37"/>
      <c r="H21" s="37"/>
      <c r="I21" s="37"/>
      <c r="J21" s="34"/>
      <c r="K21" s="34"/>
      <c r="L21" s="137" t="str">
        <f>IF(Lang="Français","Ailerons haut",IF(Lang="English","Upper Fins",""))</f>
        <v>Ailerons haut</v>
      </c>
      <c r="M21" s="653">
        <f>IF(LEFT(Type_masquage,1)="M",0, X_can-m_can+p_can*(m_can+2*n_can)/(3*(m_can+n_can))+(m_can+n_can-m_can*n_can/(m_can+n_can))/6)</f>
        <v>0</v>
      </c>
      <c r="N21" s="654"/>
      <c r="O21" s="646">
        <f>IF(LEFT(Type_masquage,1)="M",0, 4*Q_can*POWER((E_can/D_ref),2)*(1+D_can/(2*E_can+D_can))/(1+SQRT(1+POWER(2*f_can/(m_can+n_can),2))))</f>
        <v>0</v>
      </c>
      <c r="P21" s="646"/>
      <c r="Q21" s="40"/>
      <c r="R21" s="34"/>
    </row>
    <row r="22" spans="1:20" ht="12.75" customHeight="1" x14ac:dyDescent="0.2">
      <c r="A22" s="36"/>
      <c r="B22" s="172" t="str">
        <f>IF(Lang="Français","Hauteur",IF(Lang="English","Heigth",""))</f>
        <v>Hauteur</v>
      </c>
      <c r="C22" s="666">
        <v>150</v>
      </c>
      <c r="D22" s="667"/>
      <c r="E22" s="114"/>
      <c r="F22" s="37"/>
      <c r="G22" s="37"/>
      <c r="H22" s="37"/>
      <c r="I22" s="37"/>
      <c r="J22" s="34"/>
      <c r="K22" s="34"/>
      <c r="L22" s="137" t="str">
        <f>IF(Lang="Français","Partie masquée",IF(Lang="English","Interation zone",""))</f>
        <v>Partie masquée</v>
      </c>
      <c r="M22" s="676">
        <f>IF(LEFT(Type_masquage,1)="B", X_int-m_int+p_int*(m_int+2*n_int)/(3*(m_int+n_int))+(m_int+n_int-m_int*n_int/(m_int+n_int))/6, 0 )</f>
        <v>0</v>
      </c>
      <c r="N22" s="676"/>
      <c r="O22" s="693">
        <f>IF(LEFT(Type_masquage,1)="B", 4*Q_int*POWER((E_int/D_ref),2)*(1+D_int/(2*E_int+D_int))/(1+SQRT(1+POWER(2*f_int/(m_int+n_int),2))), 0 )</f>
        <v>0</v>
      </c>
      <c r="P22" s="694"/>
      <c r="Q22" s="40"/>
      <c r="R22" s="34"/>
    </row>
    <row r="23" spans="1:20" ht="12.75" customHeight="1" x14ac:dyDescent="0.2">
      <c r="A23" s="36"/>
      <c r="B23" s="172" t="str">
        <f>IF(Lang="Français","Diamètre",IF(Lang="English","Diameter",""))</f>
        <v>Diamètre</v>
      </c>
      <c r="C23" s="666">
        <v>60</v>
      </c>
      <c r="D23" s="667"/>
      <c r="E23" s="114"/>
      <c r="F23" s="37"/>
      <c r="G23" s="37"/>
      <c r="H23" s="37"/>
      <c r="I23" s="37"/>
      <c r="J23" s="34"/>
      <c r="K23" s="34"/>
      <c r="L23" s="137" t="s">
        <v>159</v>
      </c>
      <c r="M23" s="653">
        <f>IF(OR(RIGHT(Nb_diam,1)=",",D2j=0),0, X_j+l_j/3*(1+1/(1+D1j/D2j)) )</f>
        <v>0</v>
      </c>
      <c r="N23" s="654"/>
      <c r="O23" s="646">
        <f>IF(OR(RIGHT(Nb_diam,1)=",",D2j=0),0,2*(POWER(D2j/D_ref,2)-POWER(D1j/D_ref,2)))</f>
        <v>0</v>
      </c>
      <c r="P23" s="646"/>
      <c r="Q23" s="40"/>
      <c r="R23" s="34"/>
    </row>
    <row r="24" spans="1:20" ht="12.75" customHeight="1" thickBot="1" x14ac:dyDescent="0.25">
      <c r="A24" s="36"/>
      <c r="E24" s="114"/>
      <c r="F24" s="37"/>
      <c r="G24" s="37"/>
      <c r="H24" s="37"/>
      <c r="I24" s="37"/>
      <c r="J24" s="34"/>
      <c r="K24" s="34"/>
      <c r="L24" s="137" t="s">
        <v>160</v>
      </c>
      <c r="M24" s="653">
        <f>IF( OR(RIGHT(Nb_diam,1)=",",D2r=0), 0, X_r+l_r/3*(1+1/(1+D1r/D2r)) )</f>
        <v>0</v>
      </c>
      <c r="N24" s="654"/>
      <c r="O24" s="646">
        <f>IF( OR(RIGHT(Nb_diam,1)=",",D2r=0), 0, 2*(POWER(D2r/D_ref,2)-POWER(D1r/D_ref,2)) )</f>
        <v>0</v>
      </c>
      <c r="P24" s="646"/>
      <c r="Q24" s="40"/>
      <c r="R24" s="34"/>
    </row>
    <row r="25" spans="1:20" ht="12.75" customHeight="1" thickTop="1" thickBot="1" x14ac:dyDescent="0.25">
      <c r="A25" s="36"/>
      <c r="B25" s="41"/>
      <c r="C25" s="211" t="str">
        <f>IF(LEFT(Type_masquage,1)="M",IF(Lang="Français","Ailerons","Fins"),IF(Lang="Français","Ailerons bas","Lower Fins"))</f>
        <v>Ailerons</v>
      </c>
      <c r="D25" s="212" t="str">
        <f>IF(Lang="Français","Ailerons haut",IF(Lang="English","Upper Fins",""))</f>
        <v>Ailerons haut</v>
      </c>
      <c r="E25" s="213" t="s">
        <v>154</v>
      </c>
      <c r="F25" s="37"/>
      <c r="G25" s="37"/>
      <c r="H25" s="37"/>
      <c r="I25" s="37"/>
      <c r="J25" s="34"/>
      <c r="K25" s="53"/>
      <c r="L25" s="54"/>
      <c r="M25" s="54"/>
      <c r="N25" s="54"/>
      <c r="O25" s="34"/>
      <c r="P25" s="34"/>
      <c r="Q25" s="40"/>
      <c r="R25" s="54"/>
      <c r="S25" s="449" t="str">
        <f ca="1">IF(AND(Portee_balistique&gt;200,LEFT(Propu,2)="p2"),IF(Lang="Français","Fusée trop lègère !","Rocket too light"),"")</f>
        <v/>
      </c>
    </row>
    <row r="26" spans="1:20" ht="12.75" customHeight="1" thickTop="1" x14ac:dyDescent="0.2">
      <c r="A26" s="36"/>
      <c r="B26" s="41"/>
      <c r="C26" s="698" t="s">
        <v>426</v>
      </c>
      <c r="D26" s="699"/>
      <c r="E26" s="117"/>
      <c r="F26" s="55">
        <f ca="1">TODAY()</f>
        <v>44383</v>
      </c>
      <c r="G26" s="170" t="s">
        <v>65</v>
      </c>
      <c r="H26" s="688" t="str">
        <f>IF(Lang="Français","Résultats",IF(Lang="English","Results",""))</f>
        <v>Résultats</v>
      </c>
      <c r="I26" s="688"/>
      <c r="J26" s="170" t="s">
        <v>66</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
      <c r="A27" s="36"/>
      <c r="B27" s="628" t="str">
        <f>IF(Lang="Français"," Emplanture  'm'",IF(Lang="English"," Root edge  'm'",""))</f>
        <v xml:space="preserve"> Emplanture  'm'</v>
      </c>
      <c r="C27" s="210">
        <v>90</v>
      </c>
      <c r="D27" s="210">
        <v>70</v>
      </c>
      <c r="E27" s="179">
        <f>m_ail</f>
        <v>90</v>
      </c>
      <c r="F27" s="134" t="s">
        <v>67</v>
      </c>
      <c r="G27" s="133">
        <f>IF(RIGHT(Type_fusee,1)=".",10, IF(OR(LEFT(Type_fusee,1)="R",LEFT(Type_fusee,1)=",",LEFT(Type_fusee,4)="Mini"),10, IF(LEFT(Type_fusee,5)="Micro",10, IF(RIGHT(Type_fusee,1)=" ",1))))</f>
        <v>10</v>
      </c>
      <c r="H27" s="651">
        <f>Long_tot/D_ref</f>
        <v>13.911066666666667</v>
      </c>
      <c r="I27" s="652"/>
      <c r="J27" s="133">
        <f>IF(RIGHT(Type_fusee,1)=".",35, IF(OR(LEFT(Type_fusee,1)="R",LEFT(Type_fusee,1)=",",LEFT(Type_fusee,4)="Mini"),20, IF(LEFT(Type_fusee,5)="Micro",30, IF(RIGHT(Type_fusee,1)=" ",100))))</f>
        <v>20</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
      <c r="A28" s="36"/>
      <c r="B28" s="628" t="str">
        <f>IF(Lang="Français"," Saumon       'n'",IF(Lang="English"," Tip edge    'n'",""))</f>
        <v xml:space="preserve"> Saumon       'n'</v>
      </c>
      <c r="C28" s="48">
        <v>30</v>
      </c>
      <c r="D28" s="48">
        <v>30</v>
      </c>
      <c r="E28" s="179">
        <f>n_ail+(m_ail-n_ail)*(1-E_int/E_ail)</f>
        <v>72</v>
      </c>
      <c r="F28" s="134" t="str">
        <f>IF(Lang="Français","Portance","Lift")</f>
        <v>Portance</v>
      </c>
      <c r="G28" s="133">
        <f>IF(RIGHT(Type_fusee,1)=".",15,IF(OR(LEFT(Type_fusee,1)="R",LEFT(Type_fusee,1)=",",LEFT(Type_fusee,4)="Mini"),15, IF(LEFT(Type_fusee,5)="Micro",15, IF(RIGHT(Type_fusee,1)=" ",15))))</f>
        <v>15</v>
      </c>
      <c r="H28" s="597">
        <f>Cnai+Cnc+Cno+Cnj+Cnr</f>
        <v>20.58265859180505</v>
      </c>
      <c r="I28" s="597">
        <f>Cnail+Cnc+Cno+Cnj+Cnr</f>
        <v>20.58265859180505</v>
      </c>
      <c r="J28" s="133">
        <f>IF(RIGHT(Type_fusee,1)=".",40, IF(OR(LEFT(Type_fusee,1)="R",LEFT(Type_fusee,1)=",",LEFT(Type_fusee,4)="Mini"),30, IF(LEFT(Type_fusee,5)="Micro",30, IF(RIGHT(Type_fusee,1)=" ",30))))</f>
        <v>30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
      <c r="A29" s="36"/>
      <c r="B29" s="628" t="str">
        <f>IF(Lang="Français"," Flèche          'p'"," Offset         'p'")</f>
        <v xml:space="preserve"> Flèche          'p'</v>
      </c>
      <c r="C29" s="48">
        <v>30</v>
      </c>
      <c r="D29" s="48">
        <v>40</v>
      </c>
      <c r="E29" s="179">
        <f>p_ail*E_int/E_ail</f>
        <v>9</v>
      </c>
      <c r="F29" s="605" t="str">
        <f>IF(Lang="Français","MargeStat.","StatMargin")</f>
        <v>MargeStat.</v>
      </c>
      <c r="G29" s="599">
        <f>IF(RIGHT(Type_fusee,1)=".",2, IF(OR(LEFT(Type_fusee,1)="R",LEFT(Type_fusee,1)=",",LEFT(Type_fusee,4)="Mini"),1.5, IF(LEFT(Type_fusee,5)="Micro",1, IF(RIGHT(Type_fusee,1)=" ",1))))</f>
        <v>1.5</v>
      </c>
      <c r="H29" s="126">
        <f ca="1">(XCp-XcgPlein)/D_ref</f>
        <v>3.2070179556504836</v>
      </c>
      <c r="I29" s="127">
        <f ca="1">(XCp0-XcgVide)/D_ref</f>
        <v>3.3794399599643592</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36"/>
      <c r="B30" s="628" t="str">
        <f>IF(Lang="Français"," Envergure     'E'",IF(Lang="English"," Span          'E'",""))</f>
        <v xml:space="preserve"> Envergure     'E'</v>
      </c>
      <c r="C30" s="48">
        <v>100</v>
      </c>
      <c r="D30" s="48">
        <v>30</v>
      </c>
      <c r="E30" s="179">
        <f>IF(D_can/2+E_can&lt;=D_ail/2,0, IF(D_can/2+E_can&gt;=D_ail/2+E_ail,E_ail,  D_can/2+E_can - D_ail/2  ) )</f>
        <v>30</v>
      </c>
      <c r="F30" s="606" t="str">
        <f>IF(Lang="Français","Couple","Torque")</f>
        <v>Couple</v>
      </c>
      <c r="G30" s="600">
        <f>IF(RIGHT(Type_fusee,1)=".",40, IF(OR(LEFT(Type_fusee,1)="R",LEFT(Type_fusee,1)=",",LEFT(Type_fusee,4)="Mini"),30, IF(LEFT(Type_fusee,5)="Micro",15, IF(RIGHT(Type_fusee,1)=" ",15))))</f>
        <v>30</v>
      </c>
      <c r="H30" s="128">
        <f ca="1">MS_min*Cn</f>
        <v>66.008955678942499</v>
      </c>
      <c r="I30" s="125">
        <f ca="1">MS_max*Cn0</f>
        <v>69.557858927449729</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36"/>
      <c r="B31" s="629" t="str">
        <f>IF(Lang="Français"," Epaisseur     'ep'",IF(Lang="English"," Thickness  'ep'",""))</f>
        <v xml:space="preserve"> Epaisseur     'ep'</v>
      </c>
      <c r="C31" s="48">
        <v>2</v>
      </c>
      <c r="D31" s="48">
        <v>2</v>
      </c>
      <c r="E31" s="179">
        <f>ep_ail</f>
        <v>2</v>
      </c>
      <c r="F31" s="135" t="s">
        <v>58</v>
      </c>
      <c r="G31" s="132"/>
      <c r="H31" s="598">
        <f>(Cnai*XCpai+Cnc*XCpc+Cnj*XCpj+Cnr*XCpr+Cno*XCpo)/(Cnai+Cnc+Cnr+Cnj+Cno)</f>
        <v>705.54968627348535</v>
      </c>
      <c r="I31" s="598">
        <f>(Cnail*XCpa+Cnc*XCpc+Cnj*XCpj+Cnr*XCpr+Cno*XCpo)/(Cnail+Cnc+Cnr+Cnj+Cno)</f>
        <v>705.54968627348535</v>
      </c>
      <c r="J31" s="131"/>
      <c r="K31" s="43"/>
      <c r="L31" s="34"/>
      <c r="M31" s="34"/>
      <c r="N31" s="34"/>
      <c r="O31" s="34"/>
      <c r="P31" s="34"/>
      <c r="Q31" s="40"/>
      <c r="R31" s="54"/>
      <c r="S31" s="449"/>
    </row>
    <row r="32" spans="1:20" ht="12.75" customHeight="1" x14ac:dyDescent="0.2">
      <c r="A32" s="36"/>
      <c r="B32" s="628" t="str">
        <f>IF(Lang="Français"," Nombre            ",IF(Lang="English"," Number of fins",""))</f>
        <v xml:space="preserve"> Nombre            </v>
      </c>
      <c r="C32" s="49">
        <v>4</v>
      </c>
      <c r="D32" s="49">
        <v>4</v>
      </c>
      <c r="E32" s="179">
        <f>IF(Q_ail=Q_can,Q_ail,FALSE)</f>
        <v>4</v>
      </c>
      <c r="F32" s="135" t="s">
        <v>69</v>
      </c>
      <c r="G32" s="132"/>
      <c r="H32" s="129">
        <f ca="1">(XCp-XcgPlein)/Long_tot*100</f>
        <v>23.053717105209884</v>
      </c>
      <c r="I32" s="130">
        <f ca="1">(XCp-XcgVide)/Long_tot*100</f>
        <v>24.293176367719411</v>
      </c>
      <c r="J32" s="131"/>
      <c r="K32" s="43"/>
      <c r="L32" s="34"/>
      <c r="M32" s="34"/>
      <c r="N32" s="34"/>
      <c r="O32" s="34"/>
      <c r="P32" s="34"/>
      <c r="Q32" s="40"/>
      <c r="R32" s="54"/>
    </row>
    <row r="33" spans="1:23" ht="12.75" customHeight="1" x14ac:dyDescent="0.2">
      <c r="A33" s="36"/>
      <c r="B33" s="628" t="str">
        <f>IF(Lang="Français"," Position du bas",IF(Lang="English"," Basement",""))</f>
        <v xml:space="preserve"> Position du bas</v>
      </c>
      <c r="C33" s="48">
        <f>Long_tot</f>
        <v>834.66399999999999</v>
      </c>
      <c r="D33" s="48">
        <v>200</v>
      </c>
      <c r="E33" s="179">
        <f>X_ail</f>
        <v>834.66399999999999</v>
      </c>
      <c r="F33" s="37"/>
      <c r="G33" s="34"/>
      <c r="H33" s="647" t="str">
        <f ca="1">IF(AND(CritCnmin&lt;Cn,Cn0&lt;CritCnmax,CritMsmin&lt;MS_min,MS_max&lt;CritMsmax,CritMsCnmin&lt;MS_Cn_min,MS_Cn_max&lt;CritMsCnmax),"STABLE",IF(OR(Cn&lt;CritCnmin,MS_min&lt;CritMsmin,MS_Cn_min&lt;CritMsCnmin),"INSTABLE",IF(Lang="Français","SURSTABLE","OVERSTABLE")))</f>
        <v>STABLE</v>
      </c>
      <c r="I33" s="648"/>
      <c r="J33" s="46"/>
      <c r="K33" s="43"/>
      <c r="L33" s="34"/>
      <c r="M33" s="34"/>
      <c r="N33" s="34"/>
      <c r="O33" s="34"/>
      <c r="P33" s="34"/>
      <c r="Q33" s="40"/>
      <c r="R33" s="54"/>
    </row>
    <row r="34" spans="1:23" ht="12.75" customHeight="1" x14ac:dyDescent="0.2">
      <c r="A34" s="36"/>
      <c r="B34" s="628" t="str">
        <f>IF(Lang="Français"," Diamètre         ",IF(Lang="English"," Diameter at Fins",""))</f>
        <v xml:space="preserve"> Diamètre         </v>
      </c>
      <c r="C34" s="48">
        <f>D_ref</f>
        <v>60</v>
      </c>
      <c r="D34" s="48">
        <f>D_ref</f>
        <v>60</v>
      </c>
      <c r="E34" s="179">
        <f>D_ail</f>
        <v>60</v>
      </c>
      <c r="F34" s="37"/>
      <c r="G34" s="34"/>
      <c r="H34" s="649"/>
      <c r="I34" s="650"/>
      <c r="J34" s="34"/>
      <c r="K34" s="43"/>
      <c r="L34" s="34"/>
      <c r="M34" s="34"/>
      <c r="N34" s="34"/>
      <c r="O34" s="34"/>
      <c r="P34" s="34"/>
      <c r="Q34" s="40"/>
      <c r="R34" s="54"/>
    </row>
    <row r="35" spans="1:23" ht="12.75" customHeight="1" x14ac:dyDescent="0.2">
      <c r="A35" s="36"/>
      <c r="B35" s="628" t="str">
        <f>IF(Lang="Français"," Ligne mi-corde f",IF(Lang="English"," Mid-chord line f",""))</f>
        <v xml:space="preserve"> Ligne mi-corde f</v>
      </c>
      <c r="C35" s="178">
        <f>SQRT(POWER(p_ail+n_ail/2-m_ail/2,2)+POWER(E_ail,2))</f>
        <v>100</v>
      </c>
      <c r="D35" s="178">
        <f>SQRT(POWER(p_can+n_can/2-m_can/2,2)+POWER(E_can,2))</f>
        <v>36.055512754639892</v>
      </c>
      <c r="E35" s="179">
        <f>SQRT(POWER(p_int+n_int/2-m_int/2,2)+POWER(E_int,2))</f>
        <v>30</v>
      </c>
      <c r="F35" s="37"/>
      <c r="G35" s="37"/>
      <c r="H35" s="37"/>
      <c r="I35" s="37"/>
      <c r="J35" s="34"/>
      <c r="K35" s="43"/>
      <c r="L35" s="34"/>
      <c r="M35" s="34"/>
      <c r="N35" s="34"/>
      <c r="O35" s="34"/>
      <c r="P35" s="34"/>
      <c r="Q35" s="40"/>
      <c r="R35" s="54"/>
      <c r="W35" s="35" t="str">
        <f>RIGHT(Type_fusee,1="R")</f>
        <v/>
      </c>
    </row>
    <row r="36" spans="1:23" ht="12.75" customHeight="1" thickBot="1" x14ac:dyDescent="0.25">
      <c r="A36" s="57"/>
      <c r="B36" s="216" t="str">
        <f>IF(Lang="Français","Commentaire libre :",IF(Lang="English","Free comment:",""))</f>
        <v>Commentaire libre :</v>
      </c>
      <c r="C36" s="58"/>
      <c r="D36" s="59"/>
      <c r="E36" s="118"/>
      <c r="F36" s="89"/>
      <c r="G36" s="89"/>
      <c r="H36" s="89"/>
      <c r="I36" s="89"/>
      <c r="J36" s="60"/>
      <c r="K36" s="59"/>
      <c r="L36" s="450" t="s">
        <v>271</v>
      </c>
      <c r="M36" s="453" t="str">
        <f>IF(ROUND(SUM(Propu!5:1218),0)=306466,"propu OK","propu NOK")</f>
        <v>propu OK</v>
      </c>
      <c r="N36" s="452" t="str">
        <f>IF(Lang="Français","fichier initial","Initial file")</f>
        <v>fichier initial</v>
      </c>
      <c r="O36" s="453"/>
      <c r="P36" s="451"/>
      <c r="Q36" s="341" t="s">
        <v>550</v>
      </c>
      <c r="R36" s="54"/>
    </row>
    <row r="37" spans="1:23" ht="12.75" customHeight="1" x14ac:dyDescent="0.2">
      <c r="R37" s="61"/>
    </row>
    <row r="38" spans="1:23" x14ac:dyDescent="0.2">
      <c r="L38" s="265" t="str">
        <f>IF(Lang="Français","Maintenant que votre fusée est stable, vérifiez sa trajectoire via la feuille","Now your rocket is stable, check its trajectory on sheet")</f>
        <v>Maintenant que votre fusée est stable, vérifiez sa trajectoire via la feuille</v>
      </c>
      <c r="M38" s="569" t="s">
        <v>183</v>
      </c>
    </row>
    <row r="39" spans="1:23" x14ac:dyDescent="0.2">
      <c r="H39" s="264"/>
      <c r="O39" s="56"/>
      <c r="P39" s="56"/>
    </row>
    <row r="40" spans="1:23" x14ac:dyDescent="0.2">
      <c r="F40" s="35"/>
      <c r="H40" s="61"/>
      <c r="I40" s="62"/>
      <c r="J40" s="61"/>
      <c r="N40" s="61"/>
      <c r="Q40" s="61"/>
      <c r="S40" s="595"/>
    </row>
    <row r="41" spans="1:23" x14ac:dyDescent="0.2">
      <c r="F41" s="35"/>
      <c r="G41" s="592"/>
      <c r="H41" s="593"/>
      <c r="I41" s="62"/>
      <c r="J41" s="61"/>
      <c r="N41" s="61"/>
      <c r="Q41" s="61"/>
      <c r="R41" s="61"/>
    </row>
    <row r="42" spans="1:23" x14ac:dyDescent="0.2">
      <c r="F42" s="35"/>
      <c r="H42" s="61"/>
      <c r="I42" s="62"/>
      <c r="J42" s="61"/>
      <c r="N42" s="61"/>
      <c r="Q42" s="61"/>
      <c r="R42" s="61"/>
    </row>
    <row r="43" spans="1:23" x14ac:dyDescent="0.2">
      <c r="F43" s="35"/>
      <c r="H43" s="61"/>
      <c r="I43" s="62"/>
      <c r="J43" s="61"/>
      <c r="N43" s="61"/>
      <c r="Q43" s="61"/>
      <c r="R43" s="61"/>
    </row>
    <row r="44" spans="1:23" x14ac:dyDescent="0.2">
      <c r="F44" s="35"/>
      <c r="H44" s="61"/>
      <c r="I44" s="62"/>
      <c r="J44" s="61"/>
      <c r="N44" s="61"/>
      <c r="O44" s="34"/>
      <c r="P44" s="34"/>
      <c r="Q44" s="61"/>
      <c r="R44" s="61"/>
    </row>
    <row r="45" spans="1:23" x14ac:dyDescent="0.2">
      <c r="F45" s="35"/>
      <c r="H45" s="61"/>
      <c r="I45" s="62"/>
      <c r="J45" s="61"/>
      <c r="N45" s="61"/>
      <c r="O45" s="34"/>
      <c r="P45" s="34"/>
      <c r="Q45" s="61"/>
      <c r="R45" s="61"/>
    </row>
    <row r="46" spans="1:23" x14ac:dyDescent="0.2">
      <c r="F46" s="35"/>
      <c r="H46" s="61"/>
      <c r="I46" s="62"/>
      <c r="J46" s="61"/>
      <c r="L46" s="61"/>
      <c r="M46" s="61"/>
      <c r="N46" s="61"/>
      <c r="O46" s="34"/>
      <c r="P46" s="34"/>
      <c r="Q46" s="61"/>
      <c r="R46" s="61"/>
    </row>
    <row r="47" spans="1:23" x14ac:dyDescent="0.2">
      <c r="F47" s="35"/>
      <c r="H47" s="61"/>
      <c r="I47" s="62"/>
      <c r="J47" s="61"/>
      <c r="L47" s="61"/>
      <c r="M47" s="61"/>
      <c r="N47" s="61"/>
      <c r="O47" s="34"/>
      <c r="P47" s="34"/>
      <c r="Q47" s="61"/>
      <c r="R47" s="61"/>
    </row>
    <row r="48" spans="1:23" x14ac:dyDescent="0.2">
      <c r="F48" s="35"/>
      <c r="H48" s="61"/>
      <c r="I48" s="62"/>
      <c r="J48" s="61"/>
      <c r="L48" s="61"/>
      <c r="M48" s="61"/>
      <c r="N48" s="61"/>
      <c r="O48" s="34"/>
      <c r="P48" s="34"/>
      <c r="Q48" s="61"/>
      <c r="R48" s="61"/>
    </row>
    <row r="49" spans="2:18" x14ac:dyDescent="0.2">
      <c r="F49" s="35"/>
      <c r="H49" s="61"/>
      <c r="I49" s="62"/>
      <c r="J49" s="61"/>
      <c r="L49" s="61"/>
      <c r="M49" s="61"/>
      <c r="N49" s="61"/>
      <c r="O49" s="34"/>
      <c r="P49" s="34"/>
      <c r="Q49" s="61"/>
      <c r="R49" s="61"/>
    </row>
    <row r="50" spans="2:18" x14ac:dyDescent="0.2">
      <c r="F50" s="35"/>
      <c r="H50" s="61"/>
      <c r="I50" s="62"/>
      <c r="J50" s="61"/>
      <c r="L50" s="61"/>
      <c r="M50" s="61"/>
      <c r="N50" s="61"/>
      <c r="O50" s="34"/>
      <c r="P50" s="34"/>
      <c r="Q50" s="61"/>
      <c r="R50" s="61"/>
    </row>
    <row r="51" spans="2:18" x14ac:dyDescent="0.2">
      <c r="F51" s="35"/>
      <c r="H51" s="61"/>
      <c r="I51" s="62"/>
      <c r="J51" s="61"/>
      <c r="L51" s="61"/>
      <c r="M51" s="61"/>
      <c r="N51" s="61"/>
      <c r="O51" s="34"/>
      <c r="P51" s="34"/>
      <c r="Q51" s="61"/>
      <c r="R51" s="61"/>
    </row>
    <row r="52" spans="2:18" x14ac:dyDescent="0.2">
      <c r="H52" s="61"/>
      <c r="I52" s="62"/>
      <c r="J52" s="61"/>
      <c r="L52" s="61"/>
      <c r="M52" s="61"/>
      <c r="N52" s="61"/>
      <c r="O52" s="34"/>
      <c r="P52" s="34"/>
      <c r="Q52" s="61"/>
      <c r="R52" s="61"/>
    </row>
    <row r="53" spans="2:18" x14ac:dyDescent="0.2">
      <c r="H53" s="61"/>
      <c r="I53" s="62"/>
      <c r="J53" s="61"/>
      <c r="L53" s="61"/>
      <c r="M53" s="61"/>
      <c r="N53" s="61"/>
      <c r="Q53" s="61"/>
      <c r="R53" s="61"/>
    </row>
    <row r="54" spans="2:18" x14ac:dyDescent="0.2">
      <c r="H54" s="61"/>
      <c r="I54" s="62"/>
      <c r="J54" s="61"/>
      <c r="L54" s="61"/>
      <c r="M54" s="61"/>
      <c r="N54" s="61"/>
      <c r="Q54" s="61"/>
      <c r="R54" s="61"/>
    </row>
    <row r="55" spans="2:18" x14ac:dyDescent="0.2">
      <c r="H55" s="61"/>
      <c r="I55" s="62"/>
      <c r="J55" s="61"/>
      <c r="L55" s="61"/>
      <c r="M55" s="61"/>
      <c r="N55" s="61"/>
      <c r="Q55" s="61"/>
      <c r="R55" s="61"/>
    </row>
    <row r="56" spans="2:18" x14ac:dyDescent="0.2">
      <c r="C56" s="35"/>
      <c r="H56" s="61"/>
      <c r="I56" s="62"/>
      <c r="J56" s="61"/>
      <c r="L56" s="61"/>
      <c r="M56" s="61"/>
      <c r="N56" s="61"/>
      <c r="Q56" s="61"/>
      <c r="R56" s="61"/>
    </row>
    <row r="57" spans="2:18" x14ac:dyDescent="0.2">
      <c r="H57" s="61"/>
      <c r="I57" s="62"/>
      <c r="J57" s="61"/>
      <c r="L57" s="61"/>
      <c r="M57" s="61"/>
      <c r="N57" s="61"/>
      <c r="Q57" s="61"/>
      <c r="R57" s="61"/>
    </row>
    <row r="58" spans="2:18" x14ac:dyDescent="0.2">
      <c r="B58" s="52"/>
      <c r="H58" s="61"/>
      <c r="I58" s="62"/>
      <c r="J58" s="61"/>
      <c r="L58" s="61"/>
      <c r="M58" s="61"/>
      <c r="N58" s="61"/>
      <c r="Q58" s="61"/>
      <c r="R58" s="61"/>
    </row>
    <row r="59" spans="2:18" x14ac:dyDescent="0.2">
      <c r="B59" s="52"/>
      <c r="H59" s="61"/>
      <c r="I59" s="62"/>
      <c r="J59" s="61"/>
      <c r="L59" s="61"/>
      <c r="M59" s="61"/>
      <c r="N59" s="61"/>
      <c r="Q59" s="61"/>
      <c r="R59" s="61"/>
    </row>
    <row r="60" spans="2:18" x14ac:dyDescent="0.2">
      <c r="B60" s="52"/>
      <c r="H60" s="61"/>
      <c r="I60" s="62"/>
      <c r="J60" s="61"/>
      <c r="L60" s="61"/>
      <c r="M60" s="61"/>
      <c r="N60" s="61"/>
      <c r="Q60" s="61"/>
      <c r="R60" s="61"/>
    </row>
    <row r="61" spans="2:18" x14ac:dyDescent="0.2">
      <c r="B61" s="52"/>
      <c r="H61" s="61"/>
      <c r="I61" s="62"/>
      <c r="J61" s="61"/>
      <c r="L61" s="61"/>
      <c r="M61" s="61"/>
      <c r="N61" s="61"/>
      <c r="Q61" s="61"/>
      <c r="R61" s="61"/>
    </row>
    <row r="62" spans="2:18" x14ac:dyDescent="0.2">
      <c r="B62" s="52"/>
      <c r="H62" s="61"/>
      <c r="I62" s="62"/>
      <c r="J62" s="61"/>
      <c r="L62" s="61"/>
      <c r="M62" s="61"/>
      <c r="N62" s="61"/>
      <c r="Q62" s="61"/>
      <c r="R62" s="61"/>
    </row>
    <row r="63" spans="2:18" x14ac:dyDescent="0.2">
      <c r="B63" s="52"/>
      <c r="H63" s="61"/>
      <c r="I63" s="62"/>
      <c r="J63" s="61"/>
      <c r="L63" s="61"/>
      <c r="M63" s="61"/>
      <c r="N63" s="61"/>
      <c r="Q63" s="61"/>
      <c r="R63" s="61"/>
    </row>
    <row r="64" spans="2:18" x14ac:dyDescent="0.2">
      <c r="B64" s="52"/>
      <c r="H64" s="61"/>
      <c r="I64" s="62"/>
      <c r="J64" s="61"/>
      <c r="L64" s="61"/>
      <c r="M64" s="61"/>
      <c r="N64" s="61"/>
      <c r="Q64" s="61"/>
      <c r="R64" s="61"/>
    </row>
    <row r="65" spans="2:18" x14ac:dyDescent="0.2">
      <c r="B65" s="52"/>
      <c r="H65" s="61"/>
      <c r="I65" s="62"/>
      <c r="J65" s="61"/>
      <c r="L65" s="61"/>
      <c r="M65" s="61"/>
      <c r="N65" s="61"/>
      <c r="Q65" s="61"/>
      <c r="R65" s="61"/>
    </row>
    <row r="66" spans="2:18" x14ac:dyDescent="0.2">
      <c r="B66" s="52"/>
      <c r="H66" s="61"/>
      <c r="I66" s="62"/>
      <c r="J66" s="61"/>
      <c r="L66" s="61"/>
      <c r="M66" s="61"/>
      <c r="N66" s="61"/>
      <c r="Q66" s="61"/>
      <c r="R66" s="61"/>
    </row>
    <row r="67" spans="2:18" x14ac:dyDescent="0.2">
      <c r="C67" s="35"/>
      <c r="H67" s="61"/>
      <c r="I67" s="62"/>
      <c r="J67" s="61"/>
      <c r="L67" s="61"/>
      <c r="M67" s="61"/>
      <c r="N67" s="61"/>
      <c r="Q67" s="61"/>
      <c r="R67" s="61"/>
    </row>
    <row r="68" spans="2:18" x14ac:dyDescent="0.2">
      <c r="C68" s="35"/>
      <c r="H68" s="61"/>
      <c r="I68" s="62"/>
      <c r="J68" s="61"/>
      <c r="L68" s="61"/>
      <c r="M68" s="61"/>
      <c r="N68" s="61"/>
      <c r="Q68" s="61"/>
      <c r="R68" s="61"/>
    </row>
    <row r="69" spans="2:18" x14ac:dyDescent="0.2">
      <c r="C69" s="35"/>
      <c r="H69" s="61"/>
      <c r="I69" s="62"/>
      <c r="J69" s="61"/>
      <c r="L69" s="61"/>
      <c r="M69" s="61"/>
      <c r="N69" s="61"/>
      <c r="Q69" s="61"/>
      <c r="R69" s="61"/>
    </row>
    <row r="70" spans="2:18" x14ac:dyDescent="0.2">
      <c r="C70" s="35"/>
      <c r="H70" s="61"/>
      <c r="I70" s="62"/>
      <c r="J70" s="61"/>
      <c r="L70" s="61"/>
      <c r="M70" s="61"/>
      <c r="N70" s="61"/>
      <c r="Q70" s="61"/>
      <c r="R70" s="61"/>
    </row>
    <row r="71" spans="2:18" x14ac:dyDescent="0.2">
      <c r="C71" s="35"/>
      <c r="H71" s="61"/>
      <c r="I71" s="62"/>
      <c r="J71" s="61"/>
      <c r="L71" s="61"/>
      <c r="M71" s="61"/>
      <c r="N71" s="61"/>
      <c r="Q71" s="61"/>
      <c r="R71" s="61"/>
    </row>
    <row r="72" spans="2:18" x14ac:dyDescent="0.2">
      <c r="C72" s="35"/>
      <c r="H72" s="61"/>
      <c r="I72" s="62"/>
      <c r="J72" s="61"/>
      <c r="L72" s="61"/>
      <c r="M72" s="61"/>
      <c r="N72" s="61"/>
      <c r="Q72" s="61"/>
      <c r="R72" s="61"/>
    </row>
    <row r="73" spans="2:18" x14ac:dyDescent="0.2">
      <c r="C73" s="35"/>
      <c r="H73" s="61"/>
      <c r="I73" s="62"/>
      <c r="J73" s="61"/>
      <c r="L73" s="61"/>
      <c r="M73" s="61"/>
      <c r="N73" s="61"/>
      <c r="Q73" s="61"/>
      <c r="R73" s="61"/>
    </row>
    <row r="74" spans="2:18" x14ac:dyDescent="0.2">
      <c r="C74" s="35"/>
      <c r="H74" s="61"/>
      <c r="I74" s="62"/>
      <c r="J74" s="61"/>
      <c r="L74" s="61"/>
      <c r="M74" s="61"/>
      <c r="N74" s="61"/>
      <c r="Q74" s="61"/>
      <c r="R74" s="61"/>
    </row>
    <row r="75" spans="2:18" x14ac:dyDescent="0.2">
      <c r="C75" s="35"/>
      <c r="H75" s="61"/>
      <c r="I75" s="62"/>
      <c r="J75" s="61"/>
      <c r="L75" s="61"/>
      <c r="M75" s="61"/>
      <c r="N75" s="61"/>
      <c r="Q75" s="61"/>
      <c r="R75" s="61"/>
    </row>
    <row r="76" spans="2:18" x14ac:dyDescent="0.2">
      <c r="C76" s="35"/>
      <c r="H76" s="61"/>
      <c r="I76" s="62"/>
      <c r="J76" s="61"/>
      <c r="L76" s="61"/>
      <c r="M76" s="61"/>
      <c r="N76" s="61"/>
      <c r="Q76" s="61"/>
      <c r="R76" s="61"/>
    </row>
    <row r="77" spans="2:18" x14ac:dyDescent="0.2">
      <c r="C77" s="35"/>
      <c r="H77" s="61"/>
      <c r="I77" s="62"/>
      <c r="J77" s="61"/>
      <c r="L77" s="61"/>
      <c r="M77" s="61"/>
      <c r="N77" s="61"/>
      <c r="Q77" s="61"/>
      <c r="R77" s="61"/>
    </row>
    <row r="78" spans="2:18" x14ac:dyDescent="0.2">
      <c r="C78" s="35"/>
      <c r="H78" s="61"/>
      <c r="I78" s="62"/>
      <c r="J78" s="61"/>
      <c r="L78" s="61"/>
      <c r="M78" s="61"/>
      <c r="N78" s="61"/>
      <c r="Q78" s="61"/>
      <c r="R78" s="61"/>
    </row>
    <row r="79" spans="2:18" x14ac:dyDescent="0.2">
      <c r="C79" s="35"/>
      <c r="H79" s="61"/>
      <c r="I79" s="62"/>
      <c r="J79" s="61"/>
      <c r="L79" s="61"/>
      <c r="M79" s="61"/>
      <c r="N79" s="61"/>
      <c r="Q79" s="61"/>
      <c r="R79" s="61"/>
    </row>
    <row r="80" spans="2:18" x14ac:dyDescent="0.2">
      <c r="C80" s="35"/>
      <c r="H80" s="61"/>
      <c r="I80" s="62"/>
      <c r="J80" s="61"/>
      <c r="L80" s="61"/>
      <c r="M80" s="61"/>
      <c r="N80" s="61"/>
      <c r="Q80" s="61"/>
      <c r="R80" s="61"/>
    </row>
    <row r="81" spans="2:18" x14ac:dyDescent="0.2">
      <c r="C81" s="35"/>
      <c r="H81" s="61"/>
      <c r="I81" s="62"/>
      <c r="J81" s="61"/>
      <c r="L81" s="61"/>
      <c r="M81" s="61"/>
      <c r="N81" s="61"/>
      <c r="Q81" s="61"/>
      <c r="R81" s="61"/>
    </row>
    <row r="82" spans="2:18" x14ac:dyDescent="0.2">
      <c r="C82" s="35"/>
      <c r="H82" s="61"/>
      <c r="I82" s="62"/>
      <c r="J82" s="61"/>
      <c r="L82" s="61"/>
      <c r="M82" s="61"/>
      <c r="N82" s="61"/>
      <c r="Q82" s="61"/>
      <c r="R82" s="61"/>
    </row>
    <row r="83" spans="2:18" x14ac:dyDescent="0.2">
      <c r="C83" s="35"/>
      <c r="H83" s="61"/>
      <c r="I83" s="62"/>
      <c r="J83" s="61"/>
      <c r="L83" s="61"/>
      <c r="M83" s="61"/>
      <c r="N83" s="61"/>
      <c r="Q83" s="61"/>
      <c r="R83" s="61"/>
    </row>
    <row r="84" spans="2:18" x14ac:dyDescent="0.2">
      <c r="C84" s="35"/>
      <c r="H84" s="61"/>
      <c r="I84" s="62"/>
      <c r="J84" s="61"/>
      <c r="L84" s="61"/>
      <c r="M84" s="61"/>
      <c r="N84" s="61"/>
      <c r="Q84" s="61"/>
      <c r="R84" s="61"/>
    </row>
    <row r="85" spans="2:18" x14ac:dyDescent="0.2">
      <c r="C85" s="35"/>
      <c r="H85" s="61"/>
      <c r="I85" s="62"/>
      <c r="J85" s="61"/>
      <c r="L85" s="61"/>
      <c r="M85" s="61"/>
      <c r="N85" s="61"/>
      <c r="Q85" s="61"/>
      <c r="R85" s="61"/>
    </row>
    <row r="86" spans="2:18" x14ac:dyDescent="0.2">
      <c r="C86" s="35"/>
      <c r="H86" s="61"/>
      <c r="I86" s="62"/>
      <c r="J86" s="61"/>
      <c r="L86" s="61"/>
      <c r="M86" s="61"/>
      <c r="N86" s="61"/>
      <c r="Q86" s="61"/>
      <c r="R86" s="61"/>
    </row>
    <row r="87" spans="2:18" x14ac:dyDescent="0.2">
      <c r="C87" s="35"/>
      <c r="H87" s="61"/>
      <c r="I87" s="62"/>
      <c r="J87" s="61"/>
      <c r="L87" s="61"/>
      <c r="M87" s="61"/>
      <c r="N87" s="61"/>
      <c r="Q87" s="61"/>
      <c r="R87" s="61"/>
    </row>
    <row r="88" spans="2:18" x14ac:dyDescent="0.2">
      <c r="C88" s="35"/>
      <c r="H88" s="61"/>
      <c r="I88" s="62"/>
      <c r="J88" s="61"/>
      <c r="L88" s="61"/>
      <c r="M88" s="61"/>
      <c r="N88" s="61"/>
      <c r="Q88" s="61"/>
      <c r="R88" s="61"/>
    </row>
    <row r="89" spans="2:18" x14ac:dyDescent="0.2">
      <c r="C89" s="35"/>
      <c r="H89" s="61"/>
      <c r="I89" s="62"/>
      <c r="J89" s="61"/>
      <c r="L89" s="61"/>
      <c r="M89" s="61"/>
      <c r="N89" s="61"/>
      <c r="Q89" s="61"/>
      <c r="R89" s="61"/>
    </row>
    <row r="90" spans="2:18" x14ac:dyDescent="0.2">
      <c r="C90" s="35"/>
      <c r="H90" s="61"/>
      <c r="I90" s="62"/>
      <c r="J90" s="61"/>
      <c r="L90" s="61"/>
      <c r="M90" s="61"/>
      <c r="N90" s="61"/>
      <c r="Q90" s="61"/>
      <c r="R90" s="61"/>
    </row>
    <row r="91" spans="2:18" x14ac:dyDescent="0.2">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
      <c r="H92" s="61"/>
      <c r="I92" s="62"/>
      <c r="J92" s="61"/>
      <c r="L92" s="61"/>
      <c r="M92" s="61"/>
      <c r="N92" s="61"/>
      <c r="Q92" s="61"/>
      <c r="R92" s="61"/>
    </row>
    <row r="93" spans="2:18" x14ac:dyDescent="0.2">
      <c r="B93" s="37" t="s">
        <v>1</v>
      </c>
      <c r="H93" s="61"/>
      <c r="I93" s="62"/>
      <c r="J93" s="61"/>
      <c r="L93" s="61"/>
      <c r="M93" s="61"/>
      <c r="N93" s="61"/>
      <c r="Q93" s="61"/>
      <c r="R93" s="61"/>
    </row>
    <row r="94" spans="2:18" x14ac:dyDescent="0.2">
      <c r="B94" s="63" t="s">
        <v>70</v>
      </c>
      <c r="H94" s="61"/>
      <c r="I94" s="62"/>
      <c r="J94" s="61"/>
      <c r="L94" s="61"/>
      <c r="M94" s="61"/>
      <c r="N94" s="61"/>
      <c r="Q94" s="61"/>
      <c r="R94" s="61"/>
    </row>
    <row r="95" spans="2:18" x14ac:dyDescent="0.2">
      <c r="B95" s="63"/>
      <c r="H95" s="61"/>
      <c r="I95" s="62"/>
      <c r="J95" s="61"/>
      <c r="L95" s="61"/>
      <c r="M95" s="61"/>
      <c r="N95" s="61"/>
      <c r="Q95" s="61"/>
      <c r="R95" s="61"/>
    </row>
    <row r="96" spans="2:18" x14ac:dyDescent="0.2">
      <c r="B96" s="37" t="str">
        <f>IF(Lang="Français","Fusée à eau  ",IF(Lang="English","Water-rocket  ",""))</f>
        <v xml:space="preserve">Fusée à eau  </v>
      </c>
      <c r="H96" s="61"/>
      <c r="I96" s="62"/>
      <c r="J96" s="61"/>
      <c r="L96" s="61"/>
      <c r="M96" s="61"/>
      <c r="N96" s="61"/>
      <c r="Q96" s="61"/>
      <c r="R96" s="61"/>
    </row>
    <row r="97" spans="2:18" x14ac:dyDescent="0.2">
      <c r="B97" s="37" t="str">
        <f>IF(Lang="Français","Microfusée",IF(Lang="English","Micro-rocket",""))</f>
        <v>Microfusée</v>
      </c>
      <c r="H97" s="61"/>
      <c r="I97" s="62"/>
      <c r="J97" s="61"/>
      <c r="L97" s="61"/>
      <c r="M97" s="61"/>
      <c r="N97" s="61"/>
      <c r="Q97" s="61"/>
      <c r="R97" s="61"/>
    </row>
    <row r="98" spans="2:18" x14ac:dyDescent="0.2">
      <c r="B98" s="37" t="str">
        <f>IF(Lang="Français","Minifusée",IF(Lang="English","Mini-rocket",""))</f>
        <v>Minifusée</v>
      </c>
      <c r="H98" s="61"/>
      <c r="I98" s="62"/>
      <c r="J98" s="61"/>
      <c r="L98" s="61"/>
      <c r="M98" s="61"/>
      <c r="N98" s="61"/>
      <c r="Q98" s="61"/>
      <c r="R98" s="61"/>
    </row>
    <row r="99" spans="2:18" x14ac:dyDescent="0.2">
      <c r="B99" s="37" t="s">
        <v>399</v>
      </c>
      <c r="H99" s="61"/>
      <c r="I99" s="62"/>
      <c r="J99" s="61"/>
      <c r="L99" s="61"/>
      <c r="M99" s="61"/>
      <c r="N99" s="61"/>
      <c r="Q99" s="61"/>
      <c r="R99" s="61"/>
    </row>
    <row r="100" spans="2:18" x14ac:dyDescent="0.2">
      <c r="B100" s="37" t="str">
        <f>IF(Lang="Français","Fusée expérimentale.",IF(Lang="English","Experimental Rocket.",""))</f>
        <v>Fusée expérimentale.</v>
      </c>
      <c r="H100" s="61"/>
      <c r="I100" s="62"/>
      <c r="J100" s="61"/>
      <c r="L100" s="61"/>
      <c r="M100" s="61"/>
      <c r="N100" s="61"/>
      <c r="Q100" s="61"/>
      <c r="R100" s="61"/>
    </row>
    <row r="101" spans="2:18" x14ac:dyDescent="0.2">
      <c r="B101" s="37" t="s">
        <v>400</v>
      </c>
      <c r="H101" s="61"/>
      <c r="I101" s="62"/>
      <c r="J101" s="61"/>
      <c r="L101" s="61"/>
      <c r="M101" s="61"/>
      <c r="N101" s="61"/>
      <c r="Q101" s="61"/>
      <c r="R101" s="61"/>
    </row>
    <row r="102" spans="2:18" x14ac:dyDescent="0.2">
      <c r="B102" s="37"/>
      <c r="H102" s="61"/>
      <c r="I102" s="62"/>
      <c r="J102" s="61"/>
      <c r="L102" s="61"/>
      <c r="M102" s="61"/>
      <c r="N102" s="61"/>
      <c r="Q102" s="61"/>
      <c r="R102" s="61"/>
    </row>
    <row r="103" spans="2:18" x14ac:dyDescent="0.2">
      <c r="B103" s="37" t="str">
        <f>IF(Lang="Français","sans propu",IF(Lang="English","without motor",""))</f>
        <v>sans propu</v>
      </c>
      <c r="H103" s="61"/>
      <c r="I103" s="62"/>
      <c r="J103" s="61"/>
      <c r="L103" s="61"/>
      <c r="M103" s="61"/>
      <c r="N103" s="61"/>
      <c r="Q103" s="61"/>
      <c r="R103" s="61"/>
    </row>
    <row r="104" spans="2:18" x14ac:dyDescent="0.2">
      <c r="B104" s="37" t="str">
        <f>IF(Lang="Français","avec propu vide",IF(Lang="English","with empty motor",""))</f>
        <v>avec propu vide</v>
      </c>
      <c r="H104" s="61"/>
      <c r="I104" s="62"/>
      <c r="J104" s="61"/>
      <c r="L104" s="61"/>
      <c r="M104" s="61"/>
      <c r="N104" s="61"/>
      <c r="Q104" s="61"/>
      <c r="R104" s="61"/>
    </row>
    <row r="105" spans="2:18" x14ac:dyDescent="0.2">
      <c r="B105" s="37" t="str">
        <f>IF(Lang="Français","avec propu plein",IF(Lang="English","with loaded motor",""))</f>
        <v>avec propu plein</v>
      </c>
      <c r="H105" s="61"/>
      <c r="I105" s="62"/>
      <c r="J105" s="61"/>
      <c r="L105" s="61"/>
      <c r="M105" s="61"/>
      <c r="N105" s="61"/>
      <c r="Q105" s="61"/>
      <c r="R105" s="61"/>
    </row>
    <row r="106" spans="2:18" x14ac:dyDescent="0.2">
      <c r="B106" s="37"/>
      <c r="H106" s="61"/>
      <c r="I106" s="62"/>
      <c r="J106" s="61"/>
      <c r="L106" s="61"/>
      <c r="M106" s="61"/>
      <c r="N106" s="61"/>
      <c r="Q106" s="61"/>
      <c r="R106" s="61"/>
    </row>
    <row r="107" spans="2:18" x14ac:dyDescent="0.2">
      <c r="B107" s="37" t="str">
        <f>IF(Lang="Français","Parabolique (arrondie)",IF(Lang="English","Parabola (rounded)",""))</f>
        <v>Parabolique (arrondie)</v>
      </c>
      <c r="H107" s="61"/>
      <c r="I107" s="62"/>
      <c r="J107" s="61"/>
      <c r="L107" s="61"/>
      <c r="M107" s="61"/>
      <c r="N107" s="61"/>
      <c r="Q107" s="61"/>
      <c r="R107" s="61"/>
    </row>
    <row r="108" spans="2:18" x14ac:dyDescent="0.2">
      <c r="B108" s="63" t="str">
        <f>IF(Lang="Français","Ogivale (pointue)",IF(Lang="English","Ogive (sharp)",""))</f>
        <v>Ogivale (pointue)</v>
      </c>
      <c r="H108" s="61"/>
      <c r="I108" s="62"/>
      <c r="J108" s="61"/>
      <c r="L108" s="61"/>
      <c r="M108" s="61"/>
      <c r="N108" s="61"/>
      <c r="Q108" s="61"/>
      <c r="R108" s="61"/>
    </row>
    <row r="109" spans="2:18" x14ac:dyDescent="0.2">
      <c r="B109" s="37" t="str">
        <f>IF(Lang="Français","Conique (droite)",IF(Lang="English","Cone (straight)",""))</f>
        <v>Conique (droite)</v>
      </c>
      <c r="H109" s="61"/>
      <c r="I109" s="62"/>
      <c r="J109" s="61"/>
      <c r="L109" s="61"/>
      <c r="M109" s="61"/>
      <c r="N109" s="61"/>
      <c r="Q109" s="61"/>
      <c r="R109" s="61"/>
    </row>
    <row r="110" spans="2:18" x14ac:dyDescent="0.2">
      <c r="B110" s="64"/>
      <c r="H110" s="61"/>
      <c r="I110" s="62"/>
      <c r="J110" s="61"/>
      <c r="L110" s="61"/>
      <c r="M110" s="61"/>
      <c r="N110" s="61"/>
      <c r="Q110" s="61"/>
      <c r="R110" s="61"/>
    </row>
    <row r="111" spans="2:18" x14ac:dyDescent="0.2">
      <c r="B111" s="65" t="s">
        <v>426</v>
      </c>
      <c r="H111" s="61"/>
      <c r="I111" s="62"/>
      <c r="J111" s="61"/>
      <c r="L111" s="61"/>
      <c r="M111" s="61"/>
      <c r="N111" s="61"/>
      <c r="Q111" s="61"/>
      <c r="R111" s="61"/>
    </row>
    <row r="112" spans="2:18" x14ac:dyDescent="0.2">
      <c r="B112" s="65" t="s">
        <v>427</v>
      </c>
      <c r="H112" s="61"/>
      <c r="I112" s="62"/>
      <c r="J112" s="61"/>
      <c r="L112" s="61"/>
      <c r="M112" s="61"/>
      <c r="N112" s="61"/>
      <c r="Q112" s="61"/>
      <c r="R112" s="61"/>
    </row>
    <row r="113" spans="2:18" x14ac:dyDescent="0.2">
      <c r="B113" s="64"/>
      <c r="H113" s="61"/>
      <c r="I113" s="62"/>
      <c r="J113" s="61"/>
      <c r="L113" s="61"/>
      <c r="M113" s="61"/>
      <c r="N113" s="61"/>
      <c r="Q113" s="61"/>
      <c r="R113" s="61"/>
    </row>
    <row r="114" spans="2:18" x14ac:dyDescent="0.2">
      <c r="B114" s="65" t="str">
        <f>IF(Lang="Français","Fusée mono-diamètre,",IF(Lang="English","Mono-diameter rocket,",""))</f>
        <v>Fusée mono-diamètre,</v>
      </c>
      <c r="H114" s="61"/>
      <c r="I114" s="62"/>
      <c r="J114" s="61"/>
      <c r="L114" s="61"/>
      <c r="M114" s="61"/>
      <c r="N114" s="61"/>
      <c r="Q114" s="61"/>
      <c r="R114" s="61"/>
    </row>
    <row r="115" spans="2:18" x14ac:dyDescent="0.2">
      <c r="B115" s="65" t="str">
        <f>IF(Lang="Français","Plusieurs diamètres.",IF(Lang="English","Many diameters rocket.",""))</f>
        <v>Plusieurs diamètres.</v>
      </c>
      <c r="H115" s="61"/>
      <c r="I115" s="62"/>
      <c r="J115" s="61"/>
      <c r="L115" s="61"/>
      <c r="M115" s="61"/>
      <c r="N115" s="61"/>
      <c r="Q115" s="61"/>
      <c r="R115" s="61"/>
    </row>
    <row r="116" spans="2:18" x14ac:dyDescent="0.2">
      <c r="B116" s="65"/>
      <c r="H116" s="61"/>
      <c r="I116" s="62"/>
      <c r="J116" s="61"/>
      <c r="L116" s="61"/>
      <c r="M116" s="61"/>
      <c r="N116" s="61"/>
      <c r="Q116" s="61"/>
      <c r="R116" s="61"/>
    </row>
    <row r="117" spans="2:18" x14ac:dyDescent="0.2">
      <c r="B117" s="261" t="str">
        <f>IF(Lang="Français","Diagramme des critères de stabilité","Stability criterions diagram")</f>
        <v>Diagramme des critères de stabilité</v>
      </c>
      <c r="H117" s="61"/>
      <c r="I117" s="62"/>
      <c r="J117" s="61"/>
      <c r="L117" s="61"/>
      <c r="M117" s="61"/>
      <c r="N117" s="61"/>
      <c r="Q117" s="61"/>
      <c r="R117" s="61"/>
    </row>
    <row r="118" spans="2:18" x14ac:dyDescent="0.2">
      <c r="B118" s="261" t="str">
        <f>IF(Lang="Français","Marge Statique (MS)","Static Margin")</f>
        <v>Marge Statique (MS)</v>
      </c>
      <c r="H118" s="61"/>
      <c r="I118" s="62"/>
      <c r="J118" s="61"/>
      <c r="L118" s="61"/>
      <c r="M118" s="61"/>
      <c r="N118" s="61"/>
      <c r="Q118" s="61"/>
      <c r="R118" s="61"/>
    </row>
    <row r="119" spans="2:18" x14ac:dyDescent="0.2">
      <c r="B119" s="261" t="str">
        <f>IF(Lang="Français","Portance Cnα","Lift Cnα")</f>
        <v>Portance Cnα</v>
      </c>
      <c r="H119" s="61"/>
      <c r="I119" s="62"/>
      <c r="J119" s="61"/>
      <c r="L119" s="61"/>
      <c r="M119" s="61"/>
      <c r="N119" s="61"/>
      <c r="Q119" s="61"/>
      <c r="R119" s="61"/>
    </row>
    <row r="120" spans="2:18" x14ac:dyDescent="0.2">
      <c r="B120" s="65"/>
      <c r="H120" s="61"/>
      <c r="I120" s="62"/>
      <c r="J120" s="61"/>
      <c r="L120" s="61"/>
      <c r="M120" s="61"/>
      <c r="N120" s="61"/>
      <c r="Q120" s="61"/>
      <c r="R120" s="61"/>
    </row>
    <row r="121" spans="2:18" x14ac:dyDescent="0.2">
      <c r="B121" s="35" t="str">
        <f>IF(Lang="Français","Données pour les graphiques :",IF(Lang="English","Data for plots:",""))</f>
        <v>Données pour les graphiques :</v>
      </c>
      <c r="H121" s="61"/>
      <c r="I121" s="62"/>
      <c r="J121" s="61"/>
      <c r="L121" s="61"/>
      <c r="M121" s="61"/>
      <c r="N121" s="61"/>
      <c r="Q121" s="61"/>
      <c r="R121" s="61"/>
    </row>
    <row r="122" spans="2:18" x14ac:dyDescent="0.2">
      <c r="H122" s="61"/>
      <c r="I122" s="62"/>
      <c r="J122" s="61"/>
      <c r="L122" s="61"/>
      <c r="M122" s="61"/>
      <c r="N122" s="61"/>
      <c r="Q122" s="61"/>
      <c r="R122" s="61"/>
    </row>
    <row r="123" spans="2:18" x14ac:dyDescent="0.2">
      <c r="B123" s="66"/>
      <c r="C123" s="66" t="s">
        <v>71</v>
      </c>
      <c r="D123" s="66" t="s">
        <v>72</v>
      </c>
      <c r="E123" s="120" t="s">
        <v>73</v>
      </c>
      <c r="K123" s="66"/>
      <c r="R123" s="61"/>
    </row>
    <row r="124" spans="2:18" x14ac:dyDescent="0.2">
      <c r="B124" s="66" t="s">
        <v>75</v>
      </c>
      <c r="C124" s="67">
        <f>-Long_ogive</f>
        <v>-150</v>
      </c>
      <c r="D124" s="67">
        <v>0</v>
      </c>
      <c r="E124" s="121">
        <f t="shared" ref="E124:E136" si="0">-D124</f>
        <v>0</v>
      </c>
      <c r="K124" s="67"/>
    </row>
    <row r="125" spans="2:18" x14ac:dyDescent="0.2">
      <c r="B125" s="66" t="s">
        <v>75</v>
      </c>
      <c r="C125" s="67">
        <f>-Long_ogive</f>
        <v>-150</v>
      </c>
      <c r="D125" s="67">
        <f>D_og/2</f>
        <v>30</v>
      </c>
      <c r="E125" s="121">
        <f t="shared" si="0"/>
        <v>-30</v>
      </c>
      <c r="K125" s="67"/>
    </row>
    <row r="126" spans="2:18" x14ac:dyDescent="0.2">
      <c r="B126" s="66" t="s">
        <v>76</v>
      </c>
      <c r="C126" s="67">
        <f>IF(AND(RIGHT(Nb_diam,1)=".",X_j), -X_j, C125 )</f>
        <v>-150</v>
      </c>
      <c r="D126" s="67">
        <f>IF(AND(RIGHT(Nb_diam,1)=".",X_j), D1j/2, D125 )</f>
        <v>30</v>
      </c>
      <c r="E126" s="121">
        <f t="shared" si="0"/>
        <v>-30</v>
      </c>
      <c r="K126" s="67"/>
    </row>
    <row r="127" spans="2:18" x14ac:dyDescent="0.2">
      <c r="B127" s="66" t="s">
        <v>77</v>
      </c>
      <c r="C127" s="67">
        <f>IF(AND(RIGHT(Nb_diam,1)=".",X_j), -X_j-l_j, C126 )</f>
        <v>-150</v>
      </c>
      <c r="D127" s="67">
        <f>IF(AND(RIGHT(Nb_diam,1)=".",X_j), D2j/2, D126 )</f>
        <v>30</v>
      </c>
      <c r="E127" s="121">
        <f t="shared" si="0"/>
        <v>-30</v>
      </c>
      <c r="K127" s="67"/>
    </row>
    <row r="128" spans="2:18" x14ac:dyDescent="0.2">
      <c r="B128" s="66" t="s">
        <v>78</v>
      </c>
      <c r="C128" s="67">
        <f>IF(AND(RIGHT(Nb_diam,1)=".",X_r), -X_r, C127 )</f>
        <v>-150</v>
      </c>
      <c r="D128" s="67">
        <f>IF(AND(RIGHT(Nb_diam,1)=".",X_r), D1r/2, D127 )</f>
        <v>30</v>
      </c>
      <c r="E128" s="121">
        <f t="shared" si="0"/>
        <v>-30</v>
      </c>
      <c r="K128" s="67"/>
    </row>
    <row r="129" spans="2:11" x14ac:dyDescent="0.2">
      <c r="B129" s="66" t="s">
        <v>79</v>
      </c>
      <c r="C129" s="67">
        <f>IF(AND(RIGHT(Nb_diam,1)=".",X_r), -X_r-l_r, C128 )</f>
        <v>-150</v>
      </c>
      <c r="D129" s="67">
        <f>IF(AND(RIGHT(Nb_diam,1)=".",X_r), D2r/2, D128 )</f>
        <v>30</v>
      </c>
      <c r="E129" s="121">
        <f t="shared" si="0"/>
        <v>-30</v>
      </c>
      <c r="K129" s="67"/>
    </row>
    <row r="130" spans="2:11" x14ac:dyDescent="0.2">
      <c r="B130" s="66" t="s">
        <v>80</v>
      </c>
      <c r="C130" s="67">
        <f>-Long_tot</f>
        <v>-834.66399999999999</v>
      </c>
      <c r="D130" s="67">
        <f>D129</f>
        <v>30</v>
      </c>
      <c r="E130" s="121">
        <f t="shared" si="0"/>
        <v>-30</v>
      </c>
      <c r="K130" s="67"/>
    </row>
    <row r="131" spans="2:11" x14ac:dyDescent="0.2">
      <c r="B131" s="66" t="s">
        <v>80</v>
      </c>
      <c r="C131" s="67">
        <f>-Long_tot</f>
        <v>-834.66399999999999</v>
      </c>
      <c r="D131" s="67">
        <v>0</v>
      </c>
      <c r="E131" s="121">
        <f t="shared" si="0"/>
        <v>0</v>
      </c>
      <c r="K131" s="67"/>
    </row>
    <row r="132" spans="2:11" x14ac:dyDescent="0.2">
      <c r="B132" s="217" t="s">
        <v>81</v>
      </c>
      <c r="C132" s="231">
        <f>-X_ail+m_ail</f>
        <v>-744.66399999999999</v>
      </c>
      <c r="D132" s="231">
        <f>D_ail/2</f>
        <v>30</v>
      </c>
      <c r="E132" s="232">
        <f t="shared" si="0"/>
        <v>-30</v>
      </c>
      <c r="K132" s="67"/>
    </row>
    <row r="133" spans="2:11" x14ac:dyDescent="0.2">
      <c r="B133" s="219" t="s">
        <v>82</v>
      </c>
      <c r="C133" s="233">
        <f>-X_ail+m_ail-p_ail</f>
        <v>-774.66399999999999</v>
      </c>
      <c r="D133" s="233">
        <f>D_ail/2+E_ail</f>
        <v>130</v>
      </c>
      <c r="E133" s="234">
        <f t="shared" si="0"/>
        <v>-130</v>
      </c>
      <c r="K133" s="67"/>
    </row>
    <row r="134" spans="2:11" x14ac:dyDescent="0.2">
      <c r="B134" s="219" t="s">
        <v>83</v>
      </c>
      <c r="C134" s="233">
        <f>-X_ail+m_ail-p_ail-n_ail</f>
        <v>-804.66399999999999</v>
      </c>
      <c r="D134" s="233">
        <f>D_ail/2+E_ail</f>
        <v>130</v>
      </c>
      <c r="E134" s="234">
        <f t="shared" si="0"/>
        <v>-130</v>
      </c>
      <c r="K134" s="67"/>
    </row>
    <row r="135" spans="2:11" x14ac:dyDescent="0.2">
      <c r="B135" s="219" t="s">
        <v>84</v>
      </c>
      <c r="C135" s="233">
        <f>-X_ail</f>
        <v>-834.66399999999999</v>
      </c>
      <c r="D135" s="233">
        <f>D_ail/2</f>
        <v>30</v>
      </c>
      <c r="E135" s="234">
        <f t="shared" si="0"/>
        <v>-30</v>
      </c>
      <c r="K135" s="67"/>
    </row>
    <row r="136" spans="2:11" x14ac:dyDescent="0.2">
      <c r="B136" s="221" t="s">
        <v>81</v>
      </c>
      <c r="C136" s="235">
        <f>-X_ail+m_ail</f>
        <v>-744.66399999999999</v>
      </c>
      <c r="D136" s="235">
        <f>D_ail/2</f>
        <v>30</v>
      </c>
      <c r="E136" s="236">
        <f t="shared" si="0"/>
        <v>-30</v>
      </c>
      <c r="K136" s="67"/>
    </row>
    <row r="137" spans="2:11" x14ac:dyDescent="0.2">
      <c r="B137" s="226" t="str">
        <f>IF(E_ail&gt;0,IF(Lang="Français","Envergure","Span"),"")</f>
        <v>Envergure</v>
      </c>
      <c r="C137" s="231">
        <f>MIN(-X_ail,-X_ail+m_ail-p_ail-n_ail)-Long_tot/30</f>
        <v>-862.48613333333333</v>
      </c>
      <c r="D137" s="242">
        <f>-D_ail/2-E_ail</f>
        <v>-130</v>
      </c>
      <c r="E137" s="247"/>
      <c r="K137" s="67"/>
    </row>
    <row r="138" spans="2:11" x14ac:dyDescent="0.2">
      <c r="B138" s="229" t="s">
        <v>169</v>
      </c>
      <c r="C138" s="233">
        <f>MIN(-X_ail,-X_ail+m_ail-p_ail-n_ail)-Long_tot/30</f>
        <v>-862.48613333333333</v>
      </c>
      <c r="D138" s="243">
        <f>-D_ail/2-E_ail/2</f>
        <v>-80</v>
      </c>
      <c r="E138" s="247"/>
      <c r="K138" s="67"/>
    </row>
    <row r="139" spans="2:11" x14ac:dyDescent="0.2">
      <c r="B139" s="248" t="s">
        <v>165</v>
      </c>
      <c r="C139" s="235">
        <f>MIN(-X_ail,-X_ail+m_ail-p_ail-n_ail)-Long_tot/30</f>
        <v>-862.48613333333333</v>
      </c>
      <c r="D139" s="244">
        <f>-D_ail/2</f>
        <v>-30</v>
      </c>
      <c r="E139" s="247"/>
      <c r="K139" s="67"/>
    </row>
    <row r="140" spans="2:11" x14ac:dyDescent="0.2">
      <c r="B140" s="226" t="str">
        <f>IF(Lang="Français","Emplanture","Root edge")</f>
        <v>Emplanture</v>
      </c>
      <c r="C140" s="231">
        <f>-X_ail+m_ail</f>
        <v>-744.66399999999999</v>
      </c>
      <c r="D140" s="242">
        <f>D_ail/2+E_ail+Long_tot/20</f>
        <v>171.73320000000001</v>
      </c>
      <c r="E140" s="247"/>
      <c r="K140" s="67"/>
    </row>
    <row r="141" spans="2:11" x14ac:dyDescent="0.2">
      <c r="B141" s="229" t="s">
        <v>171</v>
      </c>
      <c r="C141" s="233">
        <f>-X_ail+m_ail/2</f>
        <v>-789.66399999999999</v>
      </c>
      <c r="D141" s="243">
        <f>D_ail/2+E_ail+Long_tot/20</f>
        <v>171.73320000000001</v>
      </c>
      <c r="E141" s="247"/>
      <c r="K141" s="67"/>
    </row>
    <row r="142" spans="2:11" x14ac:dyDescent="0.2">
      <c r="B142" s="248" t="s">
        <v>172</v>
      </c>
      <c r="C142" s="235">
        <f>-X_ail</f>
        <v>-834.66399999999999</v>
      </c>
      <c r="D142" s="244">
        <f>D_ail/2+E_ail+Long_tot/20</f>
        <v>171.73320000000001</v>
      </c>
      <c r="E142" s="247"/>
      <c r="K142" s="67"/>
    </row>
    <row r="143" spans="2:11" x14ac:dyDescent="0.2">
      <c r="B143" s="226" t="str">
        <f>IF(p_ail&lt;&gt;0,IF(Lang="Français","Flèche","Offset"),"")</f>
        <v>Flèche</v>
      </c>
      <c r="C143" s="231">
        <f>-X_ail+m_ail</f>
        <v>-744.66399999999999</v>
      </c>
      <c r="D143" s="242">
        <f>-D_ail/2-E_ail-Long_tot/30</f>
        <v>-157.82213333333334</v>
      </c>
      <c r="E143" s="247"/>
      <c r="K143" s="67"/>
    </row>
    <row r="144" spans="2:11" x14ac:dyDescent="0.2">
      <c r="B144" s="229" t="s">
        <v>168</v>
      </c>
      <c r="C144" s="233">
        <f>-X_ail+m_ail-p_ail/2</f>
        <v>-759.66399999999999</v>
      </c>
      <c r="D144" s="243">
        <f>-D_ail/2-E_ail-Long_tot/30</f>
        <v>-157.82213333333334</v>
      </c>
      <c r="E144" s="247"/>
      <c r="K144" s="67"/>
    </row>
    <row r="145" spans="2:11" x14ac:dyDescent="0.2">
      <c r="B145" s="248" t="s">
        <v>166</v>
      </c>
      <c r="C145" s="235">
        <f>-X_ail+m_ail-p_ail</f>
        <v>-774.66399999999999</v>
      </c>
      <c r="D145" s="244">
        <f>-D_ail/2-E_ail-Long_tot/30</f>
        <v>-157.82213333333334</v>
      </c>
      <c r="E145" s="247"/>
      <c r="K145" s="67"/>
    </row>
    <row r="146" spans="2:11" x14ac:dyDescent="0.2">
      <c r="B146" s="226" t="str">
        <f>IF(n_ail&gt;0,IF(Lang="Français","Saumon","Tip edge"),"")</f>
        <v>Saumon</v>
      </c>
      <c r="C146" s="231">
        <f>-X_ail+m_ail-p_ail</f>
        <v>-774.66399999999999</v>
      </c>
      <c r="D146" s="242">
        <f>-D_ail/2-E_ail-Long_tot/20</f>
        <v>-171.73320000000001</v>
      </c>
      <c r="E146" s="247"/>
      <c r="K146" s="67"/>
    </row>
    <row r="147" spans="2:11" x14ac:dyDescent="0.2">
      <c r="B147" s="229" t="s">
        <v>170</v>
      </c>
      <c r="C147" s="233">
        <f>-X_ail+m_ail-p_ail-n_ail/2</f>
        <v>-789.66399999999999</v>
      </c>
      <c r="D147" s="243">
        <f>-D_ail/2-E_ail-Long_tot/20</f>
        <v>-171.73320000000001</v>
      </c>
      <c r="E147" s="247"/>
      <c r="K147" s="67"/>
    </row>
    <row r="148" spans="2:11" x14ac:dyDescent="0.2">
      <c r="B148" s="248" t="s">
        <v>167</v>
      </c>
      <c r="C148" s="235">
        <f>-X_ail+m_ail-p_ail-n_ail</f>
        <v>-804.66399999999999</v>
      </c>
      <c r="D148" s="244">
        <f>-D_ail/2-E_ail-Long_tot/20</f>
        <v>-171.73320000000001</v>
      </c>
      <c r="E148" s="247"/>
      <c r="K148" s="67"/>
    </row>
    <row r="149" spans="2:11" x14ac:dyDescent="0.2">
      <c r="B149" s="217" t="s">
        <v>85</v>
      </c>
      <c r="C149" s="231">
        <f ca="1">-XcgPlein</f>
        <v>-513.12860893445634</v>
      </c>
      <c r="D149" s="242">
        <v>0</v>
      </c>
      <c r="E149" s="121"/>
      <c r="K149" s="67"/>
    </row>
    <row r="150" spans="2:11" x14ac:dyDescent="0.2">
      <c r="B150" s="221" t="s">
        <v>86</v>
      </c>
      <c r="C150" s="235">
        <f ca="1">-XcgVide</f>
        <v>-502.78328867562379</v>
      </c>
      <c r="D150" s="244">
        <v>0</v>
      </c>
      <c r="E150" s="121"/>
      <c r="K150" s="67"/>
    </row>
    <row r="151" spans="2:11" x14ac:dyDescent="0.2">
      <c r="B151" s="217" t="s">
        <v>87</v>
      </c>
      <c r="C151" s="231">
        <f>-XCp</f>
        <v>-705.54968627348535</v>
      </c>
      <c r="D151" s="242">
        <v>0</v>
      </c>
      <c r="E151" s="121"/>
      <c r="K151" s="67"/>
    </row>
    <row r="152" spans="2:11" x14ac:dyDescent="0.2">
      <c r="B152" s="221" t="s">
        <v>87</v>
      </c>
      <c r="C152" s="235">
        <f>-XCp</f>
        <v>-705.54968627348535</v>
      </c>
      <c r="D152" s="244">
        <f>Cn*D_ref/CritCnmin</f>
        <v>82.330634367220199</v>
      </c>
      <c r="E152" s="121"/>
      <c r="K152" s="67"/>
    </row>
    <row r="153" spans="2:11" x14ac:dyDescent="0.2">
      <c r="B153" s="219" t="s">
        <v>424</v>
      </c>
      <c r="C153" s="233">
        <f>-XCp0</f>
        <v>-705.54968627348535</v>
      </c>
      <c r="D153" s="243">
        <f>Cn0*D_ref/CritCnmin</f>
        <v>82.330634367220199</v>
      </c>
      <c r="E153" s="121"/>
      <c r="K153" s="67"/>
    </row>
    <row r="154" spans="2:11" x14ac:dyDescent="0.2">
      <c r="B154" s="219" t="s">
        <v>424</v>
      </c>
      <c r="C154" s="233">
        <f>-XCp0</f>
        <v>-705.54968627348535</v>
      </c>
      <c r="D154" s="243">
        <v>0</v>
      </c>
      <c r="E154" s="121"/>
      <c r="K154" s="67"/>
    </row>
    <row r="155" spans="2:11" x14ac:dyDescent="0.2">
      <c r="B155" s="226" t="str">
        <f>IF(n_ail&gt;0,IF(Lang="Français","Marge Statique","Static Margin"),"")</f>
        <v>Marge Statique</v>
      </c>
      <c r="C155" s="231">
        <f ca="1">(-XcgPlein-XcgVide)/2</f>
        <v>-507.95594880504007</v>
      </c>
      <c r="D155" s="242">
        <f>-D_ail/2-E_ail-Long_tot/20</f>
        <v>-171.73320000000001</v>
      </c>
      <c r="E155" s="121"/>
      <c r="K155" s="67"/>
    </row>
    <row r="156" spans="2:11" x14ac:dyDescent="0.2">
      <c r="B156" s="229" t="s">
        <v>173</v>
      </c>
      <c r="C156" s="233">
        <f ca="1">(C155+C157)/2</f>
        <v>-606.75281753926265</v>
      </c>
      <c r="D156" s="243">
        <f>-D_ail/2-E_ail-Long_tot/20</f>
        <v>-171.73320000000001</v>
      </c>
      <c r="E156" s="121"/>
      <c r="K156" s="67"/>
    </row>
    <row r="157" spans="2:11" x14ac:dyDescent="0.2">
      <c r="B157" s="248" t="s">
        <v>174</v>
      </c>
      <c r="C157" s="235">
        <f>-XCp</f>
        <v>-705.54968627348535</v>
      </c>
      <c r="D157" s="244">
        <f>-D_ail/2-E_ail-Long_tot/20</f>
        <v>-171.73320000000001</v>
      </c>
      <c r="E157" s="121"/>
      <c r="K157" s="67"/>
    </row>
    <row r="158" spans="2:11" x14ac:dyDescent="0.2">
      <c r="B158" s="217" t="s">
        <v>88</v>
      </c>
      <c r="C158" s="231">
        <f>IF(LEFT(Type_masquage,1)="M",0,-X_can+m_can)</f>
        <v>0</v>
      </c>
      <c r="D158" s="231">
        <f>IF(LEFT(Type_masquage,1)="M",0,D_ail/2)</f>
        <v>0</v>
      </c>
      <c r="E158" s="232">
        <f t="shared" ref="E158:E167" si="1">-D158</f>
        <v>0</v>
      </c>
      <c r="K158" s="67"/>
    </row>
    <row r="159" spans="2:11" x14ac:dyDescent="0.2">
      <c r="B159" s="219" t="s">
        <v>89</v>
      </c>
      <c r="C159" s="233">
        <f>IF(LEFT(Type_masquage,1)="M",0,-X_can+m_can-p_can)</f>
        <v>0</v>
      </c>
      <c r="D159" s="233">
        <f>IF(LEFT(Type_masquage,1)="M",0,D_ail/2+E_can)</f>
        <v>0</v>
      </c>
      <c r="E159" s="234">
        <f t="shared" si="1"/>
        <v>0</v>
      </c>
      <c r="K159" s="67"/>
    </row>
    <row r="160" spans="2:11" x14ac:dyDescent="0.2">
      <c r="B160" s="219" t="s">
        <v>90</v>
      </c>
      <c r="C160" s="233">
        <f>IF(LEFT(Type_masquage,1)="M",0,-X_can+m_can-p_can-n_can)</f>
        <v>0</v>
      </c>
      <c r="D160" s="233">
        <f>IF(LEFT(Type_masquage,1)="M",0,D_ail/2+E_can)</f>
        <v>0</v>
      </c>
      <c r="E160" s="234">
        <f t="shared" si="1"/>
        <v>0</v>
      </c>
      <c r="K160" s="67"/>
    </row>
    <row r="161" spans="2:11" x14ac:dyDescent="0.2">
      <c r="B161" s="219" t="s">
        <v>91</v>
      </c>
      <c r="C161" s="233">
        <f>IF(LEFT(Type_masquage,1)="M",0,-X_can)</f>
        <v>0</v>
      </c>
      <c r="D161" s="233">
        <f>IF(LEFT(Type_masquage,1)="M",0,D_ail/2)</f>
        <v>0</v>
      </c>
      <c r="E161" s="234">
        <f t="shared" si="1"/>
        <v>0</v>
      </c>
      <c r="K161" s="67"/>
    </row>
    <row r="162" spans="2:11" x14ac:dyDescent="0.2">
      <c r="B162" s="221" t="s">
        <v>88</v>
      </c>
      <c r="C162" s="235">
        <f>IF(LEFT(Type_masquage,1)="M",0,-X_can+m_can)</f>
        <v>0</v>
      </c>
      <c r="D162" s="235">
        <f>IF(LEFT(Type_masquage,1)="M",0,D_ail/2)</f>
        <v>0</v>
      </c>
      <c r="E162" s="236">
        <f t="shared" si="1"/>
        <v>0</v>
      </c>
      <c r="K162" s="67"/>
    </row>
    <row r="163" spans="2:11" x14ac:dyDescent="0.2">
      <c r="B163" s="217" t="s">
        <v>92</v>
      </c>
      <c r="C163" s="231">
        <f>IF(LEFT(Type_masquage,1)="B",-X_int+m_int,0)</f>
        <v>0</v>
      </c>
      <c r="D163" s="231">
        <f>IF(LEFT(Type_masquage,1)="B",D_int/2,0)</f>
        <v>0</v>
      </c>
      <c r="E163" s="232">
        <f t="shared" si="1"/>
        <v>0</v>
      </c>
      <c r="K163" s="67"/>
    </row>
    <row r="164" spans="2:11" x14ac:dyDescent="0.2">
      <c r="B164" s="219" t="s">
        <v>93</v>
      </c>
      <c r="C164" s="233">
        <f>IF(LEFT(Type_masquage,1)="B",-X_int+m_int-p_int,0)</f>
        <v>0</v>
      </c>
      <c r="D164" s="233">
        <f>IF(LEFT(Type_masquage,1)="B",D_int/2+E_int,0)</f>
        <v>0</v>
      </c>
      <c r="E164" s="234">
        <f t="shared" si="1"/>
        <v>0</v>
      </c>
      <c r="K164" s="67"/>
    </row>
    <row r="165" spans="2:11" x14ac:dyDescent="0.2">
      <c r="B165" s="219" t="s">
        <v>94</v>
      </c>
      <c r="C165" s="233">
        <f>IF(LEFT(Type_masquage,1)="B",-X_int+m_int-p_int-n_int,0)</f>
        <v>0</v>
      </c>
      <c r="D165" s="233">
        <f>IF(LEFT(Type_masquage,1)="B",D_int/2+E_int,0)</f>
        <v>0</v>
      </c>
      <c r="E165" s="234">
        <f t="shared" si="1"/>
        <v>0</v>
      </c>
      <c r="K165" s="67"/>
    </row>
    <row r="166" spans="2:11" x14ac:dyDescent="0.2">
      <c r="B166" s="219" t="s">
        <v>95</v>
      </c>
      <c r="C166" s="233">
        <f>IF(LEFT(Type_masquage,1)="B",-X_int,0)</f>
        <v>0</v>
      </c>
      <c r="D166" s="233">
        <f>IF(LEFT(Type_masquage,1)="B",D_int/2,0)</f>
        <v>0</v>
      </c>
      <c r="E166" s="234">
        <f t="shared" si="1"/>
        <v>0</v>
      </c>
      <c r="K166" s="67"/>
    </row>
    <row r="167" spans="2:11" x14ac:dyDescent="0.2">
      <c r="B167" s="221" t="s">
        <v>92</v>
      </c>
      <c r="C167" s="235">
        <f>IF(LEFT(Type_masquage,1)="B",-X_int+m_int,0)</f>
        <v>0</v>
      </c>
      <c r="D167" s="235">
        <f>IF(LEFT(Type_masquage,1)="B",D_int/2,0)</f>
        <v>0</v>
      </c>
      <c r="E167" s="236">
        <f t="shared" si="1"/>
        <v>0</v>
      </c>
      <c r="K167" s="67"/>
    </row>
    <row r="168" spans="2:11" x14ac:dyDescent="0.2">
      <c r="B168" s="66" t="s">
        <v>96</v>
      </c>
      <c r="C168" s="67">
        <f>-MAX(Long_tot, X_ail-m_ail+p_ail+n_ail, (E_ail+D_ail/2)*3.2)*1.01</f>
        <v>-843.01063999999997</v>
      </c>
      <c r="D168" s="67">
        <f>MAX(E_ail+D_ail/2, Long_tot/3)</f>
        <v>278.22133333333335</v>
      </c>
      <c r="E168" s="121"/>
      <c r="K168" s="67"/>
    </row>
    <row r="169" spans="2:11" x14ac:dyDescent="0.2">
      <c r="B169" s="66" t="s">
        <v>96</v>
      </c>
      <c r="C169" s="67">
        <f>C168</f>
        <v>-843.01063999999997</v>
      </c>
      <c r="D169" s="67">
        <f>-D168</f>
        <v>-278.22133333333335</v>
      </c>
      <c r="E169" s="121"/>
      <c r="K169" s="67"/>
    </row>
    <row r="170" spans="2:11" x14ac:dyDescent="0.2">
      <c r="B170" s="217" t="s">
        <v>97</v>
      </c>
      <c r="C170" s="231">
        <f ca="1">-XpropuRef+Long_propu</f>
        <v>-613.01400000000001</v>
      </c>
      <c r="D170" s="242">
        <f ca="1">-Diam_propu/2</f>
        <v>-12</v>
      </c>
      <c r="E170" s="121"/>
      <c r="K170" s="67"/>
    </row>
    <row r="171" spans="2:11" x14ac:dyDescent="0.2">
      <c r="B171" s="219" t="s">
        <v>98</v>
      </c>
      <c r="C171" s="233">
        <f ca="1">-XpropuRef+Long_propu</f>
        <v>-613.01400000000001</v>
      </c>
      <c r="D171" s="243">
        <f ca="1">Diam_propu/2</f>
        <v>12</v>
      </c>
      <c r="E171" s="121"/>
      <c r="K171" s="67"/>
    </row>
    <row r="172" spans="2:11" x14ac:dyDescent="0.2">
      <c r="B172" s="219" t="s">
        <v>99</v>
      </c>
      <c r="C172" s="233">
        <f>-XpropuRef</f>
        <v>-841.01400000000001</v>
      </c>
      <c r="D172" s="243">
        <f ca="1">Diam_propu/2</f>
        <v>12</v>
      </c>
      <c r="E172" s="121"/>
      <c r="K172" s="67"/>
    </row>
    <row r="173" spans="2:11" x14ac:dyDescent="0.2">
      <c r="B173" s="219" t="s">
        <v>100</v>
      </c>
      <c r="C173" s="233">
        <f>-XpropuRef</f>
        <v>-841.01400000000001</v>
      </c>
      <c r="D173" s="243">
        <f ca="1">-Diam_propu/2</f>
        <v>-12</v>
      </c>
      <c r="E173" s="121"/>
      <c r="K173" s="67"/>
    </row>
    <row r="174" spans="2:11" x14ac:dyDescent="0.2">
      <c r="B174" s="221" t="s">
        <v>101</v>
      </c>
      <c r="C174" s="235">
        <f ca="1">-XpropuRef+Long_propu</f>
        <v>-613.01400000000001</v>
      </c>
      <c r="D174" s="244">
        <f ca="1">-Diam_propu/2</f>
        <v>-12</v>
      </c>
      <c r="E174" s="121"/>
      <c r="F174" s="226" t="s">
        <v>162</v>
      </c>
      <c r="G174" s="227" t="s">
        <v>163</v>
      </c>
      <c r="H174" s="228" t="s">
        <v>164</v>
      </c>
      <c r="K174" s="67"/>
    </row>
    <row r="175" spans="2:11" x14ac:dyDescent="0.2">
      <c r="B175" s="217" t="s">
        <v>74</v>
      </c>
      <c r="C175" s="231">
        <v>0</v>
      </c>
      <c r="D175" s="231">
        <v>0</v>
      </c>
      <c r="E175" s="232">
        <f t="shared" ref="E175:E180" si="2">-D175</f>
        <v>0</v>
      </c>
      <c r="F175" s="229">
        <v>0</v>
      </c>
      <c r="G175" s="214">
        <v>0</v>
      </c>
      <c r="H175" s="223">
        <v>0</v>
      </c>
      <c r="K175" s="67"/>
    </row>
    <row r="176" spans="2:11" x14ac:dyDescent="0.2">
      <c r="B176" s="219" t="s">
        <v>75</v>
      </c>
      <c r="C176" s="233">
        <f>-Long_ogive*0.1</f>
        <v>-15</v>
      </c>
      <c r="D176" s="233">
        <f>IF(LEFT(Forme_ogive,5)="Parab",H176,IF(LEFT(Forme_ogive,4)="Ogiv",G176,IF(LEFT(Forme_ogive,3)="Con",F176)))</f>
        <v>15</v>
      </c>
      <c r="E176" s="234">
        <f t="shared" si="2"/>
        <v>-15</v>
      </c>
      <c r="F176" s="219">
        <f>D_og/2*0.1</f>
        <v>3</v>
      </c>
      <c r="G176" s="214">
        <f>D_og/2*0.2</f>
        <v>6</v>
      </c>
      <c r="H176" s="223">
        <f>D_og/2*0.5</f>
        <v>15</v>
      </c>
      <c r="K176" s="67"/>
    </row>
    <row r="177" spans="2:11" x14ac:dyDescent="0.2">
      <c r="B177" s="219" t="s">
        <v>75</v>
      </c>
      <c r="C177" s="233">
        <f>-Long_ogive/4</f>
        <v>-37.5</v>
      </c>
      <c r="D177" s="233">
        <f>IF(LEFT(Forme_ogive,5)="Parab",H177,IF(LEFT(Forme_ogive,4)="Ogiv",G177,IF(LEFT(Forme_ogive,3)="Con",F177)))</f>
        <v>21</v>
      </c>
      <c r="E177" s="234">
        <f t="shared" si="2"/>
        <v>-21</v>
      </c>
      <c r="F177" s="219">
        <f>D_og/2*1/4</f>
        <v>7.5</v>
      </c>
      <c r="G177" s="214">
        <f>D_og/2/2</f>
        <v>15</v>
      </c>
      <c r="H177" s="223">
        <f>D_og/2*0.7</f>
        <v>21</v>
      </c>
      <c r="K177" s="67"/>
    </row>
    <row r="178" spans="2:11" x14ac:dyDescent="0.2">
      <c r="B178" s="219" t="s">
        <v>75</v>
      </c>
      <c r="C178" s="233">
        <f>-Long_ogive/2</f>
        <v>-75</v>
      </c>
      <c r="D178" s="233">
        <f>IF(LEFT(Forme_ogive,5)="Parab",H178,IF(LEFT(Forme_ogive,4)="Ogiv",G178,IF(LEFT(Forme_ogive,3)="Con",F178)))</f>
        <v>26.4</v>
      </c>
      <c r="E178" s="234">
        <f t="shared" si="2"/>
        <v>-26.4</v>
      </c>
      <c r="F178" s="219">
        <f>D_og/2/2</f>
        <v>15</v>
      </c>
      <c r="G178" s="214">
        <f>D_og/2*3/4</f>
        <v>22.5</v>
      </c>
      <c r="H178" s="223">
        <f>D_og/2*0.88</f>
        <v>26.4</v>
      </c>
      <c r="K178" s="67"/>
    </row>
    <row r="179" spans="2:11" x14ac:dyDescent="0.2">
      <c r="B179" s="219" t="s">
        <v>75</v>
      </c>
      <c r="C179" s="233">
        <f>-Long_ogive*3/4</f>
        <v>-112.5</v>
      </c>
      <c r="D179" s="233">
        <f>IF(LEFT(Forme_ogive,5)="Parab",H179,IF(LEFT(Forme_ogive,4)="Ogiv",G179,IF(LEFT(Forme_ogive,3)="Con",F179)))</f>
        <v>28.5</v>
      </c>
      <c r="E179" s="234">
        <f t="shared" si="2"/>
        <v>-28.5</v>
      </c>
      <c r="F179" s="219">
        <f>D_og/2*3/4</f>
        <v>22.5</v>
      </c>
      <c r="G179" s="214">
        <f>D_og/2*0.9</f>
        <v>27</v>
      </c>
      <c r="H179" s="223">
        <f>D_og/2*0.95</f>
        <v>28.5</v>
      </c>
      <c r="K179" s="67"/>
    </row>
    <row r="180" spans="2:11" x14ac:dyDescent="0.2">
      <c r="B180" s="221" t="s">
        <v>75</v>
      </c>
      <c r="C180" s="235">
        <f>-Long_ogive</f>
        <v>-150</v>
      </c>
      <c r="D180" s="235">
        <f>D_og/2</f>
        <v>30</v>
      </c>
      <c r="E180" s="236">
        <f t="shared" si="2"/>
        <v>-30</v>
      </c>
      <c r="F180" s="221">
        <f>D_og/2</f>
        <v>30</v>
      </c>
      <c r="G180" s="230">
        <f>D_og/2</f>
        <v>30</v>
      </c>
      <c r="H180" s="224">
        <f>D_og/2</f>
        <v>30</v>
      </c>
      <c r="K180" s="56"/>
    </row>
    <row r="181" spans="2:11" x14ac:dyDescent="0.2">
      <c r="B181" s="66" t="s">
        <v>102</v>
      </c>
      <c r="C181" s="66" t="s">
        <v>103</v>
      </c>
      <c r="D181" s="217" t="s">
        <v>102</v>
      </c>
      <c r="E181" s="239" t="s">
        <v>103</v>
      </c>
      <c r="K181" s="66"/>
    </row>
    <row r="182" spans="2:11" x14ac:dyDescent="0.2">
      <c r="B182" s="217">
        <v>0</v>
      </c>
      <c r="C182" s="237">
        <f>CritCnmin</f>
        <v>15</v>
      </c>
      <c r="D182" s="219">
        <v>0.5</v>
      </c>
      <c r="E182" s="240">
        <f t="shared" ref="E182:E187" si="3">CritMsCnmin/D182</f>
        <v>60</v>
      </c>
      <c r="K182" s="66"/>
    </row>
    <row r="183" spans="2:11" x14ac:dyDescent="0.2">
      <c r="B183" s="221">
        <v>7</v>
      </c>
      <c r="C183" s="230">
        <f>CritCnmin</f>
        <v>15</v>
      </c>
      <c r="D183" s="219">
        <v>1</v>
      </c>
      <c r="E183" s="240">
        <f t="shared" si="3"/>
        <v>30</v>
      </c>
      <c r="K183" s="66"/>
    </row>
    <row r="184" spans="2:11" x14ac:dyDescent="0.2">
      <c r="B184" s="217">
        <v>0</v>
      </c>
      <c r="C184" s="237">
        <f>CritCnmax</f>
        <v>30</v>
      </c>
      <c r="D184" s="219">
        <v>2</v>
      </c>
      <c r="E184" s="240">
        <f t="shared" si="3"/>
        <v>15</v>
      </c>
      <c r="K184" s="66"/>
    </row>
    <row r="185" spans="2:11" x14ac:dyDescent="0.2">
      <c r="B185" s="221">
        <v>7</v>
      </c>
      <c r="C185" s="230">
        <f>CritCnmax</f>
        <v>30</v>
      </c>
      <c r="D185" s="219">
        <v>3</v>
      </c>
      <c r="E185" s="240">
        <f t="shared" si="3"/>
        <v>10</v>
      </c>
      <c r="K185" s="66"/>
    </row>
    <row r="186" spans="2:11" x14ac:dyDescent="0.2">
      <c r="B186" s="217">
        <f>CritMsmin</f>
        <v>1.5</v>
      </c>
      <c r="C186" s="237">
        <v>0</v>
      </c>
      <c r="D186" s="219">
        <v>5</v>
      </c>
      <c r="E186" s="240">
        <f t="shared" si="3"/>
        <v>6</v>
      </c>
      <c r="K186" s="66"/>
    </row>
    <row r="187" spans="2:11" x14ac:dyDescent="0.2">
      <c r="B187" s="221">
        <f>CritMsmin</f>
        <v>1.5</v>
      </c>
      <c r="C187" s="230">
        <v>55</v>
      </c>
      <c r="D187" s="219">
        <v>7</v>
      </c>
      <c r="E187" s="240">
        <f t="shared" si="3"/>
        <v>4.2857142857142856</v>
      </c>
      <c r="K187" s="66"/>
    </row>
    <row r="188" spans="2:11" x14ac:dyDescent="0.2">
      <c r="B188" s="217">
        <f>CritMsmax</f>
        <v>6</v>
      </c>
      <c r="C188" s="237">
        <v>0</v>
      </c>
      <c r="D188" s="219">
        <v>1</v>
      </c>
      <c r="E188" s="240">
        <f t="shared" ref="E188:E193" si="4">CritMsCnmax/D188</f>
        <v>100</v>
      </c>
      <c r="K188" s="66"/>
    </row>
    <row r="189" spans="2:11" x14ac:dyDescent="0.2">
      <c r="B189" s="221">
        <f>CritMsmax</f>
        <v>6</v>
      </c>
      <c r="C189" s="230">
        <v>55</v>
      </c>
      <c r="D189" s="219">
        <v>2</v>
      </c>
      <c r="E189" s="240">
        <f t="shared" si="4"/>
        <v>50</v>
      </c>
      <c r="K189" s="66"/>
    </row>
    <row r="190" spans="2:11" x14ac:dyDescent="0.2">
      <c r="B190" s="225">
        <f ca="1">MS_min</f>
        <v>3.2070179556504836</v>
      </c>
      <c r="C190" s="238">
        <f>Cn</f>
        <v>20.58265859180505</v>
      </c>
      <c r="D190" s="219">
        <v>3</v>
      </c>
      <c r="E190" s="240">
        <f t="shared" si="4"/>
        <v>33.333333333333336</v>
      </c>
      <c r="K190" s="66"/>
    </row>
    <row r="191" spans="2:11" x14ac:dyDescent="0.2">
      <c r="B191" s="601">
        <f ca="1">(XCp0-XcgPlein)/D_ref</f>
        <v>3.2070179556504836</v>
      </c>
      <c r="C191" s="602">
        <f>Cn0</f>
        <v>20.58265859180505</v>
      </c>
      <c r="D191" s="219">
        <v>4</v>
      </c>
      <c r="E191" s="240">
        <f t="shared" si="4"/>
        <v>25</v>
      </c>
      <c r="K191" s="66"/>
    </row>
    <row r="192" spans="2:11" x14ac:dyDescent="0.2">
      <c r="B192" s="601">
        <f ca="1">(XCp0-XcgVide)/D_ref</f>
        <v>3.3794399599643592</v>
      </c>
      <c r="C192" s="602">
        <f>Cn0</f>
        <v>20.58265859180505</v>
      </c>
      <c r="D192" s="219">
        <v>6</v>
      </c>
      <c r="E192" s="240">
        <f t="shared" si="4"/>
        <v>16.666666666666668</v>
      </c>
      <c r="K192" s="66"/>
    </row>
    <row r="193" spans="2:11" x14ac:dyDescent="0.2">
      <c r="B193" s="601">
        <f ca="1">(XCp-XcgVide)/D_ref</f>
        <v>3.3794399599643592</v>
      </c>
      <c r="C193" s="602">
        <f>Cn</f>
        <v>20.58265859180505</v>
      </c>
      <c r="D193" s="221">
        <v>7</v>
      </c>
      <c r="E193" s="241">
        <f t="shared" si="4"/>
        <v>14.285714285714286</v>
      </c>
      <c r="K193" s="66"/>
    </row>
    <row r="194" spans="2:11" x14ac:dyDescent="0.2">
      <c r="B194" s="601">
        <f ca="1">MS_min</f>
        <v>3.2070179556504836</v>
      </c>
      <c r="C194" s="603">
        <f>Cn</f>
        <v>20.58265859180505</v>
      </c>
      <c r="D194" s="214"/>
      <c r="E194" s="604"/>
      <c r="K194" s="66"/>
    </row>
    <row r="195" spans="2:11" x14ac:dyDescent="0.2">
      <c r="B195" s="217">
        <v>0</v>
      </c>
      <c r="C195" s="237">
        <f>(CritCnmin+CritCnmax)/2</f>
        <v>22.5</v>
      </c>
      <c r="D195" s="56"/>
      <c r="E195" s="122"/>
      <c r="K195" s="56"/>
    </row>
    <row r="196" spans="2:11" x14ac:dyDescent="0.2">
      <c r="B196" s="219">
        <f>MAX(CritMsmin,CritMsCnmin/C196)</f>
        <v>1.5</v>
      </c>
      <c r="C196" s="214">
        <f>(CritCnmin+CritCnmax)/2</f>
        <v>22.5</v>
      </c>
      <c r="D196" s="56"/>
      <c r="E196" s="122"/>
      <c r="K196" s="56"/>
    </row>
    <row r="197" spans="2:11" x14ac:dyDescent="0.2">
      <c r="B197" s="219">
        <f>MIN(CritMsmax,CritMsCnmax/C197)</f>
        <v>4.4444444444444446</v>
      </c>
      <c r="C197" s="223">
        <f>(CritCnmin+CritCnmax)/2</f>
        <v>22.5</v>
      </c>
    </row>
    <row r="198" spans="2:11" x14ac:dyDescent="0.2">
      <c r="B198" s="221">
        <v>7</v>
      </c>
      <c r="C198" s="224">
        <f>(CritCnmin+CritCnmax)/2</f>
        <v>22.5</v>
      </c>
    </row>
    <row r="199" spans="2:11" x14ac:dyDescent="0.2">
      <c r="B199" s="217">
        <f>(CritMsmin+CritMsmax)/2</f>
        <v>3.75</v>
      </c>
      <c r="C199" s="218">
        <v>0</v>
      </c>
    </row>
    <row r="200" spans="2:11" x14ac:dyDescent="0.2">
      <c r="B200" s="219">
        <f>(CritMsmin+CritMsmax)/2</f>
        <v>3.75</v>
      </c>
      <c r="C200" s="220">
        <f>MAX(CritCnmin,CritMsCnmin/B200)</f>
        <v>15</v>
      </c>
    </row>
    <row r="201" spans="2:11" x14ac:dyDescent="0.2">
      <c r="B201" s="219">
        <f>(CritMsmin+CritMsmax)/2</f>
        <v>3.75</v>
      </c>
      <c r="C201" s="220">
        <f>MIN(CritCnmax,CritMsCnmax/B201)</f>
        <v>26.666666666666668</v>
      </c>
    </row>
    <row r="202" spans="2:11" x14ac:dyDescent="0.2">
      <c r="B202" s="221">
        <f>(CritMsmin+CritMsmax)/2</f>
        <v>3.75</v>
      </c>
      <c r="C202" s="222">
        <v>55</v>
      </c>
    </row>
    <row r="203" spans="2:11" x14ac:dyDescent="0.2">
      <c r="D203" s="560"/>
    </row>
    <row r="204" spans="2:11" x14ac:dyDescent="0.2">
      <c r="B204" s="562" t="s">
        <v>407</v>
      </c>
      <c r="C204" s="52" t="b">
        <f ca="1">(OR(C205:C210))</f>
        <v>1</v>
      </c>
      <c r="D204" s="560"/>
    </row>
    <row r="205" spans="2:11" x14ac:dyDescent="0.2">
      <c r="B205" s="561" t="s">
        <v>404</v>
      </c>
      <c r="C205" s="560" t="b">
        <f ca="1">AND(Type_propu="H2O",RIGHT(Type_fusee,1)=" ")</f>
        <v>0</v>
      </c>
      <c r="D205" s="560"/>
    </row>
    <row r="206" spans="2:11" x14ac:dyDescent="0.2">
      <c r="B206" s="561" t="s">
        <v>121</v>
      </c>
      <c r="C206" s="560" t="b">
        <f ca="1">AND(Type_propu="Fusex",RIGHT(Type_fusee,1)=".")</f>
        <v>0</v>
      </c>
      <c r="D206" s="560"/>
    </row>
    <row r="207" spans="2:11" x14ac:dyDescent="0.2">
      <c r="B207" s="561" t="s">
        <v>405</v>
      </c>
      <c r="C207" s="560" t="b">
        <f ca="1">LEFT(Type_propu,5)=LEFT(Type_fusee,5)</f>
        <v>0</v>
      </c>
      <c r="D207" s="560"/>
    </row>
    <row r="208" spans="2:11" x14ac:dyDescent="0.2">
      <c r="B208" s="561" t="s">
        <v>406</v>
      </c>
      <c r="C208" s="560" t="b">
        <f ca="1">AND(RIGHT(Type_propu,1)="N",LEFT(Type_fusee,4)="Mini")</f>
        <v>1</v>
      </c>
      <c r="D208" s="560"/>
    </row>
    <row r="209" spans="1:3" x14ac:dyDescent="0.2">
      <c r="B209" s="561" t="s">
        <v>408</v>
      </c>
      <c r="C209" s="560" t="b">
        <f ca="1">AND(LEFT(Type_propu,5)="MiniR",LEFT(Type_fusee,1)="R")</f>
        <v>0</v>
      </c>
    </row>
    <row r="210" spans="1:3" x14ac:dyDescent="0.2">
      <c r="B210" s="561" t="s">
        <v>398</v>
      </c>
      <c r="C210" s="560" t="b">
        <f ca="1">AND(LEFT(Type_propu,4)="Mini",LEFT(Type_fusee,1)=",")</f>
        <v>0</v>
      </c>
    </row>
    <row r="223" spans="1:3" x14ac:dyDescent="0.2">
      <c r="A223" s="35" t="s">
        <v>465</v>
      </c>
    </row>
    <row r="226" spans="1:1" x14ac:dyDescent="0.2">
      <c r="A226" s="35" t="s">
        <v>478</v>
      </c>
    </row>
    <row r="228" spans="1:1" x14ac:dyDescent="0.2">
      <c r="A228" s="35" t="s">
        <v>479</v>
      </c>
    </row>
    <row r="230" spans="1:1" x14ac:dyDescent="0.2">
      <c r="A230" s="35" t="s">
        <v>480</v>
      </c>
    </row>
    <row r="232" spans="1:1" x14ac:dyDescent="0.2">
      <c r="A232" s="35" t="s">
        <v>481</v>
      </c>
    </row>
    <row r="233" spans="1:1" x14ac:dyDescent="0.2">
      <c r="A233" s="35" t="s">
        <v>482</v>
      </c>
    </row>
    <row r="234" spans="1:1" x14ac:dyDescent="0.2">
      <c r="A234" s="35" t="s">
        <v>483</v>
      </c>
    </row>
    <row r="235" spans="1:1" x14ac:dyDescent="0.2">
      <c r="A235" s="35" t="s">
        <v>484</v>
      </c>
    </row>
    <row r="236" spans="1:1" x14ac:dyDescent="0.2">
      <c r="A236" s="35" t="s">
        <v>485</v>
      </c>
    </row>
    <row r="237" spans="1:1" x14ac:dyDescent="0.2">
      <c r="A237" s="35" t="s">
        <v>486</v>
      </c>
    </row>
    <row r="238" spans="1:1" x14ac:dyDescent="0.2">
      <c r="A238" s="35" t="s">
        <v>186</v>
      </c>
    </row>
    <row r="239" spans="1:1" x14ac:dyDescent="0.2">
      <c r="A239" s="35" t="s">
        <v>487</v>
      </c>
    </row>
    <row r="240" spans="1:1" x14ac:dyDescent="0.2">
      <c r="A240" s="35" t="s">
        <v>488</v>
      </c>
    </row>
    <row r="241" spans="1:1" x14ac:dyDescent="0.2">
      <c r="A241" s="35" t="s">
        <v>186</v>
      </c>
    </row>
    <row r="242" spans="1:1" x14ac:dyDescent="0.2">
      <c r="A242" s="35" t="s">
        <v>489</v>
      </c>
    </row>
    <row r="244" spans="1:1" x14ac:dyDescent="0.2">
      <c r="A244" s="35" t="s">
        <v>490</v>
      </c>
    </row>
    <row r="246" spans="1:1" x14ac:dyDescent="0.2">
      <c r="A246" s="35" t="s">
        <v>491</v>
      </c>
    </row>
    <row r="248" spans="1:1" x14ac:dyDescent="0.2">
      <c r="A248" s="35" t="s">
        <v>492</v>
      </c>
    </row>
    <row r="249" spans="1:1" x14ac:dyDescent="0.2">
      <c r="A249" s="35" t="s">
        <v>493</v>
      </c>
    </row>
    <row r="250" spans="1:1" x14ac:dyDescent="0.2">
      <c r="A250" s="35" t="s">
        <v>494</v>
      </c>
    </row>
    <row r="251" spans="1:1" x14ac:dyDescent="0.2">
      <c r="A251" s="35" t="s">
        <v>495</v>
      </c>
    </row>
    <row r="252" spans="1:1" x14ac:dyDescent="0.2">
      <c r="A252" s="35" t="s">
        <v>496</v>
      </c>
    </row>
    <row r="254" spans="1:1" x14ac:dyDescent="0.2">
      <c r="A254" s="35" t="s">
        <v>497</v>
      </c>
    </row>
    <row r="255" spans="1:1" x14ac:dyDescent="0.2">
      <c r="A255" s="35" t="s">
        <v>498</v>
      </c>
    </row>
    <row r="256" spans="1:1" x14ac:dyDescent="0.2">
      <c r="A256" s="35" t="s">
        <v>499</v>
      </c>
    </row>
    <row r="257" spans="1:1" x14ac:dyDescent="0.2">
      <c r="A257" s="35" t="s">
        <v>500</v>
      </c>
    </row>
    <row r="258" spans="1:1" x14ac:dyDescent="0.2">
      <c r="A258" s="35" t="s">
        <v>501</v>
      </c>
    </row>
    <row r="261" spans="1:1" x14ac:dyDescent="0.2">
      <c r="A261" s="35" t="s">
        <v>502</v>
      </c>
    </row>
    <row r="262" spans="1:1" x14ac:dyDescent="0.2">
      <c r="A262" s="35" t="s">
        <v>503</v>
      </c>
    </row>
    <row r="263" spans="1:1" x14ac:dyDescent="0.2">
      <c r="A263" s="35" t="s">
        <v>504</v>
      </c>
    </row>
    <row r="264" spans="1:1" x14ac:dyDescent="0.2">
      <c r="A264" s="35" t="s">
        <v>505</v>
      </c>
    </row>
    <row r="265" spans="1:1" x14ac:dyDescent="0.2">
      <c r="A265" s="35" t="s">
        <v>506</v>
      </c>
    </row>
    <row r="267" spans="1:1" x14ac:dyDescent="0.2">
      <c r="A267" s="35" t="s">
        <v>499</v>
      </c>
    </row>
    <row r="268" spans="1:1" x14ac:dyDescent="0.2">
      <c r="A268" s="35" t="s">
        <v>500</v>
      </c>
    </row>
    <row r="269" spans="1:1" x14ac:dyDescent="0.2">
      <c r="A269" s="35" t="s">
        <v>507</v>
      </c>
    </row>
    <row r="272" spans="1:1" x14ac:dyDescent="0.2">
      <c r="A272" s="35" t="s">
        <v>467</v>
      </c>
    </row>
    <row r="273" spans="1:1" x14ac:dyDescent="0.2">
      <c r="A273" s="35" t="s">
        <v>468</v>
      </c>
    </row>
    <row r="275" spans="1:1" x14ac:dyDescent="0.2">
      <c r="A275" s="35" t="s">
        <v>508</v>
      </c>
    </row>
    <row r="277" spans="1:1" x14ac:dyDescent="0.2">
      <c r="A277" s="35" t="s">
        <v>507</v>
      </c>
    </row>
    <row r="280" spans="1:1" x14ac:dyDescent="0.2">
      <c r="A280" s="35" t="s">
        <v>469</v>
      </c>
    </row>
    <row r="281" spans="1:1" x14ac:dyDescent="0.2">
      <c r="A281" s="35" t="s">
        <v>470</v>
      </c>
    </row>
    <row r="282" spans="1:1" x14ac:dyDescent="0.2">
      <c r="A282" s="35" t="s">
        <v>509</v>
      </c>
    </row>
    <row r="283" spans="1:1" x14ac:dyDescent="0.2">
      <c r="A283" s="35" t="s">
        <v>510</v>
      </c>
    </row>
    <row r="284" spans="1:1" x14ac:dyDescent="0.2">
      <c r="A284" s="35" t="s">
        <v>507</v>
      </c>
    </row>
    <row r="285" spans="1:1" x14ac:dyDescent="0.2">
      <c r="A285" s="35" t="s">
        <v>471</v>
      </c>
    </row>
    <row r="287" spans="1:1" x14ac:dyDescent="0.2">
      <c r="A287" s="35" t="s">
        <v>511</v>
      </c>
    </row>
    <row r="288" spans="1:1" x14ac:dyDescent="0.2">
      <c r="A288" s="35" t="s">
        <v>509</v>
      </c>
    </row>
    <row r="289" spans="1:1" x14ac:dyDescent="0.2">
      <c r="A289" s="35" t="s">
        <v>512</v>
      </c>
    </row>
    <row r="291" spans="1:1" x14ac:dyDescent="0.2">
      <c r="A291" s="35" t="s">
        <v>507</v>
      </c>
    </row>
    <row r="294" spans="1:1" x14ac:dyDescent="0.2">
      <c r="A294" s="35" t="s">
        <v>513</v>
      </c>
    </row>
    <row r="295" spans="1:1" x14ac:dyDescent="0.2">
      <c r="A295" s="35" t="s">
        <v>514</v>
      </c>
    </row>
    <row r="296" spans="1:1" x14ac:dyDescent="0.2">
      <c r="A296" s="35" t="s">
        <v>515</v>
      </c>
    </row>
    <row r="298" spans="1:1" x14ac:dyDescent="0.2">
      <c r="A298" s="35" t="s">
        <v>507</v>
      </c>
    </row>
    <row r="301" spans="1:1" x14ac:dyDescent="0.2">
      <c r="A301" s="35" t="s">
        <v>516</v>
      </c>
    </row>
    <row r="302" spans="1:1" x14ac:dyDescent="0.2">
      <c r="A302" s="35" t="s">
        <v>517</v>
      </c>
    </row>
    <row r="304" spans="1:1" x14ac:dyDescent="0.2">
      <c r="A304" s="35" t="s">
        <v>518</v>
      </c>
    </row>
    <row r="305" spans="1:1" x14ac:dyDescent="0.2">
      <c r="A305" s="35" t="s">
        <v>519</v>
      </c>
    </row>
    <row r="306" spans="1:1" x14ac:dyDescent="0.2">
      <c r="A306" s="35" t="s">
        <v>507</v>
      </c>
    </row>
    <row r="309" spans="1:1" x14ac:dyDescent="0.2">
      <c r="A309" s="35" t="s">
        <v>516</v>
      </c>
    </row>
    <row r="310" spans="1:1" x14ac:dyDescent="0.2">
      <c r="A310" s="35" t="s">
        <v>520</v>
      </c>
    </row>
    <row r="311" spans="1:1" x14ac:dyDescent="0.2">
      <c r="A311" s="35" t="s">
        <v>516</v>
      </c>
    </row>
    <row r="312" spans="1:1" x14ac:dyDescent="0.2">
      <c r="A312" s="35" t="s">
        <v>521</v>
      </c>
    </row>
    <row r="314" spans="1:1" x14ac:dyDescent="0.2">
      <c r="A314" s="35" t="s">
        <v>522</v>
      </c>
    </row>
    <row r="316" spans="1:1" x14ac:dyDescent="0.2">
      <c r="A316" s="35" t="s">
        <v>507</v>
      </c>
    </row>
    <row r="319" spans="1:1" x14ac:dyDescent="0.2">
      <c r="A319" s="35" t="s">
        <v>516</v>
      </c>
    </row>
    <row r="320" spans="1:1" x14ac:dyDescent="0.2">
      <c r="A320" s="35" t="s">
        <v>523</v>
      </c>
    </row>
    <row r="321" spans="1:1" x14ac:dyDescent="0.2">
      <c r="A321" s="35" t="s">
        <v>524</v>
      </c>
    </row>
    <row r="322" spans="1:1" x14ac:dyDescent="0.2">
      <c r="A322" s="35" t="s">
        <v>525</v>
      </c>
    </row>
    <row r="324" spans="1:1" x14ac:dyDescent="0.2">
      <c r="A324" s="35" t="s">
        <v>507</v>
      </c>
    </row>
    <row r="326" spans="1:1" x14ac:dyDescent="0.2">
      <c r="A326" s="35" t="s">
        <v>466</v>
      </c>
    </row>
    <row r="329" spans="1:1" x14ac:dyDescent="0.2">
      <c r="A329" s="35" t="s">
        <v>472</v>
      </c>
    </row>
    <row r="330" spans="1:1" x14ac:dyDescent="0.2">
      <c r="A330" s="35" t="s">
        <v>473</v>
      </c>
    </row>
    <row r="331" spans="1:1" x14ac:dyDescent="0.2">
      <c r="A331" s="35" t="s">
        <v>526</v>
      </c>
    </row>
    <row r="332" spans="1:1" x14ac:dyDescent="0.2">
      <c r="A332" s="35" t="s">
        <v>527</v>
      </c>
    </row>
    <row r="333" spans="1:1" x14ac:dyDescent="0.2">
      <c r="A333" s="35" t="s">
        <v>528</v>
      </c>
    </row>
    <row r="334" spans="1:1" x14ac:dyDescent="0.2">
      <c r="A334" s="35" t="s">
        <v>529</v>
      </c>
    </row>
    <row r="335" spans="1:1" x14ac:dyDescent="0.2">
      <c r="A335" s="35" t="s">
        <v>530</v>
      </c>
    </row>
    <row r="336" spans="1:1" x14ac:dyDescent="0.2">
      <c r="A336" s="35" t="s">
        <v>483</v>
      </c>
    </row>
    <row r="337" spans="1:1" x14ac:dyDescent="0.2">
      <c r="A337" s="35" t="s">
        <v>474</v>
      </c>
    </row>
    <row r="340" spans="1:1" x14ac:dyDescent="0.2">
      <c r="A340" s="35" t="s">
        <v>475</v>
      </c>
    </row>
    <row r="342" spans="1:1" x14ac:dyDescent="0.2">
      <c r="A342" s="35" t="s">
        <v>531</v>
      </c>
    </row>
    <row r="343" spans="1:1" x14ac:dyDescent="0.2">
      <c r="A343" s="35" t="s">
        <v>532</v>
      </c>
    </row>
    <row r="344" spans="1:1" x14ac:dyDescent="0.2">
      <c r="A344" s="35" t="s">
        <v>533</v>
      </c>
    </row>
    <row r="345" spans="1:1" x14ac:dyDescent="0.2">
      <c r="A345" s="35" t="s">
        <v>534</v>
      </c>
    </row>
    <row r="346" spans="1:1" x14ac:dyDescent="0.2">
      <c r="A346" s="35" t="s">
        <v>535</v>
      </c>
    </row>
    <row r="347" spans="1:1" x14ac:dyDescent="0.2">
      <c r="A347" s="35" t="s">
        <v>483</v>
      </c>
    </row>
    <row r="348" spans="1:1" x14ac:dyDescent="0.2">
      <c r="A348" s="35" t="s">
        <v>476</v>
      </c>
    </row>
    <row r="349" spans="1:1" x14ac:dyDescent="0.2">
      <c r="A349" s="35" t="s">
        <v>536</v>
      </c>
    </row>
    <row r="350" spans="1:1" x14ac:dyDescent="0.2">
      <c r="A350" s="35" t="s">
        <v>537</v>
      </c>
    </row>
    <row r="352" spans="1:1" x14ac:dyDescent="0.2">
      <c r="A352" s="35" t="s">
        <v>507</v>
      </c>
    </row>
    <row r="355" spans="1:1" x14ac:dyDescent="0.2">
      <c r="A355" s="35" t="s">
        <v>466</v>
      </c>
    </row>
    <row r="361" spans="1:1" x14ac:dyDescent="0.2">
      <c r="A361" s="35" t="s">
        <v>477</v>
      </c>
    </row>
  </sheetData>
  <sheetProtection password="C6AC" sheet="1"/>
  <dataConsolidate/>
  <mergeCells count="56">
    <mergeCell ref="C5:D5"/>
    <mergeCell ref="H26:I26"/>
    <mergeCell ref="C16:D16"/>
    <mergeCell ref="C17:D17"/>
    <mergeCell ref="O21:P21"/>
    <mergeCell ref="M21:N21"/>
    <mergeCell ref="O19:P19"/>
    <mergeCell ref="O22:P22"/>
    <mergeCell ref="C20:D20"/>
    <mergeCell ref="C6:D6"/>
    <mergeCell ref="C14:D14"/>
    <mergeCell ref="C26:D26"/>
    <mergeCell ref="C19:D19"/>
    <mergeCell ref="O23:P23"/>
    <mergeCell ref="O24:P24"/>
    <mergeCell ref="C22:D22"/>
    <mergeCell ref="C2:D3"/>
    <mergeCell ref="C4:D4"/>
    <mergeCell ref="M22:N22"/>
    <mergeCell ref="M19:N19"/>
    <mergeCell ref="M9:N9"/>
    <mergeCell ref="M7:N7"/>
    <mergeCell ref="M8:N8"/>
    <mergeCell ref="C7:D7"/>
    <mergeCell ref="C10:D10"/>
    <mergeCell ref="C13:D13"/>
    <mergeCell ref="C8:D8"/>
    <mergeCell ref="C9:D9"/>
    <mergeCell ref="M20:N20"/>
    <mergeCell ref="N14:O14"/>
    <mergeCell ref="N15:O15"/>
    <mergeCell ref="C18:D18"/>
    <mergeCell ref="C21:D21"/>
    <mergeCell ref="C23:D23"/>
    <mergeCell ref="O20:P20"/>
    <mergeCell ref="M23:N23"/>
    <mergeCell ref="M24:N24"/>
    <mergeCell ref="M4:P4"/>
    <mergeCell ref="M2:P2"/>
    <mergeCell ref="N13:O13"/>
    <mergeCell ref="N12:O12"/>
    <mergeCell ref="O9:P9"/>
    <mergeCell ref="O8:P8"/>
    <mergeCell ref="O7:P7"/>
    <mergeCell ref="M5:N5"/>
    <mergeCell ref="M6:N6"/>
    <mergeCell ref="L3:M3"/>
    <mergeCell ref="N11:O11"/>
    <mergeCell ref="O6:P6"/>
    <mergeCell ref="O5:P5"/>
    <mergeCell ref="O17:P17"/>
    <mergeCell ref="O18:P18"/>
    <mergeCell ref="H33:I34"/>
    <mergeCell ref="H27:I27"/>
    <mergeCell ref="M18:N18"/>
    <mergeCell ref="M17:N17"/>
  </mergeCells>
  <phoneticPr fontId="8" type="noConversion"/>
  <conditionalFormatting sqref="B14:D14 B34:C34">
    <cfRule type="expression" dxfId="54" priority="37" stopIfTrue="1">
      <formula>AND(IF(RIGHT(Nb_diam,1)=",",1),IF(LEFT(Type_masquage,1)="M",1))</formula>
    </cfRule>
  </conditionalFormatting>
  <conditionalFormatting sqref="D25:E25 D27:E34 B35:E35 L20:P22">
    <cfRule type="expression" dxfId="53" priority="84" stopIfTrue="1">
      <formula>IF(LEFT(Type_masquage,1)="M",1)</formula>
    </cfRule>
  </conditionalFormatting>
  <conditionalFormatting sqref="H33:I34">
    <cfRule type="expression" dxfId="52" priority="51" stopIfTrue="1">
      <formula>$H$33="STABLE"</formula>
    </cfRule>
  </conditionalFormatting>
  <conditionalFormatting sqref="H27:I27">
    <cfRule type="expression" dxfId="51" priority="48" stopIfTrue="1">
      <formula>OR(Finesse&lt;CritFinessemin,Finesse&gt;CritFinessemax)</formula>
    </cfRule>
  </conditionalFormatting>
  <conditionalFormatting sqref="H28">
    <cfRule type="expression" dxfId="50" priority="47" stopIfTrue="1">
      <formula>OR(Cn&lt;CritCnmin,Cn&gt;CritCnmax)</formula>
    </cfRule>
  </conditionalFormatting>
  <conditionalFormatting sqref="H29">
    <cfRule type="expression" dxfId="49" priority="46" stopIfTrue="1">
      <formula>OR(MS_min&lt;CritMsmin,MS_min&gt;CritMsmax)</formula>
    </cfRule>
  </conditionalFormatting>
  <conditionalFormatting sqref="I29">
    <cfRule type="expression" dxfId="48" priority="45" stopIfTrue="1">
      <formula>OR(MS_max&lt;CritMsmin,MS_max&gt;CritMsmax)</formula>
    </cfRule>
  </conditionalFormatting>
  <conditionalFormatting sqref="H30">
    <cfRule type="expression" dxfId="47" priority="44" stopIfTrue="1">
      <formula>OR(MS_Cn_min&lt;CritMsCnmin,MS_Cn_min&gt;CritMsCnmax)</formula>
    </cfRule>
  </conditionalFormatting>
  <conditionalFormatting sqref="I30">
    <cfRule type="expression" dxfId="46" priority="43" stopIfTrue="1">
      <formula>OR(MS_Cn_max&lt;CritMsCnmin,MS_Cn_max&gt;CritMsCnmax)</formula>
    </cfRule>
  </conditionalFormatting>
  <conditionalFormatting sqref="L23:P24">
    <cfRule type="expression" dxfId="45" priority="65" stopIfTrue="1">
      <formula>IF(RIGHT(Nb_diam,1)=",",1)</formula>
    </cfRule>
  </conditionalFormatting>
  <conditionalFormatting sqref="L6:P9">
    <cfRule type="expression" dxfId="44" priority="49" stopIfTrue="1">
      <formula>IF(RIGHT(Nb_diam,1)=",",1)</formula>
    </cfRule>
  </conditionalFormatting>
  <conditionalFormatting sqref="M5:P5">
    <cfRule type="expression" dxfId="43" priority="39" stopIfTrue="1">
      <formula>IF(RIGHT(Nb_diam,1)=",",1)</formula>
    </cfRule>
  </conditionalFormatting>
  <conditionalFormatting sqref="C11">
    <cfRule type="cellIs" dxfId="42" priority="25" stopIfTrue="1" operator="equal">
      <formula>549</formula>
    </cfRule>
    <cfRule type="expression" dxfId="41" priority="28" stopIfTrue="1">
      <formula>OR(MasseSans&lt;MpropuVide, MasseSans&gt;20*MpropuPlein)</formula>
    </cfRule>
  </conditionalFormatting>
  <conditionalFormatting sqref="N36">
    <cfRule type="expression" dxfId="40" priority="27" stopIfTrue="1">
      <formula>ROUND(SUM(C2:P25)+SUM(C27:P35),0)=8637</formula>
    </cfRule>
  </conditionalFormatting>
  <conditionalFormatting sqref="O36 M36">
    <cfRule type="expression" dxfId="39" priority="142" stopIfTrue="1">
      <formula>$M$36="propu NOK"</formula>
    </cfRule>
  </conditionalFormatting>
  <conditionalFormatting sqref="C12">
    <cfRule type="cellIs" dxfId="38" priority="24" stopIfTrue="1" operator="equal">
      <formula>359</formula>
    </cfRule>
  </conditionalFormatting>
  <conditionalFormatting sqref="C13:D13">
    <cfRule type="cellIs" dxfId="37" priority="23" stopIfTrue="1" operator="equal">
      <formula>569</formula>
    </cfRule>
  </conditionalFormatting>
  <conditionalFormatting sqref="C22:D22">
    <cfRule type="cellIs" dxfId="36" priority="22" stopIfTrue="1" operator="equal">
      <formula>126</formula>
    </cfRule>
  </conditionalFormatting>
  <conditionalFormatting sqref="C23:D23">
    <cfRule type="cellIs" dxfId="35" priority="21" stopIfTrue="1" operator="equal">
      <formula>44</formula>
    </cfRule>
  </conditionalFormatting>
  <conditionalFormatting sqref="C30">
    <cfRule type="cellIs" dxfId="34" priority="20" stopIfTrue="1" operator="equal">
      <formula>79</formula>
    </cfRule>
  </conditionalFormatting>
  <conditionalFormatting sqref="C28">
    <cfRule type="cellIs" dxfId="33" priority="19" stopIfTrue="1" operator="equal">
      <formula>39</formula>
    </cfRule>
  </conditionalFormatting>
  <conditionalFormatting sqref="C29 C27">
    <cfRule type="cellIs" dxfId="32" priority="18" stopIfTrue="1" operator="equal">
      <formula>64</formula>
    </cfRule>
  </conditionalFormatting>
  <conditionalFormatting sqref="D17">
    <cfRule type="expression" dxfId="31" priority="11" stopIfTrue="1">
      <formula>D202</formula>
    </cfRule>
  </conditionalFormatting>
  <conditionalFormatting sqref="C17">
    <cfRule type="expression" dxfId="30" priority="151" stopIfTrue="1">
      <formula>C204</formula>
    </cfRule>
  </conditionalFormatting>
  <conditionalFormatting sqref="L38:M38">
    <cfRule type="expression" dxfId="29" priority="233" stopIfTrue="1">
      <formula>OR(SUM($C$27:$C$32)=273, $H$33&lt;&gt;"STABLE")</formula>
    </cfRule>
  </conditionalFormatting>
  <conditionalFormatting sqref="I28">
    <cfRule type="expression" dxfId="28" priority="6" stopIfTrue="1">
      <formula>OR(Cn0&lt;CritCnmin,Cn0&gt;CritCnmax)</formula>
    </cfRule>
  </conditionalFormatting>
  <conditionalFormatting sqref="C18:D18">
    <cfRule type="cellIs" dxfId="27" priority="1" stopIfTrue="1" operator="equal">
      <formula>569</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714375</xdr:colOff>
                    <xdr:row>21</xdr:row>
                    <xdr:rowOff>9525</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714375</xdr:colOff>
                    <xdr:row>10</xdr:row>
                    <xdr:rowOff>9525</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714375</xdr:colOff>
                    <xdr:row>11</xdr:row>
                    <xdr:rowOff>9525</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714375</xdr:colOff>
                    <xdr:row>22</xdr:row>
                    <xdr:rowOff>9525</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714375</xdr:colOff>
                    <xdr:row>26</xdr:row>
                    <xdr:rowOff>9525</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714375</xdr:colOff>
                    <xdr:row>27</xdr:row>
                    <xdr:rowOff>9525</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714375</xdr:colOff>
                    <xdr:row>28</xdr:row>
                    <xdr:rowOff>9525</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714375</xdr:colOff>
                    <xdr:row>29</xdr:row>
                    <xdr:rowOff>9525</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714375</xdr:colOff>
                    <xdr:row>30</xdr:row>
                    <xdr:rowOff>9525</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714375</xdr:colOff>
                    <xdr:row>31</xdr:row>
                    <xdr:rowOff>9525</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714375</xdr:colOff>
                    <xdr:row>12</xdr:row>
                    <xdr:rowOff>9525</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7383" r:id="rId17" name="Spinner 4007">
              <controlPr defaultSize="0" print="0" autoPict="0">
                <anchor moveWithCells="1" sizeWithCells="1">
                  <from>
                    <xdr:col>3</xdr:col>
                    <xdr:colOff>714375</xdr:colOff>
                    <xdr:row>17</xdr:row>
                    <xdr:rowOff>9525</xdr:rowOff>
                  </from>
                  <to>
                    <xdr:col>4</xdr:col>
                    <xdr:colOff>0</xdr:colOff>
                    <xdr:row>18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opLeftCell="G10" zoomScaleNormal="100" workbookViewId="0">
      <selection activeCell="I26" sqref="I26"/>
    </sheetView>
  </sheetViews>
  <sheetFormatPr baseColWidth="10" defaultRowHeight="12.75" x14ac:dyDescent="0.2"/>
  <cols>
    <col min="1" max="1" width="2.140625" style="1" customWidth="1"/>
    <col min="2" max="2" width="16.28515625" style="1" customWidth="1"/>
    <col min="3" max="4" width="11.42578125" style="1"/>
    <col min="5" max="5" width="2.7109375" style="1" customWidth="1"/>
    <col min="6" max="7" width="12.85546875" style="1" customWidth="1"/>
    <col min="8" max="13" width="10.7109375" style="1" customWidth="1"/>
    <col min="14" max="15" width="2.140625" style="1" customWidth="1"/>
    <col min="16" max="17" width="14.28515625" style="1" customWidth="1"/>
    <col min="18" max="16384" width="11.42578125" style="1"/>
  </cols>
  <sheetData>
    <row r="1" spans="1:14" x14ac:dyDescent="0.2">
      <c r="A1" s="72"/>
      <c r="B1" s="73"/>
      <c r="C1" s="74"/>
      <c r="D1" s="73"/>
      <c r="E1" s="75"/>
      <c r="F1" s="75"/>
      <c r="G1" s="75"/>
      <c r="H1" s="75"/>
      <c r="I1" s="75"/>
      <c r="J1" s="75"/>
      <c r="K1" s="75"/>
      <c r="L1" s="75"/>
      <c r="M1" s="75"/>
      <c r="N1" s="76"/>
    </row>
    <row r="2" spans="1:14" ht="12.75" customHeight="1" x14ac:dyDescent="0.2">
      <c r="A2" s="77"/>
      <c r="B2" s="2"/>
      <c r="C2" s="701" t="s">
        <v>0</v>
      </c>
      <c r="D2" s="701"/>
      <c r="E2" s="3"/>
      <c r="F2" s="4"/>
      <c r="G2" s="3"/>
      <c r="H2" s="3"/>
      <c r="I2" s="3"/>
      <c r="J2" s="5"/>
      <c r="K2" s="3"/>
      <c r="L2" s="3"/>
      <c r="M2" s="3"/>
      <c r="N2" s="78"/>
    </row>
    <row r="3" spans="1:14" ht="12.75" customHeight="1" x14ac:dyDescent="0.2">
      <c r="A3" s="77"/>
      <c r="B3" s="2"/>
      <c r="C3" s="701"/>
      <c r="D3" s="701"/>
      <c r="E3" s="6"/>
      <c r="F3" s="6"/>
      <c r="G3" s="6"/>
      <c r="H3" s="7"/>
      <c r="I3" s="6"/>
      <c r="J3" s="5"/>
      <c r="K3" s="3"/>
      <c r="L3" s="3"/>
      <c r="M3" s="3"/>
      <c r="N3" s="78"/>
    </row>
    <row r="4" spans="1:14" ht="12.75" customHeight="1" x14ac:dyDescent="0.2">
      <c r="A4" s="77"/>
      <c r="B4" s="2"/>
      <c r="C4" s="705" t="str">
        <f>IF(Lang="Français","Trajectographie de fusée",IF(Lang="English","Rocket Trajectography",""))</f>
        <v>Trajectographie de fusée</v>
      </c>
      <c r="D4" s="705"/>
      <c r="E4" s="6"/>
      <c r="F4" s="6"/>
      <c r="G4" s="6"/>
      <c r="H4" s="7"/>
      <c r="I4" s="6"/>
      <c r="J4" s="5"/>
      <c r="K4" s="3"/>
      <c r="L4" s="3"/>
      <c r="M4" s="3"/>
      <c r="N4" s="78"/>
    </row>
    <row r="5" spans="1:14" ht="12.75" customHeight="1" x14ac:dyDescent="0.2">
      <c r="A5" s="77"/>
      <c r="B5" s="2"/>
      <c r="C5" s="3"/>
      <c r="D5" s="3"/>
      <c r="E5" s="6"/>
      <c r="F5" s="6"/>
      <c r="G5" s="3"/>
      <c r="H5" s="3"/>
      <c r="I5" s="6"/>
      <c r="J5" s="5"/>
      <c r="K5" s="3"/>
      <c r="L5" s="3"/>
      <c r="M5" s="3"/>
      <c r="N5" s="78"/>
    </row>
    <row r="6" spans="1:14" ht="12.95" customHeight="1" x14ac:dyDescent="0.2">
      <c r="A6" s="77"/>
      <c r="B6" s="111"/>
      <c r="C6" s="704" t="str">
        <f>IF(Lang="Français","Remplir les cases jaunes",IF(Lang="English","Fill-in yellow cells only",""))</f>
        <v>Remplir les cases jaunes</v>
      </c>
      <c r="D6" s="704"/>
      <c r="E6" s="6"/>
      <c r="F6" s="6"/>
      <c r="G6" s="3"/>
      <c r="H6" s="3"/>
      <c r="I6" s="6"/>
      <c r="J6" s="5"/>
      <c r="K6" s="3"/>
      <c r="L6" s="3"/>
      <c r="M6" s="3"/>
      <c r="N6" s="78"/>
    </row>
    <row r="7" spans="1:14" x14ac:dyDescent="0.2">
      <c r="A7" s="77"/>
      <c r="B7" s="8"/>
      <c r="C7" s="702" t="str">
        <f>IF(Lang="Français","Fusée",IF(Lang="English","Rocket",""))</f>
        <v>Fusée</v>
      </c>
      <c r="D7" s="702"/>
      <c r="E7" s="6"/>
      <c r="F7" s="6"/>
      <c r="G7" s="3"/>
      <c r="H7" s="3"/>
      <c r="I7" s="6"/>
      <c r="J7" s="3"/>
      <c r="K7" s="3"/>
      <c r="L7" s="3"/>
      <c r="M7" s="3"/>
      <c r="N7" s="79"/>
    </row>
    <row r="8" spans="1:14" ht="12.75" customHeight="1" x14ac:dyDescent="0.25">
      <c r="A8" s="77"/>
      <c r="B8" s="173" t="str">
        <f>IF(Lang="Français","Nom",IF(Lang="English","Name",""))</f>
        <v>Nom</v>
      </c>
      <c r="C8" s="703" t="str">
        <f>Nom</f>
        <v>Taranis</v>
      </c>
      <c r="D8" s="703"/>
      <c r="E8" s="7"/>
      <c r="F8" s="7"/>
      <c r="G8" s="3"/>
      <c r="H8" s="3"/>
      <c r="I8" s="6"/>
      <c r="J8" s="5"/>
      <c r="K8" s="3"/>
      <c r="L8" s="3"/>
      <c r="M8" s="3"/>
      <c r="N8" s="78"/>
    </row>
    <row r="9" spans="1:14" ht="12.75" customHeight="1" x14ac:dyDescent="0.25">
      <c r="A9" s="80"/>
      <c r="B9" s="173" t="s">
        <v>4</v>
      </c>
      <c r="C9" s="703" t="str">
        <f>Club</f>
        <v>Elisa Space</v>
      </c>
      <c r="D9" s="703"/>
      <c r="E9" s="6"/>
      <c r="F9" s="27"/>
      <c r="G9" s="3"/>
      <c r="H9" s="3"/>
      <c r="I9" s="6"/>
      <c r="J9" s="3"/>
      <c r="K9" s="3"/>
      <c r="L9" s="3"/>
      <c r="M9" s="3"/>
      <c r="N9" s="79"/>
    </row>
    <row r="10" spans="1:14" ht="12.75" customHeight="1" x14ac:dyDescent="0.2">
      <c r="A10" s="80"/>
      <c r="B10" s="173" t="str">
        <f>IF(Lang="Français","Masse totale",IF(Lang="English","Total Mass",""))</f>
        <v>Masse totale</v>
      </c>
      <c r="C10" s="727">
        <f ca="1">MassePlein</f>
        <v>1.6386000000000001</v>
      </c>
      <c r="D10" s="727"/>
      <c r="E10" s="6"/>
      <c r="F10" s="27"/>
      <c r="G10" s="3"/>
      <c r="H10" s="3"/>
      <c r="I10" s="6"/>
      <c r="J10" s="3"/>
      <c r="K10" s="3"/>
      <c r="L10" s="3"/>
      <c r="M10" s="3"/>
      <c r="N10" s="79"/>
    </row>
    <row r="11" spans="1:14" ht="12.75" customHeight="1" x14ac:dyDescent="0.2">
      <c r="A11" s="80"/>
      <c r="B11" s="266" t="str">
        <f>IF(Lang="Français","Propulseur",IF(Lang="English","Motor",""))</f>
        <v>Propulseur</v>
      </c>
      <c r="C11" s="730" t="str">
        <f>Propu</f>
        <v>Pandora</v>
      </c>
      <c r="D11" s="731"/>
      <c r="E11" s="6"/>
      <c r="F11" s="27"/>
      <c r="G11" s="3"/>
      <c r="H11" s="3"/>
      <c r="I11" s="6"/>
      <c r="J11" s="3"/>
      <c r="K11" s="3"/>
      <c r="L11" s="3"/>
      <c r="M11" s="3"/>
      <c r="N11" s="79"/>
    </row>
    <row r="12" spans="1:14" ht="12.75" customHeight="1" x14ac:dyDescent="0.2">
      <c r="A12" s="80"/>
      <c r="B12" s="3"/>
      <c r="C12" s="3"/>
      <c r="D12" s="3"/>
      <c r="E12" s="6"/>
      <c r="F12" s="27"/>
      <c r="G12" s="3"/>
      <c r="H12" s="3"/>
      <c r="I12" s="6"/>
      <c r="J12" s="3"/>
      <c r="K12" s="3"/>
      <c r="L12" s="3"/>
      <c r="M12" s="3"/>
      <c r="N12" s="79"/>
    </row>
    <row r="13" spans="1:14" ht="12.75" customHeight="1" x14ac:dyDescent="0.2">
      <c r="A13" s="80"/>
      <c r="B13" s="81"/>
      <c r="C13" s="702" t="str">
        <f>IF(Lang="Français","Traînée Aérdynamique",IF(Lang="English","Drag",""))</f>
        <v>Traînée Aérdynamique</v>
      </c>
      <c r="D13" s="702"/>
      <c r="E13" s="6"/>
      <c r="F13" s="3"/>
      <c r="G13" s="3"/>
      <c r="H13" s="3"/>
      <c r="I13" s="6"/>
      <c r="J13" s="3"/>
      <c r="K13" s="3"/>
      <c r="L13" s="3"/>
      <c r="M13" s="3"/>
      <c r="N13" s="79"/>
    </row>
    <row r="14" spans="1:14" ht="12.75" customHeight="1" x14ac:dyDescent="0.2">
      <c r="A14" s="80"/>
      <c r="B14" s="173" t="s">
        <v>41</v>
      </c>
      <c r="C14" s="732">
        <f>(PI()*D_ref^2/4+E_ail*ep_ail*Q_ail)/10^6</f>
        <v>3.6274333882308136E-3</v>
      </c>
      <c r="D14" s="732"/>
      <c r="E14" s="6"/>
      <c r="F14" s="3"/>
      <c r="G14" s="3"/>
      <c r="H14" s="3"/>
      <c r="I14" s="6"/>
      <c r="J14" s="3"/>
      <c r="K14" s="3"/>
      <c r="L14" s="3"/>
      <c r="M14" s="3"/>
      <c r="N14" s="79"/>
    </row>
    <row r="15" spans="1:14" ht="12.75" customHeight="1" x14ac:dyDescent="0.2">
      <c r="A15" s="80"/>
      <c r="B15" s="174" t="s">
        <v>5</v>
      </c>
      <c r="C15" s="725">
        <v>0.6</v>
      </c>
      <c r="D15" s="726"/>
      <c r="E15" s="6"/>
      <c r="F15" s="3"/>
      <c r="G15" s="3"/>
      <c r="H15" s="3"/>
      <c r="I15" s="6"/>
      <c r="J15" s="3"/>
      <c r="K15" s="3"/>
      <c r="L15" s="3"/>
      <c r="M15" s="3"/>
      <c r="N15" s="79"/>
    </row>
    <row r="16" spans="1:14" ht="12.75" customHeight="1" x14ac:dyDescent="0.2">
      <c r="A16" s="80"/>
      <c r="B16" s="3"/>
      <c r="C16" s="3"/>
      <c r="D16" s="3"/>
      <c r="E16" s="6"/>
      <c r="F16" s="6"/>
      <c r="G16" s="3"/>
      <c r="H16" s="3"/>
      <c r="I16" s="6"/>
      <c r="J16" s="3"/>
      <c r="K16" s="3"/>
      <c r="L16" s="3"/>
      <c r="M16" s="3"/>
      <c r="N16" s="79"/>
    </row>
    <row r="17" spans="1:18" ht="12.75" customHeight="1" x14ac:dyDescent="0.2">
      <c r="A17" s="80"/>
      <c r="B17" s="81"/>
      <c r="C17" s="702" t="str">
        <f>IF(Lang="Français","Rampe de Lancement",IF(Lang="English","Launch Pad",""))</f>
        <v>Rampe de Lancement</v>
      </c>
      <c r="D17" s="702"/>
      <c r="E17" s="6"/>
      <c r="F17" s="3"/>
      <c r="G17" s="3"/>
      <c r="H17" s="3"/>
      <c r="I17" s="6"/>
      <c r="J17" s="3"/>
      <c r="K17" s="3"/>
      <c r="L17" s="3"/>
      <c r="M17" s="3"/>
      <c r="N17" s="79"/>
    </row>
    <row r="18" spans="1:18" ht="12.75" customHeight="1" x14ac:dyDescent="0.2">
      <c r="A18" s="80"/>
      <c r="B18" s="173" t="str">
        <f>IF(Lang="Français","Longueur",IF(Lang="English","Length",""))</f>
        <v>Longueur</v>
      </c>
      <c r="C18" s="729">
        <f>IF(RIGHT(Type_fusee,1)=".",4, IF(LEFT(Type_fusee,4)="Mini",2.5, IF(LEFT(Type_fusee,5)="Micro",1, IF(RIGHT(Type_fusee,1)=" ",0.1,IF(LEFT(Type_fusee,1)="R",3, 2.5)))))</f>
        <v>2.5</v>
      </c>
      <c r="D18" s="729"/>
      <c r="E18" s="6"/>
      <c r="F18" s="3"/>
      <c r="G18" s="3"/>
      <c r="H18" s="3"/>
      <c r="I18" s="6"/>
      <c r="J18" s="3"/>
      <c r="K18" s="3"/>
      <c r="L18" s="3"/>
      <c r="M18" s="3"/>
      <c r="N18" s="79"/>
    </row>
    <row r="19" spans="1:18" ht="12.75" customHeight="1" x14ac:dyDescent="0.2">
      <c r="A19" s="80"/>
      <c r="B19" s="173" t="str">
        <f>IF(Lang="Français","Élévation",IF(Lang="English","Angle /horizon",""))</f>
        <v>Élévation</v>
      </c>
      <c r="C19" s="728">
        <v>80</v>
      </c>
      <c r="D19" s="728"/>
      <c r="E19" s="6"/>
      <c r="F19" s="3"/>
      <c r="G19" s="3"/>
      <c r="H19" s="3"/>
      <c r="I19" s="6"/>
      <c r="J19" s="3"/>
      <c r="K19" s="3"/>
      <c r="L19" s="3"/>
      <c r="M19" s="3"/>
      <c r="N19" s="79"/>
    </row>
    <row r="20" spans="1:18" ht="12.75" customHeight="1" x14ac:dyDescent="0.2">
      <c r="A20" s="80"/>
      <c r="B20" s="173" t="s">
        <v>6</v>
      </c>
      <c r="C20" s="729">
        <v>0</v>
      </c>
      <c r="D20" s="729"/>
      <c r="E20" s="6"/>
      <c r="F20" s="6"/>
      <c r="G20" s="3"/>
      <c r="H20" s="3"/>
      <c r="I20" s="6"/>
      <c r="J20" s="3"/>
      <c r="K20" s="3"/>
      <c r="L20" s="3"/>
      <c r="M20" s="3"/>
      <c r="N20" s="79"/>
    </row>
    <row r="21" spans="1:18" ht="12.75" customHeight="1" x14ac:dyDescent="0.2">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
      <c r="A22" s="80"/>
      <c r="B22" s="3"/>
      <c r="C22" s="715" t="str">
        <f>IF(Lang="Français","DescenteSousParachute",IF(Lang="English","Over Parachute",""))</f>
        <v>DescenteSousParachute</v>
      </c>
      <c r="D22" s="716"/>
      <c r="E22" s="3"/>
      <c r="F22" s="10"/>
      <c r="G22" s="71">
        <f ca="1">TODAY()</f>
        <v>44383</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
      <c r="A23" s="80"/>
      <c r="B23" s="81"/>
      <c r="C23" s="175" t="str">
        <f>C7</f>
        <v>Fusée</v>
      </c>
      <c r="D23" s="258" t="s">
        <v>123</v>
      </c>
      <c r="E23" s="3"/>
      <c r="F23" s="717" t="str">
        <f>IF(Lang="Français","Sortie de Rampe",IF(Lang="English","Launch-Pad Exit",""))</f>
        <v>Sortie de Rampe</v>
      </c>
      <c r="G23" s="718"/>
      <c r="H23" s="580"/>
      <c r="I23" s="580"/>
      <c r="J23" s="580"/>
      <c r="K23" s="581">
        <f ca="1">INDEX(vit_xz,MATCH("Sortie de rampe",Event,0))</f>
        <v>23.482422240537442</v>
      </c>
      <c r="L23" s="582"/>
      <c r="M23" s="589"/>
      <c r="N23" s="79"/>
    </row>
    <row r="24" spans="1:18" x14ac:dyDescent="0.2">
      <c r="A24" s="80"/>
      <c r="B24" s="550" t="str">
        <f>IF(Lang="Français","Masse",IF(Lang="English","Mass",""))</f>
        <v>Masse</v>
      </c>
      <c r="C24" s="551">
        <f ca="1">IF(Nb_sat="0 satellite",MasseVide,MasseVide-m_satellite)</f>
        <v>1.5630000000000002</v>
      </c>
      <c r="D24" s="568">
        <f>IF(RIGHT(Type_fusee,1)=".",1,0.15)</f>
        <v>0.15</v>
      </c>
      <c r="E24" s="28" t="str">
        <f>IF(ABS(T_satellite-0.11-T_para)&lt;0.1,"Pb!","")</f>
        <v/>
      </c>
      <c r="F24" s="721" t="str">
        <f>IF(Lang="Français","Vit max &amp; Acc max",IF(Lang="English","Max Velocity &amp; Acc",""))</f>
        <v>Vit max &amp; Acc max</v>
      </c>
      <c r="G24" s="722"/>
      <c r="H24" s="144"/>
      <c r="I24" s="144"/>
      <c r="J24" s="144"/>
      <c r="K24" s="191">
        <f ca="1">MAX(vit_xz)</f>
        <v>76.970915236585554</v>
      </c>
      <c r="L24" s="583">
        <f ca="1">MAX(acc_xz)</f>
        <v>137.03691396707868</v>
      </c>
      <c r="M24" s="589"/>
      <c r="N24" s="79"/>
    </row>
    <row r="25" spans="1:18" x14ac:dyDescent="0.2">
      <c r="A25" s="80"/>
      <c r="B25" s="554" t="str">
        <f>IF(Lang="Français","Dépotage",IF(Lang="English","Delay",""))</f>
        <v>Dépotage</v>
      </c>
      <c r="C25" s="594" t="s">
        <v>545</v>
      </c>
      <c r="D25" s="567"/>
      <c r="E25" s="3"/>
      <c r="F25" s="723" t="str">
        <f>IF(Lang="Français","Largage du satellite",IF(Lang="English","Satellite separation",""))</f>
        <v>Largage du satellite</v>
      </c>
      <c r="G25" s="724"/>
      <c r="H25" s="185">
        <f>IF(T_satellite&lt;&gt;0,T_satellite,"")</f>
        <v>9</v>
      </c>
      <c r="I25" s="189">
        <f ca="1">IF(T_satellite&lt;&gt;0,INDEX(pos_z,MATCH("Satellite",Event_sat,0)),"")</f>
        <v>272.56749522187266</v>
      </c>
      <c r="J25" s="187">
        <f ca="1">IF(T_satellite&lt;&gt;0,INDEX(pos_x,MATCH("Satellite",Event_sat,0)),"")</f>
        <v>114.70655533738721</v>
      </c>
      <c r="K25" s="192">
        <f ca="1">IF(T_satellite&lt;&gt;0,INDEX(vit_xz,MATCH("Satellite",Event_sat,0)),"")</f>
        <v>17.889984277950663</v>
      </c>
      <c r="L25" s="584"/>
      <c r="M25" s="573">
        <f ca="1">1/2*Rho_moyen*1*V_ouv_sat^2*S_satellite</f>
        <v>3.9206313339501944</v>
      </c>
      <c r="N25" s="79"/>
    </row>
    <row r="26" spans="1:18" x14ac:dyDescent="0.2">
      <c r="A26" s="80"/>
      <c r="B26" s="552" t="str">
        <f>IF(Lang="Français","Ouverture para",IF(Lang="English","Opening time",""))</f>
        <v>Ouverture para</v>
      </c>
      <c r="C26" s="596">
        <v>9</v>
      </c>
      <c r="D26" s="553">
        <v>9</v>
      </c>
      <c r="E26" s="3"/>
      <c r="F26" s="721" t="s">
        <v>15</v>
      </c>
      <c r="G26" s="722"/>
      <c r="H26" s="186">
        <f ca="1">INDEX(t,MATCH("Apogée",Event,0))</f>
        <v>7.5999999999999899</v>
      </c>
      <c r="I26" s="190">
        <f ca="1">INDEX(pos_z,MATCH("Apogée",Event,0))</f>
        <v>281.43877743120714</v>
      </c>
      <c r="J26" s="188">
        <f ca="1">INDEX(pos_x,MATCH("Apogée",Event,0))</f>
        <v>97.5467649558001</v>
      </c>
      <c r="K26" s="193">
        <f ca="1">INDEX(vit_xz,MATCH("Apogée",Event,0))</f>
        <v>12.361097978846269</v>
      </c>
      <c r="L26" s="585"/>
      <c r="M26" s="589"/>
      <c r="N26" s="79"/>
    </row>
    <row r="27" spans="1:18" x14ac:dyDescent="0.2">
      <c r="A27" s="80"/>
      <c r="B27" s="174" t="s">
        <v>9</v>
      </c>
      <c r="C27" s="263">
        <f>S_para_croix</f>
        <v>0.28799999999999998</v>
      </c>
      <c r="D27" s="26">
        <f>IF(RIGHT(Type_fusee,1)=".",0.1,0.02)</f>
        <v>0.02</v>
      </c>
      <c r="E27" s="3"/>
      <c r="F27" s="719" t="str">
        <f>IF(Lang="Français","Ouverture parachute fusée",IF(Lang="English","Rocket parachute opening",""))</f>
        <v>Ouverture parachute fusée</v>
      </c>
      <c r="G27" s="720"/>
      <c r="H27" s="185">
        <f>T_para</f>
        <v>9</v>
      </c>
      <c r="I27" s="189">
        <f ca="1">INDEX(pos_z,MATCH("Para",Event_para,0))</f>
        <v>272.56749522187266</v>
      </c>
      <c r="J27" s="574">
        <f ca="1">INDEX(pos_x,MATCH("Para",Event_para,0))</f>
        <v>114.70655533738721</v>
      </c>
      <c r="K27" s="192">
        <f ca="1">INDEX(vit_xz,MATCH("Para",Event_para,0))</f>
        <v>17.889984277950663</v>
      </c>
      <c r="L27" s="584"/>
      <c r="M27" s="573">
        <f ca="1">1/2*Rho_moyen*1*V_ouverture^2*S_para</f>
        <v>56.457091208882787</v>
      </c>
      <c r="N27" s="79"/>
      <c r="P27" s="566" t="str">
        <f ca="1">IF(V_para&lt;5, IF(Lang="Français","Parachute fusée trop grand !","Parachute too big!"), IF( V_para&gt;15, IF(Lang="Français","Parachute fusée trop petit !","Parachute too small!"), ""))</f>
        <v/>
      </c>
      <c r="R27" s="566" t="str">
        <f>IF(AND(Nb_sat="1 satellite", OR(V_satellite&lt;5)), IF(Lang="Français","Parachute satéllite trop grand !","Parachute too big"), IF(AND(Nb_sat="1 satellite",OR(V_satellite&gt;15)), IF(Lang="Français","Parachute satéllite trop petit !","Parachute too small!"), ""))</f>
        <v/>
      </c>
    </row>
    <row r="28" spans="1:18" x14ac:dyDescent="0.2">
      <c r="A28" s="80"/>
      <c r="B28" s="174" t="s">
        <v>10</v>
      </c>
      <c r="C28" s="176">
        <v>1</v>
      </c>
      <c r="D28" s="176">
        <v>1</v>
      </c>
      <c r="E28" s="3"/>
      <c r="F28" s="708" t="str">
        <f>IF(Lang="Français","Impact balistique",IF(Lang="English","Balistic Impact",""))</f>
        <v>Impact balistique</v>
      </c>
      <c r="G28" s="709"/>
      <c r="H28" s="586">
        <f ca="1">INDEX(t,MATCH("Impact balistique",Event,0))</f>
        <v>15.599999999999962</v>
      </c>
      <c r="I28" s="607" t="s">
        <v>430</v>
      </c>
      <c r="J28" s="575">
        <f ca="1">INDEX(pos_x,MATCH("Impact balistique",Event,0))</f>
        <v>187.70931447689617</v>
      </c>
      <c r="K28" s="590">
        <f ca="1">K45</f>
        <v>67.280926274173453</v>
      </c>
      <c r="L28" s="587"/>
      <c r="M28" s="591">
        <f ca="1">0.5*m_vide*K28^2</f>
        <v>3537.6340560028621</v>
      </c>
      <c r="N28" s="79"/>
      <c r="P28" s="566" t="str">
        <f ca="1">IF( OR( V_para&lt;5, V_para&gt;15, AND(Nb_sat="1 satellite", OR(V_satellite&lt;5, V_satellite&gt;15))), IF(Lang="Français","La Vitesse de descente sous parachute doit être comprise entre 5 &amp; 15 m/s.","Fall Velocity with parachute must be between 5 &amp; 15 m/s."), "")</f>
        <v/>
      </c>
    </row>
    <row r="29" spans="1:18" x14ac:dyDescent="0.2">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IF(AND(Portee_balistique&gt;200,LEFT(Propu,2)="p2"),IF(Lang="Français","Fusée trop lègère !","Rocket too light"),"")</f>
        <v/>
      </c>
    </row>
    <row r="30" spans="1:18" x14ac:dyDescent="0.2">
      <c r="A30" s="80"/>
      <c r="B30" s="166" t="str">
        <f>IF(Lang="Français","Vitesse descente",IF(Lang="English","Fall velocity",""))</f>
        <v>Vitesse descente</v>
      </c>
      <c r="C30" s="488">
        <f ca="1">SQRT(2*m_vide*g/Rho_moyen/S_para/Cx_para)</f>
        <v>9.32319359315842</v>
      </c>
      <c r="D30" s="488">
        <f>SQRT(2*m_satellite*g/Rho_moyen/S_satellite/Cx_satellite)</f>
        <v>10.960038730752361</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
      <c r="A31" s="80"/>
      <c r="B31" s="166" t="str">
        <f>IF(Lang="Français","Durée descente",IF(Lang="English","Fall duration",""))</f>
        <v>Durée descente</v>
      </c>
      <c r="C31" s="165">
        <f ca="1">Alt_para/V_para</f>
        <v>29.235421585784632</v>
      </c>
      <c r="D31" s="165">
        <f ca="1">IF(V_satellite&lt;&gt;0,Alt_sat/V_satellite,0)</f>
        <v>24.86920912579312</v>
      </c>
      <c r="E31" s="3"/>
      <c r="F31" s="3"/>
      <c r="G31" s="3"/>
      <c r="H31" s="710" t="str">
        <f>IF(Lang="Français","Pour localiser la fusée","To locate the rocket")</f>
        <v>Pour localiser la fusée</v>
      </c>
      <c r="I31" s="710"/>
      <c r="J31" s="570"/>
      <c r="L31" s="3"/>
      <c r="M31" s="3"/>
      <c r="N31" s="456"/>
      <c r="P31" s="566" t="str">
        <f ca="1">IF(Temps_culmi-T_para&gt;2,IF(Lang="Français","Ouverture parachute fusée précoce.","Early rocket parachute opening."),IF(Temps_culmi-T_para&lt;-2,IF(Lang="Français","Ouverture parachute fusée tardive.","Late rocket parachute opening."),""))</f>
        <v/>
      </c>
    </row>
    <row r="32" spans="1:18" x14ac:dyDescent="0.2">
      <c r="A32" s="80"/>
      <c r="B32" s="166" t="str">
        <f>IF(Lang="Français","Durée du vol",IF(Lang="English","Fligth duration",""))</f>
        <v>Durée du vol</v>
      </c>
      <c r="C32" s="165">
        <f ca="1">T_para+Dt_para</f>
        <v>38.235421585784636</v>
      </c>
      <c r="D32" s="165">
        <f ca="1">T_satellite+Dt_satellite</f>
        <v>33.86920912579312</v>
      </c>
      <c r="E32" s="3"/>
      <c r="F32" s="710" t="str">
        <f>IF(Lang="Français","Couleur fuselage/coiffe","Body/Nose color")</f>
        <v>Couleur fuselage/coiffe</v>
      </c>
      <c r="G32" s="710"/>
      <c r="H32" s="706" t="s">
        <v>554</v>
      </c>
      <c r="I32" s="707"/>
      <c r="J32" s="3"/>
      <c r="L32" s="3"/>
      <c r="M32" s="3"/>
      <c r="N32" s="455"/>
      <c r="P32" s="566" t="str">
        <f ca="1">IF(ABS(Temps_culmi-T_para)&gt;2,IF(Lang="Français","Attention, aux efforts sur le parachute lors de l'ouverture !","Becarefull to the opening chute efforts!"),"")</f>
        <v/>
      </c>
    </row>
    <row r="33" spans="1:16" customFormat="1" x14ac:dyDescent="0.2">
      <c r="A33" s="96"/>
      <c r="B33" s="166" t="str">
        <f>IF(Lang="Français","Déport latéral",IF(Lang="English","Lateral shift",""))</f>
        <v>Déport latéral</v>
      </c>
      <c r="C33" s="184">
        <f ca="1">Alt_para*V_vent/V_para</f>
        <v>146.17710792892316</v>
      </c>
      <c r="D33" s="184">
        <f ca="1">IF(V_satellite&lt;&gt;0,Alt_sat*V_vent_sat/V_satellite,0)</f>
        <v>124.3460456289656</v>
      </c>
      <c r="E33" s="81"/>
      <c r="F33" s="710" t="str">
        <f>IF(Lang="Français","Couleur parachute fusée","Rocket parachute color")</f>
        <v>Couleur parachute fusée</v>
      </c>
      <c r="G33" s="710"/>
      <c r="H33" s="706" t="s">
        <v>555</v>
      </c>
      <c r="I33" s="707"/>
      <c r="J33" s="81"/>
      <c r="K33" s="81"/>
      <c r="L33" s="81"/>
      <c r="M33" s="81"/>
      <c r="N33" s="455" t="str">
        <f>IF(Lang="Français","fichier initial","Initial file")</f>
        <v>fichier initial</v>
      </c>
    </row>
    <row r="34" spans="1:16" x14ac:dyDescent="0.2">
      <c r="A34" s="80"/>
      <c r="B34" s="3"/>
      <c r="C34" s="3"/>
      <c r="D34" s="3"/>
      <c r="E34" s="3"/>
      <c r="F34" s="710" t="str">
        <f>IF(Lang="Français","Couleur parachute satellite","Satellite parachute color")</f>
        <v>Couleur parachute satellite</v>
      </c>
      <c r="G34" s="710"/>
      <c r="H34" s="714" t="s">
        <v>161</v>
      </c>
      <c r="I34" s="714"/>
      <c r="J34" s="3"/>
      <c r="K34" s="3"/>
      <c r="L34" s="3"/>
      <c r="M34" s="3"/>
      <c r="N34" s="454" t="str">
        <f>IF(ROUND(SUM(Propu!5:1218),0)=306466,"propu OK","propu NOK")</f>
        <v>propu OK</v>
      </c>
      <c r="P34"/>
    </row>
    <row r="35" spans="1:16" ht="13.5" thickBot="1" x14ac:dyDescent="0.25">
      <c r="A35" s="82"/>
      <c r="B35" s="215" t="str">
        <f>IF(Lang="Français","Commentaire libre :",IF(Lang="English","Free comment:",""))</f>
        <v>Commentaire libre :</v>
      </c>
      <c r="C35" s="83"/>
      <c r="D35" s="83"/>
      <c r="E35" s="83"/>
      <c r="F35" s="83"/>
      <c r="G35" s="83"/>
      <c r="H35" s="83"/>
      <c r="I35" s="83"/>
      <c r="J35" s="83"/>
      <c r="K35" s="83"/>
      <c r="L35" s="83"/>
      <c r="M35" s="83"/>
      <c r="N35" s="340" t="s">
        <v>550</v>
      </c>
      <c r="P35"/>
    </row>
    <row r="38" spans="1:16" x14ac:dyDescent="0.2">
      <c r="A38" s="711" t="str">
        <f>IF(Lang="Français","Calcul de la surface d'un parachute","Parachute surface calculation")</f>
        <v>Calcul de la surface d'un parachute</v>
      </c>
      <c r="B38" s="712"/>
      <c r="C38" s="712"/>
      <c r="D38" s="713"/>
      <c r="F38" s="711" t="str">
        <f>IF(Lang="Français","Résultats détaillés","Detailled results")</f>
        <v>Résultats détaillés</v>
      </c>
      <c r="G38" s="71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
      <c r="A39" s="194"/>
      <c r="B39" s="3"/>
      <c r="C39" s="3"/>
      <c r="D39" s="195"/>
      <c r="F39" s="205"/>
      <c r="G39" s="206"/>
      <c r="H39" s="204" t="s">
        <v>156</v>
      </c>
      <c r="I39" s="169" t="s">
        <v>39</v>
      </c>
      <c r="J39" s="169" t="s">
        <v>39</v>
      </c>
      <c r="K39" s="169" t="s">
        <v>157</v>
      </c>
      <c r="L39" s="169" t="s">
        <v>7</v>
      </c>
      <c r="M39" s="169" t="s">
        <v>158</v>
      </c>
    </row>
    <row r="40" spans="1:16" x14ac:dyDescent="0.2">
      <c r="A40" s="194"/>
      <c r="B40" s="3"/>
      <c r="C40" s="3"/>
      <c r="D40" s="195"/>
      <c r="F40" s="735" t="str">
        <f>IF(Lang="Français","Décollage",IF(Lang="English","Lift-Off",""))</f>
        <v>Décollage</v>
      </c>
      <c r="G40" s="735"/>
      <c r="H40" s="183">
        <v>0</v>
      </c>
      <c r="I40" s="183">
        <v>0</v>
      </c>
      <c r="J40" s="183">
        <v>0</v>
      </c>
      <c r="K40" s="183">
        <v>0</v>
      </c>
      <c r="L40" s="181" t="s">
        <v>14</v>
      </c>
      <c r="M40" s="182">
        <f>Beta_rampe</f>
        <v>80</v>
      </c>
    </row>
    <row r="41" spans="1:16" x14ac:dyDescent="0.2">
      <c r="A41" s="194"/>
      <c r="B41" s="3"/>
      <c r="C41" s="3"/>
      <c r="D41" s="195"/>
      <c r="F41" s="722" t="str">
        <f>IF(Lang="Français","Sortie de Rampe",IF(Lang="English","Launch-Pad Exit",""))</f>
        <v>Sortie de Rampe</v>
      </c>
      <c r="G41" s="722"/>
      <c r="H41" s="144">
        <f ca="1">INDEX(t,MATCH("Sortie de rampe",Event,0))</f>
        <v>0.21000000000000005</v>
      </c>
      <c r="I41" s="144">
        <f ca="1">INDEX(pos_z,MATCH("Sortie de rampe",Event,0))</f>
        <v>2.3776189116637378</v>
      </c>
      <c r="J41" s="144">
        <f ca="1">INDEX(pos_x,MATCH("Sortie de rampe",Event,0))</f>
        <v>0.41921422988776036</v>
      </c>
      <c r="K41" s="145">
        <f ca="1">INDEX(vit_xz,MATCH("Sortie de rampe",Event,0))</f>
        <v>23.482422240537442</v>
      </c>
      <c r="L41" s="146">
        <f ca="1">INDEX(acc_xz,MATCH("Sortie de rampe",Event,0))</f>
        <v>111.03396104969556</v>
      </c>
      <c r="M41" s="146">
        <f ca="1">INDEX(BetaD,MATCH("Sortie de rampe",Event,0))</f>
        <v>80</v>
      </c>
    </row>
    <row r="42" spans="1:16" x14ac:dyDescent="0.2">
      <c r="A42" s="194"/>
      <c r="B42" s="199" t="str">
        <f>IF(Lang="Français","Longeur du bord","Side length")</f>
        <v>Longeur du bord</v>
      </c>
      <c r="C42" s="3"/>
      <c r="D42" s="195"/>
      <c r="F42" s="722" t="str">
        <f>IF(Lang="Français","Vit max &amp; Acc max",IF(Lang="English","Max Velocity &amp; Acc",""))</f>
        <v>Vit max &amp; Acc max</v>
      </c>
      <c r="G42" s="722"/>
      <c r="H42" s="144" t="s">
        <v>14</v>
      </c>
      <c r="I42" s="144" t="s">
        <v>14</v>
      </c>
      <c r="J42" s="144" t="s">
        <v>14</v>
      </c>
      <c r="K42" s="147">
        <f ca="1">MAX(vit_xz)</f>
        <v>76.970915236585554</v>
      </c>
      <c r="L42" s="148">
        <f ca="1">MAX(acc_xz)</f>
        <v>137.03691396707868</v>
      </c>
      <c r="M42" s="145" t="s">
        <v>14</v>
      </c>
    </row>
    <row r="43" spans="1:16" x14ac:dyDescent="0.2">
      <c r="A43" s="194"/>
      <c r="B43" s="200">
        <v>240</v>
      </c>
      <c r="C43" s="3"/>
      <c r="D43" s="195"/>
      <c r="F43" s="722" t="str">
        <f>IF(Lang="Français","Fin de Propulsion",IF(Lang="English","Motor Burn-Out",""))</f>
        <v>Fin de Propulsion</v>
      </c>
      <c r="G43" s="722"/>
      <c r="H43" s="146">
        <f ca="1">INDEX(t,MATCH("Fin de propulsion",Event,0))</f>
        <v>1.0900000000000007</v>
      </c>
      <c r="I43" s="149">
        <f ca="1">INDEX(pos_z,MATCH("Fin de propulsion",Event,0))</f>
        <v>54.679372591275012</v>
      </c>
      <c r="J43" s="149">
        <f ca="1">INDEX(pos_x,MATCH("Fin de propulsion",Event,0))</f>
        <v>10.653198324660133</v>
      </c>
      <c r="K43" s="150">
        <f ca="1">INDEX(vit_xz,MATCH("Fin de propulsion",Event,0))</f>
        <v>75.566643686120969</v>
      </c>
      <c r="L43" s="146">
        <f ca="1">INDEX(acc_xz,MATCH("Fin de propulsion",Event,0))</f>
        <v>14.605712154374865</v>
      </c>
      <c r="M43" s="146">
        <f ca="1">INDEX(BetaD,MATCH("Fin de propulsion",Event,0))</f>
        <v>78.347462926142569</v>
      </c>
    </row>
    <row r="44" spans="1:16" x14ac:dyDescent="0.2">
      <c r="A44" s="194"/>
      <c r="B44" s="199" t="str">
        <f>IF(Lang="Français","Largeur du coté","Side width")</f>
        <v>Largeur du coté</v>
      </c>
      <c r="C44" s="3"/>
      <c r="D44" s="195"/>
      <c r="F44" s="722" t="s">
        <v>15</v>
      </c>
      <c r="G44" s="722"/>
      <c r="H44" s="148">
        <f ca="1">INDEX(t,MATCH("Apogée",Event,0))</f>
        <v>7.5999999999999899</v>
      </c>
      <c r="I44" s="147">
        <f ca="1">INDEX(pos_z,MATCH("Apogée",Event,0))</f>
        <v>281.43877743120714</v>
      </c>
      <c r="J44" s="151">
        <f ca="1">INDEX(pos_x,MATCH("Apogée",Event,0))</f>
        <v>97.5467649558001</v>
      </c>
      <c r="K44" s="151">
        <f ca="1">INDEX(vit_xz,MATCH("Apogée",Event,0))</f>
        <v>12.361097978846269</v>
      </c>
      <c r="L44" s="145">
        <f ca="1">INDEX(acc_xz,MATCH("Apogée",Event,0))</f>
        <v>9.8261490285501409</v>
      </c>
      <c r="M44" s="152">
        <f ca="1">INDEX(BetaD,MATCH("Apogée",Event,0))</f>
        <v>2.3231665405836419</v>
      </c>
    </row>
    <row r="45" spans="1:16" x14ac:dyDescent="0.2">
      <c r="A45" s="194"/>
      <c r="B45" s="201">
        <v>240</v>
      </c>
      <c r="C45" s="3"/>
      <c r="D45" s="195"/>
      <c r="F45" s="737" t="str">
        <f>IF(Lang="Français","Impact balistique",IF(Lang="English","Balistic Impact",""))</f>
        <v>Impact balistique</v>
      </c>
      <c r="G45" s="737"/>
      <c r="H45" s="145">
        <f ca="1">INDEX(t,MATCH("Impact balistique",Event,0))</f>
        <v>15.599999999999962</v>
      </c>
      <c r="I45" s="181" t="s">
        <v>16</v>
      </c>
      <c r="J45" s="147">
        <f ca="1">INDEX(pos_x,MATCH("Impact balistique",Event,0))</f>
        <v>187.70931447689617</v>
      </c>
      <c r="K45" s="150">
        <f ca="1">INDEX(vit_xz,MATCH("Impact balistique",Event,0))</f>
        <v>67.280926274173453</v>
      </c>
      <c r="L45" s="145">
        <f ca="1">INDEX(acc_xz,MATCH("Impact balistique",Event,0))</f>
        <v>6.0818416740885439</v>
      </c>
      <c r="M45" s="145">
        <f ca="1">INDEX(BetaD,MATCH("Impact balistique",Event,0))</f>
        <v>-81.840511597736977</v>
      </c>
    </row>
    <row r="46" spans="1:16" x14ac:dyDescent="0.2">
      <c r="A46" s="194"/>
      <c r="B46" s="202" t="s">
        <v>9</v>
      </c>
      <c r="C46" s="3"/>
      <c r="D46" s="195"/>
      <c r="F46" s="720" t="str">
        <f>IF(Lang="Français","Ouverture parachute fusée",IF(Lang="English","Rocket parachute opening",""))</f>
        <v>Ouverture parachute fusée</v>
      </c>
      <c r="G46" s="720"/>
      <c r="H46" s="153">
        <f>T_para</f>
        <v>9</v>
      </c>
      <c r="I46" s="154">
        <f ca="1">INDEX(pos_z,MATCH("Para",Event_para,0))</f>
        <v>272.56749522187266</v>
      </c>
      <c r="J46" s="154">
        <f ca="1">INDEX(pos_x,MATCH("Para",Event_para,0))</f>
        <v>114.70655533738721</v>
      </c>
      <c r="K46" s="154">
        <f ca="1">INDEX(vit_xz,MATCH("Para",Event_para,0))</f>
        <v>17.889984277950663</v>
      </c>
      <c r="L46" s="155">
        <f ca="1">INDEX(acc_xz,MATCH("Para",Event_para,0))</f>
        <v>9.6378275163260536</v>
      </c>
      <c r="M46" s="156">
        <f ca="1">INDEX(BetaD,MATCH("Para",Event_para,0))</f>
        <v>-47.218791818712546</v>
      </c>
    </row>
    <row r="47" spans="1:16" x14ac:dyDescent="0.2">
      <c r="A47" s="194"/>
      <c r="B47" s="207">
        <f>(4*B43*B45+B43^2)/10^6</f>
        <v>0.28799999999999998</v>
      </c>
      <c r="C47" s="3"/>
      <c r="D47" s="195"/>
      <c r="F47" s="738" t="str">
        <f>IF(Lang="Français","Impact fusée sous para.",IF(Lang="English","Impact of rocket with para. ",""))</f>
        <v>Impact fusée sous para.</v>
      </c>
      <c r="G47" s="738"/>
      <c r="H47" s="157">
        <f ca="1">T_para+Dt_para</f>
        <v>38.235421585784636</v>
      </c>
      <c r="I47" s="159" t="s">
        <v>16</v>
      </c>
      <c r="J47" s="158" t="str">
        <f ca="1">CONCATENATE(TEXT(X_para-Dx_para,"0")," | ",TEXT(X_para+Dx_para,"0"))</f>
        <v>-31 | 261</v>
      </c>
      <c r="K47" s="160">
        <f ca="1">V_para</f>
        <v>9.32319359315842</v>
      </c>
      <c r="L47" s="161">
        <f>g</f>
        <v>9.81</v>
      </c>
      <c r="M47" s="161" t="s">
        <v>14</v>
      </c>
    </row>
    <row r="48" spans="1:16" x14ac:dyDescent="0.2">
      <c r="A48" s="194"/>
      <c r="B48" s="3"/>
      <c r="C48" s="3"/>
      <c r="D48" s="195"/>
      <c r="F48" s="736" t="str">
        <f>IF(Lang="Français","Largage du satellite",IF(Lang="English","Satellite separation",""))</f>
        <v>Largage du satellite</v>
      </c>
      <c r="G48" s="724"/>
      <c r="H48" s="153">
        <f>IF(T_satellite&lt;&gt;0,T_satellite,"")</f>
        <v>9</v>
      </c>
      <c r="I48" s="154">
        <f ca="1">IF(T_satellite&lt;&gt;0,INDEX(pos_z,MATCH("Satellite",Event_sat,0)),"")</f>
        <v>272.56749522187266</v>
      </c>
      <c r="J48" s="162">
        <f ca="1">IF(T_satellite&lt;&gt;0,INDEX(pos_x,MATCH("Satellite",Event_sat,0)),"")</f>
        <v>114.70655533738721</v>
      </c>
      <c r="K48" s="154">
        <f ca="1">IF(T_satellite&lt;&gt;0,INDEX(vit_xz,MATCH("Satellite",Event_sat,0)),"")</f>
        <v>17.889984277950663</v>
      </c>
      <c r="L48" s="155">
        <f ca="1">IF(T_satellite&lt;&gt;0,INDEX(acc_xz,MATCH("Satellite",Event_sat,0)),"")</f>
        <v>9.6378275163260536</v>
      </c>
      <c r="M48" s="156">
        <f ca="1">IF(T_satellite&lt;&gt;0,INDEX(BetaD,MATCH("Satellite",Event_sat,0)),"")</f>
        <v>-47.218791818712546</v>
      </c>
    </row>
    <row r="49" spans="1:13" x14ac:dyDescent="0.2">
      <c r="A49" s="194"/>
      <c r="B49" s="3"/>
      <c r="C49" s="3"/>
      <c r="D49" s="195"/>
      <c r="F49" s="733" t="str">
        <f>IF(Lang="Français","Impact du satellite",IF(Lang="English","Satellite impact",""))</f>
        <v>Impact du satellite</v>
      </c>
      <c r="G49" s="734"/>
      <c r="H49" s="157">
        <f ca="1">IF(T_satellite&lt;&gt;0,T_satellite+Dt_satellite,"")</f>
        <v>33.86920912579312</v>
      </c>
      <c r="I49" s="163" t="str">
        <f>IF(T_satellite&lt;&gt;0,"~0","")</f>
        <v>~0</v>
      </c>
      <c r="J49" s="163" t="str">
        <f ca="1">IF(T_satellite&lt;&gt;0,CONCATENATE(TEXT(X_satellite-Dx_sat,"0")," | ",TEXT(X_satellite+Dx_sat,"0")),"")</f>
        <v>-10 | 239</v>
      </c>
      <c r="K49" s="163">
        <f>IF(T_satellite&lt;&gt;0,V_satellite,"")</f>
        <v>10.960038730752361</v>
      </c>
      <c r="L49" s="161">
        <f>IF(T_satellite&lt;&gt;0,g,"")</f>
        <v>9.81</v>
      </c>
      <c r="M49" s="164" t="str">
        <f>IF(T_satellite&lt;&gt;0,"-","")</f>
        <v>-</v>
      </c>
    </row>
    <row r="50" spans="1:13" x14ac:dyDescent="0.2">
      <c r="A50" s="194"/>
      <c r="B50" s="199" t="str">
        <f>IF(Lang="Français","Rayon exterieur","Half-diameter ext")</f>
        <v>Rayon exterieur</v>
      </c>
      <c r="C50" s="3"/>
      <c r="D50" s="195"/>
    </row>
    <row r="51" spans="1:13" x14ac:dyDescent="0.2">
      <c r="A51" s="194"/>
      <c r="B51" s="201">
        <v>250</v>
      </c>
      <c r="C51" s="3"/>
      <c r="D51" s="195"/>
    </row>
    <row r="52" spans="1:13" x14ac:dyDescent="0.2">
      <c r="A52" s="194"/>
      <c r="B52" s="199" t="str">
        <f>IF(Lang="Français","Rayon intérieur","Half-diameter int")</f>
        <v>Rayon intérieur</v>
      </c>
      <c r="C52" s="3"/>
      <c r="D52" s="195"/>
    </row>
    <row r="53" spans="1:13" x14ac:dyDescent="0.2">
      <c r="A53" s="194"/>
      <c r="B53" s="201">
        <v>30</v>
      </c>
      <c r="C53" s="3"/>
      <c r="D53" s="195"/>
    </row>
    <row r="54" spans="1:13" x14ac:dyDescent="0.2">
      <c r="A54" s="194"/>
      <c r="B54" s="202" t="s">
        <v>9</v>
      </c>
      <c r="C54" s="3"/>
      <c r="D54" s="195"/>
    </row>
    <row r="55" spans="1:13" x14ac:dyDescent="0.2">
      <c r="A55" s="194"/>
      <c r="B55" s="207">
        <f>PI()*(B51^2-B53^2)/10^6</f>
        <v>0.19352210746113127</v>
      </c>
      <c r="C55" s="3"/>
      <c r="D55" s="195"/>
    </row>
    <row r="56" spans="1:13" x14ac:dyDescent="0.2">
      <c r="A56" s="196"/>
      <c r="B56" s="197"/>
      <c r="C56" s="197"/>
      <c r="D56" s="198"/>
    </row>
    <row r="57" spans="1:13" x14ac:dyDescent="0.2">
      <c r="B57" s="3"/>
      <c r="C57" s="3"/>
      <c r="D57" s="3"/>
    </row>
    <row r="58" spans="1:13" x14ac:dyDescent="0.2">
      <c r="B58" s="3"/>
      <c r="C58" s="3"/>
      <c r="D58" s="3"/>
    </row>
    <row r="59" spans="1:13" x14ac:dyDescent="0.2">
      <c r="A59" s="3"/>
      <c r="B59" s="3"/>
      <c r="C59" s="3"/>
      <c r="D59" s="3"/>
    </row>
    <row r="60" spans="1:13" x14ac:dyDescent="0.2">
      <c r="B60" s="3"/>
      <c r="C60" s="3"/>
      <c r="D60" s="3"/>
    </row>
    <row r="61" spans="1:13" x14ac:dyDescent="0.2">
      <c r="B61" s="3"/>
      <c r="C61" s="3"/>
      <c r="D61" s="3"/>
    </row>
    <row r="62" spans="1:13" x14ac:dyDescent="0.2">
      <c r="B62" s="3"/>
    </row>
    <row r="63" spans="1:13" x14ac:dyDescent="0.2">
      <c r="B63" s="3"/>
    </row>
    <row r="93" spans="2:2" x14ac:dyDescent="0.2">
      <c r="B93" s="35" t="str">
        <f>IF(Lang="Français","Vitesse de descente sous parachute :",IF(Lang="English","Fall velocity over parachute:",""))</f>
        <v>Vitesse de descente sous parachute :</v>
      </c>
    </row>
    <row r="102" spans="2:7" x14ac:dyDescent="0.2">
      <c r="B102" s="35" t="str">
        <f>IF(Lang="Français","Textes pour les listes déroulantes et graphiques :","Texts for drop-down lists &amp; graphics :")</f>
        <v>Textes pour les listes déroulantes et graphiques :</v>
      </c>
      <c r="F102" s="259" t="s">
        <v>409</v>
      </c>
      <c r="G102" s="1" t="s">
        <v>416</v>
      </c>
    </row>
    <row r="103" spans="2:7" x14ac:dyDescent="0.2">
      <c r="F103" s="563">
        <f ca="1">Combustion+Depotage-9</f>
        <v>4.9700000000000006</v>
      </c>
      <c r="G103" s="564" t="s">
        <v>411</v>
      </c>
    </row>
    <row r="104" spans="2:7" x14ac:dyDescent="0.2">
      <c r="B104" s="1" t="s">
        <v>123</v>
      </c>
      <c r="F104" s="563">
        <f ca="1">Combustion+Depotage-7</f>
        <v>6.9700000000000006</v>
      </c>
      <c r="G104" s="564" t="s">
        <v>412</v>
      </c>
    </row>
    <row r="105" spans="2:7" x14ac:dyDescent="0.2">
      <c r="B105" s="1" t="s">
        <v>124</v>
      </c>
      <c r="F105" s="563">
        <f ca="1">Combustion+Depotage-5</f>
        <v>8.9700000000000006</v>
      </c>
      <c r="G105" s="564" t="s">
        <v>413</v>
      </c>
    </row>
    <row r="106" spans="2:7" x14ac:dyDescent="0.2">
      <c r="B106" s="1" t="str">
        <f>IF(T_para&gt;0,IF(Lang="Français","Phase ascendante","Climbing phase"),"")</f>
        <v>Phase ascendante</v>
      </c>
      <c r="F106" s="563">
        <f ca="1">Combustion+Depotage-3</f>
        <v>10.97</v>
      </c>
      <c r="G106" s="564" t="s">
        <v>414</v>
      </c>
    </row>
    <row r="107" spans="2:7" x14ac:dyDescent="0.2">
      <c r="B107" s="1" t="str">
        <f>IF(Lang="Français","Descente balistique","Balistic fall")</f>
        <v>Descente balistique</v>
      </c>
      <c r="F107" s="563">
        <f ca="1">Combustion+Depotage</f>
        <v>13.97</v>
      </c>
      <c r="G107" s="564" t="s">
        <v>415</v>
      </c>
    </row>
    <row r="108" spans="2:7" x14ac:dyDescent="0.2">
      <c r="B108" s="1" t="str">
        <f>IF(T_para&gt;0,IF(Lang="Français","Fusée sous parachute","Rocket under parachute"),"")</f>
        <v>Fusée sous parachute</v>
      </c>
      <c r="F108" s="565" t="str">
        <f>IF(Lang="Français","autre",IF(Lang="English","other",""))</f>
        <v>autre</v>
      </c>
    </row>
    <row r="109" spans="2:7" x14ac:dyDescent="0.2">
      <c r="B109" s="1" t="str">
        <f>IF(AND(Nb_sat="1 satellite",T_satellite&gt;0),IF(Lang="Français","Satellite sous parachute","Satellite over parachute"),"")</f>
        <v/>
      </c>
    </row>
    <row r="110" spans="2:7" x14ac:dyDescent="0.2">
      <c r="B110" s="1" t="str">
        <f>IF(Lang="Français","Trajectoire (x z)","Trajectory (x z)")</f>
        <v>Trajectoire (x z)</v>
      </c>
    </row>
    <row r="111" spans="2:7" x14ac:dyDescent="0.2">
      <c r="B111" s="1" t="str">
        <f>IF(Lang="Français","Portée x [m]","Range x [m]")</f>
        <v>Portée x [m]</v>
      </c>
    </row>
    <row r="112" spans="2:7" x14ac:dyDescent="0.2">
      <c r="B112" s="1" t="str">
        <f>IF(Lang="Français","Temps [s]","Time [s]")</f>
        <v>Temps [s]</v>
      </c>
    </row>
    <row r="113" spans="2:3" x14ac:dyDescent="0.2">
      <c r="B113" s="1" t="str">
        <f>IF(Lang="Français","Altitude z  /  Temps","Altitude z  /  Time")</f>
        <v>Altitude z  /  Temps</v>
      </c>
      <c r="C113" s="1">
        <f>IF(OR(C25=F102,C25=F108),C26,C25)</f>
        <v>9</v>
      </c>
    </row>
    <row r="115" spans="2:3" x14ac:dyDescent="0.2">
      <c r="B115" s="1" t="s">
        <v>410</v>
      </c>
    </row>
    <row r="117" spans="2:3" x14ac:dyDescent="0.2">
      <c r="B117" s="35" t="str">
        <f>IF(Lang="Français","Données pour les graphiques :","Data for plots:")</f>
        <v>Données pour les graphiques :</v>
      </c>
      <c r="C117" s="246" t="s">
        <v>50</v>
      </c>
    </row>
    <row r="118" spans="2:3" x14ac:dyDescent="0.2">
      <c r="C118" s="252">
        <f ca="1">MAX(Altitude_culmi,Portee_balistique)</f>
        <v>281.43877743120714</v>
      </c>
    </row>
    <row r="119" spans="2:3" x14ac:dyDescent="0.2">
      <c r="B119" s="245" t="s">
        <v>50</v>
      </c>
      <c r="C119" s="9"/>
    </row>
    <row r="120" spans="2:3" x14ac:dyDescent="0.2">
      <c r="B120" s="256">
        <f ca="1">MAX(Altitude_culmi,Portee_balistique)</f>
        <v>281.43877743120714</v>
      </c>
      <c r="C120" s="254" t="s">
        <v>48</v>
      </c>
    </row>
    <row r="121" spans="2:3" x14ac:dyDescent="0.2">
      <c r="B121" s="9"/>
      <c r="C121" s="250">
        <f ca="1">Alt_para</f>
        <v>272.56749522187266</v>
      </c>
    </row>
    <row r="122" spans="2:3" x14ac:dyDescent="0.2">
      <c r="B122" s="253" t="s">
        <v>52</v>
      </c>
      <c r="C122" s="250">
        <f ca="1">Alt_para/2</f>
        <v>136.28374761093633</v>
      </c>
    </row>
    <row r="123" spans="2:3" x14ac:dyDescent="0.2">
      <c r="B123" s="255">
        <f ca="1">X_para</f>
        <v>114.70655533738721</v>
      </c>
      <c r="C123" s="250">
        <v>0</v>
      </c>
    </row>
    <row r="124" spans="2:3" x14ac:dyDescent="0.2">
      <c r="B124" s="255">
        <f ca="1">X_para</f>
        <v>114.70655533738721</v>
      </c>
      <c r="C124" s="250">
        <f ca="1">Alt_para/20</f>
        <v>13.628374761093633</v>
      </c>
    </row>
    <row r="125" spans="2:3" x14ac:dyDescent="0.2">
      <c r="B125" s="255">
        <f ca="1">X_para</f>
        <v>114.70655533738721</v>
      </c>
      <c r="C125" s="250">
        <v>0</v>
      </c>
    </row>
    <row r="126" spans="2:3" x14ac:dyDescent="0.2">
      <c r="B126" s="255">
        <f ca="1">X_para+Alt_para/40</f>
        <v>121.52074271793403</v>
      </c>
      <c r="C126" s="250">
        <f ca="1">Alt_para/20</f>
        <v>13.628374761093633</v>
      </c>
    </row>
    <row r="127" spans="2:3" x14ac:dyDescent="0.2">
      <c r="B127" s="255">
        <f ca="1">X_para</f>
        <v>114.70655533738721</v>
      </c>
      <c r="C127" s="257">
        <v>0</v>
      </c>
    </row>
    <row r="128" spans="2:3" x14ac:dyDescent="0.2">
      <c r="B128" s="255">
        <f ca="1">X_para-Alt_para/40</f>
        <v>107.8923679568404</v>
      </c>
      <c r="C128" s="246" t="s">
        <v>48</v>
      </c>
    </row>
    <row r="129" spans="2:6" x14ac:dyDescent="0.2">
      <c r="B129" s="256">
        <f ca="1">X_para</f>
        <v>114.70655533738721</v>
      </c>
      <c r="C129" s="250">
        <f ca="1">Alt_para</f>
        <v>272.56749522187266</v>
      </c>
      <c r="E129" s="274">
        <v>1</v>
      </c>
      <c r="F129" s="275" t="s">
        <v>178</v>
      </c>
    </row>
    <row r="130" spans="2:6" x14ac:dyDescent="0.2">
      <c r="B130" s="245" t="s">
        <v>51</v>
      </c>
      <c r="C130" s="250">
        <f ca="1">(C129+C131)/2</f>
        <v>136.28374761093633</v>
      </c>
      <c r="E130" s="194">
        <v>1</v>
      </c>
      <c r="F130" s="276" t="s">
        <v>179</v>
      </c>
    </row>
    <row r="131" spans="2:6" x14ac:dyDescent="0.2">
      <c r="B131" s="249">
        <f>T_para</f>
        <v>9</v>
      </c>
      <c r="C131" s="250">
        <f>0</f>
        <v>0</v>
      </c>
      <c r="E131" s="194"/>
      <c r="F131" s="283" t="s">
        <v>180</v>
      </c>
    </row>
    <row r="132" spans="2:6" x14ac:dyDescent="0.2">
      <c r="B132" s="249">
        <f ca="1">(B131+B133)/2</f>
        <v>23.617710792892318</v>
      </c>
      <c r="C132" s="250">
        <f ca="1">Alt_para-V_para*(H47-T_para)+E129*sS*Altitude_culmi/H47*zZ_fus+E130*sS/2*Altitude_culmi/H47*tT_fus</f>
        <v>15.872579057463103</v>
      </c>
      <c r="E132" s="277" t="s">
        <v>175</v>
      </c>
      <c r="F132" s="278">
        <f ca="1">T_balistique/10</f>
        <v>1.5599999999999963</v>
      </c>
    </row>
    <row r="133" spans="2:6" x14ac:dyDescent="0.2">
      <c r="B133" s="249">
        <f ca="1">H47</f>
        <v>38.235421585784636</v>
      </c>
      <c r="C133" s="250">
        <f ca="1">Alt_para-V_para*(H47-T_para)</f>
        <v>0</v>
      </c>
      <c r="E133" s="277" t="s">
        <v>176</v>
      </c>
      <c r="F133" s="278">
        <f ca="1">(H47-T_para)/H47</f>
        <v>0.76461616933377641</v>
      </c>
    </row>
    <row r="134" spans="2:6" x14ac:dyDescent="0.2">
      <c r="B134" s="249">
        <f ca="1">H47+E129*sS/2*zZ_fus-E130*sS*tT_fus</f>
        <v>37.822620361623947</v>
      </c>
      <c r="C134" s="250">
        <f ca="1">Alt_para-V_para*(H47-T_para)+E129*sS*Altitude_culmi/H47*zZ_fus-E130*sS/2*Altitude_culmi/H47*tT_fus</f>
        <v>7.0927486195259428</v>
      </c>
      <c r="E134" s="279" t="s">
        <v>177</v>
      </c>
      <c r="F134" s="280">
        <f ca="1">V_para*(H47-T_para)/Alt_para</f>
        <v>1</v>
      </c>
    </row>
    <row r="135" spans="2:6" x14ac:dyDescent="0.2">
      <c r="B135" s="249">
        <f ca="1">H47</f>
        <v>38.235421585784636</v>
      </c>
      <c r="C135" s="252">
        <f ca="1">Alt_para-V_para*(H47-T_para)</f>
        <v>0</v>
      </c>
    </row>
    <row r="136" spans="2:6" x14ac:dyDescent="0.2">
      <c r="B136" s="249">
        <f ca="1">H47-E129*sS/2*zZ_fus-E130*sS*tT_fus</f>
        <v>36.262620361623945</v>
      </c>
      <c r="C136" s="3"/>
    </row>
    <row r="137" spans="2:6" x14ac:dyDescent="0.2">
      <c r="B137" s="251">
        <f ca="1">H47</f>
        <v>38.235421585784636</v>
      </c>
      <c r="C137" s="254" t="s">
        <v>49</v>
      </c>
    </row>
    <row r="138" spans="2:6" x14ac:dyDescent="0.2">
      <c r="B138" s="3"/>
      <c r="C138" s="250" t="b">
        <f>IF(Nb_sat="1 satellite",Alt_sat)</f>
        <v>0</v>
      </c>
    </row>
    <row r="139" spans="2:6" x14ac:dyDescent="0.2">
      <c r="B139" s="253" t="s">
        <v>54</v>
      </c>
      <c r="C139" s="250" t="b">
        <f>IF(Nb_sat="1 satellite",Alt_sat*1/4)</f>
        <v>0</v>
      </c>
    </row>
    <row r="140" spans="2:6" x14ac:dyDescent="0.2">
      <c r="B140" s="255" t="b">
        <f>IF(Nb_sat="1 satellite",X_satellite)</f>
        <v>0</v>
      </c>
      <c r="C140" s="250" t="b">
        <f>IF(Nb_sat="1 satellite",0)</f>
        <v>0</v>
      </c>
    </row>
    <row r="141" spans="2:6" x14ac:dyDescent="0.2">
      <c r="B141" s="255" t="b">
        <f>IF(Nb_sat="1 satellite",X_satellite)</f>
        <v>0</v>
      </c>
      <c r="C141" s="250" t="b">
        <f>IF(Nb_sat="1 satellite",Alt_sat/20)</f>
        <v>0</v>
      </c>
    </row>
    <row r="142" spans="2:6" x14ac:dyDescent="0.2">
      <c r="B142" s="255" t="b">
        <f>IF(Nb_sat="1 satellite",X_satellite)</f>
        <v>0</v>
      </c>
      <c r="C142" s="250" t="b">
        <f>IF(Nb_sat="1 satellite",0)</f>
        <v>0</v>
      </c>
    </row>
    <row r="143" spans="2:6" x14ac:dyDescent="0.2">
      <c r="B143" s="255" t="b">
        <f>IF(Nb_sat="1 satellite",X_satellite+Alt_sat/40)</f>
        <v>0</v>
      </c>
      <c r="C143" s="250" t="b">
        <f>IF(Nb_sat="1 satellite",Alt_sat/20)</f>
        <v>0</v>
      </c>
    </row>
    <row r="144" spans="2:6" x14ac:dyDescent="0.2">
      <c r="B144" s="255" t="b">
        <f>IF(Nb_sat="1 satellite",X_satellite)</f>
        <v>0</v>
      </c>
      <c r="C144" s="250" t="b">
        <f>IF(Nb_sat="1 satellite",0)</f>
        <v>0</v>
      </c>
    </row>
    <row r="145" spans="2:6" x14ac:dyDescent="0.2">
      <c r="B145" s="255" t="b">
        <f>IF(Nb_sat="1 satellite",X_satellite-Alt_sat/40)</f>
        <v>0</v>
      </c>
      <c r="C145" s="246" t="s">
        <v>49</v>
      </c>
    </row>
    <row r="146" spans="2:6" x14ac:dyDescent="0.2">
      <c r="B146" s="256" t="b">
        <f>IF(Nb_sat="1 satellite",X_satellite)</f>
        <v>0</v>
      </c>
      <c r="C146" s="250" t="b">
        <f>IF(Nb_sat="1 satellite",Alt_sat)</f>
        <v>0</v>
      </c>
      <c r="D146" s="259"/>
    </row>
    <row r="147" spans="2:6" x14ac:dyDescent="0.2">
      <c r="B147" s="245" t="s">
        <v>53</v>
      </c>
      <c r="C147" s="250">
        <f>(C146+C148)/2</f>
        <v>0</v>
      </c>
      <c r="D147" s="259"/>
    </row>
    <row r="148" spans="2:6" x14ac:dyDescent="0.2">
      <c r="B148" s="249" t="b">
        <f>IF(Nb_sat="1 satellite",T_satellite)</f>
        <v>0</v>
      </c>
      <c r="C148" s="250" t="b">
        <f>IF(Nb_sat="1 satellite",0)</f>
        <v>0</v>
      </c>
    </row>
    <row r="149" spans="2:6" x14ac:dyDescent="0.2">
      <c r="B149" s="249">
        <f>(B148+B150)/2</f>
        <v>0</v>
      </c>
      <c r="C149" s="250" t="b">
        <f>IF(Nb_sat="1 satellite",Alt_sat-V_satellite*(H49-T_satellite)+E129*sS*Altitude_culmi/H49*zZ_sat+E130*sS/2*Altitude_culmi/H49*tT_sat)</f>
        <v>0</v>
      </c>
      <c r="D149" s="259"/>
    </row>
    <row r="150" spans="2:6" x14ac:dyDescent="0.2">
      <c r="B150" s="249" t="b">
        <f>IF(Nb_sat="1 satellite",H49)</f>
        <v>0</v>
      </c>
      <c r="C150" s="250" t="b">
        <f>IF(Nb_sat="1 satellite",0)</f>
        <v>0</v>
      </c>
      <c r="E150" s="281" t="s">
        <v>176</v>
      </c>
      <c r="F150" s="282">
        <f ca="1">(T_balistique-T_satellite)/T_balistique</f>
        <v>0.42307692307692168</v>
      </c>
    </row>
    <row r="151" spans="2:6" x14ac:dyDescent="0.2">
      <c r="B151" s="249" t="b">
        <f>IF(Nb_sat="1 satellite",H49+E129*sS/2*zZ_sat-E130*sS*tT_sat)</f>
        <v>0</v>
      </c>
      <c r="C151" s="250" t="b">
        <f>IF(Nb_sat="1 satellite",Alt_sat-V_satellite*(H49-T_satellite)+E129*sS*Altitude_culmi/H49*zZ_sat-E130*sS/2*Altitude_culmi/H49*tT_sat)</f>
        <v>0</v>
      </c>
      <c r="E151" s="279" t="s">
        <v>177</v>
      </c>
      <c r="F151" s="280">
        <f ca="1">V_satellite*(T_balistique-T_satellite)/Alt_sat</f>
        <v>0.26538841531372892</v>
      </c>
    </row>
    <row r="152" spans="2:6" x14ac:dyDescent="0.2">
      <c r="B152" s="249" t="b">
        <f>IF(Nb_sat="1 satellite",H49)</f>
        <v>0</v>
      </c>
      <c r="C152" s="252" t="b">
        <f>IF(Nb_sat="1 satellite",0)</f>
        <v>0</v>
      </c>
    </row>
    <row r="153" spans="2:6" x14ac:dyDescent="0.2">
      <c r="B153" s="249" t="b">
        <f>IF(Nb_sat="1 satellite",H49-sS/2*zZ_sat-E130*sS*tT_sat)</f>
        <v>0</v>
      </c>
    </row>
    <row r="154" spans="2:6" x14ac:dyDescent="0.2">
      <c r="B154" s="251" t="b">
        <f>IF(Nb_sat="1 satellite",H49)</f>
        <v>0</v>
      </c>
      <c r="C154" s="267" t="s">
        <v>29</v>
      </c>
      <c r="D154" s="246" t="s">
        <v>3</v>
      </c>
    </row>
    <row r="155" spans="2:6" x14ac:dyDescent="0.2">
      <c r="C155" s="272">
        <f ca="1">Alt_para/2</f>
        <v>136.28374761093633</v>
      </c>
      <c r="D155" s="273">
        <f ca="1">X_para/4</f>
        <v>28.676638834346804</v>
      </c>
    </row>
    <row r="156" spans="2:6" x14ac:dyDescent="0.2">
      <c r="B156" s="245" t="s">
        <v>2</v>
      </c>
      <c r="C156" s="269">
        <f ca="1">Altitude_culmi/2</f>
        <v>140.71938871560357</v>
      </c>
      <c r="D156" s="270">
        <f ca="1">X_culmi+(Portee_balistique-X_culmi)*2/3</f>
        <v>157.65513130319749</v>
      </c>
    </row>
    <row r="157" spans="2:6" x14ac:dyDescent="0.2">
      <c r="B157" s="271">
        <f>T_para/4</f>
        <v>2.25</v>
      </c>
    </row>
    <row r="158" spans="2:6" x14ac:dyDescent="0.2">
      <c r="B158" s="268">
        <f ca="1">Temps_culmi + (T_balistique-Temps_culmi)/2</f>
        <v>11.599999999999977</v>
      </c>
      <c r="C158" s="267" t="s">
        <v>304</v>
      </c>
      <c r="D158" s="484" t="s">
        <v>306</v>
      </c>
      <c r="E158" s="484"/>
      <c r="F158" s="485" t="s">
        <v>306</v>
      </c>
    </row>
    <row r="159" spans="2:6" x14ac:dyDescent="0.2">
      <c r="C159" s="303">
        <v>0</v>
      </c>
      <c r="D159" s="272">
        <f t="shared" ref="D159:D174" ca="1" si="0">X_culmi+C159</f>
        <v>97.5467649558001</v>
      </c>
      <c r="E159" s="272"/>
      <c r="F159" s="273">
        <f t="shared" ref="F159:F174" ca="1" si="1">X_culmi-C159</f>
        <v>97.5467649558001</v>
      </c>
    </row>
    <row r="160" spans="2:6" x14ac:dyDescent="0.2">
      <c r="B160" s="245" t="s">
        <v>305</v>
      </c>
      <c r="C160" s="303">
        <v>23</v>
      </c>
      <c r="D160" s="272">
        <f t="shared" ca="1" si="0"/>
        <v>120.5467649558001</v>
      </c>
      <c r="E160" s="272"/>
      <c r="F160" s="273">
        <f t="shared" ca="1" si="1"/>
        <v>74.5467649558001</v>
      </c>
    </row>
    <row r="161" spans="2:6" x14ac:dyDescent="0.2">
      <c r="B161" s="271">
        <f ca="1">IF(AND(Altitude_culmi&gt;80, Altitude_culmi&lt;=350), 49, NA())</f>
        <v>49</v>
      </c>
      <c r="C161" s="303">
        <v>23</v>
      </c>
      <c r="D161" s="272">
        <f t="shared" ca="1" si="0"/>
        <v>120.5467649558001</v>
      </c>
      <c r="E161" s="272"/>
      <c r="F161" s="273">
        <f t="shared" ca="1" si="1"/>
        <v>74.5467649558001</v>
      </c>
    </row>
    <row r="162" spans="2:6" x14ac:dyDescent="0.2">
      <c r="B162" s="271">
        <f ca="1">IF(AND(Altitude_culmi&gt;80, Altitude_culmi&lt;=350), 49, NA())</f>
        <v>49</v>
      </c>
      <c r="C162" s="303">
        <v>0</v>
      </c>
      <c r="D162" s="272">
        <f t="shared" ca="1" si="0"/>
        <v>97.5467649558001</v>
      </c>
      <c r="E162" s="272"/>
      <c r="F162" s="273">
        <f t="shared" ca="1" si="1"/>
        <v>97.5467649558001</v>
      </c>
    </row>
    <row r="163" spans="2:6" x14ac:dyDescent="0.2">
      <c r="B163" s="271">
        <f ca="1">IF(AND(Altitude_culmi&gt;80, Altitude_culmi&lt;=350), 43, NA())</f>
        <v>43</v>
      </c>
      <c r="C163" s="303">
        <v>23</v>
      </c>
      <c r="D163" s="272">
        <f t="shared" ca="1" si="0"/>
        <v>120.5467649558001</v>
      </c>
      <c r="E163" s="272"/>
      <c r="F163" s="273">
        <f t="shared" ca="1" si="1"/>
        <v>74.5467649558001</v>
      </c>
    </row>
    <row r="164" spans="2:6" x14ac:dyDescent="0.2">
      <c r="B164" s="271">
        <f ca="1">IF(AND(Altitude_culmi&gt;80, Altitude_culmi&lt;=350), 43, NA())</f>
        <v>43</v>
      </c>
      <c r="C164" s="303">
        <v>23</v>
      </c>
      <c r="D164" s="272">
        <f t="shared" ca="1" si="0"/>
        <v>120.5467649558001</v>
      </c>
      <c r="E164" s="272"/>
      <c r="F164" s="273">
        <f t="shared" ca="1" si="1"/>
        <v>74.5467649558001</v>
      </c>
    </row>
    <row r="165" spans="2:6" x14ac:dyDescent="0.2">
      <c r="B165" s="271">
        <f ca="1">IF(AND(Altitude_culmi&gt;80, Altitude_culmi&lt;=350), 43, NA())</f>
        <v>43</v>
      </c>
      <c r="C165" s="303">
        <v>8</v>
      </c>
      <c r="D165" s="272">
        <f t="shared" ca="1" si="0"/>
        <v>105.5467649558001</v>
      </c>
      <c r="E165" s="272"/>
      <c r="F165" s="273">
        <f t="shared" ca="1" si="1"/>
        <v>89.5467649558001</v>
      </c>
    </row>
    <row r="166" spans="2:6" x14ac:dyDescent="0.2">
      <c r="B166" s="271">
        <f ca="1">IF(AND(Altitude_culmi&gt;80, Altitude_culmi&lt;=350), 0.5, NA())</f>
        <v>0.5</v>
      </c>
      <c r="C166" s="303">
        <v>8</v>
      </c>
      <c r="D166" s="272">
        <f t="shared" ca="1" si="0"/>
        <v>105.5467649558001</v>
      </c>
      <c r="E166" s="272"/>
      <c r="F166" s="273">
        <f t="shared" ca="1" si="1"/>
        <v>89.5467649558001</v>
      </c>
    </row>
    <row r="167" spans="2:6" x14ac:dyDescent="0.2">
      <c r="B167" s="271">
        <f ca="1">IF(AND(Altitude_culmi&gt;80, Altitude_culmi&lt;=350), 0.5, NA())</f>
        <v>0.5</v>
      </c>
      <c r="C167" s="303">
        <v>23</v>
      </c>
      <c r="D167" s="272">
        <f t="shared" ca="1" si="0"/>
        <v>120.5467649558001</v>
      </c>
      <c r="E167" s="272"/>
      <c r="F167" s="273">
        <f t="shared" ca="1" si="1"/>
        <v>74.5467649558001</v>
      </c>
    </row>
    <row r="168" spans="2:6" x14ac:dyDescent="0.2">
      <c r="B168" s="271">
        <f ca="1">IF(AND(Altitude_culmi&gt;80, Altitude_culmi&lt;=350), 27, NA())</f>
        <v>27</v>
      </c>
      <c r="C168" s="303">
        <v>8</v>
      </c>
      <c r="D168" s="272">
        <f t="shared" ca="1" si="0"/>
        <v>105.5467649558001</v>
      </c>
      <c r="E168" s="272"/>
      <c r="F168" s="273">
        <f t="shared" ca="1" si="1"/>
        <v>89.5467649558001</v>
      </c>
    </row>
    <row r="169" spans="2:6" x14ac:dyDescent="0.2">
      <c r="B169" s="271">
        <f ca="1">IF(AND(Altitude_culmi&gt;80, Altitude_culmi&lt;=350), 27, NA())</f>
        <v>27</v>
      </c>
      <c r="C169" s="303">
        <v>7.6</v>
      </c>
      <c r="D169" s="272">
        <f t="shared" ca="1" si="0"/>
        <v>105.14676495580009</v>
      </c>
      <c r="E169" s="272"/>
      <c r="F169" s="273">
        <f t="shared" ca="1" si="1"/>
        <v>89.946764955800106</v>
      </c>
    </row>
    <row r="170" spans="2:6" x14ac:dyDescent="0.2">
      <c r="B170" s="271">
        <f ca="1">IF(AND(Altitude_culmi&gt;80, Altitude_culmi&lt;=350), 27, NA())</f>
        <v>27</v>
      </c>
      <c r="C170" s="303">
        <v>6.8</v>
      </c>
      <c r="D170" s="272">
        <f t="shared" ca="1" si="0"/>
        <v>104.3467649558001</v>
      </c>
      <c r="E170" s="272"/>
      <c r="F170" s="273">
        <f t="shared" ca="1" si="1"/>
        <v>90.746764955800103</v>
      </c>
    </row>
    <row r="171" spans="2:6" x14ac:dyDescent="0.2">
      <c r="B171" s="271">
        <f ca="1">IF(AND(Altitude_culmi&gt;80, Altitude_culmi&lt;=350), 29, NA())</f>
        <v>29</v>
      </c>
      <c r="C171" s="303">
        <v>6</v>
      </c>
      <c r="D171" s="272">
        <f t="shared" ca="1" si="0"/>
        <v>103.5467649558001</v>
      </c>
      <c r="E171" s="272"/>
      <c r="F171" s="273">
        <f t="shared" ca="1" si="1"/>
        <v>91.5467649558001</v>
      </c>
    </row>
    <row r="172" spans="2:6" x14ac:dyDescent="0.2">
      <c r="B172" s="271">
        <f ca="1">IF(AND(Altitude_culmi&gt;80, Altitude_culmi&lt;=350), 31, NA())</f>
        <v>31</v>
      </c>
      <c r="C172" s="303">
        <v>5</v>
      </c>
      <c r="D172" s="272">
        <f t="shared" ca="1" si="0"/>
        <v>102.5467649558001</v>
      </c>
      <c r="E172" s="272"/>
      <c r="F172" s="273">
        <f t="shared" ca="1" si="1"/>
        <v>92.5467649558001</v>
      </c>
    </row>
    <row r="173" spans="2:6" x14ac:dyDescent="0.2">
      <c r="B173" s="271">
        <f ca="1">IF(AND(Altitude_culmi&gt;80, Altitude_culmi&lt;=350), 32, NA())</f>
        <v>32</v>
      </c>
      <c r="C173" s="303">
        <v>3.8</v>
      </c>
      <c r="D173" s="272">
        <f t="shared" ca="1" si="0"/>
        <v>101.3467649558001</v>
      </c>
      <c r="E173" s="272"/>
      <c r="F173" s="273">
        <f t="shared" ca="1" si="1"/>
        <v>93.746764955800103</v>
      </c>
    </row>
    <row r="174" spans="2:6" x14ac:dyDescent="0.2">
      <c r="B174" s="271">
        <f ca="1">IF(AND(Altitude_culmi&gt;80, Altitude_culmi&lt;=350), 33, NA())</f>
        <v>33</v>
      </c>
      <c r="C174" s="482">
        <v>0</v>
      </c>
      <c r="D174" s="483">
        <f t="shared" ca="1" si="0"/>
        <v>97.5467649558001</v>
      </c>
      <c r="E174" s="483"/>
      <c r="F174" s="270">
        <f t="shared" ca="1" si="1"/>
        <v>97.5467649558001</v>
      </c>
    </row>
    <row r="175" spans="2:6" x14ac:dyDescent="0.2">
      <c r="B175" s="271">
        <f ca="1">IF(AND(Altitude_culmi&gt;80, Altitude_culmi&lt;=350), 34, NA())</f>
        <v>34</v>
      </c>
    </row>
    <row r="176" spans="2:6" x14ac:dyDescent="0.2">
      <c r="B176" s="268">
        <f ca="1">IF(AND(Altitude_culmi&gt;80, Altitude_culmi&lt;=350), 35, NA())</f>
        <v>35</v>
      </c>
      <c r="C176" s="267" t="s">
        <v>308</v>
      </c>
      <c r="D176" s="486" t="s">
        <v>309</v>
      </c>
      <c r="E176" s="486"/>
      <c r="F176" s="487" t="s">
        <v>309</v>
      </c>
    </row>
    <row r="177" spans="2:6" x14ac:dyDescent="0.2">
      <c r="C177" s="303">
        <v>0</v>
      </c>
      <c r="D177" s="272">
        <f t="shared" ref="D177:D197" ca="1" si="2">X_culmi+C177</f>
        <v>97.5467649558001</v>
      </c>
      <c r="E177" s="272"/>
      <c r="F177" s="273">
        <f t="shared" ref="F177:F197" ca="1" si="3">X_culmi-C177</f>
        <v>97.5467649558001</v>
      </c>
    </row>
    <row r="178" spans="2:6" x14ac:dyDescent="0.2">
      <c r="B178" s="245" t="s">
        <v>307</v>
      </c>
      <c r="C178" s="303">
        <v>0</v>
      </c>
      <c r="D178" s="272">
        <f t="shared" ca="1" si="2"/>
        <v>97.5467649558001</v>
      </c>
      <c r="E178" s="272"/>
      <c r="F178" s="273">
        <f t="shared" ca="1" si="3"/>
        <v>97.5467649558001</v>
      </c>
    </row>
    <row r="179" spans="2:6" x14ac:dyDescent="0.2">
      <c r="B179" s="271" t="e">
        <f ca="1">IF(Altitude_culmi&gt;350, 324, NA())</f>
        <v>#N/A</v>
      </c>
      <c r="C179" s="303">
        <v>10</v>
      </c>
      <c r="D179" s="272">
        <f t="shared" ca="1" si="2"/>
        <v>107.5467649558001</v>
      </c>
      <c r="E179" s="272"/>
      <c r="F179" s="273">
        <f t="shared" ca="1" si="3"/>
        <v>87.5467649558001</v>
      </c>
    </row>
    <row r="180" spans="2:6" x14ac:dyDescent="0.2">
      <c r="B180" s="271" t="e">
        <f ca="1">IF(Altitude_culmi&gt;350, 300, NA())</f>
        <v>#N/A</v>
      </c>
      <c r="C180" s="303">
        <v>0</v>
      </c>
      <c r="D180" s="272">
        <f t="shared" ca="1" si="2"/>
        <v>97.5467649558001</v>
      </c>
      <c r="E180" s="272"/>
      <c r="F180" s="273">
        <f t="shared" ca="1" si="3"/>
        <v>97.5467649558001</v>
      </c>
    </row>
    <row r="181" spans="2:6" x14ac:dyDescent="0.2">
      <c r="B181" s="271" t="e">
        <f ca="1">IF(Altitude_culmi&gt;350, 280, NA())</f>
        <v>#N/A</v>
      </c>
      <c r="C181" s="303">
        <v>10</v>
      </c>
      <c r="D181" s="272">
        <f t="shared" ca="1" si="2"/>
        <v>107.5467649558001</v>
      </c>
      <c r="E181" s="272"/>
      <c r="F181" s="273">
        <f t="shared" ca="1" si="3"/>
        <v>87.5467649558001</v>
      </c>
    </row>
    <row r="182" spans="2:6" x14ac:dyDescent="0.2">
      <c r="B182" s="271" t="e">
        <f ca="1">IF(Altitude_culmi&gt;350, 280, NA())</f>
        <v>#N/A</v>
      </c>
      <c r="C182" s="303">
        <v>13</v>
      </c>
      <c r="D182" s="272">
        <f t="shared" ca="1" si="2"/>
        <v>110.5467649558001</v>
      </c>
      <c r="E182" s="272"/>
      <c r="F182" s="273">
        <f t="shared" ca="1" si="3"/>
        <v>84.5467649558001</v>
      </c>
    </row>
    <row r="183" spans="2:6" x14ac:dyDescent="0.2">
      <c r="B183" s="271" t="e">
        <f ca="1">IF(Altitude_culmi&gt;350, 280, NA())</f>
        <v>#N/A</v>
      </c>
      <c r="C183" s="303">
        <v>17</v>
      </c>
      <c r="D183" s="272">
        <f t="shared" ca="1" si="2"/>
        <v>114.5467649558001</v>
      </c>
      <c r="E183" s="272"/>
      <c r="F183" s="273">
        <f t="shared" ca="1" si="3"/>
        <v>80.5467649558001</v>
      </c>
    </row>
    <row r="184" spans="2:6" x14ac:dyDescent="0.2">
      <c r="B184" s="271" t="e">
        <f ca="1">IF(Altitude_culmi&gt;350, 200, NA())</f>
        <v>#N/A</v>
      </c>
      <c r="C184" s="303">
        <v>20</v>
      </c>
      <c r="D184" s="272">
        <f t="shared" ca="1" si="2"/>
        <v>117.5467649558001</v>
      </c>
      <c r="E184" s="272"/>
      <c r="F184" s="273">
        <f t="shared" ca="1" si="3"/>
        <v>77.5467649558001</v>
      </c>
    </row>
    <row r="185" spans="2:6" x14ac:dyDescent="0.2">
      <c r="B185" s="271" t="e">
        <f ca="1">IF(Altitude_culmi&gt;350, 160, NA())</f>
        <v>#N/A</v>
      </c>
      <c r="C185" s="303">
        <v>25</v>
      </c>
      <c r="D185" s="272">
        <f t="shared" ca="1" si="2"/>
        <v>122.5467649558001</v>
      </c>
      <c r="E185" s="272"/>
      <c r="F185" s="273">
        <f t="shared" ca="1" si="3"/>
        <v>72.5467649558001</v>
      </c>
    </row>
    <row r="186" spans="2:6" x14ac:dyDescent="0.2">
      <c r="B186" s="271" t="e">
        <f ca="1">IF(Altitude_culmi&gt;350, 115, NA())</f>
        <v>#N/A</v>
      </c>
      <c r="C186" s="303">
        <v>30</v>
      </c>
      <c r="D186" s="272">
        <f t="shared" ca="1" si="2"/>
        <v>127.5467649558001</v>
      </c>
      <c r="E186" s="272"/>
      <c r="F186" s="273">
        <f t="shared" ca="1" si="3"/>
        <v>67.5467649558001</v>
      </c>
    </row>
    <row r="187" spans="2:6" x14ac:dyDescent="0.2">
      <c r="B187" s="271" t="e">
        <f ca="1">IF(Altitude_culmi&gt;350, 90, NA())</f>
        <v>#N/A</v>
      </c>
      <c r="C187" s="303">
        <v>36</v>
      </c>
      <c r="D187" s="272">
        <f t="shared" ca="1" si="2"/>
        <v>133.54676495580009</v>
      </c>
      <c r="E187" s="272"/>
      <c r="F187" s="273">
        <f t="shared" ca="1" si="3"/>
        <v>61.5467649558001</v>
      </c>
    </row>
    <row r="188" spans="2:6" x14ac:dyDescent="0.2">
      <c r="B188" s="271" t="e">
        <f ca="1">IF(Altitude_culmi&gt;350, 57, NA())</f>
        <v>#N/A</v>
      </c>
      <c r="C188" s="303">
        <v>48</v>
      </c>
      <c r="D188" s="272">
        <f t="shared" ca="1" si="2"/>
        <v>145.54676495580009</v>
      </c>
      <c r="E188" s="272"/>
      <c r="F188" s="273">
        <f t="shared" ca="1" si="3"/>
        <v>49.5467649558001</v>
      </c>
    </row>
    <row r="189" spans="2:6" x14ac:dyDescent="0.2">
      <c r="B189" s="271" t="e">
        <f ca="1">IF(Altitude_culmi&gt;350, 40, NA())</f>
        <v>#N/A</v>
      </c>
      <c r="C189" s="303">
        <v>62</v>
      </c>
      <c r="D189" s="272">
        <f t="shared" ca="1" si="2"/>
        <v>159.54676495580009</v>
      </c>
      <c r="E189" s="272"/>
      <c r="F189" s="273">
        <f t="shared" ca="1" si="3"/>
        <v>35.5467649558001</v>
      </c>
    </row>
    <row r="190" spans="2:6" x14ac:dyDescent="0.2">
      <c r="B190" s="271" t="e">
        <f ca="1">IF(Altitude_culmi&gt;350, 20, NA())</f>
        <v>#N/A</v>
      </c>
      <c r="C190" s="303">
        <v>37</v>
      </c>
      <c r="D190" s="272">
        <f t="shared" ca="1" si="2"/>
        <v>134.54676495580009</v>
      </c>
      <c r="E190" s="272"/>
      <c r="F190" s="273">
        <f t="shared" ca="1" si="3"/>
        <v>60.5467649558001</v>
      </c>
    </row>
    <row r="191" spans="2:6" x14ac:dyDescent="0.2">
      <c r="B191" s="271" t="e">
        <f ca="1">IF(Altitude_culmi&gt;350, 0.5, NA())</f>
        <v>#N/A</v>
      </c>
      <c r="C191" s="303">
        <v>30</v>
      </c>
      <c r="D191" s="272">
        <f t="shared" ca="1" si="2"/>
        <v>127.5467649558001</v>
      </c>
      <c r="E191" s="272"/>
      <c r="F191" s="273">
        <f t="shared" ca="1" si="3"/>
        <v>67.5467649558001</v>
      </c>
    </row>
    <row r="192" spans="2:6" x14ac:dyDescent="0.2">
      <c r="B192" s="271" t="e">
        <f ca="1">IF(Altitude_culmi&gt;350, 0.5, NA())</f>
        <v>#N/A</v>
      </c>
      <c r="C192" s="303">
        <v>15</v>
      </c>
      <c r="D192" s="272">
        <f t="shared" ca="1" si="2"/>
        <v>112.5467649558001</v>
      </c>
      <c r="E192" s="272"/>
      <c r="F192" s="273">
        <f t="shared" ca="1" si="3"/>
        <v>82.5467649558001</v>
      </c>
    </row>
    <row r="193" spans="2:6" x14ac:dyDescent="0.2">
      <c r="B193" s="271" t="e">
        <f ca="1">IF(Altitude_culmi&gt;350, 15, NA())</f>
        <v>#N/A</v>
      </c>
      <c r="C193" s="303">
        <v>0</v>
      </c>
      <c r="D193" s="272">
        <f t="shared" ca="1" si="2"/>
        <v>97.5467649558001</v>
      </c>
      <c r="E193" s="272"/>
      <c r="F193" s="273">
        <f t="shared" ca="1" si="3"/>
        <v>97.5467649558001</v>
      </c>
    </row>
    <row r="194" spans="2:6" x14ac:dyDescent="0.2">
      <c r="B194" s="271" t="e">
        <f ca="1">IF(Altitude_culmi&gt;350, 30, NA())</f>
        <v>#N/A</v>
      </c>
      <c r="C194" s="303">
        <v>0</v>
      </c>
      <c r="D194" s="272">
        <f t="shared" ca="1" si="2"/>
        <v>97.5467649558001</v>
      </c>
      <c r="E194" s="272"/>
      <c r="F194" s="273">
        <f t="shared" ca="1" si="3"/>
        <v>97.5467649558001</v>
      </c>
    </row>
    <row r="195" spans="2:6" x14ac:dyDescent="0.2">
      <c r="B195" s="271" t="e">
        <f ca="1">IF(Altitude_culmi&gt;350, 37, NA())</f>
        <v>#N/A</v>
      </c>
      <c r="C195" s="303">
        <v>17</v>
      </c>
      <c r="D195" s="272">
        <f t="shared" ca="1" si="2"/>
        <v>114.5467649558001</v>
      </c>
      <c r="E195" s="272"/>
      <c r="F195" s="273">
        <f t="shared" ca="1" si="3"/>
        <v>80.5467649558001</v>
      </c>
    </row>
    <row r="196" spans="2:6" x14ac:dyDescent="0.2">
      <c r="B196" s="271" t="e">
        <f ca="1">IF(Altitude_culmi&gt;350, 67, NA())</f>
        <v>#N/A</v>
      </c>
      <c r="C196" s="303">
        <v>11</v>
      </c>
      <c r="D196" s="272">
        <f t="shared" ca="1" si="2"/>
        <v>108.5467649558001</v>
      </c>
      <c r="E196" s="272"/>
      <c r="F196" s="273">
        <f t="shared" ca="1" si="3"/>
        <v>86.5467649558001</v>
      </c>
    </row>
    <row r="197" spans="2:6" x14ac:dyDescent="0.2">
      <c r="B197" s="271" t="e">
        <f ca="1">IF(Altitude_culmi&gt;350, 67, NA())</f>
        <v>#N/A</v>
      </c>
      <c r="C197" s="482">
        <v>0</v>
      </c>
      <c r="D197" s="483">
        <f t="shared" ca="1" si="2"/>
        <v>97.5467649558001</v>
      </c>
      <c r="E197" s="483"/>
      <c r="F197" s="270">
        <f t="shared" ca="1" si="3"/>
        <v>97.5467649558001</v>
      </c>
    </row>
    <row r="198" spans="2:6" x14ac:dyDescent="0.2">
      <c r="B198" s="271" t="e">
        <f ca="1">IF(Altitude_culmi&gt;350, 100, NA())</f>
        <v>#N/A</v>
      </c>
    </row>
    <row r="199" spans="2:6" x14ac:dyDescent="0.2">
      <c r="B199" s="268" t="e">
        <f ca="1">IF(Altitude_culmi&gt;350, 100, NA())</f>
        <v>#N/A</v>
      </c>
    </row>
  </sheetData>
  <sheetProtection password="C6AC" sheet="1"/>
  <protectedRanges>
    <protectedRange sqref="C25" name="Plage1"/>
  </protectedRanges>
  <mergeCells count="41">
    <mergeCell ref="F49:G49"/>
    <mergeCell ref="F40:G40"/>
    <mergeCell ref="F41:G41"/>
    <mergeCell ref="F42:G42"/>
    <mergeCell ref="F43:G43"/>
    <mergeCell ref="F48:G48"/>
    <mergeCell ref="F44:G44"/>
    <mergeCell ref="F45:G45"/>
    <mergeCell ref="F47:G47"/>
    <mergeCell ref="F46:G46"/>
    <mergeCell ref="C15:D15"/>
    <mergeCell ref="C10:D10"/>
    <mergeCell ref="C19:D19"/>
    <mergeCell ref="C20:D20"/>
    <mergeCell ref="C11:D11"/>
    <mergeCell ref="C13:D13"/>
    <mergeCell ref="C14:D14"/>
    <mergeCell ref="C18:D18"/>
    <mergeCell ref="C22:D22"/>
    <mergeCell ref="C17:D17"/>
    <mergeCell ref="F23:G23"/>
    <mergeCell ref="F27:G27"/>
    <mergeCell ref="F26:G26"/>
    <mergeCell ref="F24:G24"/>
    <mergeCell ref="F25:G25"/>
    <mergeCell ref="H33:I33"/>
    <mergeCell ref="H32:I32"/>
    <mergeCell ref="F28:G28"/>
    <mergeCell ref="H31:I31"/>
    <mergeCell ref="A38:D38"/>
    <mergeCell ref="H34:I34"/>
    <mergeCell ref="F34:G34"/>
    <mergeCell ref="F33:G33"/>
    <mergeCell ref="F32:G32"/>
    <mergeCell ref="F38:G38"/>
    <mergeCell ref="C2:D3"/>
    <mergeCell ref="C7:D7"/>
    <mergeCell ref="C8:D8"/>
    <mergeCell ref="C9:D9"/>
    <mergeCell ref="C6:D6"/>
    <mergeCell ref="C4:D4"/>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AND(Portee_balistique&gt;200,LEFT(Propu,2)="p2")</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19050</xdr:colOff>
                <xdr:row>93</xdr:row>
                <xdr:rowOff>66675</xdr:rowOff>
              </from>
              <to>
                <xdr:col>4</xdr:col>
                <xdr:colOff>57150</xdr:colOff>
                <xdr:row>99</xdr:row>
                <xdr:rowOff>76200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619125</xdr:colOff>
                    <xdr:row>9</xdr:row>
                    <xdr:rowOff>9525</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942975</xdr:colOff>
                    <xdr:row>42</xdr:row>
                    <xdr:rowOff>9525</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942975</xdr:colOff>
                    <xdr:row>44</xdr:row>
                    <xdr:rowOff>9525</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942975</xdr:colOff>
                    <xdr:row>50</xdr:row>
                    <xdr:rowOff>9525</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942975</xdr:colOff>
                    <xdr:row>52</xdr:row>
                    <xdr:rowOff>9525</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2.75" x14ac:dyDescent="0.2"/>
  <sheetData>
    <row r="75" spans="2:2" x14ac:dyDescent="0.2">
      <c r="B75" t="s">
        <v>44</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35"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36"/>
  <sheetViews>
    <sheetView showGridLines="0" topLeftCell="A3" zoomScale="80" zoomScaleNormal="80" workbookViewId="0">
      <selection activeCell="K17" sqref="K17"/>
    </sheetView>
  </sheetViews>
  <sheetFormatPr baseColWidth="10" defaultRowHeight="12.75" x14ac:dyDescent="0.2"/>
  <cols>
    <col min="1" max="1" width="22.5703125" bestFit="1" customWidth="1"/>
  </cols>
  <sheetData>
    <row r="1" spans="1:26" ht="13.5" thickBot="1" x14ac:dyDescent="0.25">
      <c r="A1" s="417" t="str">
        <f>IF(Lang="Français","Moteur sélectionné","Selected motor")</f>
        <v>Moteur sélectionné</v>
      </c>
      <c r="B1" s="417" t="s">
        <v>32</v>
      </c>
    </row>
    <row r="2" spans="1:26" ht="13.5" thickBot="1" x14ac:dyDescent="0.25">
      <c r="A2" s="407" t="str">
        <f>Propu</f>
        <v>Pandora</v>
      </c>
      <c r="B2" s="407">
        <f>VLOOKUP(A2,A26:B304,2,FALSE)</f>
        <v>193</v>
      </c>
      <c r="C2" s="418" t="s">
        <v>118</v>
      </c>
      <c r="D2" s="408">
        <f ca="1">INDIRECT(ADDRESS(B2,4))</f>
        <v>142.44</v>
      </c>
      <c r="E2" s="418" t="s">
        <v>117</v>
      </c>
      <c r="F2" s="409">
        <f ca="1">INDIRECT(ADDRESS(B2,6))</f>
        <v>192.06187401906058</v>
      </c>
      <c r="G2" s="418" t="s">
        <v>59</v>
      </c>
      <c r="H2" s="410">
        <f ca="1">INDIRECT(ADDRESS(B2,8))</f>
        <v>0.15989999999999999</v>
      </c>
      <c r="I2" s="418" t="s">
        <v>274</v>
      </c>
      <c r="J2" s="411">
        <f ca="1">INDIRECT(ADDRESS(B2,10))</f>
        <v>7.5599999999999987E-2</v>
      </c>
      <c r="K2" s="418" t="s">
        <v>61</v>
      </c>
      <c r="L2" s="410">
        <f ca="1">INDIRECT(ADDRESS(B2,12))</f>
        <v>8.43E-2</v>
      </c>
      <c r="M2" s="418" t="s">
        <v>60</v>
      </c>
      <c r="N2" s="412">
        <f ca="1">INDIRECT(ADDRESS(B2,14))</f>
        <v>114</v>
      </c>
      <c r="O2" s="418" t="s">
        <v>62</v>
      </c>
      <c r="P2" s="412">
        <f ca="1">INDIRECT(ADDRESS(B2,16))</f>
        <v>114</v>
      </c>
      <c r="Q2" s="418" t="s">
        <v>63</v>
      </c>
      <c r="R2" s="412">
        <f ca="1">INDIRECT(ADDRESS(B2,18))</f>
        <v>228</v>
      </c>
      <c r="S2" s="418" t="s">
        <v>64</v>
      </c>
      <c r="T2" s="412">
        <f ca="1">INDIRECT(ADDRESS(B2,20))</f>
        <v>24</v>
      </c>
      <c r="U2" s="418" t="s">
        <v>57</v>
      </c>
      <c r="V2" s="413" t="str">
        <f ca="1">INDIRECT(ADDRESS(B2,22))</f>
        <v>MiniN</v>
      </c>
      <c r="W2" s="547" t="s">
        <v>396</v>
      </c>
      <c r="X2" s="548">
        <f ca="1">INDIRECT(ADDRESS(B2,24))</f>
        <v>0.97</v>
      </c>
      <c r="Y2" s="547" t="s">
        <v>395</v>
      </c>
      <c r="Z2" s="413">
        <f ca="1">INDIRECT(ADDRESS(B2,26))</f>
        <v>13</v>
      </c>
    </row>
    <row r="3" spans="1:26" x14ac:dyDescent="0.2">
      <c r="A3" s="417" t="str">
        <f>IF(Lang="Français","Temps (en s)","Time (s)")</f>
        <v>Temps (en s)</v>
      </c>
      <c r="B3" s="419">
        <f t="shared" ref="B3:Y3" ca="1" si="0">INDIRECT(ADDRESS($B2+1,COLUMN(B3)))</f>
        <v>0</v>
      </c>
      <c r="C3" s="420">
        <f t="shared" ca="1" si="0"/>
        <v>0.02</v>
      </c>
      <c r="D3" s="420">
        <f t="shared" ca="1" si="0"/>
        <v>0.04</v>
      </c>
      <c r="E3" s="420">
        <f t="shared" ca="1" si="0"/>
        <v>0.62</v>
      </c>
      <c r="F3" s="420">
        <f t="shared" ca="1" si="0"/>
        <v>0.66</v>
      </c>
      <c r="G3" s="420">
        <f t="shared" ca="1" si="0"/>
        <v>0.68</v>
      </c>
      <c r="H3" s="420">
        <f t="shared" ca="1" si="0"/>
        <v>0.8</v>
      </c>
      <c r="I3" s="420">
        <f t="shared" ca="1" si="0"/>
        <v>0.84</v>
      </c>
      <c r="J3" s="420">
        <f t="shared" ca="1" si="0"/>
        <v>0.88</v>
      </c>
      <c r="K3" s="420">
        <f t="shared" ca="1" si="0"/>
        <v>0.92</v>
      </c>
      <c r="L3" s="420">
        <f t="shared" ca="1" si="0"/>
        <v>0.96</v>
      </c>
      <c r="M3" s="420">
        <f t="shared" ca="1" si="0"/>
        <v>1</v>
      </c>
      <c r="N3" s="420">
        <f t="shared" ca="1" si="0"/>
        <v>1.08</v>
      </c>
      <c r="O3" s="420">
        <f t="shared" ca="1" si="0"/>
        <v>2</v>
      </c>
      <c r="P3" s="420">
        <f t="shared" ca="1" si="0"/>
        <v>2</v>
      </c>
      <c r="Q3" s="420">
        <f t="shared" ca="1" si="0"/>
        <v>2</v>
      </c>
      <c r="R3" s="420">
        <f t="shared" ca="1" si="0"/>
        <v>2</v>
      </c>
      <c r="S3" s="420">
        <f t="shared" ca="1" si="0"/>
        <v>2</v>
      </c>
      <c r="T3" s="420">
        <f t="shared" ca="1" si="0"/>
        <v>2</v>
      </c>
      <c r="U3" s="420">
        <f t="shared" ca="1" si="0"/>
        <v>2</v>
      </c>
      <c r="V3" s="420">
        <f t="shared" ca="1" si="0"/>
        <v>2</v>
      </c>
      <c r="W3" s="420">
        <f t="shared" ca="1" si="0"/>
        <v>2</v>
      </c>
      <c r="X3" s="420">
        <f ca="1">INDIRECT(ADDRESS($B2+1,COLUMN(X3)))</f>
        <v>2</v>
      </c>
      <c r="Y3" s="421">
        <f t="shared" ca="1" si="0"/>
        <v>1000</v>
      </c>
    </row>
    <row r="4" spans="1:26" ht="13.5" thickBot="1" x14ac:dyDescent="0.25">
      <c r="A4" s="435" t="str">
        <f>IF(Lang="Français","Poussée (en N)","Thrust (N)")</f>
        <v>Poussée (en N)</v>
      </c>
      <c r="B4" s="422">
        <f t="shared" ref="B4:Y4" ca="1" si="1">INDIRECT(ADDRESS($B2+2,COLUMN(B3)))</f>
        <v>0</v>
      </c>
      <c r="C4" s="423">
        <f t="shared" ca="1" si="1"/>
        <v>250</v>
      </c>
      <c r="D4" s="423">
        <f t="shared" ca="1" si="1"/>
        <v>210</v>
      </c>
      <c r="E4" s="423">
        <f t="shared" ca="1" si="1"/>
        <v>160</v>
      </c>
      <c r="F4" s="423">
        <f t="shared" ca="1" si="1"/>
        <v>150</v>
      </c>
      <c r="G4" s="423">
        <f t="shared" ca="1" si="1"/>
        <v>142</v>
      </c>
      <c r="H4" s="423">
        <f t="shared" ca="1" si="1"/>
        <v>62</v>
      </c>
      <c r="I4" s="423">
        <f t="shared" ca="1" si="1"/>
        <v>48</v>
      </c>
      <c r="J4" s="423">
        <f t="shared" ca="1" si="1"/>
        <v>34</v>
      </c>
      <c r="K4" s="423">
        <f t="shared" ca="1" si="1"/>
        <v>24</v>
      </c>
      <c r="L4" s="423">
        <f t="shared" ca="1" si="1"/>
        <v>15</v>
      </c>
      <c r="M4" s="423">
        <f t="shared" ca="1" si="1"/>
        <v>10</v>
      </c>
      <c r="N4" s="423">
        <f t="shared" ca="1" si="1"/>
        <v>0</v>
      </c>
      <c r="O4" s="423">
        <f t="shared" ca="1" si="1"/>
        <v>0</v>
      </c>
      <c r="P4" s="423">
        <f t="shared" ca="1" si="1"/>
        <v>0</v>
      </c>
      <c r="Q4" s="423">
        <f t="shared" ca="1" si="1"/>
        <v>0</v>
      </c>
      <c r="R4" s="423">
        <f t="shared" ca="1" si="1"/>
        <v>0</v>
      </c>
      <c r="S4" s="423">
        <f t="shared" ca="1" si="1"/>
        <v>0</v>
      </c>
      <c r="T4" s="423">
        <f t="shared" ca="1" si="1"/>
        <v>0</v>
      </c>
      <c r="U4" s="423">
        <f t="shared" ca="1" si="1"/>
        <v>0</v>
      </c>
      <c r="V4" s="423">
        <f t="shared" ca="1" si="1"/>
        <v>0</v>
      </c>
      <c r="W4" s="423">
        <f t="shared" ca="1" si="1"/>
        <v>0</v>
      </c>
      <c r="X4" s="423">
        <f ca="1">INDIRECT(ADDRESS($B2+2,COLUMN(X3)))</f>
        <v>0</v>
      </c>
      <c r="Y4" s="424">
        <f t="shared" ca="1" si="1"/>
        <v>0</v>
      </c>
    </row>
    <row r="5" spans="1:26" x14ac:dyDescent="0.2">
      <c r="B5" s="17"/>
      <c r="C5" s="17"/>
      <c r="D5" s="17"/>
      <c r="E5" s="17"/>
      <c r="F5" s="17"/>
      <c r="G5" s="17"/>
      <c r="H5" s="17"/>
      <c r="I5" s="17"/>
      <c r="J5" s="17"/>
      <c r="K5" s="17"/>
      <c r="L5" s="17"/>
      <c r="M5" s="17"/>
      <c r="N5" s="17"/>
      <c r="O5" s="17"/>
      <c r="P5" s="17"/>
      <c r="Q5" s="17"/>
      <c r="R5" s="17"/>
      <c r="S5" s="17"/>
      <c r="T5" s="17"/>
      <c r="U5" s="17"/>
      <c r="V5" s="17"/>
      <c r="W5" s="17"/>
      <c r="X5" s="17"/>
      <c r="Y5" s="17"/>
    </row>
    <row r="6" spans="1:26" x14ac:dyDescent="0.2">
      <c r="B6" s="17"/>
      <c r="C6" s="17"/>
      <c r="D6" s="17"/>
      <c r="E6" s="17"/>
      <c r="F6" s="17"/>
      <c r="G6" s="17"/>
      <c r="H6" s="17"/>
      <c r="I6" s="17"/>
      <c r="J6" s="17"/>
      <c r="K6" s="17"/>
      <c r="L6" s="17"/>
      <c r="M6" s="17"/>
      <c r="N6" s="17"/>
      <c r="O6" s="17"/>
      <c r="P6" s="17"/>
      <c r="Q6" s="17"/>
      <c r="R6" s="17"/>
      <c r="S6" s="17"/>
      <c r="T6" s="17"/>
      <c r="U6" s="17"/>
      <c r="V6" s="17"/>
      <c r="W6" s="17"/>
      <c r="X6" s="17"/>
      <c r="Y6" s="17"/>
    </row>
    <row r="7" spans="1:26" x14ac:dyDescent="0.2">
      <c r="B7" s="17"/>
      <c r="C7" s="17"/>
      <c r="D7" s="17"/>
      <c r="E7" s="17"/>
      <c r="F7" s="17"/>
      <c r="G7" s="17"/>
      <c r="H7" s="17"/>
      <c r="I7" s="17"/>
      <c r="J7" s="17"/>
      <c r="K7" s="17"/>
      <c r="L7" s="17"/>
      <c r="M7" s="17"/>
    </row>
    <row r="8" spans="1:26" x14ac:dyDescent="0.2">
      <c r="B8" s="17"/>
      <c r="C8" s="17"/>
      <c r="D8" s="17"/>
      <c r="E8" s="17"/>
      <c r="F8" s="17"/>
      <c r="G8" s="17"/>
      <c r="H8" s="17"/>
      <c r="I8" s="17"/>
      <c r="J8" s="17"/>
      <c r="K8" s="17"/>
      <c r="L8" s="17"/>
      <c r="M8" s="17"/>
    </row>
    <row r="9" spans="1:26" x14ac:dyDescent="0.2">
      <c r="B9" s="17"/>
      <c r="C9" s="17"/>
      <c r="D9" s="17"/>
      <c r="E9" s="17"/>
      <c r="F9" s="17"/>
      <c r="G9" s="17"/>
      <c r="H9" s="17"/>
      <c r="I9" s="17"/>
      <c r="J9" s="17"/>
      <c r="K9" s="17"/>
      <c r="L9" s="17"/>
      <c r="M9" s="17"/>
    </row>
    <row r="10" spans="1:26" x14ac:dyDescent="0.2">
      <c r="B10" s="17"/>
      <c r="C10" s="17"/>
      <c r="D10" s="17"/>
      <c r="E10" s="17"/>
      <c r="F10" s="17"/>
      <c r="G10" s="17"/>
      <c r="H10" s="17"/>
      <c r="I10" s="17"/>
      <c r="J10" s="17"/>
    </row>
    <row r="11" spans="1:26" x14ac:dyDescent="0.2">
      <c r="B11" s="17"/>
      <c r="C11" s="17"/>
      <c r="D11" s="17"/>
      <c r="E11" s="17"/>
      <c r="F11" s="17"/>
      <c r="G11" s="17"/>
      <c r="H11" s="17"/>
      <c r="I11" s="17"/>
      <c r="J11" s="17"/>
    </row>
    <row r="12" spans="1:26" x14ac:dyDescent="0.2">
      <c r="B12" s="17"/>
      <c r="C12" s="17"/>
      <c r="D12" s="17"/>
      <c r="E12" s="17"/>
      <c r="F12" s="17"/>
      <c r="G12" s="17"/>
      <c r="H12" s="17"/>
      <c r="I12" s="17"/>
      <c r="J12" s="17"/>
    </row>
    <row r="13" spans="1:26" x14ac:dyDescent="0.2">
      <c r="B13" s="17"/>
      <c r="C13" s="17"/>
      <c r="D13" s="17"/>
      <c r="E13" s="17"/>
      <c r="F13" s="17"/>
      <c r="G13" s="17"/>
      <c r="H13" s="17"/>
      <c r="I13" s="17"/>
      <c r="J13" s="17"/>
    </row>
    <row r="14" spans="1:26" x14ac:dyDescent="0.2">
      <c r="B14" s="17"/>
      <c r="C14" s="17"/>
      <c r="D14" s="17"/>
      <c r="E14" s="17"/>
      <c r="F14" s="17"/>
      <c r="G14" s="17"/>
      <c r="H14" s="17"/>
      <c r="I14" s="17"/>
      <c r="J14" s="17"/>
    </row>
    <row r="15" spans="1:26" x14ac:dyDescent="0.2">
      <c r="B15" s="17"/>
      <c r="C15" s="17"/>
      <c r="D15" s="17"/>
      <c r="E15" s="17"/>
      <c r="F15" s="17"/>
      <c r="G15" s="17"/>
      <c r="H15" s="17"/>
      <c r="I15" s="17"/>
      <c r="J15" s="17"/>
      <c r="K15" s="17"/>
      <c r="L15" s="17"/>
      <c r="M15" s="17"/>
    </row>
    <row r="16" spans="1:26" x14ac:dyDescent="0.2">
      <c r="B16" s="17"/>
      <c r="C16" s="17"/>
      <c r="D16" s="17"/>
      <c r="E16" s="17"/>
      <c r="F16" s="17"/>
      <c r="G16" s="17"/>
      <c r="H16" s="17"/>
      <c r="I16" s="17"/>
      <c r="J16" s="17"/>
      <c r="K16" s="17"/>
      <c r="L16" s="17"/>
      <c r="M16" s="17"/>
    </row>
    <row r="17" spans="1:25" x14ac:dyDescent="0.2">
      <c r="B17" s="17"/>
      <c r="C17" s="17"/>
      <c r="D17" s="17"/>
      <c r="E17" s="17"/>
      <c r="F17" s="17"/>
      <c r="G17" s="17"/>
      <c r="H17" s="17"/>
      <c r="I17" s="17"/>
      <c r="J17" s="17"/>
      <c r="K17" s="17"/>
      <c r="L17" s="17"/>
      <c r="M17" s="17"/>
    </row>
    <row r="18" spans="1:25" x14ac:dyDescent="0.2">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5" thickBot="1" x14ac:dyDescent="0.25">
      <c r="A25" s="492" t="s">
        <v>277</v>
      </c>
    </row>
    <row r="26" spans="1:25" ht="13.5" thickBot="1" x14ac:dyDescent="0.25">
      <c r="A26" s="416" t="s">
        <v>310</v>
      </c>
      <c r="B26" s="414">
        <f>ROW(A26)</f>
        <v>26</v>
      </c>
      <c r="C26" s="418" t="s">
        <v>118</v>
      </c>
      <c r="D26" s="408">
        <f>SUM(B29:Y29)</f>
        <v>9.8449999999999989</v>
      </c>
      <c r="E26" s="418" t="s">
        <v>117</v>
      </c>
      <c r="F26" s="460">
        <f>D26/g/J26</f>
        <v>3.3452259599048584</v>
      </c>
      <c r="G26" s="418" t="s">
        <v>59</v>
      </c>
      <c r="H26" s="86">
        <v>0.3</v>
      </c>
      <c r="I26" s="418" t="s">
        <v>272</v>
      </c>
      <c r="J26" s="410">
        <f>H26-L26</f>
        <v>0.3</v>
      </c>
      <c r="K26" s="418" t="s">
        <v>273</v>
      </c>
      <c r="L26" s="86">
        <v>0</v>
      </c>
      <c r="M26" s="418" t="s">
        <v>60</v>
      </c>
      <c r="N26" s="87">
        <f>0.2*R26</f>
        <v>60</v>
      </c>
      <c r="O26" s="418" t="s">
        <v>62</v>
      </c>
      <c r="P26" s="87">
        <v>150</v>
      </c>
      <c r="Q26" s="418" t="s">
        <v>63</v>
      </c>
      <c r="R26" s="87">
        <v>300</v>
      </c>
      <c r="S26" s="418" t="s">
        <v>64</v>
      </c>
      <c r="T26" s="87">
        <v>90</v>
      </c>
      <c r="U26" s="418" t="s">
        <v>57</v>
      </c>
      <c r="V26" s="88" t="s">
        <v>277</v>
      </c>
      <c r="W26" s="17"/>
      <c r="X26" s="17"/>
      <c r="Y26" s="17"/>
    </row>
    <row r="27" spans="1:25" x14ac:dyDescent="0.2">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5" thickBot="1" x14ac:dyDescent="0.25">
      <c r="A29" s="435" t="s">
        <v>119</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5" thickBot="1" x14ac:dyDescent="0.25">
      <c r="A30" s="17"/>
      <c r="L30" s="17"/>
      <c r="M30" s="17"/>
      <c r="N30" s="17"/>
      <c r="O30" s="17"/>
      <c r="P30" s="17"/>
      <c r="Q30" s="17"/>
      <c r="R30" s="17"/>
      <c r="S30" s="17"/>
      <c r="T30" s="17"/>
      <c r="U30" s="17"/>
      <c r="V30" s="17"/>
      <c r="W30" s="17"/>
      <c r="X30" s="17"/>
      <c r="Y30" s="17"/>
    </row>
    <row r="31" spans="1:25" ht="13.5" thickBot="1" x14ac:dyDescent="0.25">
      <c r="A31" s="416" t="s">
        <v>311</v>
      </c>
      <c r="B31" s="414">
        <f>ROW(A31)</f>
        <v>31</v>
      </c>
      <c r="C31" s="418" t="s">
        <v>118</v>
      </c>
      <c r="D31" s="408">
        <f>SUM(B34:Y34)</f>
        <v>13.814500000000002</v>
      </c>
      <c r="E31" s="418" t="s">
        <v>117</v>
      </c>
      <c r="F31" s="460">
        <f>D31/g/J31</f>
        <v>3.1293464718541175</v>
      </c>
      <c r="G31" s="418" t="s">
        <v>59</v>
      </c>
      <c r="H31" s="86">
        <v>0.45</v>
      </c>
      <c r="I31" s="418" t="s">
        <v>272</v>
      </c>
      <c r="J31" s="410">
        <f>H31-L31</f>
        <v>0.45</v>
      </c>
      <c r="K31" s="418" t="s">
        <v>273</v>
      </c>
      <c r="L31" s="86">
        <v>0</v>
      </c>
      <c r="M31" s="418" t="s">
        <v>60</v>
      </c>
      <c r="N31" s="87">
        <f>0.3*R31</f>
        <v>90</v>
      </c>
      <c r="O31" s="418" t="s">
        <v>62</v>
      </c>
      <c r="P31" s="87">
        <v>150</v>
      </c>
      <c r="Q31" s="418" t="s">
        <v>63</v>
      </c>
      <c r="R31" s="87">
        <v>300</v>
      </c>
      <c r="S31" s="418" t="s">
        <v>64</v>
      </c>
      <c r="T31" s="87">
        <v>90</v>
      </c>
      <c r="U31" s="418" t="s">
        <v>57</v>
      </c>
      <c r="V31" s="88" t="s">
        <v>277</v>
      </c>
      <c r="W31" s="17"/>
      <c r="X31" s="17"/>
      <c r="Y31" s="17"/>
    </row>
    <row r="32" spans="1:25" x14ac:dyDescent="0.2">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5" thickBot="1" x14ac:dyDescent="0.25">
      <c r="A34" s="435" t="s">
        <v>119</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5" thickBot="1" x14ac:dyDescent="0.25">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5" thickBot="1" x14ac:dyDescent="0.25">
      <c r="A36" s="416" t="s">
        <v>312</v>
      </c>
      <c r="B36" s="414">
        <f>ROW(A36)</f>
        <v>36</v>
      </c>
      <c r="C36" s="418" t="s">
        <v>118</v>
      </c>
      <c r="D36" s="408">
        <f>SUM(B39:Y39)</f>
        <v>17.144499999999997</v>
      </c>
      <c r="E36" s="418" t="s">
        <v>117</v>
      </c>
      <c r="F36" s="460">
        <f>D36/g/J36</f>
        <v>2.9127590893645934</v>
      </c>
      <c r="G36" s="418" t="s">
        <v>59</v>
      </c>
      <c r="H36" s="86">
        <v>0.6</v>
      </c>
      <c r="I36" s="418" t="s">
        <v>272</v>
      </c>
      <c r="J36" s="410">
        <f>H36-L36</f>
        <v>0.6</v>
      </c>
      <c r="K36" s="418" t="s">
        <v>273</v>
      </c>
      <c r="L36" s="86">
        <v>0</v>
      </c>
      <c r="M36" s="418" t="s">
        <v>60</v>
      </c>
      <c r="N36" s="87">
        <f>0.4*R36</f>
        <v>120</v>
      </c>
      <c r="O36" s="418" t="s">
        <v>62</v>
      </c>
      <c r="P36" s="87">
        <v>150</v>
      </c>
      <c r="Q36" s="418" t="s">
        <v>63</v>
      </c>
      <c r="R36" s="87">
        <v>300</v>
      </c>
      <c r="S36" s="418" t="s">
        <v>64</v>
      </c>
      <c r="T36" s="87">
        <v>90</v>
      </c>
      <c r="U36" s="418" t="s">
        <v>57</v>
      </c>
      <c r="V36" s="88" t="s">
        <v>277</v>
      </c>
      <c r="W36" s="17"/>
      <c r="X36" s="17"/>
      <c r="Y36" s="17"/>
    </row>
    <row r="37" spans="1:25" x14ac:dyDescent="0.2">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5" thickBot="1" x14ac:dyDescent="0.25">
      <c r="A39" s="435" t="s">
        <v>119</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5" thickBot="1" x14ac:dyDescent="0.25">
      <c r="A40" s="17"/>
      <c r="L40" s="17"/>
      <c r="M40" s="17"/>
      <c r="N40" s="17"/>
      <c r="O40" s="17"/>
      <c r="P40" s="17"/>
      <c r="Q40" s="17"/>
      <c r="R40" s="17"/>
      <c r="S40" s="17"/>
      <c r="T40" s="17"/>
      <c r="U40" s="17"/>
      <c r="V40" s="17"/>
      <c r="W40" s="17"/>
      <c r="X40" s="17"/>
      <c r="Y40" s="17"/>
    </row>
    <row r="41" spans="1:25" ht="13.5" thickBot="1" x14ac:dyDescent="0.25">
      <c r="A41" s="416" t="s">
        <v>313</v>
      </c>
      <c r="B41" s="414">
        <f>ROW(A41)</f>
        <v>41</v>
      </c>
      <c r="C41" s="418" t="s">
        <v>118</v>
      </c>
      <c r="D41" s="408">
        <f>SUM(B44:Y44)</f>
        <v>19.415000000000003</v>
      </c>
      <c r="E41" s="418" t="s">
        <v>117</v>
      </c>
      <c r="F41" s="460">
        <f>D41/g/J41</f>
        <v>2.6388039415562354</v>
      </c>
      <c r="G41" s="418" t="s">
        <v>59</v>
      </c>
      <c r="H41" s="86">
        <v>0.75</v>
      </c>
      <c r="I41" s="418" t="s">
        <v>272</v>
      </c>
      <c r="J41" s="410">
        <f>H41-L41</f>
        <v>0.75</v>
      </c>
      <c r="K41" s="418" t="s">
        <v>273</v>
      </c>
      <c r="L41" s="86">
        <v>0</v>
      </c>
      <c r="M41" s="418" t="s">
        <v>60</v>
      </c>
      <c r="N41" s="87">
        <f>0.5*R41</f>
        <v>150</v>
      </c>
      <c r="O41" s="418" t="s">
        <v>62</v>
      </c>
      <c r="P41" s="87">
        <v>150</v>
      </c>
      <c r="Q41" s="418" t="s">
        <v>63</v>
      </c>
      <c r="R41" s="87">
        <v>300</v>
      </c>
      <c r="S41" s="418" t="s">
        <v>64</v>
      </c>
      <c r="T41" s="87">
        <v>90</v>
      </c>
      <c r="U41" s="418" t="s">
        <v>57</v>
      </c>
      <c r="V41" s="88" t="s">
        <v>277</v>
      </c>
      <c r="W41" s="17"/>
      <c r="X41" s="17"/>
      <c r="Y41" s="17"/>
    </row>
    <row r="42" spans="1:25" x14ac:dyDescent="0.2">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5" thickBot="1" x14ac:dyDescent="0.25">
      <c r="A44" s="435" t="s">
        <v>119</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5" thickBot="1" x14ac:dyDescent="0.25"/>
    <row r="46" spans="1:25" ht="13.5" thickBot="1" x14ac:dyDescent="0.25">
      <c r="A46" s="416" t="s">
        <v>278</v>
      </c>
      <c r="B46" s="414">
        <f>ROW(A46)</f>
        <v>46</v>
      </c>
      <c r="C46" s="418" t="s">
        <v>118</v>
      </c>
      <c r="D46" s="408">
        <f>SUM(B49:Y49)</f>
        <v>12.8695</v>
      </c>
      <c r="E46" s="418" t="s">
        <v>117</v>
      </c>
      <c r="F46" s="460">
        <f>D46/g/J46</f>
        <v>3.2796890927624869</v>
      </c>
      <c r="G46" s="418" t="s">
        <v>59</v>
      </c>
      <c r="H46" s="86">
        <v>0.5</v>
      </c>
      <c r="I46" s="418" t="s">
        <v>272</v>
      </c>
      <c r="J46" s="410">
        <f>H46-L46</f>
        <v>0.4</v>
      </c>
      <c r="K46" s="418" t="s">
        <v>273</v>
      </c>
      <c r="L46" s="86">
        <v>0.1</v>
      </c>
      <c r="M46" s="418" t="s">
        <v>60</v>
      </c>
      <c r="N46" s="87">
        <f>0.2*R46</f>
        <v>60</v>
      </c>
      <c r="O46" s="418" t="s">
        <v>62</v>
      </c>
      <c r="P46" s="87">
        <v>150</v>
      </c>
      <c r="Q46" s="418" t="s">
        <v>63</v>
      </c>
      <c r="R46" s="87">
        <v>300</v>
      </c>
      <c r="S46" s="418" t="s">
        <v>64</v>
      </c>
      <c r="T46" s="87">
        <v>98</v>
      </c>
      <c r="U46" s="418" t="s">
        <v>57</v>
      </c>
      <c r="V46" s="88" t="s">
        <v>277</v>
      </c>
      <c r="W46" s="17"/>
      <c r="X46" s="17"/>
      <c r="Y46" s="17"/>
    </row>
    <row r="47" spans="1:25" x14ac:dyDescent="0.2">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5" thickBot="1" x14ac:dyDescent="0.25">
      <c r="A49" s="435" t="s">
        <v>119</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5" thickBot="1" x14ac:dyDescent="0.25">
      <c r="A50" s="17"/>
      <c r="L50" s="17"/>
      <c r="M50" s="17"/>
      <c r="N50" s="17"/>
      <c r="O50" s="17"/>
      <c r="P50" s="17"/>
      <c r="Q50" s="17"/>
      <c r="R50" s="17"/>
      <c r="S50" s="17"/>
      <c r="T50" s="17"/>
      <c r="U50" s="17"/>
      <c r="V50" s="17"/>
      <c r="W50" s="17"/>
      <c r="X50" s="17"/>
      <c r="Y50" s="17"/>
    </row>
    <row r="51" spans="1:25" ht="13.5" thickBot="1" x14ac:dyDescent="0.25">
      <c r="A51" s="416" t="s">
        <v>279</v>
      </c>
      <c r="B51" s="414">
        <f>ROW(A51)</f>
        <v>51</v>
      </c>
      <c r="C51" s="418" t="s">
        <v>118</v>
      </c>
      <c r="D51" s="408">
        <f>SUM(B54:Y54)</f>
        <v>18.123500000000003</v>
      </c>
      <c r="E51" s="418" t="s">
        <v>117</v>
      </c>
      <c r="F51" s="460">
        <f>D51/g/J51</f>
        <v>3.0790859667006463</v>
      </c>
      <c r="G51" s="418" t="s">
        <v>59</v>
      </c>
      <c r="H51" s="86">
        <v>0.7</v>
      </c>
      <c r="I51" s="418" t="s">
        <v>272</v>
      </c>
      <c r="J51" s="410">
        <f>H51-L51</f>
        <v>0.6</v>
      </c>
      <c r="K51" s="418" t="s">
        <v>273</v>
      </c>
      <c r="L51" s="86">
        <v>0.1</v>
      </c>
      <c r="M51" s="418" t="s">
        <v>60</v>
      </c>
      <c r="N51" s="87">
        <f>0.3*R51</f>
        <v>90</v>
      </c>
      <c r="O51" s="418" t="s">
        <v>62</v>
      </c>
      <c r="P51" s="87">
        <v>150</v>
      </c>
      <c r="Q51" s="418" t="s">
        <v>63</v>
      </c>
      <c r="R51" s="87">
        <v>300</v>
      </c>
      <c r="S51" s="418" t="s">
        <v>64</v>
      </c>
      <c r="T51" s="87">
        <v>98</v>
      </c>
      <c r="U51" s="418" t="s">
        <v>57</v>
      </c>
      <c r="V51" s="88" t="s">
        <v>277</v>
      </c>
      <c r="W51" s="17"/>
      <c r="X51" s="17"/>
      <c r="Y51" s="17"/>
    </row>
    <row r="52" spans="1:25" x14ac:dyDescent="0.2">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5" thickBot="1" x14ac:dyDescent="0.25">
      <c r="A54" s="435" t="s">
        <v>119</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5" thickBot="1" x14ac:dyDescent="0.25">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5" thickBot="1" x14ac:dyDescent="0.25">
      <c r="A56" s="416" t="s">
        <v>280</v>
      </c>
      <c r="B56" s="414">
        <f>ROW(A56)</f>
        <v>56</v>
      </c>
      <c r="C56" s="418" t="s">
        <v>118</v>
      </c>
      <c r="D56" s="408">
        <f>SUM(B59:Y59)</f>
        <v>22.610000000000003</v>
      </c>
      <c r="E56" s="418" t="s">
        <v>117</v>
      </c>
      <c r="F56" s="460">
        <f>D56/g/J56</f>
        <v>2.88098878695209</v>
      </c>
      <c r="G56" s="418" t="s">
        <v>59</v>
      </c>
      <c r="H56" s="86">
        <v>0.9</v>
      </c>
      <c r="I56" s="418" t="s">
        <v>272</v>
      </c>
      <c r="J56" s="410">
        <f>H56-L56</f>
        <v>0.8</v>
      </c>
      <c r="K56" s="418" t="s">
        <v>273</v>
      </c>
      <c r="L56" s="86">
        <v>0.1</v>
      </c>
      <c r="M56" s="418" t="s">
        <v>60</v>
      </c>
      <c r="N56" s="87">
        <f>0.4*R56</f>
        <v>120</v>
      </c>
      <c r="O56" s="418" t="s">
        <v>62</v>
      </c>
      <c r="P56" s="87">
        <v>150</v>
      </c>
      <c r="Q56" s="418" t="s">
        <v>63</v>
      </c>
      <c r="R56" s="87">
        <v>300</v>
      </c>
      <c r="S56" s="418" t="s">
        <v>64</v>
      </c>
      <c r="T56" s="87">
        <v>98</v>
      </c>
      <c r="U56" s="418" t="s">
        <v>57</v>
      </c>
      <c r="V56" s="88" t="s">
        <v>277</v>
      </c>
      <c r="W56" s="17"/>
      <c r="X56" s="17"/>
      <c r="Y56" s="17"/>
    </row>
    <row r="57" spans="1:25" x14ac:dyDescent="0.2">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5" thickBot="1" x14ac:dyDescent="0.25">
      <c r="A59" s="435" t="s">
        <v>119</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5" thickBot="1" x14ac:dyDescent="0.25">
      <c r="A60" s="17"/>
      <c r="L60" s="17"/>
      <c r="M60" s="17"/>
      <c r="N60" s="17"/>
      <c r="O60" s="17"/>
      <c r="P60" s="17"/>
      <c r="Q60" s="17"/>
      <c r="R60" s="17"/>
      <c r="S60" s="17"/>
      <c r="T60" s="17"/>
      <c r="U60" s="17"/>
      <c r="V60" s="17"/>
      <c r="W60" s="17"/>
      <c r="X60" s="17"/>
      <c r="Y60" s="17"/>
    </row>
    <row r="61" spans="1:25" ht="13.5" thickBot="1" x14ac:dyDescent="0.25">
      <c r="A61" s="416" t="s">
        <v>281</v>
      </c>
      <c r="B61" s="414">
        <f>ROW(A61)</f>
        <v>61</v>
      </c>
      <c r="C61" s="418" t="s">
        <v>118</v>
      </c>
      <c r="D61" s="408">
        <f>SUM(B64:Y64)</f>
        <v>25.874000000000006</v>
      </c>
      <c r="E61" s="418" t="s">
        <v>117</v>
      </c>
      <c r="F61" s="460">
        <f>D61/g/J61</f>
        <v>2.6375127420998985</v>
      </c>
      <c r="G61" s="418" t="s">
        <v>59</v>
      </c>
      <c r="H61" s="86">
        <v>1.1000000000000001</v>
      </c>
      <c r="I61" s="418" t="s">
        <v>272</v>
      </c>
      <c r="J61" s="410">
        <f>H61-L61</f>
        <v>1</v>
      </c>
      <c r="K61" s="418" t="s">
        <v>273</v>
      </c>
      <c r="L61" s="86">
        <v>0.1</v>
      </c>
      <c r="M61" s="418" t="s">
        <v>60</v>
      </c>
      <c r="N61" s="87">
        <f>0.5*R61</f>
        <v>150</v>
      </c>
      <c r="O61" s="418" t="s">
        <v>62</v>
      </c>
      <c r="P61" s="87">
        <v>150</v>
      </c>
      <c r="Q61" s="418" t="s">
        <v>63</v>
      </c>
      <c r="R61" s="87">
        <v>300</v>
      </c>
      <c r="S61" s="418" t="s">
        <v>64</v>
      </c>
      <c r="T61" s="87">
        <v>98</v>
      </c>
      <c r="U61" s="418" t="s">
        <v>57</v>
      </c>
      <c r="V61" s="88" t="s">
        <v>277</v>
      </c>
      <c r="W61" s="17"/>
      <c r="X61" s="17"/>
      <c r="Y61" s="17"/>
    </row>
    <row r="62" spans="1:25" x14ac:dyDescent="0.2">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5" thickBot="1" x14ac:dyDescent="0.25">
      <c r="A64" s="435" t="s">
        <v>119</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5" thickBot="1" x14ac:dyDescent="0.25">
      <c r="A66" s="492" t="s">
        <v>184</v>
      </c>
    </row>
    <row r="67" spans="1:26" ht="13.5" thickBot="1" x14ac:dyDescent="0.25">
      <c r="A67" s="416" t="s">
        <v>114</v>
      </c>
      <c r="B67" s="414">
        <f>ROW(A67)</f>
        <v>67</v>
      </c>
      <c r="C67" s="418" t="s">
        <v>118</v>
      </c>
      <c r="D67" s="408">
        <f>SUM(B70:Y70)</f>
        <v>2.65</v>
      </c>
      <c r="E67" s="418" t="s">
        <v>117</v>
      </c>
      <c r="F67" s="409">
        <f>D67/g/J67</f>
        <v>54.026503567787969</v>
      </c>
      <c r="G67" s="418" t="s">
        <v>59</v>
      </c>
      <c r="H67" s="86">
        <v>1.4999999999999999E-2</v>
      </c>
      <c r="I67" s="418" t="s">
        <v>272</v>
      </c>
      <c r="J67" s="410">
        <f>H67-L67</f>
        <v>4.9999999999999992E-3</v>
      </c>
      <c r="K67" s="418" t="s">
        <v>273</v>
      </c>
      <c r="L67" s="86">
        <v>0.01</v>
      </c>
      <c r="M67" s="418" t="s">
        <v>60</v>
      </c>
      <c r="N67" s="87">
        <v>30</v>
      </c>
      <c r="O67" s="418" t="s">
        <v>62</v>
      </c>
      <c r="P67" s="87">
        <v>30</v>
      </c>
      <c r="Q67" s="418" t="s">
        <v>63</v>
      </c>
      <c r="R67" s="87">
        <v>70</v>
      </c>
      <c r="S67" s="418" t="s">
        <v>64</v>
      </c>
      <c r="T67" s="87">
        <v>15</v>
      </c>
      <c r="U67" s="418" t="s">
        <v>57</v>
      </c>
      <c r="V67" s="88" t="s">
        <v>120</v>
      </c>
      <c r="W67" s="547" t="s">
        <v>396</v>
      </c>
      <c r="X67" s="549">
        <v>0.32</v>
      </c>
      <c r="Y67" s="547" t="s">
        <v>395</v>
      </c>
      <c r="Z67" s="413">
        <v>3</v>
      </c>
    </row>
    <row r="68" spans="1:26" x14ac:dyDescent="0.2">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5" thickBot="1" x14ac:dyDescent="0.25">
      <c r="A70" s="435" t="s">
        <v>119</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5" thickBot="1" x14ac:dyDescent="0.25">
      <c r="A71" s="17"/>
      <c r="L71" s="17"/>
      <c r="M71" s="17"/>
      <c r="N71" s="17"/>
      <c r="O71" s="17"/>
      <c r="P71" s="17"/>
      <c r="Q71" s="17"/>
      <c r="R71" s="17"/>
      <c r="S71" s="17"/>
      <c r="T71" s="17"/>
      <c r="U71" s="17"/>
      <c r="V71" s="17"/>
      <c r="W71" s="17"/>
      <c r="X71" s="17"/>
      <c r="Y71" s="17"/>
    </row>
    <row r="72" spans="1:26" ht="13.5" thickBot="1" x14ac:dyDescent="0.25">
      <c r="A72" s="416" t="s">
        <v>115</v>
      </c>
      <c r="B72" s="414">
        <f>ROW(A72)</f>
        <v>72</v>
      </c>
      <c r="C72" s="418" t="s">
        <v>118</v>
      </c>
      <c r="D72" s="408">
        <f>SUM(B75:Y75)</f>
        <v>5.25</v>
      </c>
      <c r="E72" s="418" t="s">
        <v>117</v>
      </c>
      <c r="F72" s="409">
        <f>D72/g/J72</f>
        <v>89.1946992864424</v>
      </c>
      <c r="G72" s="418" t="s">
        <v>59</v>
      </c>
      <c r="H72" s="86">
        <v>0.02</v>
      </c>
      <c r="I72" s="418" t="s">
        <v>272</v>
      </c>
      <c r="J72" s="410">
        <f>H72-L72</f>
        <v>6.0000000000000001E-3</v>
      </c>
      <c r="K72" s="418" t="s">
        <v>273</v>
      </c>
      <c r="L72" s="86">
        <v>1.4E-2</v>
      </c>
      <c r="M72" s="418" t="s">
        <v>60</v>
      </c>
      <c r="N72" s="87">
        <v>30</v>
      </c>
      <c r="O72" s="418" t="s">
        <v>62</v>
      </c>
      <c r="P72" s="87">
        <v>30</v>
      </c>
      <c r="Q72" s="418" t="s">
        <v>63</v>
      </c>
      <c r="R72" s="87">
        <v>70</v>
      </c>
      <c r="S72" s="418" t="s">
        <v>64</v>
      </c>
      <c r="T72" s="87">
        <v>15</v>
      </c>
      <c r="U72" s="418" t="s">
        <v>57</v>
      </c>
      <c r="V72" s="88" t="s">
        <v>120</v>
      </c>
      <c r="W72" s="547" t="s">
        <v>396</v>
      </c>
      <c r="X72" s="549">
        <v>1.2</v>
      </c>
      <c r="Y72" s="547" t="s">
        <v>395</v>
      </c>
      <c r="Z72" s="413">
        <v>4</v>
      </c>
    </row>
    <row r="73" spans="1:26" x14ac:dyDescent="0.2">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5" thickBot="1" x14ac:dyDescent="0.25">
      <c r="A75" s="435" t="s">
        <v>119</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5" thickBot="1" x14ac:dyDescent="0.25">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5" thickBot="1" x14ac:dyDescent="0.25">
      <c r="A77" s="416" t="s">
        <v>116</v>
      </c>
      <c r="B77" s="414">
        <f>ROW(A77)</f>
        <v>77</v>
      </c>
      <c r="C77" s="418" t="s">
        <v>118</v>
      </c>
      <c r="D77" s="408">
        <f>SUM(B80:Y80)</f>
        <v>10.26</v>
      </c>
      <c r="E77" s="418" t="s">
        <v>117</v>
      </c>
      <c r="F77" s="409">
        <f>D77/g/J77</f>
        <v>80.451658433309802</v>
      </c>
      <c r="G77" s="418" t="s">
        <v>59</v>
      </c>
      <c r="H77" s="86">
        <v>2.4E-2</v>
      </c>
      <c r="I77" s="418" t="s">
        <v>272</v>
      </c>
      <c r="J77" s="410">
        <f>H77-L77</f>
        <v>1.3000000000000001E-2</v>
      </c>
      <c r="K77" s="418" t="s">
        <v>273</v>
      </c>
      <c r="L77" s="86">
        <v>1.0999999999999999E-2</v>
      </c>
      <c r="M77" s="418" t="s">
        <v>60</v>
      </c>
      <c r="N77" s="87">
        <v>30</v>
      </c>
      <c r="O77" s="418" t="s">
        <v>62</v>
      </c>
      <c r="P77" s="87">
        <v>30</v>
      </c>
      <c r="Q77" s="418" t="s">
        <v>63</v>
      </c>
      <c r="R77" s="87">
        <v>70</v>
      </c>
      <c r="S77" s="418" t="s">
        <v>64</v>
      </c>
      <c r="T77" s="87">
        <v>15</v>
      </c>
      <c r="U77" s="418" t="s">
        <v>57</v>
      </c>
      <c r="V77" s="88" t="s">
        <v>120</v>
      </c>
      <c r="W77" s="547" t="s">
        <v>396</v>
      </c>
      <c r="X77" s="549">
        <v>1.7</v>
      </c>
      <c r="Y77" s="547" t="s">
        <v>395</v>
      </c>
      <c r="Z77" s="413">
        <v>3</v>
      </c>
    </row>
    <row r="78" spans="1:26" x14ac:dyDescent="0.2">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5" thickBot="1" x14ac:dyDescent="0.25">
      <c r="A80" s="435" t="s">
        <v>119</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5" thickBot="1" x14ac:dyDescent="0.25">
      <c r="A81" s="17"/>
      <c r="L81" s="17"/>
      <c r="M81" s="17"/>
      <c r="N81" s="17"/>
      <c r="O81" s="17"/>
      <c r="P81" s="17"/>
      <c r="Q81" s="17"/>
      <c r="R81" s="17"/>
      <c r="S81" s="17"/>
      <c r="T81" s="17"/>
      <c r="U81" s="17"/>
      <c r="V81" s="17"/>
      <c r="W81" s="17"/>
      <c r="X81" s="17"/>
      <c r="Y81" s="17"/>
    </row>
    <row r="82" spans="1:26" ht="13.5" thickBot="1" x14ac:dyDescent="0.25">
      <c r="A82" s="416" t="s">
        <v>331</v>
      </c>
      <c r="B82" s="414">
        <f>ROW(A82)</f>
        <v>82</v>
      </c>
      <c r="C82" s="418" t="s">
        <v>118</v>
      </c>
      <c r="D82" s="408">
        <f>SUM(B85:Y85)</f>
        <v>20.52</v>
      </c>
      <c r="E82" s="418" t="s">
        <v>117</v>
      </c>
      <c r="F82" s="409">
        <f>D82/g/J82</f>
        <v>80.451658433309802</v>
      </c>
      <c r="G82" s="418" t="s">
        <v>59</v>
      </c>
      <c r="H82" s="86">
        <f>H77*2</f>
        <v>4.8000000000000001E-2</v>
      </c>
      <c r="I82" s="418" t="s">
        <v>272</v>
      </c>
      <c r="J82" s="410">
        <f>H82-L82</f>
        <v>2.6000000000000002E-2</v>
      </c>
      <c r="K82" s="418" t="s">
        <v>273</v>
      </c>
      <c r="L82" s="86">
        <f>L77*2</f>
        <v>2.1999999999999999E-2</v>
      </c>
      <c r="M82" s="418" t="s">
        <v>60</v>
      </c>
      <c r="N82" s="87">
        <v>30</v>
      </c>
      <c r="O82" s="418" t="s">
        <v>62</v>
      </c>
      <c r="P82" s="87">
        <v>30</v>
      </c>
      <c r="Q82" s="418" t="s">
        <v>63</v>
      </c>
      <c r="R82" s="87">
        <v>70</v>
      </c>
      <c r="S82" s="418" t="s">
        <v>64</v>
      </c>
      <c r="T82" s="87">
        <v>30</v>
      </c>
      <c r="U82" s="418" t="s">
        <v>57</v>
      </c>
      <c r="V82" s="88" t="s">
        <v>120</v>
      </c>
      <c r="W82" s="547" t="s">
        <v>396</v>
      </c>
      <c r="X82" s="549">
        <v>1.7</v>
      </c>
      <c r="Y82" s="547" t="s">
        <v>395</v>
      </c>
      <c r="Z82" s="413">
        <v>3</v>
      </c>
    </row>
    <row r="83" spans="1:26" x14ac:dyDescent="0.2">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5" thickBot="1" x14ac:dyDescent="0.25">
      <c r="A85" s="435" t="s">
        <v>119</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5" thickBot="1" x14ac:dyDescent="0.25">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5" thickBot="1" x14ac:dyDescent="0.25">
      <c r="A87" s="416" t="s">
        <v>332</v>
      </c>
      <c r="B87" s="414">
        <f>ROW(A87)</f>
        <v>87</v>
      </c>
      <c r="C87" s="418" t="s">
        <v>118</v>
      </c>
      <c r="D87" s="408">
        <f>SUM(B90:Y90)</f>
        <v>30.779999999999998</v>
      </c>
      <c r="E87" s="418" t="s">
        <v>117</v>
      </c>
      <c r="F87" s="409">
        <f>D87/g/J87</f>
        <v>80.451658433309774</v>
      </c>
      <c r="G87" s="418" t="s">
        <v>59</v>
      </c>
      <c r="H87" s="86">
        <f>H77*3</f>
        <v>7.2000000000000008E-2</v>
      </c>
      <c r="I87" s="418" t="s">
        <v>272</v>
      </c>
      <c r="J87" s="410">
        <f>H87-L87</f>
        <v>3.9000000000000007E-2</v>
      </c>
      <c r="K87" s="418" t="s">
        <v>273</v>
      </c>
      <c r="L87" s="86">
        <f>L77*3</f>
        <v>3.3000000000000002E-2</v>
      </c>
      <c r="M87" s="418" t="s">
        <v>60</v>
      </c>
      <c r="N87" s="87">
        <v>30</v>
      </c>
      <c r="O87" s="418" t="s">
        <v>62</v>
      </c>
      <c r="P87" s="87">
        <v>30</v>
      </c>
      <c r="Q87" s="418" t="s">
        <v>63</v>
      </c>
      <c r="R87" s="87">
        <v>70</v>
      </c>
      <c r="S87" s="418" t="s">
        <v>64</v>
      </c>
      <c r="T87" s="87">
        <v>40</v>
      </c>
      <c r="U87" s="418" t="s">
        <v>57</v>
      </c>
      <c r="V87" s="88" t="s">
        <v>120</v>
      </c>
      <c r="W87" s="547" t="s">
        <v>396</v>
      </c>
      <c r="X87" s="549">
        <v>1.7</v>
      </c>
      <c r="Y87" s="547" t="s">
        <v>395</v>
      </c>
      <c r="Z87" s="413">
        <v>3</v>
      </c>
    </row>
    <row r="88" spans="1:26" x14ac:dyDescent="0.2">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5" thickBot="1" x14ac:dyDescent="0.25">
      <c r="A90" s="435" t="s">
        <v>119</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5" thickBot="1" x14ac:dyDescent="0.25">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5" thickBot="1" x14ac:dyDescent="0.25">
      <c r="A92" s="416" t="s">
        <v>543</v>
      </c>
      <c r="B92" s="414">
        <f>ROW(A92)</f>
        <v>92</v>
      </c>
      <c r="C92" s="418" t="s">
        <v>118</v>
      </c>
      <c r="D92" s="408">
        <f>SUM(B95:Y95)</f>
        <v>19.961989000000003</v>
      </c>
      <c r="E92" s="418" t="s">
        <v>117</v>
      </c>
      <c r="F92" s="409">
        <f>D92/g/J92</f>
        <v>118.30588744280873</v>
      </c>
      <c r="G92" s="418" t="s">
        <v>59</v>
      </c>
      <c r="H92" s="86">
        <v>2.8199999999999999E-2</v>
      </c>
      <c r="I92" s="418" t="s">
        <v>272</v>
      </c>
      <c r="J92" s="410">
        <f>H92-L92</f>
        <v>1.72E-2</v>
      </c>
      <c r="K92" s="418" t="s">
        <v>273</v>
      </c>
      <c r="L92" s="86">
        <v>1.0999999999999999E-2</v>
      </c>
      <c r="M92" s="418" t="s">
        <v>60</v>
      </c>
      <c r="N92" s="87">
        <v>30</v>
      </c>
      <c r="O92" s="418" t="s">
        <v>62</v>
      </c>
      <c r="P92" s="87">
        <v>30</v>
      </c>
      <c r="Q92" s="418" t="s">
        <v>63</v>
      </c>
      <c r="R92" s="87">
        <v>70</v>
      </c>
      <c r="S92" s="418" t="s">
        <v>64</v>
      </c>
      <c r="T92" s="87">
        <v>18</v>
      </c>
      <c r="U92" s="418" t="s">
        <v>57</v>
      </c>
      <c r="V92" s="88" t="s">
        <v>403</v>
      </c>
      <c r="W92" s="547" t="s">
        <v>396</v>
      </c>
      <c r="X92" s="549">
        <v>2.1</v>
      </c>
      <c r="Y92" s="547" t="s">
        <v>395</v>
      </c>
      <c r="Z92" s="413">
        <v>7</v>
      </c>
    </row>
    <row r="93" spans="1:26" x14ac:dyDescent="0.2">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5" thickBot="1" x14ac:dyDescent="0.25">
      <c r="A95" s="435" t="s">
        <v>119</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5" thickBot="1" x14ac:dyDescent="0.25">
      <c r="A96" s="17"/>
      <c r="L96" s="17"/>
      <c r="M96" s="17"/>
      <c r="N96" s="17"/>
      <c r="O96" s="17"/>
      <c r="P96" s="17"/>
      <c r="Q96" s="17"/>
      <c r="R96" s="17"/>
      <c r="S96" s="17"/>
      <c r="T96" s="17"/>
      <c r="U96" s="17"/>
      <c r="V96" s="17"/>
      <c r="W96" s="17"/>
      <c r="X96" s="17"/>
      <c r="Y96" s="17"/>
    </row>
    <row r="97" spans="1:26" ht="13.5" thickBot="1" x14ac:dyDescent="0.25">
      <c r="A97" s="416" t="s">
        <v>541</v>
      </c>
      <c r="B97" s="414">
        <f>ROW(A97)</f>
        <v>97</v>
      </c>
      <c r="C97" s="418" t="s">
        <v>118</v>
      </c>
      <c r="D97" s="408">
        <f>SUM(B100:Y100)</f>
        <v>39.923978000000005</v>
      </c>
      <c r="E97" s="418" t="s">
        <v>117</v>
      </c>
      <c r="F97" s="409">
        <f>D97/g/J97</f>
        <v>118.30588744280873</v>
      </c>
      <c r="G97" s="418" t="s">
        <v>59</v>
      </c>
      <c r="H97" s="86">
        <f>H92*2</f>
        <v>5.6399999999999999E-2</v>
      </c>
      <c r="I97" s="418" t="s">
        <v>272</v>
      </c>
      <c r="J97" s="410">
        <f>H97-L97</f>
        <v>3.44E-2</v>
      </c>
      <c r="K97" s="418" t="s">
        <v>273</v>
      </c>
      <c r="L97" s="86">
        <f>L92*2</f>
        <v>2.1999999999999999E-2</v>
      </c>
      <c r="M97" s="418" t="s">
        <v>60</v>
      </c>
      <c r="N97" s="87">
        <v>30</v>
      </c>
      <c r="O97" s="418" t="s">
        <v>62</v>
      </c>
      <c r="P97" s="87">
        <v>30</v>
      </c>
      <c r="Q97" s="418" t="s">
        <v>63</v>
      </c>
      <c r="R97" s="87">
        <v>70</v>
      </c>
      <c r="S97" s="418" t="s">
        <v>64</v>
      </c>
      <c r="T97" s="87">
        <v>30</v>
      </c>
      <c r="U97" s="418" t="s">
        <v>57</v>
      </c>
      <c r="V97" s="88" t="s">
        <v>403</v>
      </c>
      <c r="W97" s="547" t="s">
        <v>396</v>
      </c>
      <c r="X97" s="549">
        <v>2.1</v>
      </c>
      <c r="Y97" s="547" t="s">
        <v>395</v>
      </c>
      <c r="Z97" s="413">
        <v>7</v>
      </c>
    </row>
    <row r="98" spans="1:26" x14ac:dyDescent="0.2">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5" thickBot="1" x14ac:dyDescent="0.25">
      <c r="A100" s="435" t="s">
        <v>119</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5" thickBot="1" x14ac:dyDescent="0.25">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5" thickBot="1" x14ac:dyDescent="0.25">
      <c r="A102" s="416" t="s">
        <v>542</v>
      </c>
      <c r="B102" s="414">
        <f>ROW(A102)</f>
        <v>102</v>
      </c>
      <c r="C102" s="418" t="s">
        <v>118</v>
      </c>
      <c r="D102" s="408">
        <f>SUM(B105:Y105)</f>
        <v>59.885967000000008</v>
      </c>
      <c r="E102" s="418" t="s">
        <v>117</v>
      </c>
      <c r="F102" s="409">
        <f>D102/g/J102</f>
        <v>118.30588744280874</v>
      </c>
      <c r="G102" s="418" t="s">
        <v>59</v>
      </c>
      <c r="H102" s="86">
        <f>H92*3</f>
        <v>8.4599999999999995E-2</v>
      </c>
      <c r="I102" s="418" t="s">
        <v>272</v>
      </c>
      <c r="J102" s="410">
        <f>H102-L102</f>
        <v>5.1599999999999993E-2</v>
      </c>
      <c r="K102" s="418" t="s">
        <v>273</v>
      </c>
      <c r="L102" s="86">
        <f>L92*3</f>
        <v>3.3000000000000002E-2</v>
      </c>
      <c r="M102" s="418" t="s">
        <v>60</v>
      </c>
      <c r="N102" s="87">
        <v>30</v>
      </c>
      <c r="O102" s="418" t="s">
        <v>62</v>
      </c>
      <c r="P102" s="87">
        <v>30</v>
      </c>
      <c r="Q102" s="418" t="s">
        <v>63</v>
      </c>
      <c r="R102" s="87">
        <v>70</v>
      </c>
      <c r="S102" s="418" t="s">
        <v>64</v>
      </c>
      <c r="T102" s="87">
        <v>40</v>
      </c>
      <c r="U102" s="418" t="s">
        <v>57</v>
      </c>
      <c r="V102" s="88" t="s">
        <v>403</v>
      </c>
      <c r="W102" s="547" t="s">
        <v>396</v>
      </c>
      <c r="X102" s="549">
        <v>2.1</v>
      </c>
      <c r="Y102" s="547" t="s">
        <v>395</v>
      </c>
      <c r="Z102" s="413">
        <v>7</v>
      </c>
    </row>
    <row r="103" spans="1:26" x14ac:dyDescent="0.2">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5" thickBot="1" x14ac:dyDescent="0.25">
      <c r="A105" s="435" t="s">
        <v>119</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5" thickBot="1" x14ac:dyDescent="0.25">
      <c r="A107" s="492" t="s">
        <v>318</v>
      </c>
    </row>
    <row r="108" spans="1:26" ht="13.5" thickBot="1" x14ac:dyDescent="0.25">
      <c r="A108" s="416" t="s">
        <v>321</v>
      </c>
      <c r="B108" s="414">
        <f>ROW(A108)</f>
        <v>108</v>
      </c>
      <c r="C108" s="418" t="s">
        <v>118</v>
      </c>
      <c r="D108" s="408">
        <f>SUM(B111:Y111)</f>
        <v>24.269519000000003</v>
      </c>
      <c r="E108" s="418" t="s">
        <v>117</v>
      </c>
      <c r="F108" s="409">
        <f>D108/g/J108</f>
        <v>154.62231778797147</v>
      </c>
      <c r="G108" s="418" t="s">
        <v>59</v>
      </c>
      <c r="H108" s="86">
        <v>5.1999999999999998E-2</v>
      </c>
      <c r="I108" s="418" t="s">
        <v>272</v>
      </c>
      <c r="J108" s="410">
        <f>H108-L108</f>
        <v>1.6E-2</v>
      </c>
      <c r="K108" s="418" t="s">
        <v>273</v>
      </c>
      <c r="L108" s="86">
        <v>3.5999999999999997E-2</v>
      </c>
      <c r="M108" s="418" t="s">
        <v>60</v>
      </c>
      <c r="N108" s="457">
        <v>35</v>
      </c>
      <c r="O108" s="418" t="s">
        <v>62</v>
      </c>
      <c r="P108" s="457">
        <v>35</v>
      </c>
      <c r="Q108" s="418" t="s">
        <v>63</v>
      </c>
      <c r="R108" s="87">
        <v>69</v>
      </c>
      <c r="S108" s="418" t="s">
        <v>64</v>
      </c>
      <c r="T108" s="87">
        <v>24</v>
      </c>
      <c r="U108" s="418" t="s">
        <v>57</v>
      </c>
      <c r="V108" s="88" t="s">
        <v>401</v>
      </c>
      <c r="W108" s="547" t="s">
        <v>396</v>
      </c>
      <c r="X108" s="549">
        <v>1</v>
      </c>
      <c r="Y108" s="547" t="s">
        <v>395</v>
      </c>
      <c r="Z108" s="413">
        <v>13</v>
      </c>
    </row>
    <row r="109" spans="1:26" x14ac:dyDescent="0.2">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5" thickBot="1" x14ac:dyDescent="0.25">
      <c r="A111" s="435" t="s">
        <v>119</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5" thickBot="1" x14ac:dyDescent="0.25"/>
    <row r="113" spans="1:26" ht="13.5" thickBot="1" x14ac:dyDescent="0.25">
      <c r="A113" s="416" t="s">
        <v>419</v>
      </c>
      <c r="B113" s="414">
        <f>ROW(A113)</f>
        <v>113</v>
      </c>
      <c r="C113" s="418" t="s">
        <v>118</v>
      </c>
      <c r="D113" s="408">
        <f>SUM(B116:Y116)</f>
        <v>24.488898000000002</v>
      </c>
      <c r="E113" s="418" t="s">
        <v>117</v>
      </c>
      <c r="F113" s="409">
        <f>D113/g/J113</f>
        <v>121.771701350041</v>
      </c>
      <c r="G113" s="418" t="s">
        <v>59</v>
      </c>
      <c r="H113" s="86">
        <v>5.6500000000000002E-2</v>
      </c>
      <c r="I113" s="418" t="s">
        <v>272</v>
      </c>
      <c r="J113" s="410">
        <f>H113-L113</f>
        <v>2.0500000000000004E-2</v>
      </c>
      <c r="K113" s="418" t="s">
        <v>273</v>
      </c>
      <c r="L113" s="86">
        <v>3.5999999999999997E-2</v>
      </c>
      <c r="M113" s="418" t="s">
        <v>60</v>
      </c>
      <c r="N113" s="457">
        <v>35</v>
      </c>
      <c r="O113" s="418" t="s">
        <v>62</v>
      </c>
      <c r="P113" s="457">
        <v>35</v>
      </c>
      <c r="Q113" s="418" t="s">
        <v>63</v>
      </c>
      <c r="R113" s="87">
        <v>69</v>
      </c>
      <c r="S113" s="418" t="s">
        <v>64</v>
      </c>
      <c r="T113" s="87">
        <v>24</v>
      </c>
      <c r="U113" s="418" t="s">
        <v>57</v>
      </c>
      <c r="V113" s="88" t="s">
        <v>402</v>
      </c>
      <c r="W113" s="547" t="s">
        <v>396</v>
      </c>
      <c r="X113" s="549">
        <v>0.33</v>
      </c>
      <c r="Y113" s="547" t="s">
        <v>395</v>
      </c>
      <c r="Z113" s="413">
        <v>17</v>
      </c>
    </row>
    <row r="114" spans="1:26" x14ac:dyDescent="0.2">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5" thickBot="1" x14ac:dyDescent="0.25">
      <c r="A116" s="435" t="s">
        <v>119</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5" thickBot="1" x14ac:dyDescent="0.25"/>
    <row r="118" spans="1:26" ht="13.5" thickBot="1" x14ac:dyDescent="0.25">
      <c r="A118" s="416" t="s">
        <v>322</v>
      </c>
      <c r="B118" s="414">
        <f>ROW(A118)</f>
        <v>118</v>
      </c>
      <c r="C118" s="418" t="s">
        <v>118</v>
      </c>
      <c r="D118" s="408">
        <f>SUM(B121:Y121)</f>
        <v>26.083982500000001</v>
      </c>
      <c r="E118" s="418" t="s">
        <v>117</v>
      </c>
      <c r="F118" s="409">
        <f>D118/g/J118</f>
        <v>166.18235537716615</v>
      </c>
      <c r="G118" s="418" t="s">
        <v>59</v>
      </c>
      <c r="H118" s="86">
        <v>5.1999999999999998E-2</v>
      </c>
      <c r="I118" s="418" t="s">
        <v>272</v>
      </c>
      <c r="J118" s="410">
        <f>H118-L118</f>
        <v>1.6E-2</v>
      </c>
      <c r="K118" s="418" t="s">
        <v>273</v>
      </c>
      <c r="L118" s="86">
        <v>3.5999999999999997E-2</v>
      </c>
      <c r="M118" s="418" t="s">
        <v>60</v>
      </c>
      <c r="N118" s="457">
        <v>35</v>
      </c>
      <c r="O118" s="418" t="s">
        <v>62</v>
      </c>
      <c r="P118" s="457">
        <v>35</v>
      </c>
      <c r="Q118" s="418" t="s">
        <v>63</v>
      </c>
      <c r="R118" s="87">
        <v>69</v>
      </c>
      <c r="S118" s="418" t="s">
        <v>64</v>
      </c>
      <c r="T118" s="87">
        <v>24</v>
      </c>
      <c r="U118" s="418" t="s">
        <v>57</v>
      </c>
      <c r="V118" s="88" t="s">
        <v>401</v>
      </c>
      <c r="W118" s="547" t="s">
        <v>396</v>
      </c>
      <c r="X118" s="549">
        <v>0.85</v>
      </c>
      <c r="Y118" s="547" t="s">
        <v>395</v>
      </c>
      <c r="Z118" s="413">
        <v>15</v>
      </c>
    </row>
    <row r="119" spans="1:26" x14ac:dyDescent="0.2">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5" thickBot="1" x14ac:dyDescent="0.25">
      <c r="A121" s="435" t="s">
        <v>119</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5" thickBot="1" x14ac:dyDescent="0.25">
      <c r="A122" s="492" t="s">
        <v>391</v>
      </c>
    </row>
    <row r="123" spans="1:26" ht="13.5" thickBot="1" x14ac:dyDescent="0.25">
      <c r="A123" s="416" t="s">
        <v>392</v>
      </c>
      <c r="B123" s="414">
        <f>ROW(A123)</f>
        <v>123</v>
      </c>
      <c r="C123" s="418" t="s">
        <v>118</v>
      </c>
      <c r="D123" s="408">
        <f>SUM(B126:Y126)</f>
        <v>49.788765499999997</v>
      </c>
      <c r="E123" s="418" t="s">
        <v>117</v>
      </c>
      <c r="F123" s="409">
        <v>231</v>
      </c>
      <c r="G123" s="418" t="s">
        <v>59</v>
      </c>
      <c r="H123" s="86">
        <v>7.2999999999999995E-2</v>
      </c>
      <c r="I123" s="418" t="s">
        <v>272</v>
      </c>
      <c r="J123" s="410">
        <f>H123-L123</f>
        <v>2.7999999999999997E-2</v>
      </c>
      <c r="K123" s="418" t="s">
        <v>273</v>
      </c>
      <c r="L123" s="86">
        <v>4.4999999999999998E-2</v>
      </c>
      <c r="M123" s="418" t="s">
        <v>60</v>
      </c>
      <c r="N123" s="457">
        <v>50</v>
      </c>
      <c r="O123" s="418" t="s">
        <v>62</v>
      </c>
      <c r="P123" s="457">
        <v>50</v>
      </c>
      <c r="Q123" s="418" t="s">
        <v>63</v>
      </c>
      <c r="R123" s="87">
        <v>101</v>
      </c>
      <c r="S123" s="418" t="s">
        <v>64</v>
      </c>
      <c r="T123" s="87">
        <v>24</v>
      </c>
      <c r="U123" s="418" t="s">
        <v>57</v>
      </c>
      <c r="V123" s="88" t="s">
        <v>122</v>
      </c>
      <c r="W123" s="547" t="s">
        <v>396</v>
      </c>
      <c r="X123" s="549">
        <v>1</v>
      </c>
      <c r="Y123" s="547" t="s">
        <v>395</v>
      </c>
      <c r="Z123" s="413">
        <v>13</v>
      </c>
    </row>
    <row r="124" spans="1:26" x14ac:dyDescent="0.2">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5" thickBot="1" x14ac:dyDescent="0.25">
      <c r="A126" s="435" t="s">
        <v>119</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5" thickBot="1" x14ac:dyDescent="0.25"/>
    <row r="128" spans="1:26" ht="13.5" thickBot="1" x14ac:dyDescent="0.25">
      <c r="A128" s="416" t="s">
        <v>393</v>
      </c>
      <c r="B128" s="414">
        <f>ROW(A128)</f>
        <v>128</v>
      </c>
      <c r="C128" s="418" t="s">
        <v>118</v>
      </c>
      <c r="D128" s="408">
        <f>SUM(B131:Y131)</f>
        <v>52.815674000000008</v>
      </c>
      <c r="E128" s="418" t="s">
        <v>117</v>
      </c>
      <c r="F128" s="409">
        <v>239</v>
      </c>
      <c r="G128" s="418" t="s">
        <v>59</v>
      </c>
      <c r="H128" s="86">
        <v>7.2999999999999995E-2</v>
      </c>
      <c r="I128" s="418" t="s">
        <v>272</v>
      </c>
      <c r="J128" s="410">
        <f>H128-L128</f>
        <v>2.8999999999999998E-2</v>
      </c>
      <c r="K128" s="418" t="s">
        <v>273</v>
      </c>
      <c r="L128" s="86">
        <v>4.3999999999999997E-2</v>
      </c>
      <c r="M128" s="418" t="s">
        <v>60</v>
      </c>
      <c r="N128" s="457">
        <v>50</v>
      </c>
      <c r="O128" s="418" t="s">
        <v>62</v>
      </c>
      <c r="P128" s="457">
        <v>50</v>
      </c>
      <c r="Q128" s="418" t="s">
        <v>63</v>
      </c>
      <c r="R128" s="87">
        <v>101</v>
      </c>
      <c r="S128" s="418" t="s">
        <v>64</v>
      </c>
      <c r="T128" s="87">
        <v>24</v>
      </c>
      <c r="U128" s="418" t="s">
        <v>57</v>
      </c>
      <c r="V128" s="88" t="s">
        <v>122</v>
      </c>
      <c r="W128" s="547" t="s">
        <v>396</v>
      </c>
      <c r="X128" s="549">
        <v>0.77</v>
      </c>
      <c r="Y128" s="547" t="s">
        <v>395</v>
      </c>
      <c r="Z128" s="413">
        <v>14</v>
      </c>
    </row>
    <row r="129" spans="1:26" x14ac:dyDescent="0.2">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5" thickBot="1" x14ac:dyDescent="0.25">
      <c r="A131" s="435" t="s">
        <v>119</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5" thickBot="1" x14ac:dyDescent="0.25">
      <c r="A132" s="492" t="s">
        <v>315</v>
      </c>
    </row>
    <row r="133" spans="1:26" ht="13.5" thickBot="1" x14ac:dyDescent="0.25">
      <c r="A133" s="416" t="s">
        <v>383</v>
      </c>
      <c r="B133" s="414">
        <f>ROW(A133)</f>
        <v>133</v>
      </c>
      <c r="C133" s="418" t="s">
        <v>118</v>
      </c>
      <c r="D133" s="408">
        <f>SUM(B136:Y136)</f>
        <v>41.835000000000015</v>
      </c>
      <c r="E133" s="418" t="s">
        <v>117</v>
      </c>
      <c r="F133" s="409">
        <f>D133/g/J133</f>
        <v>121.84359982525126</v>
      </c>
      <c r="G133" s="418" t="s">
        <v>59</v>
      </c>
      <c r="H133" s="86">
        <v>0.104</v>
      </c>
      <c r="I133" s="418" t="s">
        <v>272</v>
      </c>
      <c r="J133" s="410">
        <f>H133-L133</f>
        <v>3.4999999999999989E-2</v>
      </c>
      <c r="K133" s="418" t="s">
        <v>273</v>
      </c>
      <c r="L133" s="86">
        <v>6.9000000000000006E-2</v>
      </c>
      <c r="M133" s="418" t="s">
        <v>60</v>
      </c>
      <c r="N133" s="87">
        <v>49</v>
      </c>
      <c r="O133" s="418" t="s">
        <v>62</v>
      </c>
      <c r="P133" s="87">
        <v>49</v>
      </c>
      <c r="Q133" s="418" t="s">
        <v>63</v>
      </c>
      <c r="R133" s="87">
        <v>98</v>
      </c>
      <c r="S133" s="418" t="s">
        <v>64</v>
      </c>
      <c r="T133" s="87">
        <v>29</v>
      </c>
      <c r="U133" s="418" t="s">
        <v>57</v>
      </c>
      <c r="V133" s="88" t="s">
        <v>401</v>
      </c>
      <c r="W133" s="547" t="s">
        <v>396</v>
      </c>
      <c r="X133" s="549">
        <v>1.07</v>
      </c>
      <c r="Y133" s="547" t="s">
        <v>395</v>
      </c>
      <c r="Z133" s="413">
        <v>11</v>
      </c>
    </row>
    <row r="134" spans="1:26" x14ac:dyDescent="0.2">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5" thickBot="1" x14ac:dyDescent="0.25">
      <c r="A136" s="435" t="s">
        <v>119</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5" thickBot="1" x14ac:dyDescent="0.25">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5" thickBot="1" x14ac:dyDescent="0.25">
      <c r="A138" s="416" t="s">
        <v>384</v>
      </c>
      <c r="B138" s="414">
        <f>ROW(A138)</f>
        <v>138</v>
      </c>
      <c r="C138" s="418" t="s">
        <v>118</v>
      </c>
      <c r="D138" s="408">
        <f>SUM(B141:Y141)</f>
        <v>52.564999999999998</v>
      </c>
      <c r="E138" s="418" t="s">
        <v>117</v>
      </c>
      <c r="F138" s="409">
        <f>D138/g/J138</f>
        <v>167.44712028542301</v>
      </c>
      <c r="G138" s="418" t="s">
        <v>59</v>
      </c>
      <c r="H138" s="86">
        <v>0.10100000000000001</v>
      </c>
      <c r="I138" s="418" t="s">
        <v>272</v>
      </c>
      <c r="J138" s="410">
        <f>H138-L138</f>
        <v>3.2000000000000001E-2</v>
      </c>
      <c r="K138" s="418" t="s">
        <v>273</v>
      </c>
      <c r="L138" s="86">
        <v>6.9000000000000006E-2</v>
      </c>
      <c r="M138" s="418" t="s">
        <v>60</v>
      </c>
      <c r="N138" s="87">
        <v>49</v>
      </c>
      <c r="O138" s="418" t="s">
        <v>62</v>
      </c>
      <c r="P138" s="87">
        <v>49</v>
      </c>
      <c r="Q138" s="418" t="s">
        <v>63</v>
      </c>
      <c r="R138" s="87">
        <v>98</v>
      </c>
      <c r="S138" s="418" t="s">
        <v>64</v>
      </c>
      <c r="T138" s="87">
        <v>29</v>
      </c>
      <c r="U138" s="418" t="s">
        <v>57</v>
      </c>
      <c r="V138" s="88" t="s">
        <v>401</v>
      </c>
      <c r="W138" s="547" t="s">
        <v>396</v>
      </c>
      <c r="X138" s="549">
        <v>1.8</v>
      </c>
      <c r="Y138" s="547" t="s">
        <v>395</v>
      </c>
      <c r="Z138" s="413">
        <v>12</v>
      </c>
    </row>
    <row r="139" spans="1:26" x14ac:dyDescent="0.2">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5" thickBot="1" x14ac:dyDescent="0.25">
      <c r="A141" s="435" t="s">
        <v>119</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5" thickBot="1" x14ac:dyDescent="0.25">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5" thickBot="1" x14ac:dyDescent="0.25">
      <c r="A143" s="416" t="s">
        <v>385</v>
      </c>
      <c r="B143" s="414">
        <f>ROW(A143)</f>
        <v>143</v>
      </c>
      <c r="C143" s="418" t="s">
        <v>118</v>
      </c>
      <c r="D143" s="408">
        <f>SUM(B146:Y146)</f>
        <v>54.110016122119539</v>
      </c>
      <c r="E143" s="418" t="s">
        <v>117</v>
      </c>
      <c r="F143" s="409">
        <f>D143/g/J143</f>
        <v>146.69685764124625</v>
      </c>
      <c r="G143" s="418" t="s">
        <v>59</v>
      </c>
      <c r="H143" s="86">
        <v>0.10580000000000001</v>
      </c>
      <c r="I143" s="418" t="s">
        <v>272</v>
      </c>
      <c r="J143" s="410">
        <f>H143-L143</f>
        <v>3.7600000000000008E-2</v>
      </c>
      <c r="K143" s="418" t="s">
        <v>273</v>
      </c>
      <c r="L143" s="86">
        <v>6.8199999999999997E-2</v>
      </c>
      <c r="M143" s="418" t="s">
        <v>60</v>
      </c>
      <c r="N143" s="87">
        <v>49</v>
      </c>
      <c r="O143" s="418" t="s">
        <v>62</v>
      </c>
      <c r="P143" s="87">
        <v>49</v>
      </c>
      <c r="Q143" s="418" t="s">
        <v>63</v>
      </c>
      <c r="R143" s="87">
        <v>98</v>
      </c>
      <c r="S143" s="418" t="s">
        <v>64</v>
      </c>
      <c r="T143" s="87">
        <v>29</v>
      </c>
      <c r="U143" s="418" t="s">
        <v>57</v>
      </c>
      <c r="V143" s="88" t="s">
        <v>401</v>
      </c>
      <c r="W143" s="547" t="s">
        <v>396</v>
      </c>
      <c r="X143" s="549">
        <v>1.9</v>
      </c>
      <c r="Y143" s="547" t="s">
        <v>395</v>
      </c>
      <c r="Z143" s="413">
        <v>12</v>
      </c>
    </row>
    <row r="144" spans="1:26" x14ac:dyDescent="0.2">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5" thickBot="1" x14ac:dyDescent="0.25">
      <c r="A146" s="435" t="s">
        <v>119</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5" thickBot="1" x14ac:dyDescent="0.25">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5" thickBot="1" x14ac:dyDescent="0.25">
      <c r="A148" s="416" t="s">
        <v>386</v>
      </c>
      <c r="B148" s="414">
        <f>ROW(A148)</f>
        <v>148</v>
      </c>
      <c r="C148" s="418" t="s">
        <v>118</v>
      </c>
      <c r="D148" s="408">
        <f>SUM(B151:Y151)</f>
        <v>55.705884500000003</v>
      </c>
      <c r="E148" s="418" t="s">
        <v>117</v>
      </c>
      <c r="F148" s="409">
        <f>D148/g/J148</f>
        <v>180.84329814241278</v>
      </c>
      <c r="G148" s="418" t="s">
        <v>59</v>
      </c>
      <c r="H148" s="86">
        <v>0.1062</v>
      </c>
      <c r="I148" s="418" t="s">
        <v>272</v>
      </c>
      <c r="J148" s="410">
        <f>H148-L148</f>
        <v>3.1400000000000011E-2</v>
      </c>
      <c r="K148" s="418" t="s">
        <v>273</v>
      </c>
      <c r="L148" s="86">
        <v>7.4799999999999991E-2</v>
      </c>
      <c r="M148" s="418" t="s">
        <v>60</v>
      </c>
      <c r="N148" s="87">
        <v>49</v>
      </c>
      <c r="O148" s="418" t="s">
        <v>62</v>
      </c>
      <c r="P148" s="87">
        <v>49</v>
      </c>
      <c r="Q148" s="418" t="s">
        <v>63</v>
      </c>
      <c r="R148" s="87">
        <v>98</v>
      </c>
      <c r="S148" s="418" t="s">
        <v>64</v>
      </c>
      <c r="T148" s="87">
        <v>29</v>
      </c>
      <c r="U148" s="418" t="s">
        <v>57</v>
      </c>
      <c r="V148" s="88" t="s">
        <v>402</v>
      </c>
      <c r="W148" s="547" t="s">
        <v>396</v>
      </c>
      <c r="X148" s="549">
        <v>0.45</v>
      </c>
      <c r="Y148" s="547" t="s">
        <v>395</v>
      </c>
      <c r="Z148" s="413">
        <v>14</v>
      </c>
    </row>
    <row r="149" spans="1:26" x14ac:dyDescent="0.2">
      <c r="A149" s="417" t="s">
        <v>33</v>
      </c>
      <c r="B149" s="441">
        <v>0</v>
      </c>
      <c r="C149" s="442">
        <v>1.2999999999999999E-2</v>
      </c>
      <c r="D149" s="442">
        <v>1.7000000000000001E-2</v>
      </c>
      <c r="E149" s="442">
        <v>0.04</v>
      </c>
      <c r="F149" s="442">
        <v>0.125</v>
      </c>
      <c r="G149" s="442">
        <v>0.17899999999999999</v>
      </c>
      <c r="H149" s="442">
        <v>0.222</v>
      </c>
      <c r="I149" s="442">
        <v>0.28899999999999998</v>
      </c>
      <c r="J149" s="442">
        <v>0.35399999999999998</v>
      </c>
      <c r="K149" s="442">
        <v>0.39400000000000002</v>
      </c>
      <c r="L149" s="442">
        <v>0.40600000000000003</v>
      </c>
      <c r="M149" s="442">
        <v>0.41599999999999998</v>
      </c>
      <c r="N149" s="442">
        <v>0.42299999999999999</v>
      </c>
      <c r="O149" s="442">
        <v>0.43099999999999999</v>
      </c>
      <c r="P149" s="442">
        <v>0.44700000000000001</v>
      </c>
      <c r="Q149" s="442">
        <v>0.45300000000000001</v>
      </c>
      <c r="R149" s="442">
        <v>0.45500000000000002</v>
      </c>
      <c r="S149" s="442">
        <v>0.45500000000000002</v>
      </c>
      <c r="T149" s="442">
        <v>0.45500000000000002</v>
      </c>
      <c r="U149" s="442">
        <v>0.45500000000000002</v>
      </c>
      <c r="V149" s="442">
        <v>0.45500000000000002</v>
      </c>
      <c r="W149" s="442">
        <v>0.45500000000000002</v>
      </c>
      <c r="X149" s="442">
        <v>2</v>
      </c>
      <c r="Y149" s="444">
        <v>1000</v>
      </c>
    </row>
    <row r="150" spans="1:26" x14ac:dyDescent="0.2">
      <c r="A150" s="434" t="s">
        <v>34</v>
      </c>
      <c r="B150" s="443">
        <v>0</v>
      </c>
      <c r="C150" s="433">
        <v>79.242000000000004</v>
      </c>
      <c r="D150" s="433">
        <v>90.427000000000007</v>
      </c>
      <c r="E150" s="433">
        <v>101.422</v>
      </c>
      <c r="F150" s="433">
        <v>127.583</v>
      </c>
      <c r="G150" s="433">
        <v>136.114</v>
      </c>
      <c r="H150" s="433">
        <v>139.905</v>
      </c>
      <c r="I150" s="433">
        <v>143.50700000000001</v>
      </c>
      <c r="J150" s="433">
        <v>138.578</v>
      </c>
      <c r="K150" s="433">
        <v>125.498</v>
      </c>
      <c r="L150" s="433">
        <v>123.602</v>
      </c>
      <c r="M150" s="433">
        <v>125.11799999999999</v>
      </c>
      <c r="N150" s="433">
        <v>130.047</v>
      </c>
      <c r="O150" s="433">
        <v>120.569</v>
      </c>
      <c r="P150" s="433">
        <v>25.591999999999999</v>
      </c>
      <c r="Q150" s="433">
        <v>8.7200000000000006</v>
      </c>
      <c r="R150" s="433">
        <v>0</v>
      </c>
      <c r="S150" s="433">
        <v>0</v>
      </c>
      <c r="T150" s="433">
        <v>0</v>
      </c>
      <c r="U150" s="433">
        <v>0</v>
      </c>
      <c r="V150" s="433">
        <v>0</v>
      </c>
      <c r="W150" s="433">
        <v>0</v>
      </c>
      <c r="X150" s="433">
        <v>0</v>
      </c>
      <c r="Y150" s="439">
        <v>0</v>
      </c>
    </row>
    <row r="151" spans="1:26" ht="13.5" thickBot="1" x14ac:dyDescent="0.25">
      <c r="A151" s="435" t="s">
        <v>119</v>
      </c>
      <c r="B151" s="429">
        <f t="shared" ref="B151:X151" si="33">(C150+B150)*(C149-B149)/2</f>
        <v>0.515073</v>
      </c>
      <c r="C151" s="430">
        <f t="shared" si="33"/>
        <v>0.3393380000000002</v>
      </c>
      <c r="D151" s="430">
        <f t="shared" si="33"/>
        <v>2.2062634999999999</v>
      </c>
      <c r="E151" s="430">
        <f t="shared" si="33"/>
        <v>9.7327124999999981</v>
      </c>
      <c r="F151" s="430">
        <f t="shared" si="33"/>
        <v>7.1198189999999988</v>
      </c>
      <c r="G151" s="430">
        <f t="shared" si="33"/>
        <v>5.9344085000000018</v>
      </c>
      <c r="H151" s="430">
        <f t="shared" si="33"/>
        <v>9.4943019999999976</v>
      </c>
      <c r="I151" s="430">
        <f t="shared" si="33"/>
        <v>9.167762500000002</v>
      </c>
      <c r="J151" s="430">
        <f t="shared" si="33"/>
        <v>5.2815200000000049</v>
      </c>
      <c r="K151" s="430">
        <f t="shared" si="33"/>
        <v>1.4946000000000015</v>
      </c>
      <c r="L151" s="430">
        <f t="shared" si="33"/>
        <v>1.2435999999999943</v>
      </c>
      <c r="M151" s="430">
        <f t="shared" si="33"/>
        <v>0.89307750000000075</v>
      </c>
      <c r="N151" s="430">
        <f t="shared" si="33"/>
        <v>1.0024640000000009</v>
      </c>
      <c r="O151" s="430">
        <f t="shared" si="33"/>
        <v>1.169288000000001</v>
      </c>
      <c r="P151" s="430">
        <f t="shared" si="33"/>
        <v>0.10293600000000008</v>
      </c>
      <c r="Q151" s="430">
        <f t="shared" si="33"/>
        <v>8.720000000000009E-3</v>
      </c>
      <c r="R151" s="430">
        <f t="shared" si="33"/>
        <v>0</v>
      </c>
      <c r="S151" s="430">
        <f t="shared" si="33"/>
        <v>0</v>
      </c>
      <c r="T151" s="430">
        <f t="shared" si="33"/>
        <v>0</v>
      </c>
      <c r="U151" s="430">
        <f t="shared" si="33"/>
        <v>0</v>
      </c>
      <c r="V151" s="430">
        <f t="shared" si="33"/>
        <v>0</v>
      </c>
      <c r="W151" s="430">
        <f t="shared" si="33"/>
        <v>0</v>
      </c>
      <c r="X151" s="430">
        <f t="shared" si="33"/>
        <v>0</v>
      </c>
      <c r="Y151" s="424"/>
    </row>
    <row r="152" spans="1:26" ht="13.5" thickBot="1" x14ac:dyDescent="0.25">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5" thickBot="1" x14ac:dyDescent="0.25">
      <c r="A153" s="416" t="s">
        <v>387</v>
      </c>
      <c r="B153" s="414">
        <f>ROW(A153)</f>
        <v>153</v>
      </c>
      <c r="C153" s="418" t="s">
        <v>118</v>
      </c>
      <c r="D153" s="408">
        <f>SUM(B156:Y156)</f>
        <v>57.190000000000005</v>
      </c>
      <c r="E153" s="418" t="s">
        <v>117</v>
      </c>
      <c r="F153" s="409">
        <f>D153/g/J153</f>
        <v>188.05695307618953</v>
      </c>
      <c r="G153" s="418" t="s">
        <v>59</v>
      </c>
      <c r="H153" s="86">
        <v>9.9000000000000005E-2</v>
      </c>
      <c r="I153" s="418" t="s">
        <v>272</v>
      </c>
      <c r="J153" s="410">
        <f>H153-L153</f>
        <v>3.1E-2</v>
      </c>
      <c r="K153" s="418" t="s">
        <v>273</v>
      </c>
      <c r="L153" s="86">
        <v>6.8000000000000005E-2</v>
      </c>
      <c r="M153" s="418" t="s">
        <v>60</v>
      </c>
      <c r="N153" s="87">
        <v>49</v>
      </c>
      <c r="O153" s="418" t="s">
        <v>62</v>
      </c>
      <c r="P153" s="87">
        <v>49</v>
      </c>
      <c r="Q153" s="418" t="s">
        <v>63</v>
      </c>
      <c r="R153" s="87">
        <v>98</v>
      </c>
      <c r="S153" s="418" t="s">
        <v>64</v>
      </c>
      <c r="T153" s="87">
        <v>29</v>
      </c>
      <c r="U153" s="418" t="s">
        <v>57</v>
      </c>
      <c r="V153" s="88" t="s">
        <v>401</v>
      </c>
      <c r="W153" s="547" t="s">
        <v>396</v>
      </c>
      <c r="X153" s="549">
        <v>0.96</v>
      </c>
      <c r="Y153" s="547" t="s">
        <v>395</v>
      </c>
      <c r="Z153" s="413">
        <v>12</v>
      </c>
    </row>
    <row r="154" spans="1:26" x14ac:dyDescent="0.2">
      <c r="A154" s="417" t="s">
        <v>33</v>
      </c>
      <c r="B154" s="441">
        <v>0</v>
      </c>
      <c r="C154" s="442">
        <v>0.01</v>
      </c>
      <c r="D154" s="442">
        <v>0.02</v>
      </c>
      <c r="E154" s="442">
        <v>0.03</v>
      </c>
      <c r="F154" s="442">
        <v>0.04</v>
      </c>
      <c r="G154" s="442">
        <v>7.0000000000000007E-2</v>
      </c>
      <c r="H154" s="442">
        <v>0.1</v>
      </c>
      <c r="I154" s="442">
        <v>0.2</v>
      </c>
      <c r="J154" s="442">
        <v>0.3</v>
      </c>
      <c r="K154" s="442">
        <v>0.4</v>
      </c>
      <c r="L154" s="442">
        <v>0.5</v>
      </c>
      <c r="M154" s="442">
        <v>0.6</v>
      </c>
      <c r="N154" s="442">
        <v>0.7</v>
      </c>
      <c r="O154" s="442">
        <v>0.87</v>
      </c>
      <c r="P154" s="442">
        <v>0.9</v>
      </c>
      <c r="Q154" s="442">
        <v>0.97</v>
      </c>
      <c r="R154" s="442">
        <v>0.97</v>
      </c>
      <c r="S154" s="442">
        <v>0.97</v>
      </c>
      <c r="T154" s="442">
        <v>0.97</v>
      </c>
      <c r="U154" s="442">
        <v>0.97</v>
      </c>
      <c r="V154" s="442">
        <v>0.97</v>
      </c>
      <c r="W154" s="442">
        <v>0.97</v>
      </c>
      <c r="X154" s="442">
        <v>2</v>
      </c>
      <c r="Y154" s="444">
        <v>1000</v>
      </c>
    </row>
    <row r="155" spans="1:26" x14ac:dyDescent="0.2">
      <c r="A155" s="434" t="s">
        <v>34</v>
      </c>
      <c r="B155" s="443">
        <v>0</v>
      </c>
      <c r="C155" s="433">
        <v>16</v>
      </c>
      <c r="D155" s="433">
        <v>62</v>
      </c>
      <c r="E155" s="433">
        <v>67</v>
      </c>
      <c r="F155" s="433">
        <v>71</v>
      </c>
      <c r="G155" s="433">
        <v>58</v>
      </c>
      <c r="H155" s="433">
        <v>63</v>
      </c>
      <c r="I155" s="433">
        <v>67</v>
      </c>
      <c r="J155" s="433">
        <v>69</v>
      </c>
      <c r="K155" s="433">
        <v>67</v>
      </c>
      <c r="L155" s="433">
        <v>65</v>
      </c>
      <c r="M155" s="433">
        <v>63</v>
      </c>
      <c r="N155" s="433">
        <v>61</v>
      </c>
      <c r="O155" s="433">
        <v>60</v>
      </c>
      <c r="P155" s="433">
        <v>23</v>
      </c>
      <c r="Q155" s="433">
        <v>0</v>
      </c>
      <c r="R155" s="433">
        <v>0</v>
      </c>
      <c r="S155" s="433">
        <v>0</v>
      </c>
      <c r="T155" s="433">
        <v>0</v>
      </c>
      <c r="U155" s="433">
        <v>0</v>
      </c>
      <c r="V155" s="433">
        <v>0</v>
      </c>
      <c r="W155" s="433">
        <v>0</v>
      </c>
      <c r="X155" s="433">
        <v>0</v>
      </c>
      <c r="Y155" s="439">
        <v>0</v>
      </c>
    </row>
    <row r="156" spans="1:26" ht="13.5" thickBot="1" x14ac:dyDescent="0.25">
      <c r="A156" s="435" t="s">
        <v>119</v>
      </c>
      <c r="B156" s="429">
        <f t="shared" ref="B156:X156" si="34">(C155+B155)*(C154-B154)/2</f>
        <v>0.08</v>
      </c>
      <c r="C156" s="430">
        <f t="shared" si="34"/>
        <v>0.39</v>
      </c>
      <c r="D156" s="430">
        <f t="shared" si="34"/>
        <v>0.64499999999999991</v>
      </c>
      <c r="E156" s="430">
        <f t="shared" si="34"/>
        <v>0.69000000000000017</v>
      </c>
      <c r="F156" s="430">
        <f t="shared" si="34"/>
        <v>1.9350000000000003</v>
      </c>
      <c r="G156" s="430">
        <f t="shared" si="34"/>
        <v>1.8149999999999999</v>
      </c>
      <c r="H156" s="430">
        <f t="shared" si="34"/>
        <v>6.5</v>
      </c>
      <c r="I156" s="430">
        <f t="shared" si="34"/>
        <v>6.7999999999999989</v>
      </c>
      <c r="J156" s="430">
        <f t="shared" si="34"/>
        <v>6.8000000000000025</v>
      </c>
      <c r="K156" s="430">
        <f t="shared" si="34"/>
        <v>6.5999999999999988</v>
      </c>
      <c r="L156" s="430">
        <f t="shared" si="34"/>
        <v>6.3999999999999986</v>
      </c>
      <c r="M156" s="430">
        <f t="shared" si="34"/>
        <v>6.1999999999999984</v>
      </c>
      <c r="N156" s="430">
        <f t="shared" si="34"/>
        <v>10.285000000000002</v>
      </c>
      <c r="O156" s="430">
        <f t="shared" si="34"/>
        <v>1.245000000000001</v>
      </c>
      <c r="P156" s="430">
        <f t="shared" si="34"/>
        <v>0.80499999999999949</v>
      </c>
      <c r="Q156" s="430">
        <f t="shared" si="34"/>
        <v>0</v>
      </c>
      <c r="R156" s="430">
        <f t="shared" si="34"/>
        <v>0</v>
      </c>
      <c r="S156" s="430">
        <f t="shared" si="34"/>
        <v>0</v>
      </c>
      <c r="T156" s="430">
        <f t="shared" si="34"/>
        <v>0</v>
      </c>
      <c r="U156" s="430">
        <f t="shared" si="34"/>
        <v>0</v>
      </c>
      <c r="V156" s="430">
        <f t="shared" si="34"/>
        <v>0</v>
      </c>
      <c r="W156" s="430">
        <f t="shared" si="34"/>
        <v>0</v>
      </c>
      <c r="X156" s="430">
        <f t="shared" si="34"/>
        <v>0</v>
      </c>
      <c r="Y156" s="424"/>
    </row>
    <row r="157" spans="1:26" ht="13.5" thickBot="1" x14ac:dyDescent="0.25">
      <c r="A157" s="492" t="s">
        <v>316</v>
      </c>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5" thickBot="1" x14ac:dyDescent="0.25">
      <c r="A158" s="416" t="s">
        <v>323</v>
      </c>
      <c r="B158" s="414">
        <f>ROW(A158)</f>
        <v>158</v>
      </c>
      <c r="C158" s="418" t="s">
        <v>118</v>
      </c>
      <c r="D158" s="408">
        <f>SUM(B161:Y161)</f>
        <v>59.702267000000006</v>
      </c>
      <c r="E158" s="418" t="s">
        <v>117</v>
      </c>
      <c r="F158" s="409">
        <f>D158/g/J158</f>
        <v>190.77924771281306</v>
      </c>
      <c r="G158" s="418" t="s">
        <v>59</v>
      </c>
      <c r="H158" s="86">
        <v>9.3899999999999997E-2</v>
      </c>
      <c r="I158" s="418" t="s">
        <v>272</v>
      </c>
      <c r="J158" s="410">
        <f>H158-L158</f>
        <v>3.1899999999999998E-2</v>
      </c>
      <c r="K158" s="418" t="s">
        <v>273</v>
      </c>
      <c r="L158" s="86">
        <f>0.095-0.033</f>
        <v>6.2E-2</v>
      </c>
      <c r="M158" s="418" t="s">
        <v>60</v>
      </c>
      <c r="N158" s="457">
        <v>66.5</v>
      </c>
      <c r="O158" s="418" t="s">
        <v>62</v>
      </c>
      <c r="P158" s="457">
        <v>66.5</v>
      </c>
      <c r="Q158" s="418" t="s">
        <v>63</v>
      </c>
      <c r="R158" s="87">
        <v>133</v>
      </c>
      <c r="S158" s="418" t="s">
        <v>64</v>
      </c>
      <c r="T158" s="87">
        <v>24</v>
      </c>
      <c r="U158" s="418" t="s">
        <v>57</v>
      </c>
      <c r="V158" s="88" t="s">
        <v>401</v>
      </c>
      <c r="W158" s="547" t="s">
        <v>396</v>
      </c>
      <c r="X158" s="549">
        <v>1.2</v>
      </c>
      <c r="Y158" s="547" t="s">
        <v>395</v>
      </c>
      <c r="Z158" s="413">
        <v>13</v>
      </c>
    </row>
    <row r="159" spans="1:26" x14ac:dyDescent="0.2">
      <c r="A159" s="417" t="s">
        <v>33</v>
      </c>
      <c r="B159" s="425">
        <v>0</v>
      </c>
      <c r="C159" s="426">
        <v>1.4999999999999999E-2</v>
      </c>
      <c r="D159" s="426">
        <v>2.1999999999999999E-2</v>
      </c>
      <c r="E159" s="426">
        <v>6.4000000000000001E-2</v>
      </c>
      <c r="F159" s="426">
        <v>0.11799999999999999</v>
      </c>
      <c r="G159" s="426">
        <v>0.34200000000000003</v>
      </c>
      <c r="H159" s="426">
        <v>0.53600000000000003</v>
      </c>
      <c r="I159" s="426">
        <v>0.74299999999999999</v>
      </c>
      <c r="J159" s="426">
        <v>0.88400000000000001</v>
      </c>
      <c r="K159" s="426">
        <v>0.97599999999999998</v>
      </c>
      <c r="L159" s="426">
        <v>1.0960000000000001</v>
      </c>
      <c r="M159" s="426">
        <v>1.246</v>
      </c>
      <c r="N159" s="426">
        <v>1.298</v>
      </c>
      <c r="O159" s="442">
        <v>2</v>
      </c>
      <c r="P159" s="442">
        <v>2</v>
      </c>
      <c r="Q159" s="442">
        <v>2</v>
      </c>
      <c r="R159" s="442">
        <v>2</v>
      </c>
      <c r="S159" s="442">
        <v>2</v>
      </c>
      <c r="T159" s="442">
        <v>2</v>
      </c>
      <c r="U159" s="442">
        <v>2</v>
      </c>
      <c r="V159" s="442">
        <v>2</v>
      </c>
      <c r="W159" s="442">
        <v>2</v>
      </c>
      <c r="X159" s="442">
        <f t="shared" ref="T159:X160" si="35">W159</f>
        <v>2</v>
      </c>
      <c r="Y159" s="444">
        <v>1000</v>
      </c>
    </row>
    <row r="160" spans="1:26" x14ac:dyDescent="0.2">
      <c r="A160" s="434" t="s">
        <v>34</v>
      </c>
      <c r="B160" s="427">
        <v>0</v>
      </c>
      <c r="C160" s="428">
        <v>64.981999999999999</v>
      </c>
      <c r="D160" s="428">
        <v>69.516000000000005</v>
      </c>
      <c r="E160" s="428">
        <v>55.536999999999999</v>
      </c>
      <c r="F160" s="428">
        <v>62.81</v>
      </c>
      <c r="G160" s="428">
        <v>62.149000000000001</v>
      </c>
      <c r="H160" s="428">
        <v>59.41</v>
      </c>
      <c r="I160" s="428">
        <v>53.837000000000003</v>
      </c>
      <c r="J160" s="428">
        <v>46.942</v>
      </c>
      <c r="K160" s="428">
        <v>40.046999999999997</v>
      </c>
      <c r="L160" s="428">
        <v>12.561999999999999</v>
      </c>
      <c r="M160" s="428">
        <v>2.0779999999999998</v>
      </c>
      <c r="N160" s="428">
        <v>0</v>
      </c>
      <c r="O160" s="433">
        <v>0</v>
      </c>
      <c r="P160" s="433">
        <v>0</v>
      </c>
      <c r="Q160" s="433">
        <v>0</v>
      </c>
      <c r="R160" s="433">
        <v>0</v>
      </c>
      <c r="S160" s="433">
        <v>0</v>
      </c>
      <c r="T160" s="433">
        <f t="shared" si="35"/>
        <v>0</v>
      </c>
      <c r="U160" s="433">
        <f t="shared" si="35"/>
        <v>0</v>
      </c>
      <c r="V160" s="433">
        <f t="shared" si="35"/>
        <v>0</v>
      </c>
      <c r="W160" s="433">
        <f t="shared" si="35"/>
        <v>0</v>
      </c>
      <c r="X160" s="433">
        <f t="shared" si="35"/>
        <v>0</v>
      </c>
      <c r="Y160" s="439">
        <v>0</v>
      </c>
    </row>
    <row r="161" spans="1:26" ht="13.5" thickBot="1" x14ac:dyDescent="0.25">
      <c r="A161" s="435" t="s">
        <v>119</v>
      </c>
      <c r="B161" s="429">
        <f t="shared" ref="B161:V161" si="36">(C160+B160)*(C159-B159)/2</f>
        <v>0.48736499999999999</v>
      </c>
      <c r="C161" s="430">
        <f t="shared" si="36"/>
        <v>0.47074299999999991</v>
      </c>
      <c r="D161" s="430">
        <f t="shared" si="36"/>
        <v>2.6261130000000001</v>
      </c>
      <c r="E161" s="430">
        <f t="shared" si="36"/>
        <v>3.1953689999999999</v>
      </c>
      <c r="F161" s="430">
        <f t="shared" si="36"/>
        <v>13.995408000000003</v>
      </c>
      <c r="G161" s="430">
        <f t="shared" si="36"/>
        <v>11.791223</v>
      </c>
      <c r="H161" s="430">
        <f t="shared" si="36"/>
        <v>11.721064499999997</v>
      </c>
      <c r="I161" s="430">
        <f t="shared" si="36"/>
        <v>7.1049195000000003</v>
      </c>
      <c r="J161" s="430">
        <f>(K160+J160)*(K159-J159)/2</f>
        <v>4.0014939999999992</v>
      </c>
      <c r="K161" s="430">
        <f t="shared" si="36"/>
        <v>3.1565400000000023</v>
      </c>
      <c r="L161" s="430">
        <f t="shared" si="36"/>
        <v>1.0979999999999992</v>
      </c>
      <c r="M161" s="430">
        <f t="shared" si="36"/>
        <v>5.4028000000000041E-2</v>
      </c>
      <c r="N161" s="430">
        <f t="shared" si="36"/>
        <v>0</v>
      </c>
      <c r="O161" s="430">
        <f t="shared" si="36"/>
        <v>0</v>
      </c>
      <c r="P161" s="430">
        <f t="shared" si="36"/>
        <v>0</v>
      </c>
      <c r="Q161" s="430">
        <f t="shared" si="36"/>
        <v>0</v>
      </c>
      <c r="R161" s="430">
        <f t="shared" si="36"/>
        <v>0</v>
      </c>
      <c r="S161" s="430">
        <f>(T160+S160)*(T159-S159)/2</f>
        <v>0</v>
      </c>
      <c r="T161" s="430">
        <f t="shared" si="36"/>
        <v>0</v>
      </c>
      <c r="U161" s="430">
        <f t="shared" si="36"/>
        <v>0</v>
      </c>
      <c r="V161" s="430">
        <f t="shared" si="36"/>
        <v>0</v>
      </c>
      <c r="W161" s="430">
        <f>(X160+W160)*(X159-W159)/2</f>
        <v>0</v>
      </c>
      <c r="X161" s="430">
        <f>(Y160+X160)*(Y159-X159)/2</f>
        <v>0</v>
      </c>
      <c r="Y161" s="424"/>
    </row>
    <row r="162" spans="1:26" ht="13.5" thickBot="1" x14ac:dyDescent="0.25"/>
    <row r="163" spans="1:26" ht="13.5" thickBot="1" x14ac:dyDescent="0.25">
      <c r="A163" s="416" t="s">
        <v>324</v>
      </c>
      <c r="B163" s="414">
        <f>ROW(A163)</f>
        <v>163</v>
      </c>
      <c r="C163" s="418" t="s">
        <v>118</v>
      </c>
      <c r="D163" s="408">
        <f>SUM(B166:Y166)</f>
        <v>68.380602999999994</v>
      </c>
      <c r="E163" s="418" t="s">
        <v>117</v>
      </c>
      <c r="F163" s="409">
        <f>D163/g/J163</f>
        <v>134.04807300243078</v>
      </c>
      <c r="G163" s="418" t="s">
        <v>59</v>
      </c>
      <c r="H163" s="86">
        <v>0.1075</v>
      </c>
      <c r="I163" s="418" t="s">
        <v>272</v>
      </c>
      <c r="J163" s="410">
        <f>H163-L163</f>
        <v>5.1999999999999998E-2</v>
      </c>
      <c r="K163" s="418" t="s">
        <v>273</v>
      </c>
      <c r="L163" s="86">
        <v>5.5500000000000001E-2</v>
      </c>
      <c r="M163" s="418" t="s">
        <v>60</v>
      </c>
      <c r="N163" s="457">
        <v>66.5</v>
      </c>
      <c r="O163" s="418" t="s">
        <v>62</v>
      </c>
      <c r="P163" s="457">
        <v>66.5</v>
      </c>
      <c r="Q163" s="418" t="s">
        <v>63</v>
      </c>
      <c r="R163" s="87">
        <v>133</v>
      </c>
      <c r="S163" s="418" t="s">
        <v>64</v>
      </c>
      <c r="T163" s="87">
        <v>24</v>
      </c>
      <c r="U163" s="418" t="s">
        <v>57</v>
      </c>
      <c r="V163" s="88" t="s">
        <v>401</v>
      </c>
      <c r="W163" s="547" t="s">
        <v>396</v>
      </c>
      <c r="X163" s="549">
        <v>0.86</v>
      </c>
      <c r="Y163" s="547" t="s">
        <v>395</v>
      </c>
      <c r="Z163" s="413">
        <v>13</v>
      </c>
    </row>
    <row r="164" spans="1:26" x14ac:dyDescent="0.2">
      <c r="A164" s="417" t="s">
        <v>33</v>
      </c>
      <c r="B164" s="441">
        <v>0</v>
      </c>
      <c r="C164" s="442">
        <v>5.0000000000000001E-3</v>
      </c>
      <c r="D164" s="442">
        <v>1.2999999999999999E-2</v>
      </c>
      <c r="E164" s="442">
        <v>2.1999999999999999E-2</v>
      </c>
      <c r="F164" s="442">
        <v>4.2999999999999997E-2</v>
      </c>
      <c r="G164" s="442">
        <v>0.11899999999999999</v>
      </c>
      <c r="H164" s="442">
        <v>0.19800000000000001</v>
      </c>
      <c r="I164" s="442">
        <v>0.26700000000000002</v>
      </c>
      <c r="J164" s="442">
        <v>0.34300000000000003</v>
      </c>
      <c r="K164" s="442">
        <v>0.40400000000000003</v>
      </c>
      <c r="L164" s="442">
        <v>0.498</v>
      </c>
      <c r="M164" s="442">
        <v>0.55500000000000005</v>
      </c>
      <c r="N164" s="442">
        <v>0.622</v>
      </c>
      <c r="O164" s="442">
        <v>0.66300000000000003</v>
      </c>
      <c r="P164" s="442">
        <v>0.70399999999999996</v>
      </c>
      <c r="Q164" s="442">
        <v>0.72899999999999998</v>
      </c>
      <c r="R164" s="442">
        <v>0.747</v>
      </c>
      <c r="S164" s="442">
        <v>0.76800000000000002</v>
      </c>
      <c r="T164" s="442">
        <v>0.82099999999999995</v>
      </c>
      <c r="U164" s="442">
        <v>0.85199999999999998</v>
      </c>
      <c r="V164" s="442">
        <v>0.89200000000000002</v>
      </c>
      <c r="W164" s="442">
        <v>1</v>
      </c>
      <c r="X164" s="442">
        <v>2</v>
      </c>
      <c r="Y164" s="444">
        <v>1000</v>
      </c>
    </row>
    <row r="165" spans="1:26" x14ac:dyDescent="0.2">
      <c r="A165" s="434" t="s">
        <v>34</v>
      </c>
      <c r="B165" s="443">
        <v>0</v>
      </c>
      <c r="C165" s="433">
        <v>60</v>
      </c>
      <c r="D165" s="433">
        <v>89.007000000000005</v>
      </c>
      <c r="E165" s="433">
        <v>96.290999999999997</v>
      </c>
      <c r="F165" s="433">
        <v>81.721999999999994</v>
      </c>
      <c r="G165" s="433">
        <v>85.563000000000002</v>
      </c>
      <c r="H165" s="433">
        <v>87.947000000000003</v>
      </c>
      <c r="I165" s="433">
        <v>89.272000000000006</v>
      </c>
      <c r="J165" s="433">
        <v>89.933999999999997</v>
      </c>
      <c r="K165" s="433">
        <v>90.861000000000004</v>
      </c>
      <c r="L165" s="433">
        <v>91.522999999999996</v>
      </c>
      <c r="M165" s="433">
        <v>89.668999999999997</v>
      </c>
      <c r="N165" s="433">
        <v>83.974000000000004</v>
      </c>
      <c r="O165" s="433">
        <v>80.53</v>
      </c>
      <c r="P165" s="433">
        <v>78.94</v>
      </c>
      <c r="Q165" s="433">
        <v>74.171999999999997</v>
      </c>
      <c r="R165" s="433">
        <v>66.887</v>
      </c>
      <c r="S165" s="433">
        <v>53.774999999999999</v>
      </c>
      <c r="T165" s="433">
        <v>18.542999999999999</v>
      </c>
      <c r="U165" s="433">
        <v>7.8150000000000004</v>
      </c>
      <c r="V165" s="433">
        <v>2.1190000000000002</v>
      </c>
      <c r="W165" s="433">
        <v>0</v>
      </c>
      <c r="X165" s="433">
        <v>0</v>
      </c>
      <c r="Y165" s="439">
        <v>0</v>
      </c>
    </row>
    <row r="166" spans="1:26" ht="13.5" thickBot="1" x14ac:dyDescent="0.25">
      <c r="A166" s="435" t="s">
        <v>119</v>
      </c>
      <c r="B166" s="429">
        <f t="shared" ref="B166:X166" si="37">(C165+B165)*(C164-B164)/2</f>
        <v>0.15</v>
      </c>
      <c r="C166" s="430">
        <f t="shared" si="37"/>
        <v>0.596028</v>
      </c>
      <c r="D166" s="430">
        <f t="shared" si="37"/>
        <v>0.83384099999999994</v>
      </c>
      <c r="E166" s="430">
        <f t="shared" si="37"/>
        <v>1.8691364999999995</v>
      </c>
      <c r="F166" s="430">
        <f t="shared" si="37"/>
        <v>6.3568299999999995</v>
      </c>
      <c r="G166" s="430">
        <f t="shared" si="37"/>
        <v>6.8536450000000011</v>
      </c>
      <c r="H166" s="430">
        <f t="shared" si="37"/>
        <v>6.1140555000000001</v>
      </c>
      <c r="I166" s="430">
        <f t="shared" si="37"/>
        <v>6.8098280000000013</v>
      </c>
      <c r="J166" s="430">
        <f t="shared" si="37"/>
        <v>5.5142475000000006</v>
      </c>
      <c r="K166" s="430">
        <f t="shared" si="37"/>
        <v>8.5720479999999988</v>
      </c>
      <c r="L166" s="430">
        <f t="shared" si="37"/>
        <v>5.1639720000000047</v>
      </c>
      <c r="M166" s="430">
        <f t="shared" si="37"/>
        <v>5.8170404999999956</v>
      </c>
      <c r="N166" s="430">
        <f t="shared" si="37"/>
        <v>3.3723320000000032</v>
      </c>
      <c r="O166" s="430">
        <f t="shared" si="37"/>
        <v>3.2691349999999941</v>
      </c>
      <c r="P166" s="430">
        <f t="shared" si="37"/>
        <v>1.9139000000000017</v>
      </c>
      <c r="Q166" s="430">
        <f t="shared" si="37"/>
        <v>1.2695310000000011</v>
      </c>
      <c r="R166" s="430">
        <f t="shared" si="37"/>
        <v>1.2669510000000013</v>
      </c>
      <c r="S166" s="430">
        <f t="shared" si="37"/>
        <v>1.9164269999999977</v>
      </c>
      <c r="T166" s="430">
        <f t="shared" si="37"/>
        <v>0.40854900000000038</v>
      </c>
      <c r="U166" s="430">
        <f t="shared" si="37"/>
        <v>0.19868000000000019</v>
      </c>
      <c r="V166" s="430">
        <f t="shared" si="37"/>
        <v>0.114426</v>
      </c>
      <c r="W166" s="430">
        <f t="shared" si="37"/>
        <v>0</v>
      </c>
      <c r="X166" s="430">
        <f t="shared" si="37"/>
        <v>0</v>
      </c>
      <c r="Y166" s="424"/>
    </row>
    <row r="167" spans="1:26" ht="13.5" thickBot="1" x14ac:dyDescent="0.25">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6" ht="13.5" thickBot="1" x14ac:dyDescent="0.25">
      <c r="A168" s="416" t="s">
        <v>325</v>
      </c>
      <c r="B168" s="414">
        <f>ROW(A168)</f>
        <v>168</v>
      </c>
      <c r="C168" s="418" t="s">
        <v>118</v>
      </c>
      <c r="D168" s="408">
        <f>SUM(B171:Y171)</f>
        <v>67.985428500000012</v>
      </c>
      <c r="E168" s="418" t="s">
        <v>117</v>
      </c>
      <c r="F168" s="409">
        <f>D168/g/J168</f>
        <v>181.89545859519862</v>
      </c>
      <c r="G168" s="418" t="s">
        <v>59</v>
      </c>
      <c r="H168" s="86">
        <v>9.1799999999999993E-2</v>
      </c>
      <c r="I168" s="418" t="s">
        <v>272</v>
      </c>
      <c r="J168" s="410">
        <f>H168-L168</f>
        <v>3.8099999999999988E-2</v>
      </c>
      <c r="K168" s="418" t="s">
        <v>273</v>
      </c>
      <c r="L168" s="86">
        <v>5.3700000000000005E-2</v>
      </c>
      <c r="M168" s="418" t="s">
        <v>60</v>
      </c>
      <c r="N168" s="457">
        <v>66.5</v>
      </c>
      <c r="O168" s="418" t="s">
        <v>62</v>
      </c>
      <c r="P168" s="457">
        <v>66.5</v>
      </c>
      <c r="Q168" s="418" t="s">
        <v>63</v>
      </c>
      <c r="R168" s="87">
        <v>133</v>
      </c>
      <c r="S168" s="418" t="s">
        <v>64</v>
      </c>
      <c r="T168" s="87">
        <v>24</v>
      </c>
      <c r="U168" s="418" t="s">
        <v>57</v>
      </c>
      <c r="V168" s="88" t="s">
        <v>401</v>
      </c>
      <c r="W168" s="547" t="s">
        <v>396</v>
      </c>
      <c r="X168" s="549">
        <v>0.33</v>
      </c>
      <c r="Y168" s="547" t="s">
        <v>395</v>
      </c>
      <c r="Z168" s="413">
        <v>15</v>
      </c>
    </row>
    <row r="169" spans="1:26" x14ac:dyDescent="0.2">
      <c r="A169" s="417" t="s">
        <v>33</v>
      </c>
      <c r="B169" s="441">
        <v>0</v>
      </c>
      <c r="C169" s="442">
        <v>4.0000000000000001E-3</v>
      </c>
      <c r="D169" s="442">
        <v>7.0000000000000001E-3</v>
      </c>
      <c r="E169" s="442">
        <v>0.01</v>
      </c>
      <c r="F169" s="442">
        <v>2.1999999999999999E-2</v>
      </c>
      <c r="G169" s="442">
        <v>2.8000000000000001E-2</v>
      </c>
      <c r="H169" s="442">
        <v>4.1000000000000002E-2</v>
      </c>
      <c r="I169" s="442">
        <v>5.8000000000000003E-2</v>
      </c>
      <c r="J169" s="442">
        <v>7.6999999999999999E-2</v>
      </c>
      <c r="K169" s="442">
        <v>8.8999999999999996E-2</v>
      </c>
      <c r="L169" s="442">
        <v>9.7000000000000003E-2</v>
      </c>
      <c r="M169" s="442">
        <v>0.11899999999999999</v>
      </c>
      <c r="N169" s="442">
        <v>0.14699999999999999</v>
      </c>
      <c r="O169" s="442">
        <v>0.17699999999999999</v>
      </c>
      <c r="P169" s="442">
        <v>0.20699999999999999</v>
      </c>
      <c r="Q169" s="442">
        <v>0.253</v>
      </c>
      <c r="R169" s="442">
        <v>0.25900000000000001</v>
      </c>
      <c r="S169" s="442">
        <v>0.27200000000000002</v>
      </c>
      <c r="T169" s="442">
        <v>0.28000000000000003</v>
      </c>
      <c r="U169" s="442">
        <v>0.28599999999999998</v>
      </c>
      <c r="V169" s="442">
        <v>0.29399999999999998</v>
      </c>
      <c r="W169" s="442">
        <v>0.32800000000000001</v>
      </c>
      <c r="X169" s="442">
        <v>2</v>
      </c>
      <c r="Y169" s="444">
        <v>1000</v>
      </c>
    </row>
    <row r="170" spans="1:26" x14ac:dyDescent="0.2">
      <c r="A170" s="434" t="s">
        <v>34</v>
      </c>
      <c r="B170" s="443">
        <v>0</v>
      </c>
      <c r="C170" s="431">
        <v>100.52800000000001</v>
      </c>
      <c r="D170" s="431">
        <v>197.49299999999999</v>
      </c>
      <c r="E170" s="431">
        <v>222.03200000000001</v>
      </c>
      <c r="F170" s="431">
        <v>241.42500000000001</v>
      </c>
      <c r="G170" s="431">
        <v>237.863</v>
      </c>
      <c r="H170" s="431">
        <v>239.446</v>
      </c>
      <c r="I170" s="431">
        <v>252.50700000000001</v>
      </c>
      <c r="J170" s="431">
        <v>263.98399999999998</v>
      </c>
      <c r="K170" s="431">
        <v>275.46199999999999</v>
      </c>
      <c r="L170" s="431">
        <v>271.50400000000002</v>
      </c>
      <c r="M170" s="431">
        <v>278.62799999999999</v>
      </c>
      <c r="N170" s="431">
        <v>281.39800000000002</v>
      </c>
      <c r="O170" s="431">
        <v>272.29599999999999</v>
      </c>
      <c r="P170" s="431">
        <v>258.44299999999998</v>
      </c>
      <c r="Q170" s="431">
        <v>218.47</v>
      </c>
      <c r="R170" s="431">
        <v>188.786</v>
      </c>
      <c r="S170" s="431">
        <v>74.802000000000007</v>
      </c>
      <c r="T170" s="431">
        <v>31.265999999999998</v>
      </c>
      <c r="U170" s="431">
        <v>15.831</v>
      </c>
      <c r="V170" s="431">
        <v>8.7070000000000007</v>
      </c>
      <c r="W170" s="431">
        <v>0</v>
      </c>
      <c r="X170" s="433">
        <v>0</v>
      </c>
      <c r="Y170" s="439">
        <v>0</v>
      </c>
    </row>
    <row r="171" spans="1:26" ht="13.5" thickBot="1" x14ac:dyDescent="0.25">
      <c r="A171" s="435" t="s">
        <v>119</v>
      </c>
      <c r="B171" s="429">
        <f t="shared" ref="B171:X171" si="38">(C170+B170)*(C169-B169)/2</f>
        <v>0.20105600000000001</v>
      </c>
      <c r="C171" s="430">
        <f t="shared" si="38"/>
        <v>0.44703150000000003</v>
      </c>
      <c r="D171" s="430">
        <f t="shared" si="38"/>
        <v>0.6292875</v>
      </c>
      <c r="E171" s="430">
        <f t="shared" si="38"/>
        <v>2.7807419999999996</v>
      </c>
      <c r="F171" s="430">
        <f t="shared" si="38"/>
        <v>1.4378640000000005</v>
      </c>
      <c r="G171" s="430">
        <f t="shared" si="38"/>
        <v>3.1025084999999999</v>
      </c>
      <c r="H171" s="430">
        <f t="shared" si="38"/>
        <v>4.1816005000000001</v>
      </c>
      <c r="I171" s="430">
        <f t="shared" si="38"/>
        <v>4.9066644999999989</v>
      </c>
      <c r="J171" s="430">
        <f t="shared" si="38"/>
        <v>3.2366759999999988</v>
      </c>
      <c r="K171" s="430">
        <f t="shared" si="38"/>
        <v>2.187864000000002</v>
      </c>
      <c r="L171" s="430">
        <f t="shared" si="38"/>
        <v>6.0514519999999985</v>
      </c>
      <c r="M171" s="430">
        <f t="shared" si="38"/>
        <v>7.8403640000000001</v>
      </c>
      <c r="N171" s="430">
        <f t="shared" si="38"/>
        <v>8.3054099999999984</v>
      </c>
      <c r="O171" s="430">
        <f t="shared" si="38"/>
        <v>7.9610850000000006</v>
      </c>
      <c r="P171" s="430">
        <f t="shared" si="38"/>
        <v>10.968999000000004</v>
      </c>
      <c r="Q171" s="430">
        <f t="shared" si="38"/>
        <v>1.2217680000000011</v>
      </c>
      <c r="R171" s="430">
        <f t="shared" si="38"/>
        <v>1.7133220000000016</v>
      </c>
      <c r="S171" s="430">
        <f t="shared" si="38"/>
        <v>0.42427200000000043</v>
      </c>
      <c r="T171" s="430">
        <f t="shared" si="38"/>
        <v>0.14129099999999881</v>
      </c>
      <c r="U171" s="430">
        <f t="shared" si="38"/>
        <v>9.8152000000000086E-2</v>
      </c>
      <c r="V171" s="430">
        <f t="shared" si="38"/>
        <v>0.14801900000000015</v>
      </c>
      <c r="W171" s="430">
        <f t="shared" si="38"/>
        <v>0</v>
      </c>
      <c r="X171" s="430">
        <f t="shared" si="38"/>
        <v>0</v>
      </c>
      <c r="Y171" s="424"/>
    </row>
    <row r="172" spans="1:26" ht="13.5" thickBot="1" x14ac:dyDescent="0.25">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5" thickBot="1" x14ac:dyDescent="0.25">
      <c r="A173" s="416" t="s">
        <v>326</v>
      </c>
      <c r="B173" s="414">
        <f>ROW(A173)</f>
        <v>173</v>
      </c>
      <c r="C173" s="418" t="s">
        <v>118</v>
      </c>
      <c r="D173" s="408">
        <f>SUM(B176:Y176)</f>
        <v>73.557381500000005</v>
      </c>
      <c r="E173" s="418" t="s">
        <v>117</v>
      </c>
      <c r="F173" s="409">
        <f>D173/g/J173</f>
        <v>156.86619302308719</v>
      </c>
      <c r="G173" s="418" t="s">
        <v>59</v>
      </c>
      <c r="H173" s="86">
        <v>0.1022</v>
      </c>
      <c r="I173" s="418" t="s">
        <v>272</v>
      </c>
      <c r="J173" s="410">
        <f>H173-L173</f>
        <v>4.7800000000000002E-2</v>
      </c>
      <c r="K173" s="418" t="s">
        <v>273</v>
      </c>
      <c r="L173" s="86">
        <v>5.4399999999999997E-2</v>
      </c>
      <c r="M173" s="418" t="s">
        <v>60</v>
      </c>
      <c r="N173" s="457">
        <v>66.5</v>
      </c>
      <c r="O173" s="418" t="s">
        <v>62</v>
      </c>
      <c r="P173" s="457">
        <v>66.5</v>
      </c>
      <c r="Q173" s="418" t="s">
        <v>63</v>
      </c>
      <c r="R173" s="87">
        <v>133</v>
      </c>
      <c r="S173" s="418" t="s">
        <v>64</v>
      </c>
      <c r="T173" s="87">
        <v>24</v>
      </c>
      <c r="U173" s="418" t="s">
        <v>57</v>
      </c>
      <c r="V173" s="88" t="s">
        <v>401</v>
      </c>
      <c r="W173" s="547" t="s">
        <v>396</v>
      </c>
      <c r="X173" s="549">
        <v>2.36</v>
      </c>
      <c r="Y173" s="547" t="s">
        <v>395</v>
      </c>
      <c r="Z173" s="413">
        <v>6</v>
      </c>
    </row>
    <row r="174" spans="1:26" x14ac:dyDescent="0.2">
      <c r="A174" s="417" t="s">
        <v>33</v>
      </c>
      <c r="B174" s="441">
        <v>0</v>
      </c>
      <c r="C174" s="442">
        <v>1.4E-2</v>
      </c>
      <c r="D174" s="442">
        <v>5.6000000000000001E-2</v>
      </c>
      <c r="E174" s="442">
        <v>9.1999999999999998E-2</v>
      </c>
      <c r="F174" s="442">
        <v>0.16</v>
      </c>
      <c r="G174" s="442">
        <v>0.23200000000000001</v>
      </c>
      <c r="H174" s="442">
        <v>0.36299999999999999</v>
      </c>
      <c r="I174" s="442">
        <v>0.499</v>
      </c>
      <c r="J174" s="442">
        <v>0.65500000000000003</v>
      </c>
      <c r="K174" s="442">
        <v>0.84299999999999997</v>
      </c>
      <c r="L174" s="442">
        <v>1.216</v>
      </c>
      <c r="M174" s="442">
        <v>1.3680000000000001</v>
      </c>
      <c r="N174" s="442">
        <v>1.54</v>
      </c>
      <c r="O174" s="442">
        <v>1.675</v>
      </c>
      <c r="P174" s="442">
        <v>1.861</v>
      </c>
      <c r="Q174" s="442">
        <v>2.0129999999999999</v>
      </c>
      <c r="R174" s="442">
        <v>2.1589999999999998</v>
      </c>
      <c r="S174" s="442">
        <v>2.302</v>
      </c>
      <c r="T174" s="442">
        <v>2.4620000000000002</v>
      </c>
      <c r="U174" s="442">
        <v>2.5979999999999999</v>
      </c>
      <c r="V174" s="442">
        <v>2.5979999999999999</v>
      </c>
      <c r="W174" s="442">
        <v>2.5979999999999999</v>
      </c>
      <c r="X174" s="442">
        <v>2.5979999999999999</v>
      </c>
      <c r="Y174" s="444">
        <v>1000</v>
      </c>
    </row>
    <row r="175" spans="1:26" x14ac:dyDescent="0.2">
      <c r="A175" s="434" t="s">
        <v>34</v>
      </c>
      <c r="B175" s="443">
        <v>0</v>
      </c>
      <c r="C175" s="431">
        <v>54.222000000000001</v>
      </c>
      <c r="D175" s="431">
        <v>43.456000000000003</v>
      </c>
      <c r="E175" s="431">
        <v>50.185000000000002</v>
      </c>
      <c r="F175" s="431">
        <v>54.063000000000002</v>
      </c>
      <c r="G175" s="431">
        <v>48.363999999999997</v>
      </c>
      <c r="H175" s="431">
        <v>45.752000000000002</v>
      </c>
      <c r="I175" s="431">
        <v>43.14</v>
      </c>
      <c r="J175" s="431">
        <v>40.29</v>
      </c>
      <c r="K175" s="431">
        <v>37.835999999999999</v>
      </c>
      <c r="L175" s="431">
        <v>32.612000000000002</v>
      </c>
      <c r="M175" s="431">
        <v>30.317</v>
      </c>
      <c r="N175" s="431">
        <v>26.359000000000002</v>
      </c>
      <c r="O175" s="431">
        <v>23.509</v>
      </c>
      <c r="P175" s="431">
        <v>19.077000000000002</v>
      </c>
      <c r="Q175" s="431">
        <v>14.565</v>
      </c>
      <c r="R175" s="431">
        <v>10.053000000000001</v>
      </c>
      <c r="S175" s="431">
        <v>4.8280000000000003</v>
      </c>
      <c r="T175" s="431">
        <v>1.504</v>
      </c>
      <c r="U175" s="433">
        <v>0</v>
      </c>
      <c r="V175" s="433">
        <v>0</v>
      </c>
      <c r="W175" s="433">
        <v>0</v>
      </c>
      <c r="X175" s="433">
        <v>0</v>
      </c>
      <c r="Y175" s="439">
        <v>0</v>
      </c>
    </row>
    <row r="176" spans="1:26" ht="13.5" thickBot="1" x14ac:dyDescent="0.25">
      <c r="A176" s="435" t="s">
        <v>119</v>
      </c>
      <c r="B176" s="429">
        <f t="shared" ref="B176:X176" si="39">(C175+B175)*(C174-B174)/2</f>
        <v>0.379554</v>
      </c>
      <c r="C176" s="430">
        <f t="shared" si="39"/>
        <v>2.0512380000000001</v>
      </c>
      <c r="D176" s="430">
        <f t="shared" si="39"/>
        <v>1.685538</v>
      </c>
      <c r="E176" s="430">
        <f t="shared" si="39"/>
        <v>3.5444320000000005</v>
      </c>
      <c r="F176" s="430">
        <f t="shared" si="39"/>
        <v>3.6873720000000003</v>
      </c>
      <c r="G176" s="430">
        <f t="shared" si="39"/>
        <v>6.1645979999999989</v>
      </c>
      <c r="H176" s="430">
        <f t="shared" si="39"/>
        <v>6.0446559999999998</v>
      </c>
      <c r="I176" s="430">
        <f t="shared" si="39"/>
        <v>6.5075400000000014</v>
      </c>
      <c r="J176" s="430">
        <f t="shared" si="39"/>
        <v>7.343843999999998</v>
      </c>
      <c r="K176" s="430">
        <f t="shared" si="39"/>
        <v>13.138552000000001</v>
      </c>
      <c r="L176" s="430">
        <f t="shared" si="39"/>
        <v>4.7826040000000045</v>
      </c>
      <c r="M176" s="430">
        <f t="shared" si="39"/>
        <v>4.8741359999999982</v>
      </c>
      <c r="N176" s="430">
        <f t="shared" si="39"/>
        <v>3.3660900000000002</v>
      </c>
      <c r="O176" s="430">
        <f t="shared" si="39"/>
        <v>3.9604979999999985</v>
      </c>
      <c r="P176" s="430">
        <f t="shared" si="39"/>
        <v>2.5567919999999988</v>
      </c>
      <c r="Q176" s="430">
        <f t="shared" si="39"/>
        <v>1.797113999999999</v>
      </c>
      <c r="R176" s="430">
        <f t="shared" si="39"/>
        <v>1.0639915000000018</v>
      </c>
      <c r="S176" s="430">
        <f t="shared" si="39"/>
        <v>0.50656000000000045</v>
      </c>
      <c r="T176" s="430">
        <f t="shared" si="39"/>
        <v>0.10227199999999975</v>
      </c>
      <c r="U176" s="430">
        <f t="shared" si="39"/>
        <v>0</v>
      </c>
      <c r="V176" s="430">
        <f t="shared" si="39"/>
        <v>0</v>
      </c>
      <c r="W176" s="430">
        <f t="shared" si="39"/>
        <v>0</v>
      </c>
      <c r="X176" s="430">
        <f t="shared" si="39"/>
        <v>0</v>
      </c>
      <c r="Y176" s="424"/>
    </row>
    <row r="177" spans="1:26" ht="13.5" thickBot="1" x14ac:dyDescent="0.25">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5" thickBot="1" x14ac:dyDescent="0.25">
      <c r="A178" s="416" t="s">
        <v>327</v>
      </c>
      <c r="B178" s="414">
        <f>ROW(A178)</f>
        <v>178</v>
      </c>
      <c r="C178" s="418" t="s">
        <v>118</v>
      </c>
      <c r="D178" s="408">
        <f>SUM(B181:Y181)</f>
        <v>73.169517999999997</v>
      </c>
      <c r="E178" s="418" t="s">
        <v>117</v>
      </c>
      <c r="F178" s="409">
        <f>D178/g/J178</f>
        <v>177.58729673316827</v>
      </c>
      <c r="G178" s="418" t="s">
        <v>59</v>
      </c>
      <c r="H178" s="86">
        <v>9.6000000000000002E-2</v>
      </c>
      <c r="I178" s="418" t="s">
        <v>272</v>
      </c>
      <c r="J178" s="410">
        <f>H178-L178</f>
        <v>4.2000000000000003E-2</v>
      </c>
      <c r="K178" s="418" t="s">
        <v>273</v>
      </c>
      <c r="L178" s="86">
        <v>5.3999999999999999E-2</v>
      </c>
      <c r="M178" s="418" t="s">
        <v>60</v>
      </c>
      <c r="N178" s="457">
        <v>66.5</v>
      </c>
      <c r="O178" s="418" t="s">
        <v>62</v>
      </c>
      <c r="P178" s="457">
        <v>66.5</v>
      </c>
      <c r="Q178" s="418" t="s">
        <v>63</v>
      </c>
      <c r="R178" s="87">
        <v>133</v>
      </c>
      <c r="S178" s="418" t="s">
        <v>64</v>
      </c>
      <c r="T178" s="87">
        <v>24</v>
      </c>
      <c r="U178" s="418" t="s">
        <v>57</v>
      </c>
      <c r="V178" s="88" t="s">
        <v>401</v>
      </c>
      <c r="W178" s="547" t="s">
        <v>396</v>
      </c>
      <c r="X178" s="549">
        <v>0.87</v>
      </c>
      <c r="Y178" s="547" t="s">
        <v>395</v>
      </c>
      <c r="Z178" s="413">
        <v>15</v>
      </c>
    </row>
    <row r="179" spans="1:26" x14ac:dyDescent="0.2">
      <c r="A179" s="417" t="s">
        <v>33</v>
      </c>
      <c r="B179" s="441">
        <v>0</v>
      </c>
      <c r="C179" s="442">
        <v>0.01</v>
      </c>
      <c r="D179" s="442">
        <v>2.3E-2</v>
      </c>
      <c r="E179" s="442">
        <v>0.04</v>
      </c>
      <c r="F179" s="442">
        <v>0.11799999999999999</v>
      </c>
      <c r="G179" s="442">
        <v>0.28299999999999997</v>
      </c>
      <c r="H179" s="442">
        <v>0.51</v>
      </c>
      <c r="I179" s="442">
        <v>0.68799999999999994</v>
      </c>
      <c r="J179" s="442">
        <v>0.78700000000000003</v>
      </c>
      <c r="K179" s="442">
        <v>0.85199999999999998</v>
      </c>
      <c r="L179" s="442">
        <v>0.873</v>
      </c>
      <c r="M179" s="442">
        <v>0.873</v>
      </c>
      <c r="N179" s="442">
        <v>0.873</v>
      </c>
      <c r="O179" s="442">
        <v>0.873</v>
      </c>
      <c r="P179" s="442">
        <v>0.873</v>
      </c>
      <c r="Q179" s="442">
        <v>0.873</v>
      </c>
      <c r="R179" s="442">
        <v>0.873</v>
      </c>
      <c r="S179" s="442">
        <v>0.873</v>
      </c>
      <c r="T179" s="442">
        <v>0.873</v>
      </c>
      <c r="U179" s="442">
        <v>0.873</v>
      </c>
      <c r="V179" s="442">
        <v>0.873</v>
      </c>
      <c r="W179" s="442">
        <v>0.873</v>
      </c>
      <c r="X179" s="442">
        <v>2</v>
      </c>
      <c r="Y179" s="444">
        <v>1000</v>
      </c>
    </row>
    <row r="180" spans="1:26" x14ac:dyDescent="0.2">
      <c r="A180" s="434" t="s">
        <v>34</v>
      </c>
      <c r="B180" s="443">
        <v>0</v>
      </c>
      <c r="C180" s="431">
        <v>76.073999999999998</v>
      </c>
      <c r="D180" s="431">
        <v>100.185</v>
      </c>
      <c r="E180" s="431">
        <v>92.424999999999997</v>
      </c>
      <c r="F180" s="431">
        <v>100.878</v>
      </c>
      <c r="G180" s="431">
        <v>102.402</v>
      </c>
      <c r="H180" s="431">
        <v>96.442999999999998</v>
      </c>
      <c r="I180" s="431">
        <v>87.436000000000007</v>
      </c>
      <c r="J180" s="431">
        <v>25.911999999999999</v>
      </c>
      <c r="K180" s="431">
        <v>7.2060000000000004</v>
      </c>
      <c r="L180" s="433">
        <v>0</v>
      </c>
      <c r="M180" s="433">
        <v>0</v>
      </c>
      <c r="N180" s="433">
        <v>0</v>
      </c>
      <c r="O180" s="433">
        <v>0</v>
      </c>
      <c r="P180" s="433">
        <v>0</v>
      </c>
      <c r="Q180" s="433">
        <v>0</v>
      </c>
      <c r="R180" s="433">
        <v>0</v>
      </c>
      <c r="S180" s="433">
        <v>0</v>
      </c>
      <c r="T180" s="433">
        <v>0</v>
      </c>
      <c r="U180" s="433">
        <v>0</v>
      </c>
      <c r="V180" s="433">
        <v>0</v>
      </c>
      <c r="W180" s="433">
        <v>0</v>
      </c>
      <c r="X180" s="433">
        <v>0</v>
      </c>
      <c r="Y180" s="439">
        <v>0</v>
      </c>
    </row>
    <row r="181" spans="1:26" ht="13.5" thickBot="1" x14ac:dyDescent="0.25">
      <c r="A181" s="435" t="s">
        <v>119</v>
      </c>
      <c r="B181" s="429">
        <f t="shared" ref="B181:X181" si="40">(C180+B180)*(C179-B179)/2</f>
        <v>0.38036999999999999</v>
      </c>
      <c r="C181" s="430">
        <f t="shared" si="40"/>
        <v>1.1456835000000001</v>
      </c>
      <c r="D181" s="430">
        <f t="shared" si="40"/>
        <v>1.6371850000000003</v>
      </c>
      <c r="E181" s="430">
        <f t="shared" si="40"/>
        <v>7.5388169999999981</v>
      </c>
      <c r="F181" s="430">
        <f t="shared" si="40"/>
        <v>16.770599999999998</v>
      </c>
      <c r="G181" s="430">
        <f t="shared" si="40"/>
        <v>22.568907500000002</v>
      </c>
      <c r="H181" s="430">
        <f t="shared" si="40"/>
        <v>16.365230999999994</v>
      </c>
      <c r="I181" s="430">
        <f t="shared" si="40"/>
        <v>5.6107260000000059</v>
      </c>
      <c r="J181" s="430">
        <f t="shared" si="40"/>
        <v>1.0763349999999992</v>
      </c>
      <c r="K181" s="430">
        <f t="shared" si="40"/>
        <v>7.5663000000000077E-2</v>
      </c>
      <c r="L181" s="430">
        <f t="shared" si="40"/>
        <v>0</v>
      </c>
      <c r="M181" s="430">
        <f t="shared" si="40"/>
        <v>0</v>
      </c>
      <c r="N181" s="430">
        <f t="shared" si="40"/>
        <v>0</v>
      </c>
      <c r="O181" s="430">
        <f t="shared" si="40"/>
        <v>0</v>
      </c>
      <c r="P181" s="430">
        <f t="shared" si="40"/>
        <v>0</v>
      </c>
      <c r="Q181" s="430">
        <f t="shared" si="40"/>
        <v>0</v>
      </c>
      <c r="R181" s="430">
        <f t="shared" si="40"/>
        <v>0</v>
      </c>
      <c r="S181" s="430">
        <f t="shared" si="40"/>
        <v>0</v>
      </c>
      <c r="T181" s="430">
        <f t="shared" si="40"/>
        <v>0</v>
      </c>
      <c r="U181" s="430">
        <f t="shared" si="40"/>
        <v>0</v>
      </c>
      <c r="V181" s="430">
        <f t="shared" si="40"/>
        <v>0</v>
      </c>
      <c r="W181" s="430">
        <f t="shared" si="40"/>
        <v>0</v>
      </c>
      <c r="X181" s="430">
        <f t="shared" si="40"/>
        <v>0</v>
      </c>
      <c r="Y181" s="424"/>
    </row>
    <row r="182" spans="1:26" ht="13.5" thickBot="1" x14ac:dyDescent="0.25">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5" thickBot="1" x14ac:dyDescent="0.25">
      <c r="A183" s="416" t="s">
        <v>328</v>
      </c>
      <c r="B183" s="414">
        <f>ROW(A183)</f>
        <v>183</v>
      </c>
      <c r="C183" s="418" t="s">
        <v>118</v>
      </c>
      <c r="D183" s="408">
        <f>SUM(B186:Y186)</f>
        <v>75.254384000000016</v>
      </c>
      <c r="E183" s="418" t="s">
        <v>117</v>
      </c>
      <c r="F183" s="409">
        <f>D183/g/J183</f>
        <v>232.46033422914161</v>
      </c>
      <c r="G183" s="418" t="s">
        <v>59</v>
      </c>
      <c r="H183" s="86">
        <v>9.5000000000000001E-2</v>
      </c>
      <c r="I183" s="418" t="s">
        <v>272</v>
      </c>
      <c r="J183" s="410">
        <f>H183-L183</f>
        <v>3.3000000000000002E-2</v>
      </c>
      <c r="K183" s="418" t="s">
        <v>273</v>
      </c>
      <c r="L183" s="86">
        <f>0.095-0.033</f>
        <v>6.2E-2</v>
      </c>
      <c r="M183" s="418" t="s">
        <v>60</v>
      </c>
      <c r="N183" s="457">
        <v>66.5</v>
      </c>
      <c r="O183" s="418" t="s">
        <v>62</v>
      </c>
      <c r="P183" s="457">
        <v>66.5</v>
      </c>
      <c r="Q183" s="418" t="s">
        <v>63</v>
      </c>
      <c r="R183" s="87">
        <v>133</v>
      </c>
      <c r="S183" s="418" t="s">
        <v>64</v>
      </c>
      <c r="T183" s="87">
        <v>24</v>
      </c>
      <c r="U183" s="418" t="s">
        <v>57</v>
      </c>
      <c r="V183" s="88" t="s">
        <v>401</v>
      </c>
      <c r="W183" s="547" t="s">
        <v>396</v>
      </c>
      <c r="X183" s="549">
        <v>1.5</v>
      </c>
      <c r="Y183" s="547" t="s">
        <v>395</v>
      </c>
      <c r="Z183" s="413">
        <v>12</v>
      </c>
    </row>
    <row r="184" spans="1:26" x14ac:dyDescent="0.2">
      <c r="A184" s="417" t="s">
        <v>33</v>
      </c>
      <c r="B184" s="425">
        <v>0</v>
      </c>
      <c r="C184" s="426">
        <v>0.02</v>
      </c>
      <c r="D184" s="426">
        <v>3.1E-2</v>
      </c>
      <c r="E184" s="426">
        <v>6.2E-2</v>
      </c>
      <c r="F184" s="426">
        <v>0.11700000000000001</v>
      </c>
      <c r="G184" s="426">
        <v>1.2110000000000001</v>
      </c>
      <c r="H184" s="426">
        <v>1.3759999999999999</v>
      </c>
      <c r="I184" s="426">
        <v>1.456</v>
      </c>
      <c r="J184" s="426">
        <v>1.532</v>
      </c>
      <c r="K184" s="426">
        <v>1.577</v>
      </c>
      <c r="L184" s="442">
        <v>2</v>
      </c>
      <c r="M184" s="442">
        <v>2</v>
      </c>
      <c r="N184" s="442">
        <v>2</v>
      </c>
      <c r="O184" s="442">
        <v>2</v>
      </c>
      <c r="P184" s="442">
        <v>2</v>
      </c>
      <c r="Q184" s="442">
        <v>2</v>
      </c>
      <c r="R184" s="442">
        <v>2</v>
      </c>
      <c r="S184" s="442">
        <v>2</v>
      </c>
      <c r="T184" s="442">
        <v>2</v>
      </c>
      <c r="U184" s="442">
        <v>2</v>
      </c>
      <c r="V184" s="442">
        <v>2</v>
      </c>
      <c r="W184" s="442">
        <v>2</v>
      </c>
      <c r="X184" s="442">
        <f t="shared" ref="T184:X185" si="41">W184</f>
        <v>2</v>
      </c>
      <c r="Y184" s="444">
        <v>1000</v>
      </c>
    </row>
    <row r="185" spans="1:26" x14ac:dyDescent="0.2">
      <c r="A185" s="434" t="s">
        <v>34</v>
      </c>
      <c r="B185" s="427">
        <v>0</v>
      </c>
      <c r="C185" s="428">
        <v>75.924000000000007</v>
      </c>
      <c r="D185" s="428">
        <v>84.147999999999996</v>
      </c>
      <c r="E185" s="428">
        <v>70.441000000000003</v>
      </c>
      <c r="F185" s="428">
        <v>73.659000000000006</v>
      </c>
      <c r="G185" s="428">
        <v>38.737000000000002</v>
      </c>
      <c r="H185" s="428">
        <v>14.779</v>
      </c>
      <c r="I185" s="428">
        <v>7.2709999999999999</v>
      </c>
      <c r="J185" s="428">
        <v>3.3370000000000002</v>
      </c>
      <c r="K185" s="428">
        <v>0</v>
      </c>
      <c r="L185" s="433">
        <v>0</v>
      </c>
      <c r="M185" s="433">
        <v>0</v>
      </c>
      <c r="N185" s="433">
        <v>0</v>
      </c>
      <c r="O185" s="433">
        <v>0</v>
      </c>
      <c r="P185" s="433">
        <v>0</v>
      </c>
      <c r="Q185" s="433">
        <v>0</v>
      </c>
      <c r="R185" s="433">
        <v>0</v>
      </c>
      <c r="S185" s="433">
        <v>0</v>
      </c>
      <c r="T185" s="433">
        <f t="shared" si="41"/>
        <v>0</v>
      </c>
      <c r="U185" s="433">
        <f t="shared" si="41"/>
        <v>0</v>
      </c>
      <c r="V185" s="433">
        <f t="shared" si="41"/>
        <v>0</v>
      </c>
      <c r="W185" s="433">
        <f t="shared" si="41"/>
        <v>0</v>
      </c>
      <c r="X185" s="433">
        <f t="shared" si="41"/>
        <v>0</v>
      </c>
      <c r="Y185" s="439">
        <v>0</v>
      </c>
    </row>
    <row r="186" spans="1:26" ht="13.5" thickBot="1" x14ac:dyDescent="0.25">
      <c r="A186" s="435" t="s">
        <v>119</v>
      </c>
      <c r="B186" s="429">
        <f t="shared" ref="B186:V186" si="42">(C185+B185)*(C184-B184)/2</f>
        <v>0.75924000000000014</v>
      </c>
      <c r="C186" s="430">
        <f t="shared" si="42"/>
        <v>0.88039599999999996</v>
      </c>
      <c r="D186" s="430">
        <f t="shared" si="42"/>
        <v>2.3961294999999998</v>
      </c>
      <c r="E186" s="430">
        <f t="shared" si="42"/>
        <v>3.9627500000000011</v>
      </c>
      <c r="F186" s="430">
        <f t="shared" si="42"/>
        <v>61.480612000000015</v>
      </c>
      <c r="G186" s="430">
        <f t="shared" si="42"/>
        <v>4.4150699999999956</v>
      </c>
      <c r="H186" s="430">
        <f t="shared" si="42"/>
        <v>0.88200000000000078</v>
      </c>
      <c r="I186" s="430">
        <f t="shared" si="42"/>
        <v>0.40310400000000035</v>
      </c>
      <c r="J186" s="430">
        <f>(K185+J185)*(K184-J184)/2</f>
        <v>7.5082499999999885E-2</v>
      </c>
      <c r="K186" s="430">
        <f t="shared" si="42"/>
        <v>0</v>
      </c>
      <c r="L186" s="430">
        <f t="shared" si="42"/>
        <v>0</v>
      </c>
      <c r="M186" s="430">
        <f t="shared" si="42"/>
        <v>0</v>
      </c>
      <c r="N186" s="430">
        <f t="shared" si="42"/>
        <v>0</v>
      </c>
      <c r="O186" s="430">
        <f t="shared" si="42"/>
        <v>0</v>
      </c>
      <c r="P186" s="430">
        <f t="shared" si="42"/>
        <v>0</v>
      </c>
      <c r="Q186" s="430">
        <f t="shared" si="42"/>
        <v>0</v>
      </c>
      <c r="R186" s="430">
        <f t="shared" si="42"/>
        <v>0</v>
      </c>
      <c r="S186" s="430">
        <f>(T185+S185)*(T184-S184)/2</f>
        <v>0</v>
      </c>
      <c r="T186" s="430">
        <f t="shared" si="42"/>
        <v>0</v>
      </c>
      <c r="U186" s="430">
        <f t="shared" si="42"/>
        <v>0</v>
      </c>
      <c r="V186" s="430">
        <f t="shared" si="42"/>
        <v>0</v>
      </c>
      <c r="W186" s="430">
        <f>(X185+W185)*(X184-W184)/2</f>
        <v>0</v>
      </c>
      <c r="X186" s="430">
        <f>(Y185+X185)*(Y184-X184)/2</f>
        <v>0</v>
      </c>
      <c r="Y186" s="424"/>
    </row>
    <row r="187" spans="1:26" ht="13.5" thickBot="1" x14ac:dyDescent="0.25">
      <c r="A187" s="492" t="s">
        <v>375</v>
      </c>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5" thickBot="1" x14ac:dyDescent="0.25">
      <c r="A188" s="416" t="s">
        <v>538</v>
      </c>
      <c r="B188" s="414">
        <f>ROW(A188)</f>
        <v>188</v>
      </c>
      <c r="C188" s="418" t="s">
        <v>118</v>
      </c>
      <c r="D188" s="408">
        <f>SUM(B191:Y191)</f>
        <v>141.04999999999998</v>
      </c>
      <c r="E188" s="418" t="s">
        <v>117</v>
      </c>
      <c r="F188" s="409">
        <f>D188/g/J188</f>
        <v>186.24592648930721</v>
      </c>
      <c r="G188" s="418" t="s">
        <v>59</v>
      </c>
      <c r="H188" s="86">
        <v>0.16189999999999999</v>
      </c>
      <c r="I188" s="418" t="s">
        <v>272</v>
      </c>
      <c r="J188" s="410">
        <f>H188-L188</f>
        <v>7.7199999999999991E-2</v>
      </c>
      <c r="K188" s="418" t="s">
        <v>273</v>
      </c>
      <c r="L188" s="86">
        <v>8.4699999999999998E-2</v>
      </c>
      <c r="M188" s="418" t="s">
        <v>60</v>
      </c>
      <c r="N188" s="87">
        <v>114</v>
      </c>
      <c r="O188" s="418" t="s">
        <v>62</v>
      </c>
      <c r="P188" s="87">
        <v>114</v>
      </c>
      <c r="Q188" s="418" t="s">
        <v>63</v>
      </c>
      <c r="R188" s="87">
        <v>228</v>
      </c>
      <c r="S188" s="418" t="s">
        <v>64</v>
      </c>
      <c r="T188" s="87">
        <v>24</v>
      </c>
      <c r="U188" s="418" t="s">
        <v>57</v>
      </c>
      <c r="V188" s="88" t="s">
        <v>122</v>
      </c>
      <c r="W188" s="547" t="s">
        <v>396</v>
      </c>
      <c r="X188" s="549">
        <v>0.96</v>
      </c>
      <c r="Y188" s="547" t="s">
        <v>395</v>
      </c>
      <c r="Z188" s="413">
        <v>15</v>
      </c>
    </row>
    <row r="189" spans="1:26" x14ac:dyDescent="0.2">
      <c r="A189" s="417" t="s">
        <v>33</v>
      </c>
      <c r="B189" s="441">
        <v>0</v>
      </c>
      <c r="C189" s="442">
        <v>0.02</v>
      </c>
      <c r="D189" s="442">
        <v>0.03</v>
      </c>
      <c r="E189" s="442">
        <v>0.05</v>
      </c>
      <c r="F189" s="442">
        <v>0.6</v>
      </c>
      <c r="G189" s="442">
        <v>0.67</v>
      </c>
      <c r="H189" s="442">
        <v>0.7</v>
      </c>
      <c r="I189" s="442">
        <v>0.8</v>
      </c>
      <c r="J189" s="442">
        <v>0.9</v>
      </c>
      <c r="K189" s="442">
        <v>1.05</v>
      </c>
      <c r="L189" s="442">
        <f t="shared" ref="L189:W189" si="43">K189</f>
        <v>1.05</v>
      </c>
      <c r="M189" s="442">
        <f t="shared" si="43"/>
        <v>1.05</v>
      </c>
      <c r="N189" s="442">
        <f t="shared" si="43"/>
        <v>1.05</v>
      </c>
      <c r="O189" s="442">
        <f t="shared" si="43"/>
        <v>1.05</v>
      </c>
      <c r="P189" s="442">
        <f t="shared" si="43"/>
        <v>1.05</v>
      </c>
      <c r="Q189" s="442">
        <f t="shared" si="43"/>
        <v>1.05</v>
      </c>
      <c r="R189" s="442">
        <f t="shared" si="43"/>
        <v>1.05</v>
      </c>
      <c r="S189" s="442">
        <f t="shared" si="43"/>
        <v>1.05</v>
      </c>
      <c r="T189" s="442">
        <f t="shared" si="43"/>
        <v>1.05</v>
      </c>
      <c r="U189" s="442">
        <f t="shared" si="43"/>
        <v>1.05</v>
      </c>
      <c r="V189" s="442">
        <f t="shared" si="43"/>
        <v>1.05</v>
      </c>
      <c r="W189" s="442">
        <f t="shared" si="43"/>
        <v>1.05</v>
      </c>
      <c r="X189" s="442">
        <v>2</v>
      </c>
      <c r="Y189" s="444">
        <v>1000</v>
      </c>
    </row>
    <row r="190" spans="1:26" x14ac:dyDescent="0.2">
      <c r="A190" s="434" t="s">
        <v>34</v>
      </c>
      <c r="B190" s="443">
        <v>0</v>
      </c>
      <c r="C190" s="433">
        <v>350</v>
      </c>
      <c r="D190" s="433">
        <v>250</v>
      </c>
      <c r="E190" s="433">
        <v>210</v>
      </c>
      <c r="F190" s="433">
        <v>150</v>
      </c>
      <c r="G190" s="433">
        <v>140</v>
      </c>
      <c r="H190" s="433">
        <v>130</v>
      </c>
      <c r="I190" s="433">
        <v>65</v>
      </c>
      <c r="J190" s="433">
        <v>30</v>
      </c>
      <c r="K190" s="433">
        <v>0</v>
      </c>
      <c r="L190" s="433">
        <v>0</v>
      </c>
      <c r="M190" s="433">
        <v>0</v>
      </c>
      <c r="N190" s="433">
        <v>0</v>
      </c>
      <c r="O190" s="433">
        <v>0</v>
      </c>
      <c r="P190" s="433">
        <v>0</v>
      </c>
      <c r="Q190" s="433">
        <v>0</v>
      </c>
      <c r="R190" s="433">
        <v>0</v>
      </c>
      <c r="S190" s="433">
        <f t="shared" ref="S190:X190" si="44">R190</f>
        <v>0</v>
      </c>
      <c r="T190" s="433">
        <f t="shared" si="44"/>
        <v>0</v>
      </c>
      <c r="U190" s="433">
        <f t="shared" si="44"/>
        <v>0</v>
      </c>
      <c r="V190" s="433">
        <f t="shared" si="44"/>
        <v>0</v>
      </c>
      <c r="W190" s="433">
        <f t="shared" si="44"/>
        <v>0</v>
      </c>
      <c r="X190" s="433">
        <f t="shared" si="44"/>
        <v>0</v>
      </c>
      <c r="Y190" s="439">
        <v>0</v>
      </c>
    </row>
    <row r="191" spans="1:26" ht="13.5" thickBot="1" x14ac:dyDescent="0.25">
      <c r="A191" s="435" t="s">
        <v>119</v>
      </c>
      <c r="B191" s="429">
        <f t="shared" ref="B191:X191" si="45">(C190+B190)*(C189-B189)/2</f>
        <v>3.5</v>
      </c>
      <c r="C191" s="430">
        <f t="shared" si="45"/>
        <v>2.9999999999999996</v>
      </c>
      <c r="D191" s="430">
        <f t="shared" si="45"/>
        <v>4.6000000000000005</v>
      </c>
      <c r="E191" s="430">
        <f t="shared" si="45"/>
        <v>98.999999999999986</v>
      </c>
      <c r="F191" s="430">
        <f t="shared" si="45"/>
        <v>10.150000000000009</v>
      </c>
      <c r="G191" s="430">
        <f t="shared" si="45"/>
        <v>4.0499999999999883</v>
      </c>
      <c r="H191" s="430">
        <f t="shared" si="45"/>
        <v>9.7500000000000089</v>
      </c>
      <c r="I191" s="430">
        <f t="shared" si="45"/>
        <v>4.7499999999999991</v>
      </c>
      <c r="J191" s="430">
        <f t="shared" si="45"/>
        <v>2.2500000000000004</v>
      </c>
      <c r="K191" s="430">
        <f t="shared" si="45"/>
        <v>0</v>
      </c>
      <c r="L191" s="430">
        <f t="shared" si="45"/>
        <v>0</v>
      </c>
      <c r="M191" s="430">
        <f t="shared" si="45"/>
        <v>0</v>
      </c>
      <c r="N191" s="430">
        <f t="shared" si="45"/>
        <v>0</v>
      </c>
      <c r="O191" s="430">
        <f t="shared" si="45"/>
        <v>0</v>
      </c>
      <c r="P191" s="430">
        <f t="shared" si="45"/>
        <v>0</v>
      </c>
      <c r="Q191" s="430">
        <f t="shared" si="45"/>
        <v>0</v>
      </c>
      <c r="R191" s="430">
        <f t="shared" si="45"/>
        <v>0</v>
      </c>
      <c r="S191" s="430">
        <f t="shared" si="45"/>
        <v>0</v>
      </c>
      <c r="T191" s="430">
        <f t="shared" si="45"/>
        <v>0</v>
      </c>
      <c r="U191" s="430">
        <f t="shared" si="45"/>
        <v>0</v>
      </c>
      <c r="V191" s="430">
        <f t="shared" si="45"/>
        <v>0</v>
      </c>
      <c r="W191" s="430">
        <f t="shared" si="45"/>
        <v>0</v>
      </c>
      <c r="X191" s="430">
        <f t="shared" si="45"/>
        <v>0</v>
      </c>
      <c r="Y191" s="424"/>
    </row>
    <row r="192" spans="1:26" ht="13.5" thickBot="1" x14ac:dyDescent="0.25">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5" thickBot="1" x14ac:dyDescent="0.25">
      <c r="A193" s="416" t="s">
        <v>546</v>
      </c>
      <c r="B193" s="414">
        <f>ROW(A193)</f>
        <v>193</v>
      </c>
      <c r="C193" s="418" t="s">
        <v>118</v>
      </c>
      <c r="D193" s="408">
        <f>SUM(B196:Y196)</f>
        <v>142.44</v>
      </c>
      <c r="E193" s="418" t="s">
        <v>117</v>
      </c>
      <c r="F193" s="409">
        <f>D193/g/J193</f>
        <v>192.06187401906058</v>
      </c>
      <c r="G193" s="418" t="s">
        <v>59</v>
      </c>
      <c r="H193" s="86">
        <v>0.15989999999999999</v>
      </c>
      <c r="I193" s="418" t="s">
        <v>272</v>
      </c>
      <c r="J193" s="410">
        <f>H193-L193</f>
        <v>7.5599999999999987E-2</v>
      </c>
      <c r="K193" s="418" t="s">
        <v>273</v>
      </c>
      <c r="L193" s="86">
        <v>8.43E-2</v>
      </c>
      <c r="M193" s="418" t="s">
        <v>60</v>
      </c>
      <c r="N193" s="87">
        <v>114</v>
      </c>
      <c r="O193" s="418" t="s">
        <v>62</v>
      </c>
      <c r="P193" s="87">
        <v>114</v>
      </c>
      <c r="Q193" s="418" t="s">
        <v>63</v>
      </c>
      <c r="R193" s="87">
        <v>228</v>
      </c>
      <c r="S193" s="418" t="s">
        <v>64</v>
      </c>
      <c r="T193" s="87">
        <v>24</v>
      </c>
      <c r="U193" s="418" t="s">
        <v>57</v>
      </c>
      <c r="V193" s="88" t="s">
        <v>403</v>
      </c>
      <c r="W193" s="547" t="s">
        <v>396</v>
      </c>
      <c r="X193" s="549">
        <v>0.97</v>
      </c>
      <c r="Y193" s="547" t="s">
        <v>395</v>
      </c>
      <c r="Z193" s="413">
        <v>13</v>
      </c>
    </row>
    <row r="194" spans="1:26" x14ac:dyDescent="0.2">
      <c r="A194" s="417" t="s">
        <v>33</v>
      </c>
      <c r="B194" s="441">
        <v>0</v>
      </c>
      <c r="C194" s="442">
        <v>0.02</v>
      </c>
      <c r="D194" s="442">
        <v>0.04</v>
      </c>
      <c r="E194" s="442">
        <v>0.62</v>
      </c>
      <c r="F194" s="442">
        <v>0.66</v>
      </c>
      <c r="G194" s="442">
        <v>0.68</v>
      </c>
      <c r="H194" s="442">
        <v>0.8</v>
      </c>
      <c r="I194" s="442">
        <v>0.84</v>
      </c>
      <c r="J194" s="442">
        <v>0.88</v>
      </c>
      <c r="K194" s="442">
        <v>0.92</v>
      </c>
      <c r="L194" s="442">
        <v>0.96</v>
      </c>
      <c r="M194" s="442">
        <v>1</v>
      </c>
      <c r="N194" s="442">
        <v>1.08</v>
      </c>
      <c r="O194" s="442">
        <v>2</v>
      </c>
      <c r="P194" s="442">
        <v>2</v>
      </c>
      <c r="Q194" s="442">
        <v>2</v>
      </c>
      <c r="R194" s="442">
        <v>2</v>
      </c>
      <c r="S194" s="442">
        <f t="shared" ref="S194:X195" si="46">R194</f>
        <v>2</v>
      </c>
      <c r="T194" s="442">
        <f t="shared" si="46"/>
        <v>2</v>
      </c>
      <c r="U194" s="442">
        <f t="shared" si="46"/>
        <v>2</v>
      </c>
      <c r="V194" s="442">
        <f t="shared" si="46"/>
        <v>2</v>
      </c>
      <c r="W194" s="442">
        <f t="shared" si="46"/>
        <v>2</v>
      </c>
      <c r="X194" s="442">
        <f t="shared" si="46"/>
        <v>2</v>
      </c>
      <c r="Y194" s="444">
        <v>1000</v>
      </c>
    </row>
    <row r="195" spans="1:26" x14ac:dyDescent="0.2">
      <c r="A195" s="434" t="s">
        <v>34</v>
      </c>
      <c r="B195" s="443">
        <v>0</v>
      </c>
      <c r="C195" s="433">
        <v>250</v>
      </c>
      <c r="D195" s="433">
        <v>210</v>
      </c>
      <c r="E195" s="433">
        <v>160</v>
      </c>
      <c r="F195" s="433">
        <v>150</v>
      </c>
      <c r="G195" s="433">
        <v>142</v>
      </c>
      <c r="H195" s="433">
        <v>62</v>
      </c>
      <c r="I195" s="433">
        <v>48</v>
      </c>
      <c r="J195" s="433">
        <v>34</v>
      </c>
      <c r="K195" s="433">
        <v>24</v>
      </c>
      <c r="L195" s="433">
        <v>15</v>
      </c>
      <c r="M195" s="433">
        <v>10</v>
      </c>
      <c r="N195" s="433">
        <v>0</v>
      </c>
      <c r="O195" s="433">
        <v>0</v>
      </c>
      <c r="P195" s="433">
        <v>0</v>
      </c>
      <c r="Q195" s="433">
        <v>0</v>
      </c>
      <c r="R195" s="433">
        <v>0</v>
      </c>
      <c r="S195" s="433">
        <f t="shared" si="46"/>
        <v>0</v>
      </c>
      <c r="T195" s="433">
        <f t="shared" si="46"/>
        <v>0</v>
      </c>
      <c r="U195" s="433">
        <f t="shared" si="46"/>
        <v>0</v>
      </c>
      <c r="V195" s="433">
        <f t="shared" si="46"/>
        <v>0</v>
      </c>
      <c r="W195" s="433">
        <f t="shared" si="46"/>
        <v>0</v>
      </c>
      <c r="X195" s="433">
        <f t="shared" si="46"/>
        <v>0</v>
      </c>
      <c r="Y195" s="439">
        <v>0</v>
      </c>
    </row>
    <row r="196" spans="1:26" ht="13.5" thickBot="1" x14ac:dyDescent="0.25">
      <c r="A196" s="435" t="s">
        <v>119</v>
      </c>
      <c r="B196" s="429">
        <f t="shared" ref="B196:X196" si="47">(C195+B195)*(C194-B194)/2</f>
        <v>2.5</v>
      </c>
      <c r="C196" s="430">
        <f t="shared" si="47"/>
        <v>4.6000000000000005</v>
      </c>
      <c r="D196" s="430">
        <f t="shared" si="47"/>
        <v>107.3</v>
      </c>
      <c r="E196" s="430">
        <f t="shared" si="47"/>
        <v>6.2000000000000055</v>
      </c>
      <c r="F196" s="430">
        <f t="shared" si="47"/>
        <v>2.9200000000000026</v>
      </c>
      <c r="G196" s="430">
        <f t="shared" si="47"/>
        <v>12.24</v>
      </c>
      <c r="H196" s="430">
        <f t="shared" si="47"/>
        <v>2.1999999999999957</v>
      </c>
      <c r="I196" s="430">
        <f t="shared" si="47"/>
        <v>1.6400000000000015</v>
      </c>
      <c r="J196" s="430">
        <f t="shared" si="47"/>
        <v>1.160000000000001</v>
      </c>
      <c r="K196" s="430">
        <f t="shared" si="47"/>
        <v>0.77999999999999847</v>
      </c>
      <c r="L196" s="430">
        <f t="shared" si="47"/>
        <v>0.50000000000000044</v>
      </c>
      <c r="M196" s="430">
        <f t="shared" si="47"/>
        <v>0.40000000000000036</v>
      </c>
      <c r="N196" s="430">
        <f t="shared" si="47"/>
        <v>0</v>
      </c>
      <c r="O196" s="430">
        <f t="shared" si="47"/>
        <v>0</v>
      </c>
      <c r="P196" s="430">
        <f t="shared" si="47"/>
        <v>0</v>
      </c>
      <c r="Q196" s="430">
        <f t="shared" si="47"/>
        <v>0</v>
      </c>
      <c r="R196" s="430">
        <f t="shared" si="47"/>
        <v>0</v>
      </c>
      <c r="S196" s="430">
        <f t="shared" si="47"/>
        <v>0</v>
      </c>
      <c r="T196" s="430">
        <f t="shared" si="47"/>
        <v>0</v>
      </c>
      <c r="U196" s="430">
        <f t="shared" si="47"/>
        <v>0</v>
      </c>
      <c r="V196" s="430">
        <f t="shared" si="47"/>
        <v>0</v>
      </c>
      <c r="W196" s="430">
        <f t="shared" si="47"/>
        <v>0</v>
      </c>
      <c r="X196" s="430">
        <f t="shared" si="47"/>
        <v>0</v>
      </c>
      <c r="Y196" s="424"/>
    </row>
    <row r="197" spans="1:26" ht="13.5" thickBot="1" x14ac:dyDescent="0.25">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5" thickBot="1" x14ac:dyDescent="0.25">
      <c r="A198" s="416" t="s">
        <v>540</v>
      </c>
      <c r="B198" s="414">
        <f>ROW(A198)</f>
        <v>198</v>
      </c>
      <c r="C198" s="418" t="s">
        <v>118</v>
      </c>
      <c r="D198" s="408">
        <f>SUM(B201:Y201)</f>
        <v>143.08845000000002</v>
      </c>
      <c r="E198" s="418" t="s">
        <v>117</v>
      </c>
      <c r="F198" s="409">
        <f>D198/g/J198</f>
        <v>168.23504721190514</v>
      </c>
      <c r="G198" s="418" t="s">
        <v>59</v>
      </c>
      <c r="H198" s="86">
        <v>0.17249999999999999</v>
      </c>
      <c r="I198" s="418" t="s">
        <v>272</v>
      </c>
      <c r="J198" s="410">
        <f>H198-L198</f>
        <v>8.6699999999999985E-2</v>
      </c>
      <c r="K198" s="418" t="s">
        <v>273</v>
      </c>
      <c r="L198" s="86">
        <v>8.5800000000000001E-2</v>
      </c>
      <c r="M198" s="418" t="s">
        <v>60</v>
      </c>
      <c r="N198" s="87">
        <v>114</v>
      </c>
      <c r="O198" s="418" t="s">
        <v>62</v>
      </c>
      <c r="P198" s="87">
        <v>114</v>
      </c>
      <c r="Q198" s="418" t="s">
        <v>63</v>
      </c>
      <c r="R198" s="87">
        <v>228</v>
      </c>
      <c r="S198" s="418" t="s">
        <v>64</v>
      </c>
      <c r="T198" s="87">
        <v>24</v>
      </c>
      <c r="U198" s="418" t="s">
        <v>57</v>
      </c>
      <c r="V198" s="88" t="s">
        <v>122</v>
      </c>
      <c r="W198" s="547" t="s">
        <v>396</v>
      </c>
      <c r="X198" s="549">
        <v>0.97</v>
      </c>
      <c r="Y198" s="547" t="s">
        <v>395</v>
      </c>
      <c r="Z198" s="413">
        <v>11</v>
      </c>
    </row>
    <row r="199" spans="1:26" x14ac:dyDescent="0.2">
      <c r="A199" s="417" t="s">
        <v>33</v>
      </c>
      <c r="B199" s="441">
        <v>0</v>
      </c>
      <c r="C199" s="442">
        <v>8.0000000000000002E-3</v>
      </c>
      <c r="D199" s="442">
        <v>1.2999999999999999E-2</v>
      </c>
      <c r="E199" s="442">
        <v>2.1999999999999999E-2</v>
      </c>
      <c r="F199" s="442">
        <v>3.5000000000000003E-2</v>
      </c>
      <c r="G199" s="442">
        <v>6.3E-2</v>
      </c>
      <c r="H199" s="442">
        <v>0.10299999999999999</v>
      </c>
      <c r="I199" s="442">
        <v>0.19600000000000001</v>
      </c>
      <c r="J199" s="442">
        <v>0.311</v>
      </c>
      <c r="K199" s="442">
        <v>0.47399999999999998</v>
      </c>
      <c r="L199" s="442">
        <v>0.56399999999999995</v>
      </c>
      <c r="M199" s="442">
        <v>0.76200000000000001</v>
      </c>
      <c r="N199" s="442">
        <v>0.85799999999999998</v>
      </c>
      <c r="O199" s="442">
        <v>0.92800000000000005</v>
      </c>
      <c r="P199" s="442">
        <v>1.038</v>
      </c>
      <c r="Q199" s="442">
        <v>1.08</v>
      </c>
      <c r="R199" s="442">
        <v>1.131</v>
      </c>
      <c r="S199" s="442">
        <v>1.1850000000000001</v>
      </c>
      <c r="T199" s="442">
        <v>1.224</v>
      </c>
      <c r="U199" s="442">
        <v>1.258</v>
      </c>
      <c r="V199" s="442">
        <v>1.4</v>
      </c>
      <c r="W199" s="442">
        <v>1.4410000000000001</v>
      </c>
      <c r="X199" s="442">
        <v>2</v>
      </c>
      <c r="Y199" s="444">
        <v>1000</v>
      </c>
    </row>
    <row r="200" spans="1:26" x14ac:dyDescent="0.2">
      <c r="A200" s="434" t="s">
        <v>34</v>
      </c>
      <c r="B200" s="443">
        <v>0</v>
      </c>
      <c r="C200" s="433">
        <v>168.643</v>
      </c>
      <c r="D200" s="433">
        <v>177.339</v>
      </c>
      <c r="E200" s="433">
        <v>177.86600000000001</v>
      </c>
      <c r="F200" s="433">
        <v>171.27799999999999</v>
      </c>
      <c r="G200" s="433">
        <v>157.839</v>
      </c>
      <c r="H200" s="433">
        <v>154.941</v>
      </c>
      <c r="I200" s="433">
        <v>148.88</v>
      </c>
      <c r="J200" s="433">
        <v>144.137</v>
      </c>
      <c r="K200" s="433">
        <v>138.07599999999999</v>
      </c>
      <c r="L200" s="433">
        <v>135.70500000000001</v>
      </c>
      <c r="M200" s="433">
        <v>125.955</v>
      </c>
      <c r="N200" s="433">
        <v>116.733</v>
      </c>
      <c r="O200" s="433">
        <v>101.71299999999999</v>
      </c>
      <c r="P200" s="433">
        <v>57.444000000000003</v>
      </c>
      <c r="Q200" s="433">
        <v>42.688000000000002</v>
      </c>
      <c r="R200" s="433">
        <v>31.884</v>
      </c>
      <c r="S200" s="433">
        <v>17.655000000000001</v>
      </c>
      <c r="T200" s="433">
        <v>9.4860000000000007</v>
      </c>
      <c r="U200" s="433">
        <v>5.27</v>
      </c>
      <c r="V200" s="433">
        <v>0.79100000000000004</v>
      </c>
      <c r="W200" s="433">
        <v>0</v>
      </c>
      <c r="X200" s="433">
        <f>W200</f>
        <v>0</v>
      </c>
      <c r="Y200" s="439">
        <v>0</v>
      </c>
    </row>
    <row r="201" spans="1:26" ht="13.5" thickBot="1" x14ac:dyDescent="0.25">
      <c r="A201" s="435" t="s">
        <v>119</v>
      </c>
      <c r="B201" s="429">
        <f t="shared" ref="B201:X201" si="48">(C200+B200)*(C199-B199)/2</f>
        <v>0.67457200000000006</v>
      </c>
      <c r="C201" s="430">
        <f t="shared" si="48"/>
        <v>0.86495499999999981</v>
      </c>
      <c r="D201" s="430">
        <f t="shared" si="48"/>
        <v>1.5984225000000001</v>
      </c>
      <c r="E201" s="430">
        <f t="shared" si="48"/>
        <v>2.2694360000000007</v>
      </c>
      <c r="F201" s="430">
        <f t="shared" si="48"/>
        <v>4.6076379999999988</v>
      </c>
      <c r="G201" s="430">
        <f t="shared" si="48"/>
        <v>6.2555999999999985</v>
      </c>
      <c r="H201" s="430">
        <f t="shared" si="48"/>
        <v>14.127676500000003</v>
      </c>
      <c r="I201" s="430">
        <f t="shared" si="48"/>
        <v>16.848477499999998</v>
      </c>
      <c r="J201" s="430">
        <f t="shared" si="48"/>
        <v>23.000359499999995</v>
      </c>
      <c r="K201" s="430">
        <f t="shared" si="48"/>
        <v>12.320144999999997</v>
      </c>
      <c r="L201" s="430">
        <f t="shared" si="48"/>
        <v>25.904340000000012</v>
      </c>
      <c r="M201" s="430">
        <f t="shared" si="48"/>
        <v>11.649023999999997</v>
      </c>
      <c r="N201" s="430">
        <f t="shared" si="48"/>
        <v>7.6456100000000067</v>
      </c>
      <c r="O201" s="430">
        <f t="shared" si="48"/>
        <v>8.7536349999999974</v>
      </c>
      <c r="P201" s="430">
        <f t="shared" si="48"/>
        <v>2.1027720000000021</v>
      </c>
      <c r="Q201" s="430">
        <f t="shared" si="48"/>
        <v>1.9015859999999976</v>
      </c>
      <c r="R201" s="430">
        <f t="shared" si="48"/>
        <v>1.3375530000000013</v>
      </c>
      <c r="S201" s="430">
        <f t="shared" si="48"/>
        <v>0.52924949999999904</v>
      </c>
      <c r="T201" s="430">
        <f t="shared" si="48"/>
        <v>0.25085200000000024</v>
      </c>
      <c r="U201" s="430">
        <f t="shared" si="48"/>
        <v>0.43033099999999969</v>
      </c>
      <c r="V201" s="430">
        <f t="shared" si="48"/>
        <v>1.621550000000006E-2</v>
      </c>
      <c r="W201" s="430">
        <f t="shared" si="48"/>
        <v>0</v>
      </c>
      <c r="X201" s="430">
        <f t="shared" si="48"/>
        <v>0</v>
      </c>
      <c r="Y201" s="424"/>
    </row>
    <row r="202" spans="1:26" ht="13.5" thickBot="1" x14ac:dyDescent="0.25">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5" thickBot="1" x14ac:dyDescent="0.25">
      <c r="A203" s="416" t="s">
        <v>539</v>
      </c>
      <c r="B203" s="414">
        <f>ROW(A203)</f>
        <v>203</v>
      </c>
      <c r="C203" s="418" t="s">
        <v>118</v>
      </c>
      <c r="D203" s="408">
        <f>SUM(B206:Y206)</f>
        <v>139.423417</v>
      </c>
      <c r="E203" s="418" t="s">
        <v>117</v>
      </c>
      <c r="F203" s="409">
        <f>D203/g/J203</f>
        <v>158.62027745922524</v>
      </c>
      <c r="G203" s="418" t="s">
        <v>59</v>
      </c>
      <c r="H203" s="86">
        <v>0.19450000000000001</v>
      </c>
      <c r="I203" s="418" t="s">
        <v>272</v>
      </c>
      <c r="J203" s="410">
        <f>H203-L203</f>
        <v>8.9600000000000013E-2</v>
      </c>
      <c r="K203" s="418" t="s">
        <v>273</v>
      </c>
      <c r="L203" s="86">
        <v>0.10489999999999999</v>
      </c>
      <c r="M203" s="418" t="s">
        <v>60</v>
      </c>
      <c r="N203" s="87">
        <v>114</v>
      </c>
      <c r="O203" s="418" t="s">
        <v>62</v>
      </c>
      <c r="P203" s="87">
        <v>144</v>
      </c>
      <c r="Q203" s="418" t="s">
        <v>63</v>
      </c>
      <c r="R203" s="87">
        <v>228</v>
      </c>
      <c r="S203" s="418" t="s">
        <v>64</v>
      </c>
      <c r="T203" s="87">
        <v>24</v>
      </c>
      <c r="U203" s="418" t="s">
        <v>57</v>
      </c>
      <c r="V203" s="88" t="s">
        <v>122</v>
      </c>
      <c r="W203" s="547" t="s">
        <v>396</v>
      </c>
      <c r="X203" s="549">
        <v>1.3</v>
      </c>
      <c r="Y203" s="547" t="s">
        <v>395</v>
      </c>
      <c r="Z203" s="413">
        <v>12</v>
      </c>
    </row>
    <row r="204" spans="1:26" x14ac:dyDescent="0.2">
      <c r="A204" s="417" t="s">
        <v>33</v>
      </c>
      <c r="B204" s="441">
        <v>0</v>
      </c>
      <c r="C204" s="442">
        <v>1.0999999999999999E-2</v>
      </c>
      <c r="D204" s="442">
        <v>2.1999999999999999E-2</v>
      </c>
      <c r="E204" s="442">
        <v>4.5999999999999999E-2</v>
      </c>
      <c r="F204" s="442">
        <v>8.1000000000000003E-2</v>
      </c>
      <c r="G204" s="442">
        <v>0.219</v>
      </c>
      <c r="H204" s="442">
        <v>0.253</v>
      </c>
      <c r="I204" s="442">
        <v>0.27400000000000002</v>
      </c>
      <c r="J204" s="442">
        <v>0.30499999999999999</v>
      </c>
      <c r="K204" s="442">
        <v>0.41199999999999998</v>
      </c>
      <c r="L204" s="442">
        <v>0.78900000000000003</v>
      </c>
      <c r="M204" s="442">
        <v>0.89900000000000002</v>
      </c>
      <c r="N204" s="442">
        <v>0.95299999999999996</v>
      </c>
      <c r="O204" s="442">
        <v>0.999</v>
      </c>
      <c r="P204" s="442">
        <v>1.03</v>
      </c>
      <c r="Q204" s="442">
        <v>1.0569999999999999</v>
      </c>
      <c r="R204" s="442">
        <v>1.1020000000000001</v>
      </c>
      <c r="S204" s="442">
        <v>1.1539999999999999</v>
      </c>
      <c r="T204" s="442">
        <v>1.1970000000000001</v>
      </c>
      <c r="U204" s="442">
        <v>1.2769999999999999</v>
      </c>
      <c r="V204" s="442">
        <v>1.335</v>
      </c>
      <c r="W204" s="442">
        <v>1.4510000000000001</v>
      </c>
      <c r="X204" s="442">
        <v>2</v>
      </c>
      <c r="Y204" s="444">
        <v>1000</v>
      </c>
    </row>
    <row r="205" spans="1:26" x14ac:dyDescent="0.2">
      <c r="A205" s="434" t="s">
        <v>34</v>
      </c>
      <c r="B205" s="443">
        <v>0</v>
      </c>
      <c r="C205" s="433">
        <v>198.41800000000001</v>
      </c>
      <c r="D205" s="433">
        <v>221.83500000000001</v>
      </c>
      <c r="E205" s="433">
        <v>212.65799999999999</v>
      </c>
      <c r="F205" s="433">
        <v>218.35400000000001</v>
      </c>
      <c r="G205" s="433">
        <v>204.43</v>
      </c>
      <c r="H205" s="433">
        <v>195.886</v>
      </c>
      <c r="I205" s="433">
        <v>183.54400000000001</v>
      </c>
      <c r="J205" s="433">
        <v>88.290999999999997</v>
      </c>
      <c r="K205" s="433">
        <v>93.671000000000006</v>
      </c>
      <c r="L205" s="433">
        <v>93.986999999999995</v>
      </c>
      <c r="M205" s="433">
        <v>91.138999999999996</v>
      </c>
      <c r="N205" s="433">
        <v>89.873000000000005</v>
      </c>
      <c r="O205" s="433">
        <v>87.025000000000006</v>
      </c>
      <c r="P205" s="433">
        <v>81.328999999999994</v>
      </c>
      <c r="Q205" s="433">
        <v>69.936999999999998</v>
      </c>
      <c r="R205" s="433">
        <v>54.113999999999997</v>
      </c>
      <c r="S205" s="433">
        <v>42.405000000000001</v>
      </c>
      <c r="T205" s="433">
        <v>31.646000000000001</v>
      </c>
      <c r="U205" s="433">
        <v>17.088999999999999</v>
      </c>
      <c r="V205" s="433">
        <v>9.81</v>
      </c>
      <c r="W205" s="433">
        <v>0</v>
      </c>
      <c r="X205" s="433">
        <v>0</v>
      </c>
      <c r="Y205" s="439">
        <v>0</v>
      </c>
    </row>
    <row r="206" spans="1:26" ht="13.5" thickBot="1" x14ac:dyDescent="0.25">
      <c r="A206" s="435" t="s">
        <v>119</v>
      </c>
      <c r="B206" s="429">
        <f t="shared" ref="B206:X206" si="49">(C205+B205)*(C204-B204)/2</f>
        <v>1.091299</v>
      </c>
      <c r="C206" s="430">
        <f t="shared" si="49"/>
        <v>2.3113915</v>
      </c>
      <c r="D206" s="430">
        <f t="shared" si="49"/>
        <v>5.2139160000000002</v>
      </c>
      <c r="E206" s="430">
        <f t="shared" si="49"/>
        <v>7.5427100000000005</v>
      </c>
      <c r="F206" s="430">
        <f t="shared" si="49"/>
        <v>29.172096000000003</v>
      </c>
      <c r="G206" s="430">
        <f t="shared" si="49"/>
        <v>6.8053720000000011</v>
      </c>
      <c r="H206" s="430">
        <f t="shared" si="49"/>
        <v>3.9840150000000034</v>
      </c>
      <c r="I206" s="430">
        <f t="shared" si="49"/>
        <v>4.2134424999999966</v>
      </c>
      <c r="J206" s="430">
        <f t="shared" si="49"/>
        <v>9.7349669999999975</v>
      </c>
      <c r="K206" s="430">
        <f t="shared" si="49"/>
        <v>35.373533000000009</v>
      </c>
      <c r="L206" s="430">
        <f t="shared" si="49"/>
        <v>10.181929999999998</v>
      </c>
      <c r="M206" s="430">
        <f t="shared" si="49"/>
        <v>4.8873239999999942</v>
      </c>
      <c r="N206" s="430">
        <f t="shared" si="49"/>
        <v>4.068654000000004</v>
      </c>
      <c r="O206" s="430">
        <f t="shared" si="49"/>
        <v>2.6094870000000019</v>
      </c>
      <c r="P206" s="430">
        <f t="shared" si="49"/>
        <v>2.0420909999999934</v>
      </c>
      <c r="Q206" s="430">
        <f t="shared" si="49"/>
        <v>2.791147500000009</v>
      </c>
      <c r="R206" s="430">
        <f t="shared" si="49"/>
        <v>2.5094939999999917</v>
      </c>
      <c r="S206" s="430">
        <f t="shared" si="49"/>
        <v>1.5920965000000056</v>
      </c>
      <c r="T206" s="430">
        <f t="shared" si="49"/>
        <v>1.9493999999999962</v>
      </c>
      <c r="U206" s="430">
        <f t="shared" si="49"/>
        <v>0.78007100000000074</v>
      </c>
      <c r="V206" s="430">
        <f t="shared" si="49"/>
        <v>0.56898000000000049</v>
      </c>
      <c r="W206" s="430">
        <f t="shared" si="49"/>
        <v>0</v>
      </c>
      <c r="X206" s="430">
        <f t="shared" si="49"/>
        <v>0</v>
      </c>
      <c r="Y206" s="424"/>
    </row>
    <row r="207" spans="1:26" ht="13.5" thickBot="1" x14ac:dyDescent="0.25">
      <c r="A207" s="492" t="s">
        <v>317</v>
      </c>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5" thickBot="1" x14ac:dyDescent="0.25">
      <c r="A208" s="416" t="s">
        <v>377</v>
      </c>
      <c r="B208" s="414">
        <f>ROW(A208)</f>
        <v>208</v>
      </c>
      <c r="C208" s="418" t="s">
        <v>118</v>
      </c>
      <c r="D208" s="408">
        <f>SUM(B211:Y211)</f>
        <v>82.798500000000018</v>
      </c>
      <c r="E208" s="418" t="s">
        <v>117</v>
      </c>
      <c r="F208" s="409">
        <f>D208/g/J208</f>
        <v>131.87834480122325</v>
      </c>
      <c r="G208" s="418" t="s">
        <v>59</v>
      </c>
      <c r="H208" s="86">
        <v>0.152</v>
      </c>
      <c r="I208" s="418" t="s">
        <v>272</v>
      </c>
      <c r="J208" s="410">
        <f>H208-L208</f>
        <v>6.4000000000000001E-2</v>
      </c>
      <c r="K208" s="418" t="s">
        <v>273</v>
      </c>
      <c r="L208" s="86">
        <v>8.7999999999999995E-2</v>
      </c>
      <c r="M208" s="418" t="s">
        <v>60</v>
      </c>
      <c r="N208" s="87">
        <v>71</v>
      </c>
      <c r="O208" s="418" t="s">
        <v>62</v>
      </c>
      <c r="P208" s="87">
        <v>71</v>
      </c>
      <c r="Q208" s="418" t="s">
        <v>63</v>
      </c>
      <c r="R208" s="87">
        <v>142</v>
      </c>
      <c r="S208" s="418" t="s">
        <v>64</v>
      </c>
      <c r="T208" s="87">
        <v>29</v>
      </c>
      <c r="U208" s="418" t="s">
        <v>57</v>
      </c>
      <c r="V208" s="88" t="s">
        <v>122</v>
      </c>
      <c r="W208" s="547" t="s">
        <v>396</v>
      </c>
      <c r="X208" s="549">
        <v>0.96</v>
      </c>
      <c r="Y208" s="547" t="s">
        <v>395</v>
      </c>
      <c r="Z208" s="413">
        <v>11</v>
      </c>
    </row>
    <row r="209" spans="1:26" x14ac:dyDescent="0.2">
      <c r="A209" s="417" t="s">
        <v>33</v>
      </c>
      <c r="B209" s="441">
        <v>0</v>
      </c>
      <c r="C209" s="442">
        <v>0.02</v>
      </c>
      <c r="D209" s="442">
        <v>0.03</v>
      </c>
      <c r="E209" s="442">
        <v>0.04</v>
      </c>
      <c r="F209" s="442">
        <v>0.06</v>
      </c>
      <c r="G209" s="442">
        <v>0.08</v>
      </c>
      <c r="H209" s="442">
        <v>0.15</v>
      </c>
      <c r="I209" s="442">
        <v>0.18</v>
      </c>
      <c r="J209" s="442">
        <v>0.2</v>
      </c>
      <c r="K209" s="442">
        <v>0.3</v>
      </c>
      <c r="L209" s="442">
        <v>0.4</v>
      </c>
      <c r="M209" s="442">
        <v>0.5</v>
      </c>
      <c r="N209" s="442">
        <v>0.6</v>
      </c>
      <c r="O209" s="442">
        <v>0.7</v>
      </c>
      <c r="P209" s="442">
        <v>0.82</v>
      </c>
      <c r="Q209" s="442">
        <v>0.93</v>
      </c>
      <c r="R209" s="442">
        <v>1</v>
      </c>
      <c r="S209" s="442">
        <f t="shared" ref="S209:X210" si="50">R209</f>
        <v>1</v>
      </c>
      <c r="T209" s="442">
        <f t="shared" si="50"/>
        <v>1</v>
      </c>
      <c r="U209" s="442">
        <f t="shared" si="50"/>
        <v>1</v>
      </c>
      <c r="V209" s="442">
        <f t="shared" si="50"/>
        <v>1</v>
      </c>
      <c r="W209" s="442">
        <f t="shared" si="50"/>
        <v>1</v>
      </c>
      <c r="X209" s="442">
        <v>2</v>
      </c>
      <c r="Y209" s="444">
        <v>1000</v>
      </c>
    </row>
    <row r="210" spans="1:26" x14ac:dyDescent="0.2">
      <c r="A210" s="434" t="s">
        <v>34</v>
      </c>
      <c r="B210" s="443">
        <v>0</v>
      </c>
      <c r="C210" s="433">
        <v>41.9</v>
      </c>
      <c r="D210" s="433">
        <v>92.1</v>
      </c>
      <c r="E210" s="433">
        <v>116.7</v>
      </c>
      <c r="F210" s="433">
        <v>112.7</v>
      </c>
      <c r="G210" s="433">
        <v>82.7</v>
      </c>
      <c r="H210" s="433">
        <v>84.7</v>
      </c>
      <c r="I210" s="433">
        <v>86.2</v>
      </c>
      <c r="J210" s="433">
        <v>87.9</v>
      </c>
      <c r="K210" s="433">
        <v>90.9</v>
      </c>
      <c r="L210" s="433">
        <v>93.9</v>
      </c>
      <c r="M210" s="433">
        <v>95.3</v>
      </c>
      <c r="N210" s="433">
        <v>96.8</v>
      </c>
      <c r="O210" s="433">
        <v>97.6</v>
      </c>
      <c r="P210" s="433">
        <v>108.2</v>
      </c>
      <c r="Q210" s="433">
        <v>11</v>
      </c>
      <c r="R210" s="433">
        <v>0</v>
      </c>
      <c r="S210" s="433">
        <f t="shared" si="50"/>
        <v>0</v>
      </c>
      <c r="T210" s="433">
        <f t="shared" si="50"/>
        <v>0</v>
      </c>
      <c r="U210" s="433">
        <f t="shared" si="50"/>
        <v>0</v>
      </c>
      <c r="V210" s="433">
        <f t="shared" si="50"/>
        <v>0</v>
      </c>
      <c r="W210" s="433">
        <f t="shared" si="50"/>
        <v>0</v>
      </c>
      <c r="X210" s="433">
        <f t="shared" si="50"/>
        <v>0</v>
      </c>
      <c r="Y210" s="439">
        <v>0</v>
      </c>
    </row>
    <row r="211" spans="1:26" ht="13.5" thickBot="1" x14ac:dyDescent="0.25">
      <c r="A211" s="435" t="s">
        <v>119</v>
      </c>
      <c r="B211" s="429">
        <f t="shared" ref="B211:V211" si="51">(C210+B210)*(C209-B209)/2</f>
        <v>0.41899999999999998</v>
      </c>
      <c r="C211" s="430">
        <f t="shared" si="51"/>
        <v>0.66999999999999993</v>
      </c>
      <c r="D211" s="430">
        <f t="shared" si="51"/>
        <v>1.0440000000000003</v>
      </c>
      <c r="E211" s="430">
        <f t="shared" si="51"/>
        <v>2.2939999999999996</v>
      </c>
      <c r="F211" s="430">
        <f t="shared" si="51"/>
        <v>1.9540000000000004</v>
      </c>
      <c r="G211" s="430">
        <f t="shared" si="51"/>
        <v>5.859</v>
      </c>
      <c r="H211" s="430">
        <f t="shared" si="51"/>
        <v>2.5634999999999999</v>
      </c>
      <c r="I211" s="430">
        <f t="shared" si="51"/>
        <v>1.7410000000000019</v>
      </c>
      <c r="J211" s="430">
        <f>(K210+J210)*(K209-J209)/2</f>
        <v>8.9399999999999977</v>
      </c>
      <c r="K211" s="430">
        <f t="shared" si="51"/>
        <v>9.2400000000000038</v>
      </c>
      <c r="L211" s="430">
        <f t="shared" si="51"/>
        <v>9.4599999999999973</v>
      </c>
      <c r="M211" s="430">
        <f t="shared" si="51"/>
        <v>9.6049999999999969</v>
      </c>
      <c r="N211" s="430">
        <f t="shared" si="51"/>
        <v>9.7199999999999971</v>
      </c>
      <c r="O211" s="430">
        <f t="shared" si="51"/>
        <v>12.348000000000001</v>
      </c>
      <c r="P211" s="430">
        <f t="shared" si="51"/>
        <v>6.5560000000000063</v>
      </c>
      <c r="Q211" s="430">
        <f t="shared" si="51"/>
        <v>0.38499999999999973</v>
      </c>
      <c r="R211" s="430">
        <f t="shared" si="51"/>
        <v>0</v>
      </c>
      <c r="S211" s="430">
        <f>(T210+S210)*(T209-S209)/2</f>
        <v>0</v>
      </c>
      <c r="T211" s="430">
        <f t="shared" si="51"/>
        <v>0</v>
      </c>
      <c r="U211" s="430">
        <f t="shared" si="51"/>
        <v>0</v>
      </c>
      <c r="V211" s="430">
        <f t="shared" si="51"/>
        <v>0</v>
      </c>
      <c r="W211" s="430">
        <f>(X210+W210)*(X209-W209)/2</f>
        <v>0</v>
      </c>
      <c r="X211" s="430">
        <f>(Y210+X210)*(Y209-X209)/2</f>
        <v>0</v>
      </c>
      <c r="Y211" s="424"/>
    </row>
    <row r="212" spans="1:26" ht="13.5" thickBot="1" x14ac:dyDescent="0.25">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5" thickBot="1" x14ac:dyDescent="0.25">
      <c r="A213" s="416" t="s">
        <v>378</v>
      </c>
      <c r="B213" s="414">
        <f>ROW(A213)</f>
        <v>213</v>
      </c>
      <c r="C213" s="418" t="s">
        <v>118</v>
      </c>
      <c r="D213" s="408">
        <f>SUM(B216:Y216)</f>
        <v>98.257101163036367</v>
      </c>
      <c r="E213" s="418" t="s">
        <v>117</v>
      </c>
      <c r="F213" s="409">
        <f>D213/g/J213</f>
        <v>177.58890761893778</v>
      </c>
      <c r="G213" s="418" t="s">
        <v>59</v>
      </c>
      <c r="H213" s="86">
        <v>0.14319999999999999</v>
      </c>
      <c r="I213" s="418" t="s">
        <v>272</v>
      </c>
      <c r="J213" s="410">
        <f>H213-L213</f>
        <v>5.6399999999999992E-2</v>
      </c>
      <c r="K213" s="418" t="s">
        <v>273</v>
      </c>
      <c r="L213" s="86">
        <v>8.6800000000000002E-2</v>
      </c>
      <c r="M213" s="418" t="s">
        <v>60</v>
      </c>
      <c r="N213" s="87">
        <v>71</v>
      </c>
      <c r="O213" s="418" t="s">
        <v>62</v>
      </c>
      <c r="P213" s="87">
        <v>71</v>
      </c>
      <c r="Q213" s="418" t="s">
        <v>63</v>
      </c>
      <c r="R213" s="87">
        <v>142</v>
      </c>
      <c r="S213" s="418" t="s">
        <v>64</v>
      </c>
      <c r="T213" s="87">
        <v>29</v>
      </c>
      <c r="U213" s="418" t="s">
        <v>57</v>
      </c>
      <c r="V213" s="88" t="s">
        <v>122</v>
      </c>
      <c r="W213" s="547" t="s">
        <v>396</v>
      </c>
      <c r="X213" s="549">
        <v>1.1499999999999999</v>
      </c>
      <c r="Y213" s="547" t="s">
        <v>395</v>
      </c>
      <c r="Z213" s="413">
        <v>14</v>
      </c>
    </row>
    <row r="214" spans="1:26" x14ac:dyDescent="0.2">
      <c r="A214" s="417" t="s">
        <v>33</v>
      </c>
      <c r="B214" s="441">
        <v>0</v>
      </c>
      <c r="C214" s="442">
        <v>1.4999999999999999E-2</v>
      </c>
      <c r="D214" s="442">
        <v>0.03</v>
      </c>
      <c r="E214" s="442">
        <v>4.4999999999999998E-2</v>
      </c>
      <c r="F214" s="442">
        <v>0.06</v>
      </c>
      <c r="G214" s="442">
        <v>7.4999999999999997E-2</v>
      </c>
      <c r="H214" s="442">
        <v>0.09</v>
      </c>
      <c r="I214" s="442">
        <v>0.105</v>
      </c>
      <c r="J214" s="442">
        <v>0.12</v>
      </c>
      <c r="K214" s="442">
        <v>0.18</v>
      </c>
      <c r="L214" s="442">
        <v>0.24</v>
      </c>
      <c r="M214" s="442">
        <v>0.3</v>
      </c>
      <c r="N214" s="442">
        <v>0.48</v>
      </c>
      <c r="O214" s="442">
        <v>0.6</v>
      </c>
      <c r="P214" s="442">
        <v>0.66</v>
      </c>
      <c r="Q214" s="442">
        <v>0.72</v>
      </c>
      <c r="R214" s="442">
        <v>0.78</v>
      </c>
      <c r="S214" s="442">
        <v>0.84</v>
      </c>
      <c r="T214" s="442">
        <v>0.9</v>
      </c>
      <c r="U214" s="442">
        <v>0.96</v>
      </c>
      <c r="V214" s="442">
        <v>1.0349999999999999</v>
      </c>
      <c r="W214" s="442">
        <v>1.2</v>
      </c>
      <c r="X214" s="442">
        <v>2</v>
      </c>
      <c r="Y214" s="444">
        <v>1000</v>
      </c>
    </row>
    <row r="215" spans="1:26" x14ac:dyDescent="0.2">
      <c r="A215" s="434" t="s">
        <v>34</v>
      </c>
      <c r="B215" s="443">
        <v>0</v>
      </c>
      <c r="C215" s="431">
        <v>99.328788958822486</v>
      </c>
      <c r="D215" s="431">
        <v>109.07039432469</v>
      </c>
      <c r="E215" s="431">
        <v>65.255411286427503</v>
      </c>
      <c r="F215" s="431">
        <v>67.568486533117493</v>
      </c>
      <c r="G215" s="431">
        <v>73.929443461515007</v>
      </c>
      <c r="H215" s="431">
        <v>74.329783408057494</v>
      </c>
      <c r="I215" s="431">
        <v>78.1552540083525</v>
      </c>
      <c r="J215" s="431">
        <v>78.600076171177506</v>
      </c>
      <c r="K215" s="431">
        <v>82.203135690059995</v>
      </c>
      <c r="L215" s="431">
        <v>84.516210936749999</v>
      </c>
      <c r="M215" s="431">
        <v>88.51961040217499</v>
      </c>
      <c r="N215" s="431">
        <v>95.102978411984992</v>
      </c>
      <c r="O215" s="431">
        <v>95.547800574809997</v>
      </c>
      <c r="P215" s="431">
        <v>94.480227384029988</v>
      </c>
      <c r="Q215" s="431">
        <v>92.122669921057494</v>
      </c>
      <c r="R215" s="431">
        <v>90.743721216299988</v>
      </c>
      <c r="S215" s="431">
        <v>88.964432564999996</v>
      </c>
      <c r="T215" s="431">
        <v>85.405855262399996</v>
      </c>
      <c r="U215" s="431">
        <v>83.448637745970004</v>
      </c>
      <c r="V215" s="431">
        <v>88.074788239349999</v>
      </c>
      <c r="W215" s="431">
        <v>0</v>
      </c>
      <c r="X215" s="433">
        <v>0</v>
      </c>
      <c r="Y215" s="439">
        <v>0</v>
      </c>
    </row>
    <row r="216" spans="1:26" ht="13.5" thickBot="1" x14ac:dyDescent="0.25">
      <c r="A216" s="435" t="s">
        <v>119</v>
      </c>
      <c r="B216" s="429">
        <f t="shared" ref="B216:V216" si="52">(C215+B215)*(C214-B214)/2</f>
        <v>0.74496591719116867</v>
      </c>
      <c r="C216" s="430">
        <f t="shared" si="52"/>
        <v>1.5629938746263436</v>
      </c>
      <c r="D216" s="430">
        <f t="shared" si="52"/>
        <v>1.3074435420833814</v>
      </c>
      <c r="E216" s="430">
        <f t="shared" si="52"/>
        <v>0.99617923364658734</v>
      </c>
      <c r="F216" s="430">
        <f t="shared" si="52"/>
        <v>1.0612344749597438</v>
      </c>
      <c r="G216" s="430">
        <f t="shared" si="52"/>
        <v>1.1119442015217937</v>
      </c>
      <c r="H216" s="430">
        <f t="shared" si="52"/>
        <v>1.1436377806230749</v>
      </c>
      <c r="I216" s="430">
        <f t="shared" si="52"/>
        <v>1.175664976346475</v>
      </c>
      <c r="J216" s="430">
        <f>(K215+J215)*(K214-J214)/2</f>
        <v>4.824096355837125</v>
      </c>
      <c r="K216" s="430">
        <f t="shared" si="52"/>
        <v>5.0015803988042995</v>
      </c>
      <c r="L216" s="430">
        <f t="shared" si="52"/>
        <v>5.1910746401677494</v>
      </c>
      <c r="M216" s="430">
        <f t="shared" si="52"/>
        <v>16.526032993274399</v>
      </c>
      <c r="N216" s="430">
        <f t="shared" si="52"/>
        <v>11.439046739207699</v>
      </c>
      <c r="O216" s="430">
        <f t="shared" si="52"/>
        <v>5.7008408387652043</v>
      </c>
      <c r="P216" s="430">
        <f t="shared" si="52"/>
        <v>5.5980869191526192</v>
      </c>
      <c r="Q216" s="430">
        <f t="shared" si="52"/>
        <v>5.4859917341207289</v>
      </c>
      <c r="R216" s="430">
        <f t="shared" si="52"/>
        <v>5.3912446134389942</v>
      </c>
      <c r="S216" s="430">
        <f>(T215+S215)*(T214-S214)/2</f>
        <v>5.2311086348220037</v>
      </c>
      <c r="T216" s="430">
        <f t="shared" si="52"/>
        <v>5.0656347902510959</v>
      </c>
      <c r="U216" s="430">
        <f t="shared" si="52"/>
        <v>6.4321284744494962</v>
      </c>
      <c r="V216" s="430">
        <f t="shared" si="52"/>
        <v>7.2661700297463767</v>
      </c>
      <c r="W216" s="430">
        <f>(X215+W215)*(X214-W214)/2</f>
        <v>0</v>
      </c>
      <c r="X216" s="430">
        <f>(Y215+X215)*(Y214-X214)/2</f>
        <v>0</v>
      </c>
      <c r="Y216" s="424"/>
    </row>
    <row r="217" spans="1:26" ht="13.5" thickBot="1" x14ac:dyDescent="0.25">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5" thickBot="1" x14ac:dyDescent="0.25">
      <c r="A218" s="416" t="s">
        <v>379</v>
      </c>
      <c r="B218" s="414">
        <f>ROW(A218)</f>
        <v>218</v>
      </c>
      <c r="C218" s="418" t="s">
        <v>118</v>
      </c>
      <c r="D218" s="408">
        <f>SUM(B221:Y221)</f>
        <v>109.60639850000001</v>
      </c>
      <c r="E218" s="418" t="s">
        <v>117</v>
      </c>
      <c r="F218" s="409">
        <f>D218/g/J218</f>
        <v>194.31174666489383</v>
      </c>
      <c r="G218" s="418" t="s">
        <v>59</v>
      </c>
      <c r="H218" s="86">
        <v>0.14130000000000001</v>
      </c>
      <c r="I218" s="418" t="s">
        <v>272</v>
      </c>
      <c r="J218" s="410">
        <f>H218-L218</f>
        <v>5.7500000000000009E-2</v>
      </c>
      <c r="K218" s="418" t="s">
        <v>273</v>
      </c>
      <c r="L218" s="86">
        <v>8.3799999999999999E-2</v>
      </c>
      <c r="M218" s="418" t="s">
        <v>60</v>
      </c>
      <c r="N218" s="87">
        <v>71</v>
      </c>
      <c r="O218" s="418" t="s">
        <v>62</v>
      </c>
      <c r="P218" s="87">
        <v>71</v>
      </c>
      <c r="Q218" s="418" t="s">
        <v>63</v>
      </c>
      <c r="R218" s="87">
        <v>142</v>
      </c>
      <c r="S218" s="418" t="s">
        <v>64</v>
      </c>
      <c r="T218" s="87">
        <v>29</v>
      </c>
      <c r="U218" s="418" t="s">
        <v>57</v>
      </c>
      <c r="V218" s="88" t="s">
        <v>403</v>
      </c>
      <c r="W218" s="547" t="s">
        <v>396</v>
      </c>
      <c r="X218" s="549">
        <v>0.45</v>
      </c>
      <c r="Y218" s="547" t="s">
        <v>395</v>
      </c>
      <c r="Z218" s="413">
        <v>14</v>
      </c>
    </row>
    <row r="219" spans="1:26" x14ac:dyDescent="0.2">
      <c r="A219" s="417" t="s">
        <v>33</v>
      </c>
      <c r="B219" s="441">
        <v>0</v>
      </c>
      <c r="C219" s="442">
        <v>6.0000000000000001E-3</v>
      </c>
      <c r="D219" s="442">
        <v>1.0999999999999999E-2</v>
      </c>
      <c r="E219" s="442">
        <v>1.6E-2</v>
      </c>
      <c r="F219" s="442">
        <v>3.1E-2</v>
      </c>
      <c r="G219" s="442">
        <v>7.4999999999999997E-2</v>
      </c>
      <c r="H219" s="442">
        <v>0.122</v>
      </c>
      <c r="I219" s="442">
        <v>0.216</v>
      </c>
      <c r="J219" s="442">
        <v>0.25</v>
      </c>
      <c r="K219" s="442">
        <v>0.28699999999999998</v>
      </c>
      <c r="L219" s="442">
        <v>0.35399999999999998</v>
      </c>
      <c r="M219" s="442">
        <v>0.374</v>
      </c>
      <c r="N219" s="442">
        <v>0.4</v>
      </c>
      <c r="O219" s="442">
        <v>0.41299999999999998</v>
      </c>
      <c r="P219" s="442">
        <v>0.42</v>
      </c>
      <c r="Q219" s="442">
        <v>0.433</v>
      </c>
      <c r="R219" s="442">
        <v>0.44500000000000001</v>
      </c>
      <c r="S219" s="442">
        <v>0.45400000000000001</v>
      </c>
      <c r="T219" s="442">
        <f t="shared" ref="T219:X220" si="53">S219</f>
        <v>0.45400000000000001</v>
      </c>
      <c r="U219" s="442">
        <f t="shared" si="53"/>
        <v>0.45400000000000001</v>
      </c>
      <c r="V219" s="442">
        <f t="shared" si="53"/>
        <v>0.45400000000000001</v>
      </c>
      <c r="W219" s="442">
        <f t="shared" si="53"/>
        <v>0.45400000000000001</v>
      </c>
      <c r="X219" s="442">
        <v>2</v>
      </c>
      <c r="Y219" s="444">
        <v>1000</v>
      </c>
    </row>
    <row r="220" spans="1:26" x14ac:dyDescent="0.2">
      <c r="A220" s="434" t="s">
        <v>34</v>
      </c>
      <c r="B220" s="443">
        <v>0</v>
      </c>
      <c r="C220" s="433">
        <v>151.62100000000001</v>
      </c>
      <c r="D220" s="433">
        <v>198.07900000000001</v>
      </c>
      <c r="E220" s="433">
        <v>203.12100000000001</v>
      </c>
      <c r="F220" s="433">
        <v>201.68100000000001</v>
      </c>
      <c r="G220" s="433">
        <v>226.17</v>
      </c>
      <c r="H220" s="433">
        <v>250.3</v>
      </c>
      <c r="I220" s="433">
        <v>280.19200000000001</v>
      </c>
      <c r="J220" s="433">
        <v>287.03500000000003</v>
      </c>
      <c r="K220" s="433">
        <v>284.87400000000002</v>
      </c>
      <c r="L220" s="433">
        <v>269.74799999999999</v>
      </c>
      <c r="M220" s="433">
        <v>258.58300000000003</v>
      </c>
      <c r="N220" s="433">
        <v>233.37299999999999</v>
      </c>
      <c r="O220" s="433">
        <v>234.09399999999999</v>
      </c>
      <c r="P220" s="433">
        <v>227.61099999999999</v>
      </c>
      <c r="Q220" s="433">
        <v>137.935</v>
      </c>
      <c r="R220" s="433">
        <v>33.853999999999999</v>
      </c>
      <c r="S220" s="433">
        <v>0</v>
      </c>
      <c r="T220" s="433">
        <f t="shared" si="53"/>
        <v>0</v>
      </c>
      <c r="U220" s="433">
        <f t="shared" si="53"/>
        <v>0</v>
      </c>
      <c r="V220" s="433">
        <f t="shared" si="53"/>
        <v>0</v>
      </c>
      <c r="W220" s="433">
        <f t="shared" si="53"/>
        <v>0</v>
      </c>
      <c r="X220" s="433">
        <f t="shared" si="53"/>
        <v>0</v>
      </c>
      <c r="Y220" s="439">
        <v>0</v>
      </c>
    </row>
    <row r="221" spans="1:26" ht="13.5" thickBot="1" x14ac:dyDescent="0.25">
      <c r="A221" s="435" t="s">
        <v>119</v>
      </c>
      <c r="B221" s="429">
        <f t="shared" ref="B221:X221" si="54">(C220+B220)*(C219-B219)/2</f>
        <v>0.45486300000000002</v>
      </c>
      <c r="C221" s="430">
        <f t="shared" si="54"/>
        <v>0.87424999999999997</v>
      </c>
      <c r="D221" s="430">
        <f t="shared" si="54"/>
        <v>1.0030000000000003</v>
      </c>
      <c r="E221" s="430">
        <f t="shared" si="54"/>
        <v>3.0360149999999999</v>
      </c>
      <c r="F221" s="430">
        <f t="shared" si="54"/>
        <v>9.4127219999999987</v>
      </c>
      <c r="G221" s="430">
        <f t="shared" si="54"/>
        <v>11.197045000000001</v>
      </c>
      <c r="H221" s="430">
        <f t="shared" si="54"/>
        <v>24.933123999999999</v>
      </c>
      <c r="I221" s="430">
        <f t="shared" si="54"/>
        <v>9.6428590000000014</v>
      </c>
      <c r="J221" s="430">
        <f t="shared" si="54"/>
        <v>10.580316499999995</v>
      </c>
      <c r="K221" s="430">
        <f t="shared" si="54"/>
        <v>18.579837000000005</v>
      </c>
      <c r="L221" s="430">
        <f t="shared" si="54"/>
        <v>5.2833100000000046</v>
      </c>
      <c r="M221" s="430">
        <f t="shared" si="54"/>
        <v>6.3954280000000061</v>
      </c>
      <c r="N221" s="430">
        <f t="shared" si="54"/>
        <v>3.0385354999999898</v>
      </c>
      <c r="O221" s="430">
        <f t="shared" si="54"/>
        <v>1.6159675000000013</v>
      </c>
      <c r="P221" s="430">
        <f t="shared" si="54"/>
        <v>2.3760490000000019</v>
      </c>
      <c r="Q221" s="430">
        <f t="shared" si="54"/>
        <v>1.0307340000000009</v>
      </c>
      <c r="R221" s="430">
        <f t="shared" si="54"/>
        <v>0.15234300000000014</v>
      </c>
      <c r="S221" s="430">
        <f t="shared" si="54"/>
        <v>0</v>
      </c>
      <c r="T221" s="430">
        <f t="shared" si="54"/>
        <v>0</v>
      </c>
      <c r="U221" s="430">
        <f t="shared" si="54"/>
        <v>0</v>
      </c>
      <c r="V221" s="430">
        <f t="shared" si="54"/>
        <v>0</v>
      </c>
      <c r="W221" s="430">
        <f t="shared" si="54"/>
        <v>0</v>
      </c>
      <c r="X221" s="430">
        <f t="shared" si="54"/>
        <v>0</v>
      </c>
      <c r="Y221" s="424"/>
    </row>
    <row r="222" spans="1:26" ht="13.5" thickBot="1" x14ac:dyDescent="0.25">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5" thickBot="1" x14ac:dyDescent="0.25">
      <c r="A223" s="416" t="s">
        <v>380</v>
      </c>
      <c r="B223" s="414">
        <f>ROW(A223)</f>
        <v>223</v>
      </c>
      <c r="C223" s="418" t="s">
        <v>118</v>
      </c>
      <c r="D223" s="408">
        <f>SUM(B226:Y226)</f>
        <v>115.63</v>
      </c>
      <c r="E223" s="418" t="s">
        <v>117</v>
      </c>
      <c r="F223" s="409">
        <f>D223/g/J223</f>
        <v>199.77884897804037</v>
      </c>
      <c r="G223" s="418" t="s">
        <v>59</v>
      </c>
      <c r="H223" s="86">
        <v>0.14499999999999999</v>
      </c>
      <c r="I223" s="418" t="s">
        <v>272</v>
      </c>
      <c r="J223" s="410">
        <f>H223-L223</f>
        <v>5.8999999999999997E-2</v>
      </c>
      <c r="K223" s="418" t="s">
        <v>273</v>
      </c>
      <c r="L223" s="86">
        <v>8.5999999999999993E-2</v>
      </c>
      <c r="M223" s="418" t="s">
        <v>60</v>
      </c>
      <c r="N223" s="87">
        <v>71</v>
      </c>
      <c r="O223" s="418" t="s">
        <v>62</v>
      </c>
      <c r="P223" s="87">
        <v>71</v>
      </c>
      <c r="Q223" s="418" t="s">
        <v>63</v>
      </c>
      <c r="R223" s="87">
        <v>142</v>
      </c>
      <c r="S223" s="418" t="s">
        <v>64</v>
      </c>
      <c r="T223" s="87">
        <v>29</v>
      </c>
      <c r="U223" s="418" t="s">
        <v>57</v>
      </c>
      <c r="V223" s="88" t="s">
        <v>122</v>
      </c>
      <c r="W223" s="547" t="s">
        <v>396</v>
      </c>
      <c r="X223" s="549">
        <v>0.93</v>
      </c>
      <c r="Y223" s="547" t="s">
        <v>395</v>
      </c>
      <c r="Z223" s="413">
        <v>13</v>
      </c>
    </row>
    <row r="224" spans="1:26" x14ac:dyDescent="0.2">
      <c r="A224" s="417" t="s">
        <v>33</v>
      </c>
      <c r="B224" s="441">
        <v>0</v>
      </c>
      <c r="C224" s="442">
        <v>0.01</v>
      </c>
      <c r="D224" s="442">
        <v>0.02</v>
      </c>
      <c r="E224" s="442">
        <v>0.03</v>
      </c>
      <c r="F224" s="442">
        <v>0.04</v>
      </c>
      <c r="G224" s="442">
        <v>0.05</v>
      </c>
      <c r="H224" s="442">
        <v>0.1</v>
      </c>
      <c r="I224" s="442">
        <v>0.2</v>
      </c>
      <c r="J224" s="442">
        <v>0.3</v>
      </c>
      <c r="K224" s="442">
        <v>0.4</v>
      </c>
      <c r="L224" s="442">
        <v>0.6</v>
      </c>
      <c r="M224" s="442">
        <v>0.75</v>
      </c>
      <c r="N224" s="442">
        <v>0.81</v>
      </c>
      <c r="O224" s="442">
        <v>0.86</v>
      </c>
      <c r="P224" s="442">
        <v>0.9</v>
      </c>
      <c r="Q224" s="442">
        <v>0.95</v>
      </c>
      <c r="R224" s="442">
        <v>1</v>
      </c>
      <c r="S224" s="442">
        <v>1</v>
      </c>
      <c r="T224" s="442">
        <v>1</v>
      </c>
      <c r="U224" s="442">
        <v>1</v>
      </c>
      <c r="V224" s="442">
        <v>1</v>
      </c>
      <c r="W224" s="442">
        <v>1</v>
      </c>
      <c r="X224" s="442">
        <v>2</v>
      </c>
      <c r="Y224" s="444">
        <v>1000</v>
      </c>
    </row>
    <row r="225" spans="1:26" x14ac:dyDescent="0.2">
      <c r="A225" s="434" t="s">
        <v>34</v>
      </c>
      <c r="B225" s="443">
        <v>0</v>
      </c>
      <c r="C225" s="431">
        <v>55</v>
      </c>
      <c r="D225" s="431">
        <v>168</v>
      </c>
      <c r="E225" s="431">
        <v>157</v>
      </c>
      <c r="F225" s="431">
        <v>148</v>
      </c>
      <c r="G225" s="431">
        <v>125</v>
      </c>
      <c r="H225" s="431">
        <v>135</v>
      </c>
      <c r="I225" s="431">
        <v>141</v>
      </c>
      <c r="J225" s="431">
        <v>142</v>
      </c>
      <c r="K225" s="431">
        <v>141</v>
      </c>
      <c r="L225" s="431">
        <v>133</v>
      </c>
      <c r="M225" s="431">
        <v>127</v>
      </c>
      <c r="N225" s="431">
        <v>128</v>
      </c>
      <c r="O225" s="431">
        <v>60</v>
      </c>
      <c r="P225" s="431">
        <v>15</v>
      </c>
      <c r="Q225" s="431">
        <v>0</v>
      </c>
      <c r="R225" s="431">
        <v>0</v>
      </c>
      <c r="S225" s="431">
        <v>0</v>
      </c>
      <c r="T225" s="431">
        <v>0</v>
      </c>
      <c r="U225" s="431">
        <v>0</v>
      </c>
      <c r="V225" s="431">
        <v>0</v>
      </c>
      <c r="W225" s="431">
        <v>0</v>
      </c>
      <c r="X225" s="433">
        <v>0</v>
      </c>
      <c r="Y225" s="439">
        <v>0</v>
      </c>
    </row>
    <row r="226" spans="1:26" ht="13.5" thickBot="1" x14ac:dyDescent="0.25">
      <c r="A226" s="435" t="s">
        <v>119</v>
      </c>
      <c r="B226" s="429">
        <f t="shared" ref="B226:X226" si="55">(C225+B225)*(C224-B224)/2</f>
        <v>0.27500000000000002</v>
      </c>
      <c r="C226" s="430">
        <f t="shared" si="55"/>
        <v>1.115</v>
      </c>
      <c r="D226" s="430">
        <f t="shared" si="55"/>
        <v>1.6249999999999998</v>
      </c>
      <c r="E226" s="430">
        <f t="shared" si="55"/>
        <v>1.5250000000000004</v>
      </c>
      <c r="F226" s="430">
        <f t="shared" si="55"/>
        <v>1.3650000000000002</v>
      </c>
      <c r="G226" s="430">
        <f t="shared" si="55"/>
        <v>6.5</v>
      </c>
      <c r="H226" s="430">
        <f t="shared" si="55"/>
        <v>13.8</v>
      </c>
      <c r="I226" s="430">
        <f t="shared" si="55"/>
        <v>14.149999999999997</v>
      </c>
      <c r="J226" s="430">
        <f t="shared" si="55"/>
        <v>14.150000000000004</v>
      </c>
      <c r="K226" s="430">
        <f t="shared" si="55"/>
        <v>27.399999999999995</v>
      </c>
      <c r="L226" s="430">
        <f t="shared" si="55"/>
        <v>19.500000000000004</v>
      </c>
      <c r="M226" s="430">
        <f t="shared" si="55"/>
        <v>7.6500000000000066</v>
      </c>
      <c r="N226" s="430">
        <f t="shared" si="55"/>
        <v>4.699999999999994</v>
      </c>
      <c r="O226" s="430">
        <f t="shared" si="55"/>
        <v>1.5000000000000013</v>
      </c>
      <c r="P226" s="430">
        <f t="shared" si="55"/>
        <v>0.3749999999999995</v>
      </c>
      <c r="Q226" s="430">
        <f t="shared" si="55"/>
        <v>0</v>
      </c>
      <c r="R226" s="430">
        <f t="shared" si="55"/>
        <v>0</v>
      </c>
      <c r="S226" s="430">
        <f t="shared" si="55"/>
        <v>0</v>
      </c>
      <c r="T226" s="430">
        <f t="shared" si="55"/>
        <v>0</v>
      </c>
      <c r="U226" s="430">
        <f t="shared" si="55"/>
        <v>0</v>
      </c>
      <c r="V226" s="430">
        <f t="shared" si="55"/>
        <v>0</v>
      </c>
      <c r="W226" s="430">
        <f t="shared" si="55"/>
        <v>0</v>
      </c>
      <c r="X226" s="430">
        <f t="shared" si="55"/>
        <v>0</v>
      </c>
      <c r="Y226" s="424"/>
    </row>
    <row r="227" spans="1:26" ht="13.5" thickBot="1" x14ac:dyDescent="0.25">
      <c r="A227" s="492" t="s">
        <v>388</v>
      </c>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5" thickBot="1" x14ac:dyDescent="0.25">
      <c r="A228" s="416" t="s">
        <v>389</v>
      </c>
      <c r="B228" s="414">
        <f>ROW(A228)</f>
        <v>228</v>
      </c>
      <c r="C228" s="418" t="s">
        <v>118</v>
      </c>
      <c r="D228" s="408">
        <f>SUM(B231:Y231)</f>
        <v>115.63</v>
      </c>
      <c r="E228" s="418" t="s">
        <v>117</v>
      </c>
      <c r="F228" s="409">
        <f>D228/g/J228</f>
        <v>125.39310733728064</v>
      </c>
      <c r="G228" s="418" t="s">
        <v>59</v>
      </c>
      <c r="H228" s="86">
        <v>0.2</v>
      </c>
      <c r="I228" s="418" t="s">
        <v>272</v>
      </c>
      <c r="J228" s="410">
        <f>H228-L228</f>
        <v>9.4000000000000014E-2</v>
      </c>
      <c r="K228" s="418" t="s">
        <v>273</v>
      </c>
      <c r="L228" s="86">
        <v>0.106</v>
      </c>
      <c r="M228" s="418" t="s">
        <v>60</v>
      </c>
      <c r="N228" s="87">
        <v>93</v>
      </c>
      <c r="O228" s="418" t="s">
        <v>62</v>
      </c>
      <c r="P228" s="87">
        <v>93</v>
      </c>
      <c r="Q228" s="418" t="s">
        <v>63</v>
      </c>
      <c r="R228" s="87">
        <v>187</v>
      </c>
      <c r="S228" s="418" t="s">
        <v>64</v>
      </c>
      <c r="T228" s="87">
        <v>29</v>
      </c>
      <c r="U228" s="418" t="s">
        <v>57</v>
      </c>
      <c r="V228" s="88" t="s">
        <v>122</v>
      </c>
      <c r="W228" s="547" t="s">
        <v>396</v>
      </c>
      <c r="X228" s="549">
        <v>0.96</v>
      </c>
      <c r="Y228" s="547" t="s">
        <v>395</v>
      </c>
      <c r="Z228" s="413">
        <v>14</v>
      </c>
    </row>
    <row r="229" spans="1:26" x14ac:dyDescent="0.2">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f t="shared" ref="S229:X230" si="56">R229</f>
        <v>1</v>
      </c>
      <c r="T229" s="442">
        <f t="shared" si="56"/>
        <v>1</v>
      </c>
      <c r="U229" s="442">
        <f t="shared" si="56"/>
        <v>1</v>
      </c>
      <c r="V229" s="442">
        <f t="shared" si="56"/>
        <v>1</v>
      </c>
      <c r="W229" s="442">
        <f t="shared" si="56"/>
        <v>1</v>
      </c>
      <c r="X229" s="442">
        <v>2</v>
      </c>
      <c r="Y229" s="444">
        <v>1000</v>
      </c>
    </row>
    <row r="230" spans="1:26" x14ac:dyDescent="0.2">
      <c r="A230" s="434" t="s">
        <v>34</v>
      </c>
      <c r="B230" s="443">
        <v>0</v>
      </c>
      <c r="C230" s="433">
        <v>55</v>
      </c>
      <c r="D230" s="433">
        <v>168</v>
      </c>
      <c r="E230" s="433">
        <v>157</v>
      </c>
      <c r="F230" s="433">
        <v>148</v>
      </c>
      <c r="G230" s="433">
        <v>125</v>
      </c>
      <c r="H230" s="433">
        <v>135</v>
      </c>
      <c r="I230" s="433">
        <v>141</v>
      </c>
      <c r="J230" s="433">
        <v>142</v>
      </c>
      <c r="K230" s="433">
        <v>141</v>
      </c>
      <c r="L230" s="433">
        <v>133</v>
      </c>
      <c r="M230" s="433">
        <v>127</v>
      </c>
      <c r="N230" s="433">
        <v>128</v>
      </c>
      <c r="O230" s="433">
        <v>60</v>
      </c>
      <c r="P230" s="433">
        <v>15</v>
      </c>
      <c r="Q230" s="433">
        <v>0</v>
      </c>
      <c r="R230" s="433">
        <v>0</v>
      </c>
      <c r="S230" s="433">
        <f t="shared" si="56"/>
        <v>0</v>
      </c>
      <c r="T230" s="433">
        <f t="shared" si="56"/>
        <v>0</v>
      </c>
      <c r="U230" s="433">
        <f t="shared" si="56"/>
        <v>0</v>
      </c>
      <c r="V230" s="433">
        <f t="shared" si="56"/>
        <v>0</v>
      </c>
      <c r="W230" s="433">
        <f t="shared" si="56"/>
        <v>0</v>
      </c>
      <c r="X230" s="433">
        <f t="shared" si="56"/>
        <v>0</v>
      </c>
      <c r="Y230" s="439">
        <v>0</v>
      </c>
    </row>
    <row r="231" spans="1:26" ht="13.5" thickBot="1" x14ac:dyDescent="0.25">
      <c r="A231" s="435" t="s">
        <v>119</v>
      </c>
      <c r="B231" s="429">
        <f t="shared" ref="B231:X231" si="57">(C230+B230)*(C229-B229)/2</f>
        <v>0.27500000000000002</v>
      </c>
      <c r="C231" s="430">
        <f t="shared" si="57"/>
        <v>1.115</v>
      </c>
      <c r="D231" s="430">
        <f t="shared" si="57"/>
        <v>1.6249999999999998</v>
      </c>
      <c r="E231" s="430">
        <f t="shared" si="57"/>
        <v>1.5250000000000004</v>
      </c>
      <c r="F231" s="430">
        <f t="shared" si="57"/>
        <v>1.3650000000000002</v>
      </c>
      <c r="G231" s="430">
        <f t="shared" si="57"/>
        <v>6.5</v>
      </c>
      <c r="H231" s="430">
        <f t="shared" si="57"/>
        <v>13.8</v>
      </c>
      <c r="I231" s="430">
        <f t="shared" si="57"/>
        <v>14.149999999999997</v>
      </c>
      <c r="J231" s="430">
        <f t="shared" si="57"/>
        <v>14.150000000000004</v>
      </c>
      <c r="K231" s="430">
        <f t="shared" si="57"/>
        <v>27.399999999999995</v>
      </c>
      <c r="L231" s="430">
        <f t="shared" si="57"/>
        <v>19.500000000000004</v>
      </c>
      <c r="M231" s="430">
        <f t="shared" si="57"/>
        <v>7.6500000000000066</v>
      </c>
      <c r="N231" s="430">
        <f t="shared" si="57"/>
        <v>4.699999999999994</v>
      </c>
      <c r="O231" s="430">
        <f t="shared" si="57"/>
        <v>1.5000000000000013</v>
      </c>
      <c r="P231" s="430">
        <f t="shared" si="57"/>
        <v>0.3749999999999995</v>
      </c>
      <c r="Q231" s="430">
        <f t="shared" si="57"/>
        <v>0</v>
      </c>
      <c r="R231" s="430">
        <f t="shared" si="57"/>
        <v>0</v>
      </c>
      <c r="S231" s="430">
        <f t="shared" si="57"/>
        <v>0</v>
      </c>
      <c r="T231" s="430">
        <f t="shared" si="57"/>
        <v>0</v>
      </c>
      <c r="U231" s="430">
        <f t="shared" si="57"/>
        <v>0</v>
      </c>
      <c r="V231" s="430">
        <f t="shared" si="57"/>
        <v>0</v>
      </c>
      <c r="W231" s="430">
        <f t="shared" si="57"/>
        <v>0</v>
      </c>
      <c r="X231" s="430">
        <f t="shared" si="57"/>
        <v>0</v>
      </c>
      <c r="Y231" s="424"/>
    </row>
    <row r="232" spans="1:26" ht="13.5" thickBot="1" x14ac:dyDescent="0.25">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5" thickBot="1" x14ac:dyDescent="0.25">
      <c r="A233" s="416" t="s">
        <v>394</v>
      </c>
      <c r="B233" s="414">
        <f>ROW(A233)</f>
        <v>233</v>
      </c>
      <c r="C233" s="418" t="s">
        <v>118</v>
      </c>
      <c r="D233" s="408">
        <f>SUM(B236:Y236)</f>
        <v>158.04815100000002</v>
      </c>
      <c r="E233" s="418" t="s">
        <v>117</v>
      </c>
      <c r="F233" s="409">
        <v>198</v>
      </c>
      <c r="G233" s="418" t="s">
        <v>59</v>
      </c>
      <c r="H233" s="86">
        <v>0.19450000000000001</v>
      </c>
      <c r="I233" s="418" t="s">
        <v>272</v>
      </c>
      <c r="J233" s="410">
        <f>H233-L233</f>
        <v>8.9600000000000013E-2</v>
      </c>
      <c r="K233" s="418" t="s">
        <v>273</v>
      </c>
      <c r="L233" s="86">
        <v>0.10489999999999999</v>
      </c>
      <c r="M233" s="418" t="s">
        <v>60</v>
      </c>
      <c r="N233" s="87">
        <v>93</v>
      </c>
      <c r="O233" s="418" t="s">
        <v>62</v>
      </c>
      <c r="P233" s="87">
        <v>93</v>
      </c>
      <c r="Q233" s="418" t="s">
        <v>63</v>
      </c>
      <c r="R233" s="87">
        <v>187</v>
      </c>
      <c r="S233" s="418" t="s">
        <v>64</v>
      </c>
      <c r="T233" s="87">
        <v>29</v>
      </c>
      <c r="U233" s="418" t="s">
        <v>57</v>
      </c>
      <c r="V233" s="88" t="s">
        <v>122</v>
      </c>
      <c r="W233" s="547" t="s">
        <v>396</v>
      </c>
      <c r="X233" s="549">
        <v>1.27</v>
      </c>
      <c r="Y233" s="547" t="s">
        <v>395</v>
      </c>
      <c r="Z233" s="413">
        <v>14</v>
      </c>
    </row>
    <row r="234" spans="1:26" x14ac:dyDescent="0.2">
      <c r="A234" s="417" t="s">
        <v>33</v>
      </c>
      <c r="B234" s="557">
        <v>0</v>
      </c>
      <c r="C234" s="557">
        <v>4.0000000000000001E-3</v>
      </c>
      <c r="D234" s="557">
        <v>2.1999999999999999E-2</v>
      </c>
      <c r="E234" s="557">
        <v>3.9E-2</v>
      </c>
      <c r="F234" s="557">
        <v>0.122</v>
      </c>
      <c r="G234" s="557">
        <v>0.23599999999999999</v>
      </c>
      <c r="H234" s="557">
        <v>0.58899999999999997</v>
      </c>
      <c r="I234" s="557">
        <v>0.80100000000000005</v>
      </c>
      <c r="J234" s="557">
        <v>1.0680000000000001</v>
      </c>
      <c r="K234" s="557">
        <v>1.1180000000000001</v>
      </c>
      <c r="L234" s="557">
        <v>1.145</v>
      </c>
      <c r="M234" s="557">
        <v>1.1739999999999999</v>
      </c>
      <c r="N234" s="557">
        <v>1.2110000000000001</v>
      </c>
      <c r="O234" s="557">
        <v>1.2470000000000001</v>
      </c>
      <c r="P234" s="557">
        <v>1.2989999999999999</v>
      </c>
      <c r="Q234" s="442">
        <v>2</v>
      </c>
      <c r="R234" s="442">
        <v>2</v>
      </c>
      <c r="S234" s="442">
        <f t="shared" ref="S234:X235" si="58">R234</f>
        <v>2</v>
      </c>
      <c r="T234" s="442">
        <f t="shared" si="58"/>
        <v>2</v>
      </c>
      <c r="U234" s="442">
        <f t="shared" si="58"/>
        <v>2</v>
      </c>
      <c r="V234" s="442">
        <f t="shared" si="58"/>
        <v>2</v>
      </c>
      <c r="W234" s="442">
        <f t="shared" si="58"/>
        <v>2</v>
      </c>
      <c r="X234" s="442">
        <f t="shared" si="58"/>
        <v>2</v>
      </c>
      <c r="Y234" s="444">
        <v>1000</v>
      </c>
    </row>
    <row r="235" spans="1:26" x14ac:dyDescent="0.2">
      <c r="A235" s="434" t="s">
        <v>34</v>
      </c>
      <c r="B235" s="557">
        <v>0</v>
      </c>
      <c r="C235" s="557">
        <v>15.683</v>
      </c>
      <c r="D235" s="557">
        <v>170.834</v>
      </c>
      <c r="E235" s="557">
        <v>116.877</v>
      </c>
      <c r="F235" s="557">
        <v>142.642</v>
      </c>
      <c r="G235" s="557">
        <v>149.73699999999999</v>
      </c>
      <c r="H235" s="557">
        <v>142.642</v>
      </c>
      <c r="I235" s="557">
        <v>131.25299999999999</v>
      </c>
      <c r="J235" s="557">
        <v>122.104</v>
      </c>
      <c r="K235" s="557">
        <v>107.91500000000001</v>
      </c>
      <c r="L235" s="557">
        <v>78.415999999999997</v>
      </c>
      <c r="M235" s="557">
        <v>43.128999999999998</v>
      </c>
      <c r="N235" s="557">
        <v>21.471</v>
      </c>
      <c r="O235" s="557">
        <v>8.7750000000000004</v>
      </c>
      <c r="P235" s="557">
        <v>0</v>
      </c>
      <c r="Q235" s="433">
        <v>0</v>
      </c>
      <c r="R235" s="433">
        <v>0</v>
      </c>
      <c r="S235" s="433">
        <f t="shared" si="58"/>
        <v>0</v>
      </c>
      <c r="T235" s="433">
        <f t="shared" si="58"/>
        <v>0</v>
      </c>
      <c r="U235" s="433">
        <f t="shared" si="58"/>
        <v>0</v>
      </c>
      <c r="V235" s="433">
        <f t="shared" si="58"/>
        <v>0</v>
      </c>
      <c r="W235" s="433">
        <f t="shared" si="58"/>
        <v>0</v>
      </c>
      <c r="X235" s="433">
        <f t="shared" si="58"/>
        <v>0</v>
      </c>
      <c r="Y235" s="439">
        <v>0</v>
      </c>
    </row>
    <row r="236" spans="1:26" ht="13.5" thickBot="1" x14ac:dyDescent="0.25">
      <c r="A236" s="435" t="s">
        <v>119</v>
      </c>
      <c r="B236" s="429">
        <f t="shared" ref="B236:X236" si="59">(C235+B235)*(C234-B234)/2</f>
        <v>3.1365999999999998E-2</v>
      </c>
      <c r="C236" s="430">
        <f t="shared" si="59"/>
        <v>1.6786529999999997</v>
      </c>
      <c r="D236" s="430">
        <f t="shared" si="59"/>
        <v>2.4455435000000003</v>
      </c>
      <c r="E236" s="430">
        <f t="shared" si="59"/>
        <v>10.770038499999998</v>
      </c>
      <c r="F236" s="430">
        <f t="shared" si="59"/>
        <v>16.665603000000001</v>
      </c>
      <c r="G236" s="430">
        <f t="shared" si="59"/>
        <v>51.604893500000003</v>
      </c>
      <c r="H236" s="430">
        <f t="shared" si="59"/>
        <v>29.03287000000001</v>
      </c>
      <c r="I236" s="430">
        <f t="shared" si="59"/>
        <v>33.823159499999996</v>
      </c>
      <c r="J236" s="430">
        <f t="shared" si="59"/>
        <v>5.7504750000000051</v>
      </c>
      <c r="K236" s="430">
        <f t="shared" si="59"/>
        <v>2.5154684999999923</v>
      </c>
      <c r="L236" s="430">
        <f t="shared" si="59"/>
        <v>1.7624024999999945</v>
      </c>
      <c r="M236" s="430">
        <f t="shared" si="59"/>
        <v>1.1951000000000045</v>
      </c>
      <c r="N236" s="430">
        <f t="shared" si="59"/>
        <v>0.54442800000000058</v>
      </c>
      <c r="O236" s="430">
        <f t="shared" si="59"/>
        <v>0.22814999999999924</v>
      </c>
      <c r="P236" s="430">
        <f t="shared" si="59"/>
        <v>0</v>
      </c>
      <c r="Q236" s="430">
        <f t="shared" si="59"/>
        <v>0</v>
      </c>
      <c r="R236" s="430">
        <f t="shared" si="59"/>
        <v>0</v>
      </c>
      <c r="S236" s="430">
        <f t="shared" si="59"/>
        <v>0</v>
      </c>
      <c r="T236" s="430">
        <f t="shared" si="59"/>
        <v>0</v>
      </c>
      <c r="U236" s="430">
        <f t="shared" si="59"/>
        <v>0</v>
      </c>
      <c r="V236" s="430">
        <f t="shared" si="59"/>
        <v>0</v>
      </c>
      <c r="W236" s="430">
        <f t="shared" si="59"/>
        <v>0</v>
      </c>
      <c r="X236" s="430">
        <f t="shared" si="59"/>
        <v>0</v>
      </c>
      <c r="Y236" s="424"/>
    </row>
    <row r="237" spans="1:26" ht="13.5" thickBot="1" x14ac:dyDescent="0.25">
      <c r="A237" s="492" t="s">
        <v>376</v>
      </c>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5" thickBot="1" x14ac:dyDescent="0.25">
      <c r="A238" s="416" t="s">
        <v>381</v>
      </c>
      <c r="B238" s="414">
        <f>ROW(A238)</f>
        <v>238</v>
      </c>
      <c r="C238" s="418" t="s">
        <v>118</v>
      </c>
      <c r="D238" s="408">
        <f>SUM(B241:Y241)</f>
        <v>136.75235000000001</v>
      </c>
      <c r="E238" s="418" t="s">
        <v>117</v>
      </c>
      <c r="F238" s="409">
        <f>D238/g/J238</f>
        <v>152.35078513616639</v>
      </c>
      <c r="G238" s="418" t="s">
        <v>59</v>
      </c>
      <c r="H238" s="86">
        <v>0.21249999999999999</v>
      </c>
      <c r="I238" s="418" t="s">
        <v>272</v>
      </c>
      <c r="J238" s="410">
        <f>H238-L238</f>
        <v>9.1499999999999998E-2</v>
      </c>
      <c r="K238" s="418" t="s">
        <v>273</v>
      </c>
      <c r="L238" s="86">
        <v>0.121</v>
      </c>
      <c r="M238" s="418" t="s">
        <v>60</v>
      </c>
      <c r="N238" s="87">
        <v>63</v>
      </c>
      <c r="O238" s="418" t="s">
        <v>62</v>
      </c>
      <c r="P238" s="87">
        <v>114</v>
      </c>
      <c r="Q238" s="418" t="s">
        <v>63</v>
      </c>
      <c r="R238" s="87">
        <v>127</v>
      </c>
      <c r="S238" s="418" t="s">
        <v>64</v>
      </c>
      <c r="T238" s="87">
        <v>38</v>
      </c>
      <c r="U238" s="418" t="s">
        <v>57</v>
      </c>
      <c r="V238" s="88" t="s">
        <v>122</v>
      </c>
      <c r="W238" s="547" t="s">
        <v>396</v>
      </c>
      <c r="X238" s="549">
        <v>2.36</v>
      </c>
      <c r="Y238" s="547" t="s">
        <v>395</v>
      </c>
      <c r="Z238" s="413">
        <v>13</v>
      </c>
    </row>
    <row r="239" spans="1:26" x14ac:dyDescent="0.2">
      <c r="A239" s="417" t="s">
        <v>33</v>
      </c>
      <c r="B239" s="441">
        <v>0</v>
      </c>
      <c r="C239" s="426">
        <v>2.9000000000000001E-2</v>
      </c>
      <c r="D239" s="426">
        <v>4.5999999999999999E-2</v>
      </c>
      <c r="E239" s="426">
        <v>5.8000000000000003E-2</v>
      </c>
      <c r="F239" s="426">
        <v>8.4000000000000005E-2</v>
      </c>
      <c r="G239" s="426">
        <v>0.17100000000000001</v>
      </c>
      <c r="H239" s="426">
        <v>0.28000000000000003</v>
      </c>
      <c r="I239" s="426">
        <v>0.45500000000000002</v>
      </c>
      <c r="J239" s="426">
        <v>0.58599999999999997</v>
      </c>
      <c r="K239" s="426">
        <v>0.74099999999999999</v>
      </c>
      <c r="L239" s="426">
        <v>0.95199999999999996</v>
      </c>
      <c r="M239" s="426">
        <v>1.2170000000000001</v>
      </c>
      <c r="N239" s="426">
        <v>1.43</v>
      </c>
      <c r="O239" s="426">
        <v>1.6259999999999999</v>
      </c>
      <c r="P239" s="426">
        <v>1.8069999999999999</v>
      </c>
      <c r="Q239" s="426">
        <v>1.9590000000000001</v>
      </c>
      <c r="R239" s="426">
        <v>2.1040000000000001</v>
      </c>
      <c r="S239" s="426">
        <v>2.1680000000000001</v>
      </c>
      <c r="T239" s="426">
        <v>2.21</v>
      </c>
      <c r="U239" s="426">
        <v>2.2469999999999999</v>
      </c>
      <c r="V239" s="426">
        <v>2.3290000000000002</v>
      </c>
      <c r="W239" s="442">
        <f>2.4</f>
        <v>2.4</v>
      </c>
      <c r="X239" s="442">
        <f>W239</f>
        <v>2.4</v>
      </c>
      <c r="Y239" s="444">
        <v>1000</v>
      </c>
    </row>
    <row r="240" spans="1:26" x14ac:dyDescent="0.2">
      <c r="A240" s="434" t="s">
        <v>34</v>
      </c>
      <c r="B240" s="443">
        <v>0</v>
      </c>
      <c r="C240" s="428">
        <v>90.25</v>
      </c>
      <c r="D240" s="428">
        <v>69.17</v>
      </c>
      <c r="E240" s="428">
        <v>59.947000000000003</v>
      </c>
      <c r="F240" s="428">
        <v>47.167000000000002</v>
      </c>
      <c r="G240" s="428">
        <v>57.970999999999997</v>
      </c>
      <c r="H240" s="428">
        <v>59.552</v>
      </c>
      <c r="I240" s="428">
        <v>61.265000000000001</v>
      </c>
      <c r="J240" s="428">
        <v>61.66</v>
      </c>
      <c r="K240" s="428">
        <v>62.319000000000003</v>
      </c>
      <c r="L240" s="428">
        <v>63.768000000000001</v>
      </c>
      <c r="M240" s="428">
        <v>64.69</v>
      </c>
      <c r="N240" s="428">
        <v>63.768000000000001</v>
      </c>
      <c r="O240" s="428">
        <v>61.265000000000001</v>
      </c>
      <c r="P240" s="428">
        <v>58.103000000000002</v>
      </c>
      <c r="Q240" s="428">
        <v>53.887</v>
      </c>
      <c r="R240" s="428">
        <v>48.353000000000002</v>
      </c>
      <c r="S240" s="428">
        <v>47.563000000000002</v>
      </c>
      <c r="T240" s="428">
        <v>44.005000000000003</v>
      </c>
      <c r="U240" s="428">
        <v>37.286000000000001</v>
      </c>
      <c r="V240" s="428">
        <v>22.265999999999998</v>
      </c>
      <c r="W240" s="433">
        <v>0</v>
      </c>
      <c r="X240" s="433">
        <f>W240</f>
        <v>0</v>
      </c>
      <c r="Y240" s="439">
        <v>0</v>
      </c>
    </row>
    <row r="241" spans="1:26" ht="13.5" thickBot="1" x14ac:dyDescent="0.25">
      <c r="A241" s="435" t="s">
        <v>119</v>
      </c>
      <c r="B241" s="429">
        <f t="shared" ref="B241:X241" si="60">(C240+B240)*(C239-B239)/2</f>
        <v>1.3086250000000001</v>
      </c>
      <c r="C241" s="430">
        <f t="shared" si="60"/>
        <v>1.35507</v>
      </c>
      <c r="D241" s="430">
        <f t="shared" si="60"/>
        <v>0.77470200000000033</v>
      </c>
      <c r="E241" s="430">
        <f t="shared" si="60"/>
        <v>1.3924820000000002</v>
      </c>
      <c r="F241" s="430">
        <f t="shared" si="60"/>
        <v>4.5735030000000005</v>
      </c>
      <c r="G241" s="430">
        <f t="shared" si="60"/>
        <v>6.4050035000000003</v>
      </c>
      <c r="H241" s="430">
        <f t="shared" si="60"/>
        <v>10.5714875</v>
      </c>
      <c r="I241" s="430">
        <f t="shared" si="60"/>
        <v>8.0515874999999966</v>
      </c>
      <c r="J241" s="430">
        <f t="shared" si="60"/>
        <v>9.6083725000000015</v>
      </c>
      <c r="K241" s="430">
        <f t="shared" si="60"/>
        <v>13.302178499999998</v>
      </c>
      <c r="L241" s="430">
        <f t="shared" si="60"/>
        <v>17.020685000000007</v>
      </c>
      <c r="M241" s="430">
        <f t="shared" si="60"/>
        <v>13.68077699999999</v>
      </c>
      <c r="N241" s="430">
        <f t="shared" si="60"/>
        <v>12.253233999999997</v>
      </c>
      <c r="O241" s="430">
        <f t="shared" si="60"/>
        <v>10.802804000000002</v>
      </c>
      <c r="P241" s="430">
        <f t="shared" si="60"/>
        <v>8.5112400000000079</v>
      </c>
      <c r="Q241" s="430">
        <f t="shared" si="60"/>
        <v>7.4124000000000017</v>
      </c>
      <c r="R241" s="430">
        <f t="shared" si="60"/>
        <v>3.0693120000000027</v>
      </c>
      <c r="S241" s="430">
        <f t="shared" si="60"/>
        <v>1.9229279999999918</v>
      </c>
      <c r="T241" s="430">
        <f t="shared" si="60"/>
        <v>1.5038834999999968</v>
      </c>
      <c r="U241" s="430">
        <f t="shared" si="60"/>
        <v>2.4416320000000087</v>
      </c>
      <c r="V241" s="430">
        <f t="shared" si="60"/>
        <v>0.7904429999999969</v>
      </c>
      <c r="W241" s="430">
        <f t="shared" si="60"/>
        <v>0</v>
      </c>
      <c r="X241" s="430">
        <f t="shared" si="60"/>
        <v>0</v>
      </c>
      <c r="Y241" s="424"/>
    </row>
    <row r="242" spans="1:26" ht="13.5" thickBot="1" x14ac:dyDescent="0.25">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5" thickBot="1" x14ac:dyDescent="0.25">
      <c r="A243" s="416" t="s">
        <v>382</v>
      </c>
      <c r="B243" s="414">
        <f>ROW(A243)</f>
        <v>243</v>
      </c>
      <c r="C243" s="418" t="s">
        <v>118</v>
      </c>
      <c r="D243" s="408">
        <f>SUM(B246:Y246)</f>
        <v>127.06944999999999</v>
      </c>
      <c r="E243" s="418" t="s">
        <v>117</v>
      </c>
      <c r="F243" s="409">
        <f>D243/g/J243</f>
        <v>180.65624835614466</v>
      </c>
      <c r="G243" s="418" t="s">
        <v>59</v>
      </c>
      <c r="H243" s="86">
        <v>0.18840000000000001</v>
      </c>
      <c r="I243" s="418" t="s">
        <v>272</v>
      </c>
      <c r="J243" s="410">
        <f>H243-L243</f>
        <v>7.1700000000000014E-2</v>
      </c>
      <c r="K243" s="418" t="s">
        <v>273</v>
      </c>
      <c r="L243" s="86">
        <v>0.1167</v>
      </c>
      <c r="M243" s="418" t="s">
        <v>60</v>
      </c>
      <c r="N243" s="87">
        <v>63</v>
      </c>
      <c r="O243" s="418" t="s">
        <v>62</v>
      </c>
      <c r="P243" s="87">
        <v>114</v>
      </c>
      <c r="Q243" s="418" t="s">
        <v>63</v>
      </c>
      <c r="R243" s="87">
        <v>127</v>
      </c>
      <c r="S243" s="418" t="s">
        <v>64</v>
      </c>
      <c r="T243" s="87">
        <v>38</v>
      </c>
      <c r="U243" s="418" t="s">
        <v>57</v>
      </c>
      <c r="V243" s="88" t="s">
        <v>122</v>
      </c>
      <c r="W243" s="547" t="s">
        <v>396</v>
      </c>
      <c r="X243" s="549">
        <v>0.69</v>
      </c>
      <c r="Y243" s="547" t="s">
        <v>395</v>
      </c>
      <c r="Z243" s="413">
        <v>12</v>
      </c>
    </row>
    <row r="244" spans="1:26" x14ac:dyDescent="0.2">
      <c r="A244" s="417" t="s">
        <v>33</v>
      </c>
      <c r="B244" s="441">
        <v>0</v>
      </c>
      <c r="C244" s="442">
        <v>0.01</v>
      </c>
      <c r="D244" s="442">
        <v>0.02</v>
      </c>
      <c r="E244" s="442">
        <v>0.05</v>
      </c>
      <c r="F244" s="442">
        <v>0.1</v>
      </c>
      <c r="G244" s="442">
        <v>0.2</v>
      </c>
      <c r="H244" s="442">
        <v>0.3</v>
      </c>
      <c r="I244" s="442">
        <v>0.35</v>
      </c>
      <c r="J244" s="442">
        <v>0.4</v>
      </c>
      <c r="K244" s="442">
        <v>0.45</v>
      </c>
      <c r="L244" s="442">
        <v>0.5</v>
      </c>
      <c r="M244" s="442">
        <v>0.55000000000000004</v>
      </c>
      <c r="N244" s="442">
        <v>0.6</v>
      </c>
      <c r="O244" s="442">
        <v>0.61</v>
      </c>
      <c r="P244" s="442">
        <v>0.63</v>
      </c>
      <c r="Q244" s="442">
        <v>0.64</v>
      </c>
      <c r="R244" s="442">
        <v>0.65</v>
      </c>
      <c r="S244" s="442">
        <v>0.67</v>
      </c>
      <c r="T244" s="442">
        <v>0.68</v>
      </c>
      <c r="U244" s="442">
        <v>0.69</v>
      </c>
      <c r="V244" s="442">
        <f t="shared" ref="V244:X245" si="61">U244</f>
        <v>0.69</v>
      </c>
      <c r="W244" s="442">
        <f t="shared" si="61"/>
        <v>0.69</v>
      </c>
      <c r="X244" s="442">
        <v>2</v>
      </c>
      <c r="Y244" s="444">
        <v>1000</v>
      </c>
    </row>
    <row r="245" spans="1:26" x14ac:dyDescent="0.2">
      <c r="A245" s="434" t="s">
        <v>34</v>
      </c>
      <c r="B245" s="443">
        <v>0</v>
      </c>
      <c r="C245" s="433">
        <v>108.72</v>
      </c>
      <c r="D245" s="433">
        <v>131.19</v>
      </c>
      <c r="E245" s="433">
        <v>153.13999999999999</v>
      </c>
      <c r="F245" s="433">
        <v>168.97</v>
      </c>
      <c r="G245" s="433">
        <v>189.92</v>
      </c>
      <c r="H245" s="433">
        <v>199.95</v>
      </c>
      <c r="I245" s="433">
        <v>203.59</v>
      </c>
      <c r="J245" s="433">
        <v>205.03</v>
      </c>
      <c r="K245" s="433">
        <v>202.6</v>
      </c>
      <c r="L245" s="433">
        <v>203.06</v>
      </c>
      <c r="M245" s="433">
        <v>199.34</v>
      </c>
      <c r="N245" s="433">
        <v>194.71</v>
      </c>
      <c r="O245" s="433">
        <v>194.1</v>
      </c>
      <c r="P245" s="433">
        <v>193.49</v>
      </c>
      <c r="Q245" s="433">
        <v>193.68</v>
      </c>
      <c r="R245" s="433">
        <v>202.91</v>
      </c>
      <c r="S245" s="433">
        <v>163.38999999999999</v>
      </c>
      <c r="T245" s="433">
        <v>80.44</v>
      </c>
      <c r="U245" s="433">
        <v>0</v>
      </c>
      <c r="V245" s="433">
        <f t="shared" si="61"/>
        <v>0</v>
      </c>
      <c r="W245" s="433">
        <f t="shared" si="61"/>
        <v>0</v>
      </c>
      <c r="X245" s="433">
        <f t="shared" si="61"/>
        <v>0</v>
      </c>
      <c r="Y245" s="439">
        <v>0</v>
      </c>
    </row>
    <row r="246" spans="1:26" ht="13.5" thickBot="1" x14ac:dyDescent="0.25">
      <c r="A246" s="435" t="s">
        <v>119</v>
      </c>
      <c r="B246" s="429">
        <f t="shared" ref="B246:X246" si="62">(C245+B245)*(C244-B244)/2</f>
        <v>0.54359999999999997</v>
      </c>
      <c r="C246" s="430">
        <f t="shared" si="62"/>
        <v>1.1995500000000001</v>
      </c>
      <c r="D246" s="430">
        <f t="shared" si="62"/>
        <v>4.2649499999999998</v>
      </c>
      <c r="E246" s="430">
        <f t="shared" si="62"/>
        <v>8.0527500000000014</v>
      </c>
      <c r="F246" s="430">
        <f t="shared" si="62"/>
        <v>17.944500000000001</v>
      </c>
      <c r="G246" s="430">
        <f t="shared" si="62"/>
        <v>19.493499999999997</v>
      </c>
      <c r="H246" s="430">
        <f t="shared" si="62"/>
        <v>10.088499999999996</v>
      </c>
      <c r="I246" s="430">
        <f t="shared" si="62"/>
        <v>10.215500000000009</v>
      </c>
      <c r="J246" s="430">
        <f t="shared" si="62"/>
        <v>10.190749999999998</v>
      </c>
      <c r="K246" s="430">
        <f t="shared" si="62"/>
        <v>10.141499999999997</v>
      </c>
      <c r="L246" s="430">
        <f t="shared" si="62"/>
        <v>10.060000000000008</v>
      </c>
      <c r="M246" s="430">
        <f t="shared" si="62"/>
        <v>9.8512499999999878</v>
      </c>
      <c r="N246" s="430">
        <f t="shared" si="62"/>
        <v>1.9440500000000018</v>
      </c>
      <c r="O246" s="430">
        <f t="shared" si="62"/>
        <v>3.8759000000000037</v>
      </c>
      <c r="P246" s="430">
        <f t="shared" si="62"/>
        <v>1.9358500000000018</v>
      </c>
      <c r="Q246" s="430">
        <f t="shared" si="62"/>
        <v>1.982950000000002</v>
      </c>
      <c r="R246" s="430">
        <f t="shared" si="62"/>
        <v>3.6630000000000029</v>
      </c>
      <c r="S246" s="430">
        <f t="shared" si="62"/>
        <v>1.2191500000000011</v>
      </c>
      <c r="T246" s="430">
        <f t="shared" si="62"/>
        <v>0.40219999999999589</v>
      </c>
      <c r="U246" s="430">
        <f t="shared" si="62"/>
        <v>0</v>
      </c>
      <c r="V246" s="430">
        <f t="shared" si="62"/>
        <v>0</v>
      </c>
      <c r="W246" s="430">
        <f t="shared" si="62"/>
        <v>0</v>
      </c>
      <c r="X246" s="430">
        <f t="shared" si="62"/>
        <v>0</v>
      </c>
      <c r="Y246" s="424"/>
    </row>
    <row r="247" spans="1:26" ht="13.5" thickBot="1" x14ac:dyDescent="0.25">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5" thickBot="1" x14ac:dyDescent="0.25">
      <c r="A248" s="416" t="s">
        <v>390</v>
      </c>
      <c r="B248" s="414">
        <f>ROW(A248)</f>
        <v>248</v>
      </c>
      <c r="C248" s="418" t="s">
        <v>118</v>
      </c>
      <c r="D248" s="408">
        <f>SUM(B251:Y251)</f>
        <v>142.7236025</v>
      </c>
      <c r="E248" s="418" t="s">
        <v>117</v>
      </c>
      <c r="F248" s="409">
        <v>208</v>
      </c>
      <c r="G248" s="418" t="s">
        <v>59</v>
      </c>
      <c r="H248" s="86">
        <v>0.19700000000000001</v>
      </c>
      <c r="I248" s="418" t="s">
        <v>272</v>
      </c>
      <c r="J248" s="410">
        <f>H248-L248</f>
        <v>7.0000000000000007E-2</v>
      </c>
      <c r="K248" s="418" t="s">
        <v>273</v>
      </c>
      <c r="L248" s="86">
        <v>0.127</v>
      </c>
      <c r="M248" s="418" t="s">
        <v>60</v>
      </c>
      <c r="N248" s="87">
        <v>63</v>
      </c>
      <c r="O248" s="418" t="s">
        <v>62</v>
      </c>
      <c r="P248" s="87">
        <v>114</v>
      </c>
      <c r="Q248" s="418" t="s">
        <v>63</v>
      </c>
      <c r="R248" s="87">
        <v>127</v>
      </c>
      <c r="S248" s="418" t="s">
        <v>64</v>
      </c>
      <c r="T248" s="87">
        <v>38</v>
      </c>
      <c r="U248" s="418" t="s">
        <v>57</v>
      </c>
      <c r="V248" s="88" t="s">
        <v>122</v>
      </c>
      <c r="W248" s="547" t="s">
        <v>396</v>
      </c>
      <c r="X248" s="549">
        <v>1.8</v>
      </c>
      <c r="Y248" s="547" t="s">
        <v>395</v>
      </c>
      <c r="Z248" s="413">
        <v>15</v>
      </c>
    </row>
    <row r="249" spans="1:26" x14ac:dyDescent="0.2">
      <c r="A249" s="417" t="s">
        <v>33</v>
      </c>
      <c r="B249" s="441">
        <v>0</v>
      </c>
      <c r="C249" s="441">
        <v>6.0000000000000001E-3</v>
      </c>
      <c r="D249" s="442">
        <v>1.7999999999999999E-2</v>
      </c>
      <c r="E249" s="442">
        <v>3.5999999999999997E-2</v>
      </c>
      <c r="F249" s="442">
        <v>4.7E-2</v>
      </c>
      <c r="G249" s="442">
        <v>8.4000000000000005E-2</v>
      </c>
      <c r="H249" s="442">
        <v>0.13500000000000001</v>
      </c>
      <c r="I249" s="442">
        <v>0.23799999999999999</v>
      </c>
      <c r="J249" s="442">
        <v>0.438</v>
      </c>
      <c r="K249" s="442">
        <v>0.63</v>
      </c>
      <c r="L249" s="442">
        <v>0.85899999999999999</v>
      </c>
      <c r="M249" s="442">
        <v>1.2829999999999999</v>
      </c>
      <c r="N249" s="442">
        <v>1.4470000000000001</v>
      </c>
      <c r="O249" s="442">
        <v>1.643</v>
      </c>
      <c r="P249" s="442">
        <v>1.7130000000000001</v>
      </c>
      <c r="Q249" s="442">
        <v>1.7430000000000001</v>
      </c>
      <c r="R249" s="442">
        <v>1.79</v>
      </c>
      <c r="S249" s="442">
        <v>1.8180000000000001</v>
      </c>
      <c r="T249" s="442">
        <v>1.8520000000000001</v>
      </c>
      <c r="U249" s="442">
        <v>2</v>
      </c>
      <c r="V249" s="442">
        <f t="shared" ref="V249:X250" si="63">U249</f>
        <v>2</v>
      </c>
      <c r="W249" s="442">
        <f t="shared" si="63"/>
        <v>2</v>
      </c>
      <c r="X249" s="442">
        <f t="shared" si="63"/>
        <v>2</v>
      </c>
      <c r="Y249" s="444">
        <v>1000</v>
      </c>
    </row>
    <row r="250" spans="1:26" x14ac:dyDescent="0.2">
      <c r="A250" s="434" t="s">
        <v>34</v>
      </c>
      <c r="B250" s="443">
        <v>0</v>
      </c>
      <c r="C250" s="443">
        <v>104.068</v>
      </c>
      <c r="D250" s="433">
        <v>137.928</v>
      </c>
      <c r="E250" s="433">
        <v>70.706999999999994</v>
      </c>
      <c r="F250" s="433">
        <v>62.241999999999997</v>
      </c>
      <c r="G250" s="433">
        <v>73.694000000000003</v>
      </c>
      <c r="H250" s="433">
        <v>78.176000000000002</v>
      </c>
      <c r="I250" s="433">
        <v>84.150999999999996</v>
      </c>
      <c r="J250" s="433">
        <v>89.628</v>
      </c>
      <c r="K250" s="433">
        <v>88.135000000000005</v>
      </c>
      <c r="L250" s="433">
        <v>87.138999999999996</v>
      </c>
      <c r="M250" s="433">
        <v>77.180000000000007</v>
      </c>
      <c r="N250" s="433">
        <v>70.706999999999994</v>
      </c>
      <c r="O250" s="433">
        <v>67.718999999999994</v>
      </c>
      <c r="P250" s="433">
        <v>64.233999999999995</v>
      </c>
      <c r="Q250" s="433">
        <v>54.274999999999999</v>
      </c>
      <c r="R250" s="433">
        <v>18.423999999999999</v>
      </c>
      <c r="S250" s="433">
        <v>6.4729999999999999</v>
      </c>
      <c r="T250" s="433">
        <v>0</v>
      </c>
      <c r="U250" s="433">
        <v>0</v>
      </c>
      <c r="V250" s="433">
        <f t="shared" si="63"/>
        <v>0</v>
      </c>
      <c r="W250" s="433">
        <f t="shared" si="63"/>
        <v>0</v>
      </c>
      <c r="X250" s="433">
        <f t="shared" si="63"/>
        <v>0</v>
      </c>
      <c r="Y250" s="439">
        <v>0</v>
      </c>
    </row>
    <row r="251" spans="1:26" ht="13.5" thickBot="1" x14ac:dyDescent="0.25">
      <c r="A251" s="435" t="s">
        <v>119</v>
      </c>
      <c r="B251" s="429">
        <f t="shared" ref="B251:X251" si="64">(C250+B250)*(C249-B249)/2</f>
        <v>0.31220399999999998</v>
      </c>
      <c r="C251" s="430">
        <f t="shared" si="64"/>
        <v>1.4519759999999997</v>
      </c>
      <c r="D251" s="430">
        <f t="shared" si="64"/>
        <v>1.8777149999999998</v>
      </c>
      <c r="E251" s="430">
        <f t="shared" si="64"/>
        <v>0.73121950000000013</v>
      </c>
      <c r="F251" s="430">
        <f t="shared" si="64"/>
        <v>2.5148160000000006</v>
      </c>
      <c r="G251" s="430">
        <f t="shared" si="64"/>
        <v>3.8726850000000006</v>
      </c>
      <c r="H251" s="430">
        <f t="shared" si="64"/>
        <v>8.3598404999999989</v>
      </c>
      <c r="I251" s="430">
        <f t="shared" si="64"/>
        <v>17.3779</v>
      </c>
      <c r="J251" s="430">
        <f t="shared" si="64"/>
        <v>17.065248</v>
      </c>
      <c r="K251" s="430">
        <f t="shared" si="64"/>
        <v>20.068873</v>
      </c>
      <c r="L251" s="430">
        <f t="shared" si="64"/>
        <v>34.835628</v>
      </c>
      <c r="M251" s="430">
        <f t="shared" si="64"/>
        <v>12.126734000000011</v>
      </c>
      <c r="N251" s="430">
        <f t="shared" si="64"/>
        <v>13.565747999999996</v>
      </c>
      <c r="O251" s="430">
        <f t="shared" si="64"/>
        <v>4.6183550000000029</v>
      </c>
      <c r="P251" s="430">
        <f t="shared" si="64"/>
        <v>1.7776350000000014</v>
      </c>
      <c r="Q251" s="430">
        <f t="shared" si="64"/>
        <v>1.7084264999999974</v>
      </c>
      <c r="R251" s="430">
        <f t="shared" si="64"/>
        <v>0.34855800000000031</v>
      </c>
      <c r="S251" s="430">
        <f t="shared" si="64"/>
        <v>0.1100410000000001</v>
      </c>
      <c r="T251" s="430">
        <f t="shared" si="64"/>
        <v>0</v>
      </c>
      <c r="U251" s="430">
        <f t="shared" si="64"/>
        <v>0</v>
      </c>
      <c r="V251" s="430">
        <f t="shared" si="64"/>
        <v>0</v>
      </c>
      <c r="W251" s="430">
        <f t="shared" si="64"/>
        <v>0</v>
      </c>
      <c r="X251" s="430">
        <f t="shared" si="64"/>
        <v>0</v>
      </c>
      <c r="Y251" s="424"/>
    </row>
    <row r="252" spans="1:26" ht="13.5" thickBot="1" x14ac:dyDescent="0.25">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5" thickBot="1" x14ac:dyDescent="0.25">
      <c r="A253" s="416" t="s">
        <v>275</v>
      </c>
      <c r="B253" s="415">
        <f>ROW(A253)</f>
        <v>253</v>
      </c>
      <c r="C253" s="418" t="s">
        <v>118</v>
      </c>
      <c r="D253" s="408">
        <f>SUM(B256:Y256)</f>
        <v>33.500000000000007</v>
      </c>
      <c r="E253" s="418" t="s">
        <v>117</v>
      </c>
      <c r="F253" s="409">
        <f>D253/g/J253</f>
        <v>68.297655453618759</v>
      </c>
      <c r="G253" s="418" t="s">
        <v>59</v>
      </c>
      <c r="H253" s="86">
        <v>8.5000000000000006E-2</v>
      </c>
      <c r="I253" s="418" t="s">
        <v>272</v>
      </c>
      <c r="J253" s="410">
        <f>H253-L253</f>
        <v>0.05</v>
      </c>
      <c r="K253" s="418" t="s">
        <v>273</v>
      </c>
      <c r="L253" s="86">
        <v>3.5000000000000003E-2</v>
      </c>
      <c r="M253" s="418" t="s">
        <v>60</v>
      </c>
      <c r="N253" s="87">
        <v>20</v>
      </c>
      <c r="O253" s="418" t="s">
        <v>62</v>
      </c>
      <c r="P253" s="87">
        <v>20</v>
      </c>
      <c r="Q253" s="418" t="s">
        <v>63</v>
      </c>
      <c r="R253" s="87">
        <v>39</v>
      </c>
      <c r="S253" s="418" t="s">
        <v>64</v>
      </c>
      <c r="T253" s="87">
        <v>39</v>
      </c>
      <c r="U253" s="418" t="s">
        <v>57</v>
      </c>
      <c r="V253" s="88" t="s">
        <v>403</v>
      </c>
      <c r="W253" s="17"/>
      <c r="X253" s="17"/>
      <c r="Y253" s="17"/>
    </row>
    <row r="254" spans="1:26" x14ac:dyDescent="0.2">
      <c r="A254" s="417" t="s">
        <v>33</v>
      </c>
      <c r="B254" s="425">
        <v>0</v>
      </c>
      <c r="C254" s="426">
        <v>0.05</v>
      </c>
      <c r="D254" s="426">
        <v>0.1</v>
      </c>
      <c r="E254" s="426">
        <v>0.25</v>
      </c>
      <c r="F254" s="426">
        <v>0.3</v>
      </c>
      <c r="G254" s="426">
        <v>0.35</v>
      </c>
      <c r="H254" s="426">
        <v>0.45</v>
      </c>
      <c r="I254" s="426">
        <v>0.55000000000000004</v>
      </c>
      <c r="J254" s="426">
        <v>3.5</v>
      </c>
      <c r="K254" s="426">
        <v>3.6</v>
      </c>
      <c r="L254" s="426">
        <v>3.6</v>
      </c>
      <c r="M254" s="426">
        <v>3.6</v>
      </c>
      <c r="N254" s="426">
        <v>3.6</v>
      </c>
      <c r="O254" s="426">
        <v>3.6</v>
      </c>
      <c r="P254" s="426">
        <v>3.6</v>
      </c>
      <c r="Q254" s="426">
        <v>3.6</v>
      </c>
      <c r="R254" s="426">
        <v>3.6</v>
      </c>
      <c r="S254" s="426">
        <v>3.6</v>
      </c>
      <c r="T254" s="426">
        <v>3.6</v>
      </c>
      <c r="U254" s="426">
        <v>3.6</v>
      </c>
      <c r="V254" s="426">
        <v>3.6</v>
      </c>
      <c r="W254" s="426">
        <v>3.6</v>
      </c>
      <c r="X254" s="426">
        <v>3.6</v>
      </c>
      <c r="Y254" s="437">
        <v>1000</v>
      </c>
    </row>
    <row r="255" spans="1:26" x14ac:dyDescent="0.2">
      <c r="A255" s="434" t="s">
        <v>34</v>
      </c>
      <c r="B255" s="427">
        <v>0</v>
      </c>
      <c r="C255" s="428">
        <v>68</v>
      </c>
      <c r="D255" s="428">
        <v>62</v>
      </c>
      <c r="E255" s="428">
        <v>60</v>
      </c>
      <c r="F255" s="428">
        <v>39</v>
      </c>
      <c r="G255" s="428">
        <v>38</v>
      </c>
      <c r="H255" s="428">
        <v>9</v>
      </c>
      <c r="I255" s="428">
        <v>5</v>
      </c>
      <c r="J255" s="428">
        <v>3</v>
      </c>
      <c r="K255" s="428">
        <v>0</v>
      </c>
      <c r="L255" s="428">
        <v>0</v>
      </c>
      <c r="M255" s="428">
        <v>0</v>
      </c>
      <c r="N255" s="428">
        <v>0</v>
      </c>
      <c r="O255" s="428">
        <v>0</v>
      </c>
      <c r="P255" s="428">
        <v>0</v>
      </c>
      <c r="Q255" s="428">
        <v>0</v>
      </c>
      <c r="R255" s="428">
        <v>0</v>
      </c>
      <c r="S255" s="428">
        <v>0</v>
      </c>
      <c r="T255" s="428">
        <v>0</v>
      </c>
      <c r="U255" s="428">
        <v>0</v>
      </c>
      <c r="V255" s="428">
        <v>0</v>
      </c>
      <c r="W255" s="428">
        <v>0</v>
      </c>
      <c r="X255" s="428">
        <v>0</v>
      </c>
      <c r="Y255" s="438">
        <v>0</v>
      </c>
    </row>
    <row r="256" spans="1:26" ht="13.5" thickBot="1" x14ac:dyDescent="0.25">
      <c r="A256" s="435" t="s">
        <v>119</v>
      </c>
      <c r="B256" s="429">
        <f t="shared" ref="B256:V256" si="65">(C255+B255)*(C254-B254)/2</f>
        <v>1.7000000000000002</v>
      </c>
      <c r="C256" s="430">
        <f t="shared" si="65"/>
        <v>3.25</v>
      </c>
      <c r="D256" s="430">
        <f t="shared" si="65"/>
        <v>9.15</v>
      </c>
      <c r="E256" s="430">
        <f t="shared" si="65"/>
        <v>2.4749999999999996</v>
      </c>
      <c r="F256" s="430">
        <f t="shared" si="65"/>
        <v>1.9249999999999996</v>
      </c>
      <c r="G256" s="430">
        <f t="shared" si="65"/>
        <v>2.350000000000001</v>
      </c>
      <c r="H256" s="430">
        <f t="shared" si="65"/>
        <v>0.70000000000000018</v>
      </c>
      <c r="I256" s="430">
        <f t="shared" si="65"/>
        <v>11.8</v>
      </c>
      <c r="J256" s="430">
        <f t="shared" si="65"/>
        <v>0.15000000000000013</v>
      </c>
      <c r="K256" s="430">
        <f t="shared" si="65"/>
        <v>0</v>
      </c>
      <c r="L256" s="430">
        <f t="shared" si="65"/>
        <v>0</v>
      </c>
      <c r="M256" s="430">
        <f t="shared" si="65"/>
        <v>0</v>
      </c>
      <c r="N256" s="430">
        <f t="shared" si="65"/>
        <v>0</v>
      </c>
      <c r="O256" s="430">
        <f t="shared" si="65"/>
        <v>0</v>
      </c>
      <c r="P256" s="430">
        <f t="shared" si="65"/>
        <v>0</v>
      </c>
      <c r="Q256" s="430">
        <f t="shared" si="65"/>
        <v>0</v>
      </c>
      <c r="R256" s="430">
        <f t="shared" si="65"/>
        <v>0</v>
      </c>
      <c r="S256" s="430">
        <f t="shared" si="65"/>
        <v>0</v>
      </c>
      <c r="T256" s="430">
        <f t="shared" si="65"/>
        <v>0</v>
      </c>
      <c r="U256" s="430">
        <f t="shared" si="65"/>
        <v>0</v>
      </c>
      <c r="V256" s="430">
        <f t="shared" si="65"/>
        <v>0</v>
      </c>
      <c r="W256" s="430">
        <f>(X255+W255)*(X254-W254)/2</f>
        <v>0</v>
      </c>
      <c r="X256" s="430">
        <f>(Y255+X255)*(Y254-X254)/2</f>
        <v>0</v>
      </c>
      <c r="Y256" s="424"/>
    </row>
    <row r="257" spans="1:25" ht="13.5" thickBot="1" x14ac:dyDescent="0.25">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5" thickBot="1" x14ac:dyDescent="0.25">
      <c r="A258" s="416" t="s">
        <v>276</v>
      </c>
      <c r="B258" s="414">
        <f>ROW(A258)</f>
        <v>258</v>
      </c>
      <c r="C258" s="418" t="s">
        <v>118</v>
      </c>
      <c r="D258" s="408">
        <f>SUM(B261:Y261)</f>
        <v>145.46</v>
      </c>
      <c r="E258" s="418" t="s">
        <v>117</v>
      </c>
      <c r="F258" s="409">
        <f>D258/g/J258</f>
        <v>211.82466870540264</v>
      </c>
      <c r="G258" s="418" t="s">
        <v>59</v>
      </c>
      <c r="H258" s="86">
        <v>0.22</v>
      </c>
      <c r="I258" s="418" t="s">
        <v>272</v>
      </c>
      <c r="J258" s="410">
        <f>H258-L258</f>
        <v>7.0000000000000007E-2</v>
      </c>
      <c r="K258" s="418" t="s">
        <v>273</v>
      </c>
      <c r="L258" s="86">
        <v>0.15</v>
      </c>
      <c r="M258" s="418" t="s">
        <v>60</v>
      </c>
      <c r="N258" s="87">
        <v>50</v>
      </c>
      <c r="O258" s="418" t="s">
        <v>62</v>
      </c>
      <c r="P258" s="87">
        <v>55</v>
      </c>
      <c r="Q258" s="418" t="s">
        <v>63</v>
      </c>
      <c r="R258" s="87">
        <v>76</v>
      </c>
      <c r="S258" s="418" t="s">
        <v>64</v>
      </c>
      <c r="T258" s="87">
        <v>40</v>
      </c>
      <c r="U258" s="418" t="s">
        <v>57</v>
      </c>
      <c r="V258" s="88" t="s">
        <v>403</v>
      </c>
      <c r="W258" s="17"/>
      <c r="X258" s="17"/>
      <c r="Y258" s="17"/>
    </row>
    <row r="259" spans="1:25" x14ac:dyDescent="0.2">
      <c r="A259" s="417" t="s">
        <v>33</v>
      </c>
      <c r="B259" s="425">
        <v>0</v>
      </c>
      <c r="C259" s="426">
        <v>0.02</v>
      </c>
      <c r="D259" s="426">
        <v>0.04</v>
      </c>
      <c r="E259" s="426">
        <v>0.05</v>
      </c>
      <c r="F259" s="426">
        <v>0.06</v>
      </c>
      <c r="G259" s="426">
        <v>0.94</v>
      </c>
      <c r="H259" s="432">
        <v>0.94200000000000006</v>
      </c>
      <c r="I259" s="426">
        <v>0.95</v>
      </c>
      <c r="J259" s="426">
        <v>0.95</v>
      </c>
      <c r="K259" s="426">
        <v>0.95</v>
      </c>
      <c r="L259" s="426">
        <v>0.95</v>
      </c>
      <c r="M259" s="426">
        <v>0.95</v>
      </c>
      <c r="N259" s="426">
        <v>0.95</v>
      </c>
      <c r="O259" s="426">
        <v>0.95</v>
      </c>
      <c r="P259" s="426">
        <v>0.95</v>
      </c>
      <c r="Q259" s="426">
        <v>0.95</v>
      </c>
      <c r="R259" s="426">
        <v>0.95</v>
      </c>
      <c r="S259" s="426">
        <v>0.95</v>
      </c>
      <c r="T259" s="426">
        <v>0.95</v>
      </c>
      <c r="U259" s="426">
        <v>0.95</v>
      </c>
      <c r="V259" s="426">
        <v>0.95</v>
      </c>
      <c r="W259" s="426">
        <v>0.95</v>
      </c>
      <c r="X259" s="426">
        <v>2</v>
      </c>
      <c r="Y259" s="437">
        <v>1000</v>
      </c>
    </row>
    <row r="260" spans="1:25" x14ac:dyDescent="0.2">
      <c r="A260" s="434" t="s">
        <v>34</v>
      </c>
      <c r="B260" s="427">
        <v>0</v>
      </c>
      <c r="C260" s="428">
        <v>320</v>
      </c>
      <c r="D260" s="428">
        <v>170</v>
      </c>
      <c r="E260" s="428">
        <v>205</v>
      </c>
      <c r="F260" s="428">
        <v>217</v>
      </c>
      <c r="G260" s="428">
        <v>85</v>
      </c>
      <c r="H260" s="428">
        <v>82</v>
      </c>
      <c r="I260" s="428">
        <v>0</v>
      </c>
      <c r="J260" s="428">
        <v>0</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5" thickBot="1" x14ac:dyDescent="0.25">
      <c r="A261" s="435" t="s">
        <v>119</v>
      </c>
      <c r="B261" s="429">
        <f t="shared" ref="B261:H261" si="66">(C260+B260)*(C259-B259)/2</f>
        <v>3.2</v>
      </c>
      <c r="C261" s="430">
        <f t="shared" si="66"/>
        <v>4.9000000000000004</v>
      </c>
      <c r="D261" s="430">
        <f t="shared" si="66"/>
        <v>1.8750000000000004</v>
      </c>
      <c r="E261" s="430">
        <f t="shared" si="66"/>
        <v>2.109999999999999</v>
      </c>
      <c r="F261" s="430">
        <f t="shared" si="66"/>
        <v>132.88</v>
      </c>
      <c r="G261" s="430">
        <f t="shared" si="66"/>
        <v>0.16700000000000942</v>
      </c>
      <c r="H261" s="430">
        <f t="shared" si="66"/>
        <v>0.32799999999999574</v>
      </c>
      <c r="I261" s="430">
        <f t="shared" ref="I261:V261" si="67">(J260+I260)*(J259-I259)/2</f>
        <v>0</v>
      </c>
      <c r="J261" s="430">
        <f>(K260+J260)*(K259-J259)/2</f>
        <v>0</v>
      </c>
      <c r="K261" s="430">
        <f t="shared" si="67"/>
        <v>0</v>
      </c>
      <c r="L261" s="430">
        <f t="shared" si="67"/>
        <v>0</v>
      </c>
      <c r="M261" s="430">
        <f t="shared" si="67"/>
        <v>0</v>
      </c>
      <c r="N261" s="430">
        <f t="shared" si="67"/>
        <v>0</v>
      </c>
      <c r="O261" s="430">
        <f t="shared" si="67"/>
        <v>0</v>
      </c>
      <c r="P261" s="430">
        <f t="shared" si="67"/>
        <v>0</v>
      </c>
      <c r="Q261" s="430">
        <f t="shared" si="67"/>
        <v>0</v>
      </c>
      <c r="R261" s="430">
        <f t="shared" si="67"/>
        <v>0</v>
      </c>
      <c r="S261" s="430">
        <f>(T260+S260)*(T259-S259)/2</f>
        <v>0</v>
      </c>
      <c r="T261" s="430">
        <f t="shared" si="67"/>
        <v>0</v>
      </c>
      <c r="U261" s="430">
        <f t="shared" si="67"/>
        <v>0</v>
      </c>
      <c r="V261" s="430">
        <f t="shared" si="67"/>
        <v>0</v>
      </c>
      <c r="W261" s="430">
        <f>(X260+W260)*(X259-W259)/2</f>
        <v>0</v>
      </c>
      <c r="X261" s="430">
        <f>(Y260+X260)*(Y259-X259)/2</f>
        <v>0</v>
      </c>
      <c r="Y261" s="424"/>
    </row>
    <row r="262" spans="1:25" x14ac:dyDescent="0.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5" thickBot="1" x14ac:dyDescent="0.25">
      <c r="A263" s="492" t="s">
        <v>314</v>
      </c>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row>
    <row r="264" spans="1:25" ht="13.5" thickBot="1" x14ac:dyDescent="0.25">
      <c r="A264" s="416" t="s">
        <v>35</v>
      </c>
      <c r="B264" s="414">
        <f>ROW(A264)</f>
        <v>264</v>
      </c>
      <c r="C264" s="418" t="s">
        <v>118</v>
      </c>
      <c r="D264" s="408">
        <f>SUM(B267:Y267)</f>
        <v>1071.5999999999999</v>
      </c>
      <c r="E264" s="418" t="s">
        <v>117</v>
      </c>
      <c r="F264" s="409">
        <f>D264/g/J264</f>
        <v>163.03802090465106</v>
      </c>
      <c r="G264" s="418" t="s">
        <v>59</v>
      </c>
      <c r="H264" s="86">
        <v>2.02</v>
      </c>
      <c r="I264" s="418" t="s">
        <v>272</v>
      </c>
      <c r="J264" s="410">
        <f>H264-L264</f>
        <v>0.66999999999999993</v>
      </c>
      <c r="K264" s="418" t="s">
        <v>273</v>
      </c>
      <c r="L264" s="86">
        <v>1.35</v>
      </c>
      <c r="M264" s="418" t="s">
        <v>60</v>
      </c>
      <c r="N264" s="87">
        <v>154</v>
      </c>
      <c r="O264" s="418" t="s">
        <v>62</v>
      </c>
      <c r="P264" s="87">
        <v>168</v>
      </c>
      <c r="Q264" s="418" t="s">
        <v>63</v>
      </c>
      <c r="R264" s="87">
        <v>230</v>
      </c>
      <c r="S264" s="418" t="s">
        <v>64</v>
      </c>
      <c r="T264" s="87">
        <v>67</v>
      </c>
      <c r="U264" s="418" t="s">
        <v>57</v>
      </c>
      <c r="V264" s="88" t="s">
        <v>121</v>
      </c>
      <c r="W264" s="17"/>
      <c r="X264" s="17"/>
      <c r="Y264" s="17"/>
    </row>
    <row r="265" spans="1:25" x14ac:dyDescent="0.2">
      <c r="A265" s="417" t="s">
        <v>33</v>
      </c>
      <c r="B265" s="425">
        <v>0</v>
      </c>
      <c r="C265" s="426">
        <v>0.02</v>
      </c>
      <c r="D265" s="426">
        <v>0.05</v>
      </c>
      <c r="E265" s="426">
        <v>0.06</v>
      </c>
      <c r="F265" s="426">
        <v>0.09</v>
      </c>
      <c r="G265" s="426">
        <v>0.17</v>
      </c>
      <c r="H265" s="426">
        <v>0.2</v>
      </c>
      <c r="I265" s="426">
        <v>0.38</v>
      </c>
      <c r="J265" s="426">
        <v>0.75</v>
      </c>
      <c r="K265" s="426">
        <v>0.79</v>
      </c>
      <c r="L265" s="426">
        <v>1.1299999999999999</v>
      </c>
      <c r="M265" s="426">
        <v>1.2</v>
      </c>
      <c r="N265" s="426">
        <v>1.5</v>
      </c>
      <c r="O265" s="426">
        <v>1.54</v>
      </c>
      <c r="P265" s="426">
        <v>1.65</v>
      </c>
      <c r="Q265" s="426">
        <v>1.7</v>
      </c>
      <c r="R265" s="426">
        <v>1.79</v>
      </c>
      <c r="S265" s="426">
        <v>1.79</v>
      </c>
      <c r="T265" s="426">
        <v>1.79</v>
      </c>
      <c r="U265" s="426">
        <v>1.79</v>
      </c>
      <c r="V265" s="426">
        <v>1.79</v>
      </c>
      <c r="W265" s="426">
        <v>1.79</v>
      </c>
      <c r="X265" s="426">
        <v>1.79</v>
      </c>
      <c r="Y265" s="437">
        <v>1000</v>
      </c>
    </row>
    <row r="266" spans="1:25" x14ac:dyDescent="0.2">
      <c r="A266" s="434" t="s">
        <v>34</v>
      </c>
      <c r="B266" s="427">
        <v>0</v>
      </c>
      <c r="C266" s="428">
        <v>20</v>
      </c>
      <c r="D266" s="428">
        <v>870</v>
      </c>
      <c r="E266" s="428">
        <v>530</v>
      </c>
      <c r="F266" s="428">
        <v>790</v>
      </c>
      <c r="G266" s="428">
        <v>700</v>
      </c>
      <c r="H266" s="428">
        <v>710</v>
      </c>
      <c r="I266" s="428">
        <v>670</v>
      </c>
      <c r="J266" s="428">
        <v>630</v>
      </c>
      <c r="K266" s="428">
        <v>630</v>
      </c>
      <c r="L266" s="433">
        <v>710</v>
      </c>
      <c r="M266" s="433">
        <v>690</v>
      </c>
      <c r="N266" s="433">
        <v>690</v>
      </c>
      <c r="O266" s="433">
        <v>660</v>
      </c>
      <c r="P266" s="433">
        <v>160</v>
      </c>
      <c r="Q266" s="433">
        <v>10</v>
      </c>
      <c r="R266" s="433">
        <v>0</v>
      </c>
      <c r="S266" s="433">
        <v>0</v>
      </c>
      <c r="T266" s="433">
        <v>0</v>
      </c>
      <c r="U266" s="433">
        <v>0</v>
      </c>
      <c r="V266" s="433">
        <v>0</v>
      </c>
      <c r="W266" s="433">
        <v>0</v>
      </c>
      <c r="X266" s="433">
        <v>0</v>
      </c>
      <c r="Y266" s="439">
        <v>0</v>
      </c>
    </row>
    <row r="267" spans="1:25" ht="13.5" thickBot="1" x14ac:dyDescent="0.25">
      <c r="A267" s="435" t="s">
        <v>119</v>
      </c>
      <c r="B267" s="429">
        <f t="shared" ref="B267:Q267" si="68">(C266+B266)*(C265-B265)/2</f>
        <v>0.2</v>
      </c>
      <c r="C267" s="430">
        <f t="shared" si="68"/>
        <v>13.350000000000001</v>
      </c>
      <c r="D267" s="430">
        <f t="shared" si="68"/>
        <v>6.9999999999999964</v>
      </c>
      <c r="E267" s="430">
        <f t="shared" si="68"/>
        <v>19.8</v>
      </c>
      <c r="F267" s="430">
        <f t="shared" si="68"/>
        <v>59.600000000000009</v>
      </c>
      <c r="G267" s="430">
        <f t="shared" si="68"/>
        <v>21.15</v>
      </c>
      <c r="H267" s="430">
        <f t="shared" si="68"/>
        <v>124.19999999999999</v>
      </c>
      <c r="I267" s="430">
        <f t="shared" si="68"/>
        <v>240.5</v>
      </c>
      <c r="J267" s="430">
        <f>(K266+J266)*(K265-J265)/2</f>
        <v>25.200000000000024</v>
      </c>
      <c r="K267" s="430">
        <f t="shared" si="68"/>
        <v>227.7999999999999</v>
      </c>
      <c r="L267" s="430">
        <f t="shared" si="68"/>
        <v>49.000000000000043</v>
      </c>
      <c r="M267" s="430">
        <f t="shared" si="68"/>
        <v>207.00000000000003</v>
      </c>
      <c r="N267" s="430">
        <f t="shared" si="68"/>
        <v>27.000000000000025</v>
      </c>
      <c r="O267" s="430">
        <f t="shared" si="68"/>
        <v>45.099999999999952</v>
      </c>
      <c r="P267" s="430">
        <f t="shared" si="68"/>
        <v>4.2500000000000036</v>
      </c>
      <c r="Q267" s="430">
        <f t="shared" si="68"/>
        <v>0.4500000000000004</v>
      </c>
      <c r="R267" s="430">
        <f t="shared" ref="R267:X267" si="69">(S266+R266)*(S265-R265)/2</f>
        <v>0</v>
      </c>
      <c r="S267" s="430">
        <f t="shared" si="69"/>
        <v>0</v>
      </c>
      <c r="T267" s="430">
        <f t="shared" si="69"/>
        <v>0</v>
      </c>
      <c r="U267" s="430">
        <f t="shared" si="69"/>
        <v>0</v>
      </c>
      <c r="V267" s="430">
        <f t="shared" si="69"/>
        <v>0</v>
      </c>
      <c r="W267" s="430">
        <f t="shared" si="69"/>
        <v>0</v>
      </c>
      <c r="X267" s="430">
        <f t="shared" si="69"/>
        <v>0</v>
      </c>
      <c r="Y267" s="440"/>
    </row>
    <row r="268" spans="1:25" ht="13.5" thickBot="1" x14ac:dyDescent="0.25">
      <c r="S268" s="17"/>
      <c r="T268" s="17"/>
      <c r="U268" s="17"/>
      <c r="V268" s="17"/>
      <c r="W268" s="112"/>
      <c r="X268" s="112"/>
      <c r="Y268" s="17"/>
    </row>
    <row r="269" spans="1:25" ht="13.5" thickBot="1" x14ac:dyDescent="0.25">
      <c r="A269" s="416" t="s">
        <v>36</v>
      </c>
      <c r="B269" s="414">
        <f>ROW(A269)</f>
        <v>269</v>
      </c>
      <c r="C269" s="418" t="s">
        <v>118</v>
      </c>
      <c r="D269" s="408">
        <f>SUM(B272:Y272)</f>
        <v>2102.35</v>
      </c>
      <c r="E269" s="418" t="s">
        <v>117</v>
      </c>
      <c r="F269" s="409">
        <f>D269/g/J269</f>
        <v>174.23319493133766</v>
      </c>
      <c r="G269" s="418" t="s">
        <v>59</v>
      </c>
      <c r="H269" s="86">
        <v>3.7</v>
      </c>
      <c r="I269" s="418" t="s">
        <v>272</v>
      </c>
      <c r="J269" s="410">
        <f>H269-L269</f>
        <v>1.23</v>
      </c>
      <c r="K269" s="418" t="s">
        <v>273</v>
      </c>
      <c r="L269" s="86">
        <v>2.4700000000000002</v>
      </c>
      <c r="M269" s="418" t="s">
        <v>60</v>
      </c>
      <c r="N269" s="87">
        <v>151</v>
      </c>
      <c r="O269" s="418" t="s">
        <v>62</v>
      </c>
      <c r="P269" s="87">
        <v>171</v>
      </c>
      <c r="Q269" s="418" t="s">
        <v>63</v>
      </c>
      <c r="R269" s="87">
        <v>247</v>
      </c>
      <c r="S269" s="418" t="s">
        <v>64</v>
      </c>
      <c r="T269" s="87">
        <v>90</v>
      </c>
      <c r="U269" s="418" t="s">
        <v>57</v>
      </c>
      <c r="V269" s="88" t="s">
        <v>121</v>
      </c>
      <c r="W269" s="17"/>
      <c r="X269" s="17"/>
      <c r="Y269" s="17"/>
    </row>
    <row r="270" spans="1:25" x14ac:dyDescent="0.2">
      <c r="A270" s="417" t="s">
        <v>33</v>
      </c>
      <c r="B270" s="425">
        <v>0</v>
      </c>
      <c r="C270" s="426">
        <v>0.05</v>
      </c>
      <c r="D270" s="426">
        <v>0.1</v>
      </c>
      <c r="E270" s="426">
        <v>1</v>
      </c>
      <c r="F270" s="426">
        <v>1.35</v>
      </c>
      <c r="G270" s="426">
        <v>1.75</v>
      </c>
      <c r="H270" s="426">
        <v>2.15</v>
      </c>
      <c r="I270" s="426">
        <v>2.25</v>
      </c>
      <c r="J270" s="426">
        <v>2.48</v>
      </c>
      <c r="K270" s="426">
        <v>2.6</v>
      </c>
      <c r="L270" s="426">
        <v>2.8</v>
      </c>
      <c r="M270" s="426">
        <v>2.8</v>
      </c>
      <c r="N270" s="426">
        <v>2.8</v>
      </c>
      <c r="O270" s="426">
        <v>2.8</v>
      </c>
      <c r="P270" s="426">
        <v>2.8</v>
      </c>
      <c r="Q270" s="426">
        <v>2.8</v>
      </c>
      <c r="R270" s="426">
        <v>2.8</v>
      </c>
      <c r="S270" s="426">
        <v>2.8</v>
      </c>
      <c r="T270" s="426">
        <v>2.8</v>
      </c>
      <c r="U270" s="426">
        <v>2.8</v>
      </c>
      <c r="V270" s="426">
        <v>2.8</v>
      </c>
      <c r="W270" s="426">
        <v>2.8</v>
      </c>
      <c r="X270" s="426">
        <v>2.8</v>
      </c>
      <c r="Y270" s="437">
        <v>1000</v>
      </c>
    </row>
    <row r="271" spans="1:25" x14ac:dyDescent="0.2">
      <c r="A271" s="434" t="s">
        <v>34</v>
      </c>
      <c r="B271" s="427">
        <v>0</v>
      </c>
      <c r="C271" s="428">
        <v>860</v>
      </c>
      <c r="D271" s="428">
        <v>840</v>
      </c>
      <c r="E271" s="428">
        <v>840</v>
      </c>
      <c r="F271" s="428">
        <v>850</v>
      </c>
      <c r="G271" s="428">
        <v>900</v>
      </c>
      <c r="H271" s="428">
        <v>1050</v>
      </c>
      <c r="I271" s="428">
        <v>1020</v>
      </c>
      <c r="J271" s="428">
        <v>120</v>
      </c>
      <c r="K271" s="428">
        <v>30</v>
      </c>
      <c r="L271" s="428">
        <v>0</v>
      </c>
      <c r="M271" s="428">
        <v>0</v>
      </c>
      <c r="N271" s="428">
        <v>0</v>
      </c>
      <c r="O271" s="428">
        <v>0</v>
      </c>
      <c r="P271" s="428">
        <v>0</v>
      </c>
      <c r="Q271" s="428">
        <v>0</v>
      </c>
      <c r="R271" s="428">
        <v>0</v>
      </c>
      <c r="S271" s="428">
        <v>0</v>
      </c>
      <c r="T271" s="428">
        <v>0</v>
      </c>
      <c r="U271" s="428">
        <v>0</v>
      </c>
      <c r="V271" s="428">
        <v>0</v>
      </c>
      <c r="W271" s="428">
        <v>0</v>
      </c>
      <c r="X271" s="428">
        <v>0</v>
      </c>
      <c r="Y271" s="438">
        <v>0</v>
      </c>
    </row>
    <row r="272" spans="1:25" ht="13.5" thickBot="1" x14ac:dyDescent="0.25">
      <c r="A272" s="435" t="s">
        <v>119</v>
      </c>
      <c r="B272" s="429">
        <f t="shared" ref="B272:K272" si="70">(C271+B271)*(C270-B270)/2</f>
        <v>21.5</v>
      </c>
      <c r="C272" s="430">
        <f t="shared" si="70"/>
        <v>42.5</v>
      </c>
      <c r="D272" s="430">
        <f t="shared" si="70"/>
        <v>756</v>
      </c>
      <c r="E272" s="430">
        <f t="shared" si="70"/>
        <v>295.75000000000006</v>
      </c>
      <c r="F272" s="430">
        <f t="shared" si="70"/>
        <v>349.99999999999994</v>
      </c>
      <c r="G272" s="430">
        <f t="shared" si="70"/>
        <v>389.99999999999989</v>
      </c>
      <c r="H272" s="430">
        <f t="shared" si="70"/>
        <v>103.50000000000009</v>
      </c>
      <c r="I272" s="430">
        <f t="shared" si="70"/>
        <v>131.1</v>
      </c>
      <c r="J272" s="430">
        <f>(K271+J271)*(K270-J270)/2</f>
        <v>9.0000000000000071</v>
      </c>
      <c r="K272" s="430">
        <f t="shared" si="70"/>
        <v>2.999999999999996</v>
      </c>
      <c r="L272" s="430">
        <f t="shared" ref="L272:V272" si="71">(M271+L271)*(M270-L270)/2</f>
        <v>0</v>
      </c>
      <c r="M272" s="430">
        <f t="shared" si="71"/>
        <v>0</v>
      </c>
      <c r="N272" s="430">
        <f t="shared" si="71"/>
        <v>0</v>
      </c>
      <c r="O272" s="430">
        <f t="shared" si="71"/>
        <v>0</v>
      </c>
      <c r="P272" s="430">
        <f t="shared" si="71"/>
        <v>0</v>
      </c>
      <c r="Q272" s="430">
        <f t="shared" si="71"/>
        <v>0</v>
      </c>
      <c r="R272" s="430">
        <f t="shared" si="71"/>
        <v>0</v>
      </c>
      <c r="S272" s="430">
        <f>(T271+S271)*(T270-S270)/2</f>
        <v>0</v>
      </c>
      <c r="T272" s="430">
        <f t="shared" si="71"/>
        <v>0</v>
      </c>
      <c r="U272" s="430">
        <f t="shared" si="71"/>
        <v>0</v>
      </c>
      <c r="V272" s="430">
        <f t="shared" si="71"/>
        <v>0</v>
      </c>
      <c r="W272" s="430">
        <f>(X271+W271)*(X270-W270)/2</f>
        <v>0</v>
      </c>
      <c r="X272" s="430">
        <f>(Y271+X271)*(Y270-X270)/2</f>
        <v>0</v>
      </c>
      <c r="Y272" s="424"/>
    </row>
    <row r="273" spans="1:25" ht="13.5" thickBot="1" x14ac:dyDescent="0.25"/>
    <row r="274" spans="1:25" ht="13.5" thickBot="1" x14ac:dyDescent="0.25">
      <c r="A274" s="416" t="s">
        <v>45</v>
      </c>
      <c r="B274" s="414">
        <f>ROW(A274)</f>
        <v>274</v>
      </c>
      <c r="C274" s="418" t="s">
        <v>118</v>
      </c>
      <c r="D274" s="408">
        <f>SUM(B277:Y277)</f>
        <v>2058.37</v>
      </c>
      <c r="E274" s="418" t="s">
        <v>117</v>
      </c>
      <c r="F274" s="409">
        <f>D274/g/J274</f>
        <v>203.12066731598335</v>
      </c>
      <c r="G274" s="418" t="s">
        <v>59</v>
      </c>
      <c r="H274" s="86">
        <v>1.6850000000000001</v>
      </c>
      <c r="I274" s="418" t="s">
        <v>272</v>
      </c>
      <c r="J274" s="410">
        <f>H274-L274</f>
        <v>1.0329999999999999</v>
      </c>
      <c r="K274" s="418" t="s">
        <v>273</v>
      </c>
      <c r="L274" s="86">
        <v>0.65200000000000002</v>
      </c>
      <c r="M274" s="418" t="s">
        <v>60</v>
      </c>
      <c r="N274" s="87">
        <v>250</v>
      </c>
      <c r="O274" s="418" t="s">
        <v>62</v>
      </c>
      <c r="P274" s="87">
        <v>240</v>
      </c>
      <c r="Q274" s="418" t="s">
        <v>63</v>
      </c>
      <c r="R274" s="87">
        <v>488</v>
      </c>
      <c r="S274" s="418" t="s">
        <v>64</v>
      </c>
      <c r="T274" s="87">
        <v>54</v>
      </c>
      <c r="U274" s="418" t="s">
        <v>57</v>
      </c>
      <c r="V274" s="88" t="s">
        <v>121</v>
      </c>
      <c r="W274" s="17"/>
      <c r="X274" s="17"/>
      <c r="Y274" s="17"/>
    </row>
    <row r="275" spans="1:25" x14ac:dyDescent="0.2">
      <c r="A275" s="417" t="s">
        <v>33</v>
      </c>
      <c r="B275" s="425">
        <v>0</v>
      </c>
      <c r="C275" s="426">
        <v>0.05</v>
      </c>
      <c r="D275" s="426">
        <v>0.5</v>
      </c>
      <c r="E275" s="426">
        <v>1</v>
      </c>
      <c r="F275" s="426">
        <v>1.5</v>
      </c>
      <c r="G275" s="426">
        <v>2</v>
      </c>
      <c r="H275" s="426">
        <v>2.5</v>
      </c>
      <c r="I275" s="426">
        <v>2.97</v>
      </c>
      <c r="J275" s="426">
        <v>3.2</v>
      </c>
      <c r="K275" s="426">
        <v>3.47</v>
      </c>
      <c r="L275" s="426">
        <v>3.59</v>
      </c>
      <c r="M275" s="426">
        <v>3.59</v>
      </c>
      <c r="N275" s="426">
        <v>3.59</v>
      </c>
      <c r="O275" s="426">
        <v>3.59</v>
      </c>
      <c r="P275" s="426">
        <v>3.59</v>
      </c>
      <c r="Q275" s="426">
        <v>3.59</v>
      </c>
      <c r="R275" s="426">
        <v>3.59</v>
      </c>
      <c r="S275" s="426">
        <v>3.59</v>
      </c>
      <c r="T275" s="426">
        <v>3.59</v>
      </c>
      <c r="U275" s="426">
        <v>3.59</v>
      </c>
      <c r="V275" s="426">
        <v>3.59</v>
      </c>
      <c r="W275" s="426">
        <v>3.59</v>
      </c>
      <c r="X275" s="426">
        <v>3.59</v>
      </c>
      <c r="Y275" s="437">
        <v>1000</v>
      </c>
    </row>
    <row r="276" spans="1:25" x14ac:dyDescent="0.2">
      <c r="A276" s="434" t="s">
        <v>34</v>
      </c>
      <c r="B276" s="427">
        <v>0</v>
      </c>
      <c r="C276" s="428">
        <v>893</v>
      </c>
      <c r="D276" s="428">
        <v>798</v>
      </c>
      <c r="E276" s="428">
        <v>739</v>
      </c>
      <c r="F276" s="428">
        <v>659</v>
      </c>
      <c r="G276" s="428">
        <v>586</v>
      </c>
      <c r="H276" s="428">
        <v>513</v>
      </c>
      <c r="I276" s="428">
        <v>417</v>
      </c>
      <c r="J276" s="428">
        <v>225</v>
      </c>
      <c r="K276" s="428">
        <v>67</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5" thickBot="1" x14ac:dyDescent="0.25">
      <c r="A277" s="436" t="s">
        <v>119</v>
      </c>
      <c r="B277" s="429">
        <f t="shared" ref="B277:V277" si="72">(C276+B276)*(C275-B275)/2</f>
        <v>22.325000000000003</v>
      </c>
      <c r="C277" s="430">
        <f t="shared" si="72"/>
        <v>380.47500000000002</v>
      </c>
      <c r="D277" s="430">
        <f t="shared" si="72"/>
        <v>384.25</v>
      </c>
      <c r="E277" s="430">
        <f t="shared" si="72"/>
        <v>349.5</v>
      </c>
      <c r="F277" s="430">
        <f t="shared" si="72"/>
        <v>311.25</v>
      </c>
      <c r="G277" s="430">
        <f t="shared" si="72"/>
        <v>274.75</v>
      </c>
      <c r="H277" s="430">
        <f t="shared" si="72"/>
        <v>218.5500000000001</v>
      </c>
      <c r="I277" s="430">
        <f t="shared" si="72"/>
        <v>73.83</v>
      </c>
      <c r="J277" s="430">
        <f>(K276+J276)*(K275-J275)/2</f>
        <v>39.42</v>
      </c>
      <c r="K277" s="430">
        <f t="shared" si="72"/>
        <v>4.0199999999999889</v>
      </c>
      <c r="L277" s="430">
        <f t="shared" si="72"/>
        <v>0</v>
      </c>
      <c r="M277" s="430">
        <f t="shared" si="72"/>
        <v>0</v>
      </c>
      <c r="N277" s="430">
        <f t="shared" si="72"/>
        <v>0</v>
      </c>
      <c r="O277" s="430">
        <f t="shared" si="72"/>
        <v>0</v>
      </c>
      <c r="P277" s="430">
        <f t="shared" si="72"/>
        <v>0</v>
      </c>
      <c r="Q277" s="430">
        <f t="shared" si="72"/>
        <v>0</v>
      </c>
      <c r="R277" s="430">
        <f t="shared" si="72"/>
        <v>0</v>
      </c>
      <c r="S277" s="430">
        <f>(T276+S276)*(T275-S275)/2</f>
        <v>0</v>
      </c>
      <c r="T277" s="430">
        <f t="shared" si="72"/>
        <v>0</v>
      </c>
      <c r="U277" s="430">
        <f t="shared" si="72"/>
        <v>0</v>
      </c>
      <c r="V277" s="430">
        <f t="shared" si="72"/>
        <v>0</v>
      </c>
      <c r="W277" s="430">
        <f>(X276+W276)*(X275-W275)/2</f>
        <v>0</v>
      </c>
      <c r="X277" s="430">
        <f>(Y276+X276)*(Y275-X275)/2</f>
        <v>0</v>
      </c>
      <c r="Y277" s="424"/>
    </row>
    <row r="278" spans="1:25" ht="13.5" thickBot="1" x14ac:dyDescent="0.25">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spans="1:25" ht="13.5" thickBot="1" x14ac:dyDescent="0.25">
      <c r="A279" s="416" t="s">
        <v>37</v>
      </c>
      <c r="B279" s="414">
        <f>ROW(A279)</f>
        <v>279</v>
      </c>
      <c r="C279" s="418" t="s">
        <v>118</v>
      </c>
      <c r="D279" s="408">
        <f>SUM(B282:Y282)</f>
        <v>2486.041999999999</v>
      </c>
      <c r="E279" s="418" t="s">
        <v>117</v>
      </c>
      <c r="F279" s="409">
        <f>D279/g/J279</f>
        <v>199.54264891200521</v>
      </c>
      <c r="G279" s="418" t="s">
        <v>59</v>
      </c>
      <c r="H279" s="86">
        <v>2.59</v>
      </c>
      <c r="I279" s="418" t="s">
        <v>272</v>
      </c>
      <c r="J279" s="410">
        <f>H279-L279</f>
        <v>1.2699999999999998</v>
      </c>
      <c r="K279" s="418" t="s">
        <v>273</v>
      </c>
      <c r="L279" s="86">
        <v>1.32</v>
      </c>
      <c r="M279" s="418" t="s">
        <v>60</v>
      </c>
      <c r="N279" s="87">
        <v>175</v>
      </c>
      <c r="O279" s="418" t="s">
        <v>62</v>
      </c>
      <c r="P279" s="87">
        <v>175</v>
      </c>
      <c r="Q279" s="418" t="s">
        <v>63</v>
      </c>
      <c r="R279" s="87">
        <v>350</v>
      </c>
      <c r="S279" s="418" t="s">
        <v>64</v>
      </c>
      <c r="T279" s="87">
        <v>75</v>
      </c>
      <c r="U279" s="418" t="s">
        <v>57</v>
      </c>
      <c r="V279" s="88" t="s">
        <v>121</v>
      </c>
      <c r="W279" s="17"/>
      <c r="X279" s="17"/>
      <c r="Y279" s="17"/>
    </row>
    <row r="280" spans="1:25" x14ac:dyDescent="0.2">
      <c r="A280" s="417" t="s">
        <v>33</v>
      </c>
      <c r="B280" s="425">
        <v>0</v>
      </c>
      <c r="C280" s="426">
        <v>0.04</v>
      </c>
      <c r="D280" s="426">
        <v>7.0000000000000007E-2</v>
      </c>
      <c r="E280" s="426">
        <v>0.1</v>
      </c>
      <c r="F280" s="426">
        <v>0.21</v>
      </c>
      <c r="G280" s="426">
        <v>0.35</v>
      </c>
      <c r="H280" s="426">
        <v>0.53</v>
      </c>
      <c r="I280" s="426">
        <v>0.82</v>
      </c>
      <c r="J280" s="426">
        <v>1.18</v>
      </c>
      <c r="K280" s="426">
        <v>1.72</v>
      </c>
      <c r="L280" s="426">
        <v>2.15</v>
      </c>
      <c r="M280" s="426">
        <v>2.39</v>
      </c>
      <c r="N280" s="426">
        <v>2.9</v>
      </c>
      <c r="O280" s="426">
        <v>3.07</v>
      </c>
      <c r="P280" s="426">
        <v>3.56</v>
      </c>
      <c r="Q280" s="426">
        <v>3.98</v>
      </c>
      <c r="R280" s="426">
        <v>4.32</v>
      </c>
      <c r="S280" s="426">
        <v>4.4800000000000004</v>
      </c>
      <c r="T280" s="426">
        <v>4.5999999999999996</v>
      </c>
      <c r="U280" s="426">
        <v>4.6500000000000004</v>
      </c>
      <c r="V280" s="426">
        <v>4.8</v>
      </c>
      <c r="W280" s="426">
        <v>4.83</v>
      </c>
      <c r="X280" s="426">
        <v>4.84</v>
      </c>
      <c r="Y280" s="437">
        <v>1000</v>
      </c>
    </row>
    <row r="281" spans="1:25" x14ac:dyDescent="0.2">
      <c r="A281" s="434" t="s">
        <v>34</v>
      </c>
      <c r="B281" s="427">
        <v>0</v>
      </c>
      <c r="C281" s="428">
        <v>394.4</v>
      </c>
      <c r="D281" s="428">
        <v>617.70000000000005</v>
      </c>
      <c r="E281" s="428">
        <v>645.1</v>
      </c>
      <c r="F281" s="428">
        <v>658.2</v>
      </c>
      <c r="G281" s="428">
        <v>669.2</v>
      </c>
      <c r="H281" s="428">
        <v>667.7</v>
      </c>
      <c r="I281" s="428">
        <v>661.6</v>
      </c>
      <c r="J281" s="428">
        <v>626.9</v>
      </c>
      <c r="K281" s="428">
        <v>588.5</v>
      </c>
      <c r="L281" s="428">
        <v>557.70000000000005</v>
      </c>
      <c r="M281" s="428">
        <v>542.29999999999995</v>
      </c>
      <c r="N281" s="428">
        <v>492.9</v>
      </c>
      <c r="O281" s="428">
        <v>470.3</v>
      </c>
      <c r="P281" s="428">
        <v>426.8</v>
      </c>
      <c r="Q281" s="428">
        <v>399</v>
      </c>
      <c r="R281" s="428">
        <v>394</v>
      </c>
      <c r="S281" s="428">
        <v>380.6</v>
      </c>
      <c r="T281" s="428">
        <v>364.2</v>
      </c>
      <c r="U281" s="428">
        <v>290.89999999999998</v>
      </c>
      <c r="V281" s="428">
        <v>91.2</v>
      </c>
      <c r="W281" s="428">
        <v>45.8</v>
      </c>
      <c r="X281" s="428">
        <v>0</v>
      </c>
      <c r="Y281" s="438">
        <v>0</v>
      </c>
    </row>
    <row r="282" spans="1:25" ht="13.5" thickBot="1" x14ac:dyDescent="0.25">
      <c r="A282" s="435" t="s">
        <v>119</v>
      </c>
      <c r="B282" s="429">
        <f t="shared" ref="B282:V282" si="73">(C281+B281)*(C280-B280)/2</f>
        <v>7.8879999999999999</v>
      </c>
      <c r="C282" s="430">
        <f t="shared" si="73"/>
        <v>15.181500000000003</v>
      </c>
      <c r="D282" s="430">
        <f t="shared" si="73"/>
        <v>18.942000000000004</v>
      </c>
      <c r="E282" s="430">
        <f t="shared" si="73"/>
        <v>71.6815</v>
      </c>
      <c r="F282" s="430">
        <f t="shared" si="73"/>
        <v>92.917999999999992</v>
      </c>
      <c r="G282" s="430">
        <f t="shared" si="73"/>
        <v>120.32100000000004</v>
      </c>
      <c r="H282" s="430">
        <f t="shared" si="73"/>
        <v>192.74849999999998</v>
      </c>
      <c r="I282" s="430">
        <f t="shared" si="73"/>
        <v>231.92999999999998</v>
      </c>
      <c r="J282" s="430">
        <f>(K281+J281)*(K280-J280)/2</f>
        <v>328.15800000000007</v>
      </c>
      <c r="K282" s="430">
        <f t="shared" si="73"/>
        <v>246.43299999999996</v>
      </c>
      <c r="L282" s="430">
        <f t="shared" si="73"/>
        <v>132.00000000000011</v>
      </c>
      <c r="M282" s="430">
        <f t="shared" si="73"/>
        <v>263.97599999999983</v>
      </c>
      <c r="N282" s="430">
        <f t="shared" si="73"/>
        <v>81.871999999999971</v>
      </c>
      <c r="O282" s="430">
        <f t="shared" si="73"/>
        <v>219.78950000000009</v>
      </c>
      <c r="P282" s="430">
        <f t="shared" si="73"/>
        <v>173.41799999999995</v>
      </c>
      <c r="Q282" s="430">
        <f t="shared" si="73"/>
        <v>134.81000000000012</v>
      </c>
      <c r="R282" s="430">
        <f t="shared" si="73"/>
        <v>61.96800000000006</v>
      </c>
      <c r="S282" s="430">
        <f>(T281+S281)*(T280-S280)/2</f>
        <v>44.687999999999704</v>
      </c>
      <c r="T282" s="430">
        <f t="shared" si="73"/>
        <v>16.377500000000232</v>
      </c>
      <c r="U282" s="430">
        <f t="shared" si="73"/>
        <v>28.657499999999896</v>
      </c>
      <c r="V282" s="430">
        <f t="shared" si="73"/>
        <v>2.055000000000017</v>
      </c>
      <c r="W282" s="430">
        <f>(X281+W281)*(X280-W280)/2</f>
        <v>0.2289999999999951</v>
      </c>
      <c r="X282" s="430">
        <f>(Y281+X281)*(Y280-X280)/2</f>
        <v>0</v>
      </c>
      <c r="Y282" s="424"/>
    </row>
    <row r="283" spans="1:25" ht="13.5" thickBot="1" x14ac:dyDescent="0.25">
      <c r="A283" s="17"/>
      <c r="L283" s="17"/>
      <c r="M283" s="17"/>
      <c r="N283" s="17"/>
      <c r="O283" s="17"/>
      <c r="P283" s="17"/>
      <c r="Q283" s="17"/>
      <c r="R283" s="17"/>
      <c r="S283" s="17"/>
      <c r="T283" s="17"/>
      <c r="U283" s="17"/>
      <c r="V283" s="17"/>
      <c r="W283" s="17"/>
      <c r="X283" s="17"/>
      <c r="Y283" s="17"/>
    </row>
    <row r="284" spans="1:25" ht="13.5" thickBot="1" x14ac:dyDescent="0.25">
      <c r="A284" s="416" t="s">
        <v>46</v>
      </c>
      <c r="B284" s="414">
        <f>ROW(A284)</f>
        <v>284</v>
      </c>
      <c r="C284" s="418" t="s">
        <v>118</v>
      </c>
      <c r="D284" s="408">
        <f>SUM(B287:Y287)</f>
        <v>3739.0284999999994</v>
      </c>
      <c r="E284" s="418" t="s">
        <v>117</v>
      </c>
      <c r="F284" s="409">
        <f>D284/g/J284</f>
        <v>203.4941790441234</v>
      </c>
      <c r="G284" s="418" t="s">
        <v>59</v>
      </c>
      <c r="H284" s="86">
        <v>3.5110000000000001</v>
      </c>
      <c r="I284" s="418" t="s">
        <v>272</v>
      </c>
      <c r="J284" s="410">
        <f>H284-L284</f>
        <v>1.8730000000000002</v>
      </c>
      <c r="K284" s="418" t="s">
        <v>273</v>
      </c>
      <c r="L284" s="86">
        <v>1.6379999999999999</v>
      </c>
      <c r="M284" s="418" t="s">
        <v>60</v>
      </c>
      <c r="N284" s="87">
        <v>243</v>
      </c>
      <c r="O284" s="418" t="s">
        <v>62</v>
      </c>
      <c r="P284" s="87">
        <v>243</v>
      </c>
      <c r="Q284" s="418" t="s">
        <v>63</v>
      </c>
      <c r="R284" s="87">
        <v>486</v>
      </c>
      <c r="S284" s="418" t="s">
        <v>64</v>
      </c>
      <c r="T284" s="87">
        <v>75</v>
      </c>
      <c r="U284" s="418" t="s">
        <v>57</v>
      </c>
      <c r="V284" s="88" t="s">
        <v>121</v>
      </c>
      <c r="W284" s="17"/>
      <c r="X284" s="17"/>
      <c r="Y284" s="17"/>
    </row>
    <row r="285" spans="1:25" x14ac:dyDescent="0.2">
      <c r="A285" s="417" t="s">
        <v>33</v>
      </c>
      <c r="B285" s="425">
        <v>0</v>
      </c>
      <c r="C285" s="426">
        <v>0.01</v>
      </c>
      <c r="D285" s="426">
        <v>0.1</v>
      </c>
      <c r="E285" s="426">
        <v>0.12</v>
      </c>
      <c r="F285" s="426">
        <v>0.26</v>
      </c>
      <c r="G285" s="426">
        <v>0.71</v>
      </c>
      <c r="H285" s="426">
        <v>1.28</v>
      </c>
      <c r="I285" s="426">
        <v>2.0499999999999998</v>
      </c>
      <c r="J285" s="426">
        <v>2.41</v>
      </c>
      <c r="K285" s="426">
        <v>2.83</v>
      </c>
      <c r="L285" s="426">
        <v>3.25</v>
      </c>
      <c r="M285" s="426">
        <v>3.65</v>
      </c>
      <c r="N285" s="426">
        <v>3.8</v>
      </c>
      <c r="O285" s="426">
        <v>4</v>
      </c>
      <c r="P285" s="426">
        <v>4.0999999999999996</v>
      </c>
      <c r="Q285" s="426">
        <v>4.1900000000000004</v>
      </c>
      <c r="R285" s="426">
        <v>4.3099999999999996</v>
      </c>
      <c r="S285" s="426">
        <v>4.41</v>
      </c>
      <c r="T285" s="426">
        <v>4.5199999999999996</v>
      </c>
      <c r="U285" s="426">
        <v>4.5999999999999996</v>
      </c>
      <c r="V285" s="426">
        <v>4.6500000000000004</v>
      </c>
      <c r="W285" s="426">
        <v>4.67</v>
      </c>
      <c r="X285" s="426">
        <v>4.68</v>
      </c>
      <c r="Y285" s="437">
        <v>1000</v>
      </c>
    </row>
    <row r="286" spans="1:25" x14ac:dyDescent="0.2">
      <c r="A286" s="434" t="s">
        <v>34</v>
      </c>
      <c r="B286" s="427">
        <v>27</v>
      </c>
      <c r="C286" s="428">
        <v>402.4</v>
      </c>
      <c r="D286" s="428">
        <v>1286</v>
      </c>
      <c r="E286" s="428">
        <v>1257</v>
      </c>
      <c r="F286" s="428">
        <v>1042</v>
      </c>
      <c r="G286" s="428">
        <v>1027</v>
      </c>
      <c r="H286" s="428">
        <v>998.4</v>
      </c>
      <c r="I286" s="428">
        <v>901.4</v>
      </c>
      <c r="J286" s="428">
        <v>849.6</v>
      </c>
      <c r="K286" s="428">
        <v>763.5</v>
      </c>
      <c r="L286" s="428">
        <v>707.1</v>
      </c>
      <c r="M286" s="428">
        <v>655.1</v>
      </c>
      <c r="N286" s="428">
        <v>651.70000000000005</v>
      </c>
      <c r="O286" s="428">
        <v>624.1</v>
      </c>
      <c r="P286" s="428">
        <v>601.29999999999995</v>
      </c>
      <c r="Q286" s="428">
        <v>536.20000000000005</v>
      </c>
      <c r="R286" s="428">
        <v>415.7</v>
      </c>
      <c r="S286" s="428">
        <v>270.2</v>
      </c>
      <c r="T286" s="428">
        <v>140.19999999999999</v>
      </c>
      <c r="U286" s="428">
        <v>76.900000000000006</v>
      </c>
      <c r="V286" s="428">
        <v>54.9</v>
      </c>
      <c r="W286" s="428">
        <v>40.200000000000003</v>
      </c>
      <c r="X286" s="428">
        <v>0</v>
      </c>
      <c r="Y286" s="438">
        <v>0</v>
      </c>
    </row>
    <row r="287" spans="1:25" ht="13.5" thickBot="1" x14ac:dyDescent="0.25">
      <c r="A287" s="435" t="s">
        <v>119</v>
      </c>
      <c r="B287" s="429">
        <f t="shared" ref="B287:V287" si="74">(C286+B286)*(C285-B285)/2</f>
        <v>2.1469999999999998</v>
      </c>
      <c r="C287" s="430">
        <f t="shared" si="74"/>
        <v>75.978000000000009</v>
      </c>
      <c r="D287" s="430">
        <f t="shared" si="74"/>
        <v>25.429999999999989</v>
      </c>
      <c r="E287" s="430">
        <f t="shared" si="74"/>
        <v>160.93</v>
      </c>
      <c r="F287" s="430">
        <f t="shared" si="74"/>
        <v>465.52499999999998</v>
      </c>
      <c r="G287" s="430">
        <f t="shared" si="74"/>
        <v>577.23900000000003</v>
      </c>
      <c r="H287" s="430">
        <f t="shared" si="74"/>
        <v>731.42299999999977</v>
      </c>
      <c r="I287" s="430">
        <f t="shared" si="74"/>
        <v>315.18000000000029</v>
      </c>
      <c r="J287" s="430">
        <f>(K286+J286)*(K285-J285)/2</f>
        <v>338.75099999999992</v>
      </c>
      <c r="K287" s="430">
        <f t="shared" si="74"/>
        <v>308.82599999999991</v>
      </c>
      <c r="L287" s="430">
        <f t="shared" si="74"/>
        <v>272.43999999999994</v>
      </c>
      <c r="M287" s="430">
        <f t="shared" si="74"/>
        <v>98.009999999999962</v>
      </c>
      <c r="N287" s="430">
        <f t="shared" si="74"/>
        <v>127.58000000000013</v>
      </c>
      <c r="O287" s="430">
        <f t="shared" si="74"/>
        <v>61.26999999999979</v>
      </c>
      <c r="P287" s="430">
        <f t="shared" si="74"/>
        <v>51.187500000000426</v>
      </c>
      <c r="Q287" s="430">
        <f t="shared" si="74"/>
        <v>57.113999999999635</v>
      </c>
      <c r="R287" s="430">
        <f t="shared" si="74"/>
        <v>34.295000000000179</v>
      </c>
      <c r="S287" s="430">
        <f>(T286+S286)*(T285-S285)/2</f>
        <v>22.571999999999882</v>
      </c>
      <c r="T287" s="430">
        <f t="shared" si="74"/>
        <v>8.6840000000000082</v>
      </c>
      <c r="U287" s="430">
        <f t="shared" si="74"/>
        <v>3.295000000000047</v>
      </c>
      <c r="V287" s="430">
        <f t="shared" si="74"/>
        <v>0.95099999999997964</v>
      </c>
      <c r="W287" s="430">
        <f>(X286+W286)*(X285-W285)/2</f>
        <v>0.20099999999999574</v>
      </c>
      <c r="X287" s="430">
        <f>(Y286+X286)*(Y285-X285)/2</f>
        <v>0</v>
      </c>
      <c r="Y287" s="424"/>
    </row>
    <row r="288" spans="1:25" ht="13.5" thickBot="1" x14ac:dyDescent="0.25">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row>
    <row r="289" spans="1:25" ht="13.5" thickBot="1" x14ac:dyDescent="0.25">
      <c r="A289" s="416" t="s">
        <v>319</v>
      </c>
      <c r="B289" s="414">
        <f>ROW(A289)</f>
        <v>289</v>
      </c>
      <c r="C289" s="418" t="s">
        <v>118</v>
      </c>
      <c r="D289" s="408">
        <f>SUM(B292:Y292)</f>
        <v>5322.2813159999996</v>
      </c>
      <c r="E289" s="418" t="s">
        <v>117</v>
      </c>
      <c r="F289" s="409">
        <f>D289/g/J289</f>
        <v>210.04116210318938</v>
      </c>
      <c r="G289" s="418" t="s">
        <v>59</v>
      </c>
      <c r="H289" s="86">
        <v>4.9770000000000003</v>
      </c>
      <c r="I289" s="418" t="s">
        <v>272</v>
      </c>
      <c r="J289" s="410">
        <f>H289-L289</f>
        <v>2.5830000000000002</v>
      </c>
      <c r="K289" s="418" t="s">
        <v>273</v>
      </c>
      <c r="L289" s="86">
        <v>2.3940000000000001</v>
      </c>
      <c r="M289" s="418" t="s">
        <v>60</v>
      </c>
      <c r="N289" s="87">
        <v>197</v>
      </c>
      <c r="O289" s="418" t="s">
        <v>62</v>
      </c>
      <c r="P289" s="87">
        <v>197</v>
      </c>
      <c r="Q289" s="418" t="s">
        <v>63</v>
      </c>
      <c r="R289" s="87">
        <v>394</v>
      </c>
      <c r="S289" s="418" t="s">
        <v>64</v>
      </c>
      <c r="T289" s="87">
        <v>98</v>
      </c>
      <c r="U289" s="418" t="s">
        <v>57</v>
      </c>
      <c r="V289" s="88" t="s">
        <v>121</v>
      </c>
      <c r="W289" s="17"/>
      <c r="X289" s="17"/>
      <c r="Y289" s="17"/>
    </row>
    <row r="290" spans="1:25" x14ac:dyDescent="0.2">
      <c r="A290" s="417" t="s">
        <v>33</v>
      </c>
      <c r="B290" s="425">
        <v>0</v>
      </c>
      <c r="C290" s="426">
        <v>3.6999999999999998E-2</v>
      </c>
      <c r="D290" s="426">
        <v>0.121</v>
      </c>
      <c r="E290" s="426">
        <v>0.32800000000000001</v>
      </c>
      <c r="F290" s="426">
        <v>1.2989999999999999</v>
      </c>
      <c r="G290" s="426">
        <v>1.5449999999999999</v>
      </c>
      <c r="H290" s="426">
        <v>1.7969999999999999</v>
      </c>
      <c r="I290" s="426">
        <v>1.998</v>
      </c>
      <c r="J290" s="426">
        <v>2.2080000000000002</v>
      </c>
      <c r="K290" s="426">
        <v>2.4620000000000002</v>
      </c>
      <c r="L290" s="426">
        <v>2.782</v>
      </c>
      <c r="M290" s="426">
        <v>3.0859999999999999</v>
      </c>
      <c r="N290" s="426">
        <v>3.2130000000000001</v>
      </c>
      <c r="O290" s="426">
        <v>3.258</v>
      </c>
      <c r="P290" s="426">
        <v>3.3279999999999998</v>
      </c>
      <c r="Q290" s="426">
        <v>3.383</v>
      </c>
      <c r="R290" s="426">
        <v>3.4279999999999999</v>
      </c>
      <c r="S290" s="426">
        <v>3.5</v>
      </c>
      <c r="T290" s="426">
        <v>3.5</v>
      </c>
      <c r="U290" s="426">
        <v>3.5</v>
      </c>
      <c r="V290" s="426">
        <v>3.5</v>
      </c>
      <c r="W290" s="426">
        <v>3.5</v>
      </c>
      <c r="X290" s="426">
        <v>3.5</v>
      </c>
      <c r="Y290" s="437">
        <v>1000</v>
      </c>
    </row>
    <row r="291" spans="1:25" x14ac:dyDescent="0.2">
      <c r="A291" s="434" t="s">
        <v>34</v>
      </c>
      <c r="B291" s="427">
        <v>0</v>
      </c>
      <c r="C291" s="428">
        <v>1474.12</v>
      </c>
      <c r="D291" s="428">
        <v>1436.5</v>
      </c>
      <c r="E291" s="428">
        <v>1523.49</v>
      </c>
      <c r="F291" s="428">
        <v>1775.06</v>
      </c>
      <c r="G291" s="428">
        <v>1807.97</v>
      </c>
      <c r="H291" s="428">
        <v>1807.97</v>
      </c>
      <c r="I291" s="428">
        <v>1786.81</v>
      </c>
      <c r="J291" s="428">
        <v>1737.44</v>
      </c>
      <c r="K291" s="428">
        <v>1572.86</v>
      </c>
      <c r="L291" s="428">
        <v>1415.34</v>
      </c>
      <c r="M291" s="428">
        <v>1309.55</v>
      </c>
      <c r="N291" s="428">
        <v>1290.74</v>
      </c>
      <c r="O291" s="428">
        <v>1309.55</v>
      </c>
      <c r="P291" s="428">
        <v>679.45899999999995</v>
      </c>
      <c r="Q291" s="428">
        <v>173.97900000000001</v>
      </c>
      <c r="R291" s="428">
        <v>68.180999999999997</v>
      </c>
      <c r="S291" s="428">
        <v>0</v>
      </c>
      <c r="T291" s="428">
        <v>0</v>
      </c>
      <c r="U291" s="428">
        <v>0</v>
      </c>
      <c r="V291" s="428">
        <v>0</v>
      </c>
      <c r="W291" s="428">
        <v>0</v>
      </c>
      <c r="X291" s="428">
        <v>0</v>
      </c>
      <c r="Y291" s="438">
        <v>0</v>
      </c>
    </row>
    <row r="292" spans="1:25" ht="13.5" thickBot="1" x14ac:dyDescent="0.25">
      <c r="A292" s="435" t="s">
        <v>119</v>
      </c>
      <c r="B292" s="429">
        <f t="shared" ref="B292:X292" si="75">(C291+B291)*(C290-B290)/2</f>
        <v>27.271219999999996</v>
      </c>
      <c r="C292" s="430">
        <f t="shared" si="75"/>
        <v>122.24603999999998</v>
      </c>
      <c r="D292" s="430">
        <f t="shared" si="75"/>
        <v>306.35896500000001</v>
      </c>
      <c r="E292" s="430">
        <f t="shared" si="75"/>
        <v>1601.446025</v>
      </c>
      <c r="F292" s="430">
        <f t="shared" si="75"/>
        <v>440.71268999999995</v>
      </c>
      <c r="G292" s="430">
        <f t="shared" si="75"/>
        <v>455.60844000000003</v>
      </c>
      <c r="H292" s="430">
        <f t="shared" si="75"/>
        <v>361.27539000000007</v>
      </c>
      <c r="I292" s="430">
        <f t="shared" si="75"/>
        <v>370.04625000000033</v>
      </c>
      <c r="J292" s="430">
        <f t="shared" si="75"/>
        <v>420.40810000000005</v>
      </c>
      <c r="K292" s="430">
        <f t="shared" si="75"/>
        <v>478.11199999999974</v>
      </c>
      <c r="L292" s="430">
        <f t="shared" si="75"/>
        <v>414.18327999999974</v>
      </c>
      <c r="M292" s="430">
        <f t="shared" si="75"/>
        <v>165.11841500000028</v>
      </c>
      <c r="N292" s="430">
        <f t="shared" si="75"/>
        <v>58.506524999999904</v>
      </c>
      <c r="O292" s="430">
        <f t="shared" si="75"/>
        <v>69.615314999999839</v>
      </c>
      <c r="P292" s="430">
        <f t="shared" si="75"/>
        <v>23.469545000000068</v>
      </c>
      <c r="Q292" s="430">
        <f t="shared" si="75"/>
        <v>5.4485999999999919</v>
      </c>
      <c r="R292" s="430">
        <f t="shared" si="75"/>
        <v>2.4545160000000021</v>
      </c>
      <c r="S292" s="430">
        <f t="shared" si="75"/>
        <v>0</v>
      </c>
      <c r="T292" s="430">
        <f t="shared" si="75"/>
        <v>0</v>
      </c>
      <c r="U292" s="430">
        <f t="shared" si="75"/>
        <v>0</v>
      </c>
      <c r="V292" s="430">
        <f t="shared" si="75"/>
        <v>0</v>
      </c>
      <c r="W292" s="430">
        <f t="shared" si="75"/>
        <v>0</v>
      </c>
      <c r="X292" s="430">
        <f t="shared" si="75"/>
        <v>0</v>
      </c>
      <c r="Y292" s="424"/>
    </row>
    <row r="293" spans="1:25" ht="13.5" thickBot="1" x14ac:dyDescent="0.25">
      <c r="A293" s="17"/>
      <c r="L293" s="17"/>
      <c r="M293" s="17"/>
      <c r="N293" s="17"/>
      <c r="O293" s="17"/>
      <c r="P293" s="17"/>
      <c r="Q293" s="17"/>
      <c r="R293" s="17"/>
      <c r="S293" s="17"/>
      <c r="T293" s="17"/>
      <c r="U293" s="17"/>
      <c r="V293" s="17"/>
      <c r="W293" s="17"/>
      <c r="X293" s="17"/>
      <c r="Y293" s="17"/>
    </row>
    <row r="294" spans="1:25" ht="13.5" thickBot="1" x14ac:dyDescent="0.25">
      <c r="A294" s="416" t="s">
        <v>320</v>
      </c>
      <c r="B294" s="414">
        <f>ROW(A294)</f>
        <v>294</v>
      </c>
      <c r="C294" s="418" t="s">
        <v>118</v>
      </c>
      <c r="D294" s="408">
        <f>SUM(B297:Y297)</f>
        <v>7412.4371409999985</v>
      </c>
      <c r="E294" s="418" t="s">
        <v>117</v>
      </c>
      <c r="F294" s="409">
        <f>D294/g/J294</f>
        <v>223.28608637999045</v>
      </c>
      <c r="G294" s="418" t="s">
        <v>59</v>
      </c>
      <c r="H294" s="86">
        <v>6.25</v>
      </c>
      <c r="I294" s="418" t="s">
        <v>272</v>
      </c>
      <c r="J294" s="410">
        <f>H294-L294</f>
        <v>3.3839999999999999</v>
      </c>
      <c r="K294" s="418" t="s">
        <v>273</v>
      </c>
      <c r="L294" s="86">
        <v>2.8660000000000001</v>
      </c>
      <c r="M294" s="418" t="s">
        <v>60</v>
      </c>
      <c r="N294" s="87">
        <v>290</v>
      </c>
      <c r="O294" s="418" t="s">
        <v>62</v>
      </c>
      <c r="P294" s="87">
        <v>290</v>
      </c>
      <c r="Q294" s="418" t="s">
        <v>63</v>
      </c>
      <c r="R294" s="87">
        <v>579</v>
      </c>
      <c r="S294" s="418" t="s">
        <v>64</v>
      </c>
      <c r="T294" s="87">
        <v>98</v>
      </c>
      <c r="U294" s="418" t="s">
        <v>57</v>
      </c>
      <c r="V294" s="88" t="s">
        <v>121</v>
      </c>
      <c r="W294" s="17"/>
      <c r="X294" s="17"/>
      <c r="Y294" s="17"/>
    </row>
    <row r="295" spans="1:25" x14ac:dyDescent="0.2">
      <c r="A295" s="417" t="s">
        <v>33</v>
      </c>
      <c r="B295" s="425">
        <v>0</v>
      </c>
      <c r="C295" s="426">
        <v>1.7000000000000001E-2</v>
      </c>
      <c r="D295" s="426">
        <v>5.1999999999999998E-2</v>
      </c>
      <c r="E295" s="426">
        <v>8.7999999999999995E-2</v>
      </c>
      <c r="F295" s="426">
        <v>0.108</v>
      </c>
      <c r="G295" s="426">
        <v>0.127</v>
      </c>
      <c r="H295" s="426">
        <v>0.17399999999999999</v>
      </c>
      <c r="I295" s="426">
        <v>0.25700000000000001</v>
      </c>
      <c r="J295" s="426">
        <v>0.40300000000000002</v>
      </c>
      <c r="K295" s="426">
        <v>0.76200000000000001</v>
      </c>
      <c r="L295" s="426">
        <v>0.97699999999999998</v>
      </c>
      <c r="M295" s="426">
        <v>1.341</v>
      </c>
      <c r="N295" s="426">
        <v>1.5009999999999999</v>
      </c>
      <c r="O295" s="426">
        <v>1.661</v>
      </c>
      <c r="P295" s="426">
        <v>1.96</v>
      </c>
      <c r="Q295" s="426">
        <v>2.4039999999999999</v>
      </c>
      <c r="R295" s="426">
        <v>2.641</v>
      </c>
      <c r="S295" s="426">
        <v>2.7160000000000002</v>
      </c>
      <c r="T295" s="426">
        <v>2.8210000000000002</v>
      </c>
      <c r="U295" s="426">
        <v>2.8919999999999999</v>
      </c>
      <c r="V295" s="426">
        <v>2.92</v>
      </c>
      <c r="W295" s="426">
        <v>2.97</v>
      </c>
      <c r="X295" s="426">
        <v>3</v>
      </c>
      <c r="Y295" s="437">
        <v>1000</v>
      </c>
    </row>
    <row r="296" spans="1:25" x14ac:dyDescent="0.2">
      <c r="A296" s="434" t="s">
        <v>34</v>
      </c>
      <c r="B296" s="427">
        <v>0</v>
      </c>
      <c r="C296" s="428">
        <v>329.84699999999998</v>
      </c>
      <c r="D296" s="428">
        <v>1003.68</v>
      </c>
      <c r="E296" s="428">
        <v>2346.62</v>
      </c>
      <c r="F296" s="428">
        <v>2549.2399999999998</v>
      </c>
      <c r="G296" s="428">
        <v>2605.79</v>
      </c>
      <c r="H296" s="428">
        <v>2520.9699999999998</v>
      </c>
      <c r="I296" s="428">
        <v>2516.2600000000002</v>
      </c>
      <c r="J296" s="428">
        <v>2596.37</v>
      </c>
      <c r="K296" s="428">
        <v>2808.41</v>
      </c>
      <c r="L296" s="428">
        <v>2954.49</v>
      </c>
      <c r="M296" s="428">
        <v>2959.2</v>
      </c>
      <c r="N296" s="428">
        <v>2907.36</v>
      </c>
      <c r="O296" s="428">
        <v>2869.67</v>
      </c>
      <c r="P296" s="428">
        <v>2695.32</v>
      </c>
      <c r="Q296" s="428">
        <v>2351.34</v>
      </c>
      <c r="R296" s="428">
        <v>2228.8200000000002</v>
      </c>
      <c r="S296" s="428">
        <v>2007.35</v>
      </c>
      <c r="T296" s="428">
        <v>1427.77</v>
      </c>
      <c r="U296" s="428">
        <v>504.19400000000002</v>
      </c>
      <c r="V296" s="428">
        <v>334.55900000000003</v>
      </c>
      <c r="W296" s="428">
        <v>122.515</v>
      </c>
      <c r="X296" s="428">
        <v>0</v>
      </c>
      <c r="Y296" s="438">
        <v>0</v>
      </c>
    </row>
    <row r="297" spans="1:25" ht="13.5" thickBot="1" x14ac:dyDescent="0.25">
      <c r="A297" s="435" t="s">
        <v>119</v>
      </c>
      <c r="B297" s="429">
        <f t="shared" ref="B297:X297" si="76">(C296+B296)*(C295-B295)/2</f>
        <v>2.8036995</v>
      </c>
      <c r="C297" s="430">
        <f t="shared" si="76"/>
        <v>23.336722499999997</v>
      </c>
      <c r="D297" s="430">
        <f t="shared" si="76"/>
        <v>60.305399999999992</v>
      </c>
      <c r="E297" s="430">
        <f t="shared" si="76"/>
        <v>48.958600000000004</v>
      </c>
      <c r="F297" s="430">
        <f t="shared" si="76"/>
        <v>48.972785000000002</v>
      </c>
      <c r="G297" s="430">
        <f t="shared" si="76"/>
        <v>120.47885999999997</v>
      </c>
      <c r="H297" s="430">
        <f t="shared" si="76"/>
        <v>209.04504500000002</v>
      </c>
      <c r="I297" s="430">
        <f t="shared" si="76"/>
        <v>373.22199000000006</v>
      </c>
      <c r="J297" s="430">
        <f t="shared" si="76"/>
        <v>970.15800999999988</v>
      </c>
      <c r="K297" s="430">
        <f t="shared" si="76"/>
        <v>619.51174999999989</v>
      </c>
      <c r="L297" s="430">
        <f t="shared" si="76"/>
        <v>1076.2915799999998</v>
      </c>
      <c r="M297" s="430">
        <f t="shared" si="76"/>
        <v>469.3247999999997</v>
      </c>
      <c r="N297" s="430">
        <f t="shared" si="76"/>
        <v>462.16240000000045</v>
      </c>
      <c r="O297" s="430">
        <f t="shared" si="76"/>
        <v>831.96600499999977</v>
      </c>
      <c r="P297" s="430">
        <f t="shared" si="76"/>
        <v>1120.3585199999998</v>
      </c>
      <c r="Q297" s="430">
        <f t="shared" si="76"/>
        <v>542.74896000000024</v>
      </c>
      <c r="R297" s="430">
        <f t="shared" si="76"/>
        <v>158.85637500000038</v>
      </c>
      <c r="S297" s="430">
        <f t="shared" si="76"/>
        <v>180.34379999999996</v>
      </c>
      <c r="T297" s="430">
        <f t="shared" si="76"/>
        <v>68.584721999999744</v>
      </c>
      <c r="U297" s="430">
        <f t="shared" si="76"/>
        <v>11.742542000000011</v>
      </c>
      <c r="V297" s="430">
        <f t="shared" si="76"/>
        <v>11.42685000000006</v>
      </c>
      <c r="W297" s="430">
        <f t="shared" si="76"/>
        <v>1.8377249999999881</v>
      </c>
      <c r="X297" s="430">
        <f t="shared" si="76"/>
        <v>0</v>
      </c>
      <c r="Y297" s="424"/>
    </row>
    <row r="298" spans="1:25" ht="13.5" thickBot="1" x14ac:dyDescent="0.25">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row>
    <row r="299" spans="1:25" ht="13.5" thickBot="1" x14ac:dyDescent="0.25">
      <c r="A299" s="416" t="s">
        <v>47</v>
      </c>
      <c r="B299" s="414">
        <f>ROW(A299)</f>
        <v>299</v>
      </c>
      <c r="C299" s="418" t="s">
        <v>118</v>
      </c>
      <c r="D299" s="408">
        <f>SUM(B302:Y302)</f>
        <v>1E-3</v>
      </c>
      <c r="E299" s="418" t="s">
        <v>117</v>
      </c>
      <c r="F299" s="409">
        <f>D299/g/J299</f>
        <v>1.019367991845056</v>
      </c>
      <c r="G299" s="418" t="s">
        <v>59</v>
      </c>
      <c r="H299" s="86">
        <v>1E-4</v>
      </c>
      <c r="I299" s="418" t="s">
        <v>272</v>
      </c>
      <c r="J299" s="410">
        <f>H299-L299</f>
        <v>1E-4</v>
      </c>
      <c r="K299" s="418" t="s">
        <v>273</v>
      </c>
      <c r="L299" s="86">
        <v>0</v>
      </c>
      <c r="M299" s="418" t="s">
        <v>60</v>
      </c>
      <c r="N299" s="87">
        <v>0</v>
      </c>
      <c r="O299" s="418" t="s">
        <v>62</v>
      </c>
      <c r="P299" s="87">
        <v>0</v>
      </c>
      <c r="Q299" s="418" t="s">
        <v>63</v>
      </c>
      <c r="R299" s="87">
        <v>0</v>
      </c>
      <c r="S299" s="418" t="s">
        <v>64</v>
      </c>
      <c r="T299" s="87">
        <v>0</v>
      </c>
      <c r="U299" s="418" t="s">
        <v>57</v>
      </c>
      <c r="V299" s="88" t="s">
        <v>121</v>
      </c>
      <c r="W299" s="17"/>
      <c r="X299" s="17"/>
      <c r="Y299" s="17"/>
    </row>
    <row r="300" spans="1:25" x14ac:dyDescent="0.2">
      <c r="A300" s="417" t="s">
        <v>33</v>
      </c>
      <c r="B300" s="425">
        <v>0</v>
      </c>
      <c r="C300" s="426">
        <v>0.1</v>
      </c>
      <c r="D300" s="426">
        <v>0.2</v>
      </c>
      <c r="E300" s="426">
        <v>1</v>
      </c>
      <c r="F300" s="426">
        <v>1</v>
      </c>
      <c r="G300" s="426">
        <v>1</v>
      </c>
      <c r="H300" s="426">
        <v>1</v>
      </c>
      <c r="I300" s="426">
        <v>1</v>
      </c>
      <c r="J300" s="426">
        <v>1</v>
      </c>
      <c r="K300" s="426">
        <v>1</v>
      </c>
      <c r="L300" s="426">
        <v>1</v>
      </c>
      <c r="M300" s="426">
        <v>1</v>
      </c>
      <c r="N300" s="426">
        <v>1</v>
      </c>
      <c r="O300" s="426">
        <v>1</v>
      </c>
      <c r="P300" s="426">
        <v>1</v>
      </c>
      <c r="Q300" s="426">
        <v>1</v>
      </c>
      <c r="R300" s="426">
        <v>1</v>
      </c>
      <c r="S300" s="426">
        <v>1</v>
      </c>
      <c r="T300" s="426">
        <v>1</v>
      </c>
      <c r="U300" s="426">
        <v>1</v>
      </c>
      <c r="V300" s="426">
        <v>1</v>
      </c>
      <c r="W300" s="426">
        <v>1</v>
      </c>
      <c r="X300" s="426">
        <v>1</v>
      </c>
      <c r="Y300" s="437">
        <v>1000</v>
      </c>
    </row>
    <row r="301" spans="1:25" x14ac:dyDescent="0.2">
      <c r="A301" s="434" t="s">
        <v>34</v>
      </c>
      <c r="B301" s="427">
        <v>0</v>
      </c>
      <c r="C301" s="428">
        <v>0.01</v>
      </c>
      <c r="D301" s="428">
        <v>0</v>
      </c>
      <c r="E301" s="428">
        <v>0</v>
      </c>
      <c r="F301" s="428">
        <v>0</v>
      </c>
      <c r="G301" s="428">
        <v>0</v>
      </c>
      <c r="H301" s="428">
        <v>0</v>
      </c>
      <c r="I301" s="428">
        <v>0</v>
      </c>
      <c r="J301" s="428">
        <v>0</v>
      </c>
      <c r="K301" s="428">
        <v>0</v>
      </c>
      <c r="L301" s="428">
        <v>0</v>
      </c>
      <c r="M301" s="428">
        <v>0</v>
      </c>
      <c r="N301" s="428">
        <v>0</v>
      </c>
      <c r="O301" s="428">
        <v>0</v>
      </c>
      <c r="P301" s="428">
        <v>0</v>
      </c>
      <c r="Q301" s="428">
        <v>0</v>
      </c>
      <c r="R301" s="428">
        <v>0</v>
      </c>
      <c r="S301" s="428">
        <v>0</v>
      </c>
      <c r="T301" s="428">
        <v>0</v>
      </c>
      <c r="U301" s="428">
        <v>0</v>
      </c>
      <c r="V301" s="428">
        <v>0</v>
      </c>
      <c r="W301" s="428">
        <v>0</v>
      </c>
      <c r="X301" s="428">
        <v>0</v>
      </c>
      <c r="Y301" s="438">
        <v>0</v>
      </c>
    </row>
    <row r="302" spans="1:25" ht="13.5" thickBot="1" x14ac:dyDescent="0.25">
      <c r="A302" s="435" t="s">
        <v>119</v>
      </c>
      <c r="B302" s="429">
        <f t="shared" ref="B302:G302" si="77">(C301+B301)*(C300-B300)/2</f>
        <v>5.0000000000000001E-4</v>
      </c>
      <c r="C302" s="430">
        <f t="shared" si="77"/>
        <v>5.0000000000000001E-4</v>
      </c>
      <c r="D302" s="430">
        <f t="shared" si="77"/>
        <v>0</v>
      </c>
      <c r="E302" s="430">
        <f t="shared" si="77"/>
        <v>0</v>
      </c>
      <c r="F302" s="430">
        <f t="shared" si="77"/>
        <v>0</v>
      </c>
      <c r="G302" s="430">
        <f t="shared" si="77"/>
        <v>0</v>
      </c>
      <c r="H302" s="430">
        <f t="shared" ref="H302:V302" si="78">(I301+H301)*(I300-H300)/2</f>
        <v>0</v>
      </c>
      <c r="I302" s="430">
        <f t="shared" si="78"/>
        <v>0</v>
      </c>
      <c r="J302" s="430">
        <f>(K301+J301)*(K300-J300)/2</f>
        <v>0</v>
      </c>
      <c r="K302" s="430">
        <f t="shared" si="78"/>
        <v>0</v>
      </c>
      <c r="L302" s="430">
        <f t="shared" si="78"/>
        <v>0</v>
      </c>
      <c r="M302" s="430">
        <f t="shared" si="78"/>
        <v>0</v>
      </c>
      <c r="N302" s="430">
        <f t="shared" si="78"/>
        <v>0</v>
      </c>
      <c r="O302" s="430">
        <f t="shared" si="78"/>
        <v>0</v>
      </c>
      <c r="P302" s="430">
        <f t="shared" si="78"/>
        <v>0</v>
      </c>
      <c r="Q302" s="430">
        <f t="shared" si="78"/>
        <v>0</v>
      </c>
      <c r="R302" s="430">
        <f t="shared" si="78"/>
        <v>0</v>
      </c>
      <c r="S302" s="430">
        <f>(T301+S301)*(T300-S300)/2</f>
        <v>0</v>
      </c>
      <c r="T302" s="430">
        <f t="shared" si="78"/>
        <v>0</v>
      </c>
      <c r="U302" s="430">
        <f t="shared" si="78"/>
        <v>0</v>
      </c>
      <c r="V302" s="430">
        <f t="shared" si="78"/>
        <v>0</v>
      </c>
      <c r="W302" s="430">
        <f>(X301+W301)*(X300-W300)/2</f>
        <v>0</v>
      </c>
      <c r="X302" s="430">
        <f>(Y301+X301)*(Y300-X300)/2</f>
        <v>0</v>
      </c>
      <c r="Y302" s="424"/>
    </row>
    <row r="304" spans="1:25" x14ac:dyDescent="0.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row>
    <row r="306" spans="1:19" x14ac:dyDescent="0.2">
      <c r="A306" s="458" t="str">
        <f>IF(Lang="Français","Liste des propu affichés :","Motor list (shown):")</f>
        <v>Liste des propu affichés :</v>
      </c>
      <c r="C306" s="752" t="s">
        <v>277</v>
      </c>
      <c r="D306" s="753"/>
      <c r="F306" s="752" t="s">
        <v>184</v>
      </c>
      <c r="G306" s="753"/>
      <c r="H306" s="555"/>
      <c r="I306" s="754" t="s">
        <v>399</v>
      </c>
      <c r="J306" s="753"/>
      <c r="K306" s="555"/>
      <c r="L306" s="752" t="s">
        <v>185</v>
      </c>
      <c r="M306" s="753"/>
      <c r="O306" s="754" t="s">
        <v>398</v>
      </c>
      <c r="P306" s="753"/>
      <c r="R306" s="752" t="s">
        <v>121</v>
      </c>
      <c r="S306" s="753"/>
    </row>
    <row r="307" spans="1:19" x14ac:dyDescent="0.2">
      <c r="A307" s="459" t="str">
        <f t="array" ref="A307:A336">IF(RIGHT(Type_fusee,1)=".",Liste_fusex, IF(LEFT(Type_fusee,4)="Mini",Liste_minif, IF(LEFT(Type_fusee,5)="Micro",Liste_µfu, IF(RIGHT(Type_fusee,1)=" ",Liste_H2O, IF(LEFT(Type_fusee,1)="R",Liste_RC, IF(LEFT(Type_fusee,1)=",",Liste_minifT))))))</f>
        <v>p24-1G 25E75 (Rufina)</v>
      </c>
      <c r="C307" s="740" t="str">
        <f>A26</f>
        <v>H2O 1.5L 300g 6bar</v>
      </c>
      <c r="D307" s="741"/>
      <c r="F307" s="740" t="str">
        <f>A67</f>
        <v>µ-propu A8-3</v>
      </c>
      <c r="G307" s="741"/>
      <c r="H307" s="558"/>
      <c r="I307" s="744" t="str">
        <f>A133</f>
        <v>p29-1G 41F36</v>
      </c>
      <c r="J307" s="745"/>
      <c r="K307" s="558"/>
      <c r="L307" s="744" t="str">
        <f>A113</f>
        <v>p24-1G 25E75 (Rufina)</v>
      </c>
      <c r="M307" s="745"/>
      <c r="O307" s="740" t="str">
        <f>A108</f>
        <v>p24-1G 24E22</v>
      </c>
      <c r="P307" s="741"/>
      <c r="R307" s="740" t="str">
        <f>A274</f>
        <v>Barasinga (Pro54-5G)</v>
      </c>
      <c r="S307" s="741"/>
    </row>
    <row r="308" spans="1:19" x14ac:dyDescent="0.2">
      <c r="A308" s="459" t="str">
        <v>p29-1G 56F120</v>
      </c>
      <c r="C308" s="740" t="str">
        <f>A31</f>
        <v>H2O 1.5L 450g 6bar</v>
      </c>
      <c r="D308" s="741"/>
      <c r="F308" s="740" t="str">
        <f>A72</f>
        <v>µ-propu B4-4</v>
      </c>
      <c r="G308" s="741"/>
      <c r="H308" s="558"/>
      <c r="I308" s="744" t="str">
        <f>A138</f>
        <v>p29-1G 51F36</v>
      </c>
      <c r="J308" s="745"/>
      <c r="K308" s="558"/>
      <c r="L308" s="744" t="str">
        <f>A148</f>
        <v>p29-1G 56F120</v>
      </c>
      <c r="M308" s="745"/>
      <c r="O308" s="740" t="str">
        <f>A113</f>
        <v>p24-1G 25E75 (Rufina)</v>
      </c>
      <c r="P308" s="741"/>
      <c r="R308" s="740" t="str">
        <f>A284</f>
        <v>Orignal (Pro75-3G)</v>
      </c>
      <c r="S308" s="741"/>
    </row>
    <row r="309" spans="1:19" x14ac:dyDescent="0.2">
      <c r="A309" s="459" t="str">
        <v>p29-2G 110G250</v>
      </c>
      <c r="C309" s="740" t="str">
        <f>A36</f>
        <v>H2O 1.5L 600g 6bar</v>
      </c>
      <c r="D309" s="741"/>
      <c r="F309" s="740" t="str">
        <f>A77</f>
        <v>µ-propu C6-3</v>
      </c>
      <c r="G309" s="741"/>
      <c r="H309" s="558"/>
      <c r="I309" s="744" t="str">
        <f>A143</f>
        <v>p29-1G 55F29</v>
      </c>
      <c r="J309" s="745"/>
      <c r="K309" s="558"/>
      <c r="L309" s="744" t="str">
        <f>A218</f>
        <v>p29-2G 110G250</v>
      </c>
      <c r="M309" s="745"/>
      <c r="O309" s="740" t="str">
        <f>A118</f>
        <v>p24-1G 26E31</v>
      </c>
      <c r="P309" s="741"/>
      <c r="R309" s="740" t="s">
        <v>186</v>
      </c>
      <c r="S309" s="741"/>
    </row>
    <row r="310" spans="1:19" x14ac:dyDescent="0.2">
      <c r="A310" s="459" t="str">
        <v>Cariacou</v>
      </c>
      <c r="C310" s="740" t="str">
        <f>A41</f>
        <v>H2O 1.5L 750g 6bar</v>
      </c>
      <c r="D310" s="741"/>
      <c r="F310" s="740" t="str">
        <f>A82</f>
        <v>µ-propu C6-3 x2</v>
      </c>
      <c r="G310" s="741"/>
      <c r="H310" s="558"/>
      <c r="I310" s="744" t="str">
        <f>A148</f>
        <v>p29-1G 56F120</v>
      </c>
      <c r="J310" s="745"/>
      <c r="K310" s="558"/>
      <c r="L310" s="744" t="str">
        <f>A258</f>
        <v>Cariacou</v>
      </c>
      <c r="M310" s="745"/>
      <c r="O310" s="740" t="str">
        <f>A123</f>
        <v>p24-2G 50E51</v>
      </c>
      <c r="P310" s="741"/>
      <c r="R310" s="740" t="s">
        <v>186</v>
      </c>
      <c r="S310" s="741"/>
    </row>
    <row r="311" spans="1:19" x14ac:dyDescent="0.2">
      <c r="A311" s="459" t="str">
        <v>Pandora</v>
      </c>
      <c r="C311" s="740" t="str">
        <f>A46</f>
        <v>H2O 2.0L 400g 6bar</v>
      </c>
      <c r="D311" s="741"/>
      <c r="F311" s="740" t="str">
        <f>A87</f>
        <v>µ-propu C6-3 x3</v>
      </c>
      <c r="G311" s="741"/>
      <c r="H311" s="558"/>
      <c r="I311" s="744" t="str">
        <f>A153</f>
        <v>p29-1G 57F59</v>
      </c>
      <c r="J311" s="745"/>
      <c r="K311" s="558"/>
      <c r="L311" s="744" t="str">
        <f>A193</f>
        <v>Pandora</v>
      </c>
      <c r="M311" s="745"/>
      <c r="O311" s="740" t="str">
        <f>A128</f>
        <v>p24-1G 53E70</v>
      </c>
      <c r="P311" s="741"/>
      <c r="R311" s="740" t="s">
        <v>186</v>
      </c>
      <c r="S311" s="741"/>
    </row>
    <row r="312" spans="1:19" x14ac:dyDescent="0.2">
      <c r="A312" s="459" t="str">
        <v xml:space="preserve"> </v>
      </c>
      <c r="C312" s="740" t="str">
        <f>A51</f>
        <v>H2O 2.0L 600g 6bar</v>
      </c>
      <c r="D312" s="741"/>
      <c r="F312" s="740" t="s">
        <v>186</v>
      </c>
      <c r="G312" s="741"/>
      <c r="H312" s="558"/>
      <c r="I312" s="744" t="str">
        <f>A158</f>
        <v>p24-3G 60F50</v>
      </c>
      <c r="J312" s="745"/>
      <c r="K312" s="558"/>
      <c r="L312" s="740" t="s">
        <v>186</v>
      </c>
      <c r="M312" s="741"/>
      <c r="O312" s="740" t="str">
        <f>A133</f>
        <v>p29-1G 41F36</v>
      </c>
      <c r="P312" s="741"/>
      <c r="R312" s="740" t="s">
        <v>186</v>
      </c>
      <c r="S312" s="741"/>
    </row>
    <row r="313" spans="1:19" x14ac:dyDescent="0.2">
      <c r="A313" s="459" t="str">
        <v xml:space="preserve"> </v>
      </c>
      <c r="C313" s="740" t="str">
        <f>A56</f>
        <v>H2O 2.0L 800g 6bar</v>
      </c>
      <c r="D313" s="741"/>
      <c r="F313" s="740" t="s">
        <v>186</v>
      </c>
      <c r="G313" s="741"/>
      <c r="H313" s="558"/>
      <c r="I313" s="744" t="str">
        <f>A163</f>
        <v>p24-3G 68F79</v>
      </c>
      <c r="J313" s="745"/>
      <c r="K313" s="558"/>
      <c r="L313" s="740" t="s">
        <v>186</v>
      </c>
      <c r="M313" s="741"/>
      <c r="O313" s="740" t="str">
        <f>A138</f>
        <v>p29-1G 51F36</v>
      </c>
      <c r="P313" s="741"/>
      <c r="R313" s="740" t="s">
        <v>186</v>
      </c>
      <c r="S313" s="741"/>
    </row>
    <row r="314" spans="1:19" x14ac:dyDescent="0.2">
      <c r="A314" s="459" t="str">
        <v xml:space="preserve"> </v>
      </c>
      <c r="C314" s="740" t="str">
        <f>A61</f>
        <v>H2O 2.0L 1000g 6bar</v>
      </c>
      <c r="D314" s="741"/>
      <c r="F314" s="740" t="s">
        <v>186</v>
      </c>
      <c r="G314" s="741"/>
      <c r="H314" s="558"/>
      <c r="I314" s="744" t="str">
        <f>A168</f>
        <v>p24-3G 68F240</v>
      </c>
      <c r="J314" s="745"/>
      <c r="K314" s="558"/>
      <c r="L314" s="740" t="s">
        <v>186</v>
      </c>
      <c r="M314" s="741"/>
      <c r="O314" s="740" t="str">
        <f>A143</f>
        <v>p29-1G 55F29</v>
      </c>
      <c r="P314" s="741"/>
      <c r="R314" s="740" t="s">
        <v>186</v>
      </c>
      <c r="S314" s="741"/>
    </row>
    <row r="315" spans="1:19" x14ac:dyDescent="0.2">
      <c r="A315" s="459" t="str">
        <v xml:space="preserve"> </v>
      </c>
      <c r="C315" s="740" t="s">
        <v>186</v>
      </c>
      <c r="D315" s="741"/>
      <c r="F315" s="740" t="s">
        <v>186</v>
      </c>
      <c r="G315" s="741"/>
      <c r="H315" s="558"/>
      <c r="I315" s="744" t="str">
        <f>A173</f>
        <v>p24-3G 73F30</v>
      </c>
      <c r="J315" s="745"/>
      <c r="K315" s="558"/>
      <c r="L315" s="740" t="s">
        <v>186</v>
      </c>
      <c r="M315" s="741"/>
      <c r="O315" s="740" t="str">
        <f>A148</f>
        <v>p29-1G 56F120</v>
      </c>
      <c r="P315" s="741"/>
      <c r="R315" s="740" t="s">
        <v>186</v>
      </c>
      <c r="S315" s="741"/>
    </row>
    <row r="316" spans="1:19" x14ac:dyDescent="0.2">
      <c r="A316" s="459" t="str">
        <v xml:space="preserve"> </v>
      </c>
      <c r="C316" s="740" t="s">
        <v>186</v>
      </c>
      <c r="D316" s="741"/>
      <c r="F316" s="740" t="s">
        <v>186</v>
      </c>
      <c r="G316" s="741"/>
      <c r="H316" s="558"/>
      <c r="I316" s="744" t="str">
        <f>A178</f>
        <v>p24-3G 74F85</v>
      </c>
      <c r="J316" s="745"/>
      <c r="K316" s="558"/>
      <c r="L316" s="740" t="s">
        <v>186</v>
      </c>
      <c r="M316" s="741"/>
      <c r="O316" s="740" t="str">
        <f>A153</f>
        <v>p29-1G 57F59</v>
      </c>
      <c r="P316" s="741"/>
      <c r="R316" s="740" t="s">
        <v>186</v>
      </c>
      <c r="S316" s="741"/>
    </row>
    <row r="317" spans="1:19" x14ac:dyDescent="0.2">
      <c r="A317" s="459" t="str">
        <v xml:space="preserve"> </v>
      </c>
      <c r="C317" s="740" t="s">
        <v>186</v>
      </c>
      <c r="D317" s="741"/>
      <c r="F317" s="740" t="s">
        <v>186</v>
      </c>
      <c r="G317" s="741"/>
      <c r="H317" s="558"/>
      <c r="I317" s="744" t="str">
        <f>A183</f>
        <v>p24-3G 75F51</v>
      </c>
      <c r="J317" s="745"/>
      <c r="K317" s="558"/>
      <c r="L317" s="740" t="s">
        <v>186</v>
      </c>
      <c r="M317" s="741"/>
      <c r="O317" s="740" t="str">
        <f>A158</f>
        <v>p24-3G 60F50</v>
      </c>
      <c r="P317" s="741"/>
      <c r="R317" s="740" t="s">
        <v>186</v>
      </c>
      <c r="S317" s="741"/>
    </row>
    <row r="318" spans="1:19" x14ac:dyDescent="0.2">
      <c r="A318" s="459" t="str">
        <v xml:space="preserve"> </v>
      </c>
      <c r="C318" s="740" t="s">
        <v>186</v>
      </c>
      <c r="D318" s="741"/>
      <c r="F318" s="740" t="s">
        <v>186</v>
      </c>
      <c r="G318" s="741"/>
      <c r="H318" s="558"/>
      <c r="I318" s="744"/>
      <c r="J318" s="745"/>
      <c r="K318" s="558"/>
      <c r="L318" s="740" t="s">
        <v>186</v>
      </c>
      <c r="M318" s="741"/>
      <c r="O318" s="740" t="str">
        <f>A163</f>
        <v>p24-3G 68F79</v>
      </c>
      <c r="P318" s="741"/>
      <c r="R318" s="740" t="s">
        <v>186</v>
      </c>
      <c r="S318" s="741"/>
    </row>
    <row r="319" spans="1:19" x14ac:dyDescent="0.2">
      <c r="A319" s="459" t="str">
        <v xml:space="preserve"> </v>
      </c>
      <c r="C319" s="740" t="s">
        <v>186</v>
      </c>
      <c r="D319" s="741"/>
      <c r="F319" s="740" t="s">
        <v>186</v>
      </c>
      <c r="G319" s="741"/>
      <c r="H319" s="558"/>
      <c r="I319" s="744"/>
      <c r="J319" s="745"/>
      <c r="K319" s="558"/>
      <c r="L319" s="740" t="s">
        <v>186</v>
      </c>
      <c r="M319" s="741"/>
      <c r="O319" s="740" t="str">
        <f>A168</f>
        <v>p24-3G 68F240</v>
      </c>
      <c r="P319" s="741"/>
      <c r="R319" s="740" t="s">
        <v>186</v>
      </c>
      <c r="S319" s="741"/>
    </row>
    <row r="320" spans="1:19" x14ac:dyDescent="0.2">
      <c r="A320" s="459" t="str">
        <v xml:space="preserve"> </v>
      </c>
      <c r="C320" s="740" t="s">
        <v>186</v>
      </c>
      <c r="D320" s="741"/>
      <c r="F320" s="740" t="s">
        <v>186</v>
      </c>
      <c r="G320" s="741"/>
      <c r="H320" s="558"/>
      <c r="I320" s="744"/>
      <c r="J320" s="745"/>
      <c r="K320" s="558"/>
      <c r="L320" s="740" t="s">
        <v>186</v>
      </c>
      <c r="M320" s="741"/>
      <c r="O320" s="740" t="str">
        <f>A173</f>
        <v>p24-3G 73F30</v>
      </c>
      <c r="P320" s="741"/>
      <c r="R320" s="740" t="s">
        <v>186</v>
      </c>
      <c r="S320" s="741"/>
    </row>
    <row r="321" spans="1:19" x14ac:dyDescent="0.2">
      <c r="A321" s="459" t="str">
        <v xml:space="preserve"> </v>
      </c>
      <c r="C321" s="740" t="s">
        <v>186</v>
      </c>
      <c r="D321" s="741"/>
      <c r="F321" s="740" t="s">
        <v>186</v>
      </c>
      <c r="G321" s="741"/>
      <c r="H321" s="558"/>
      <c r="I321" s="748" t="s">
        <v>186</v>
      </c>
      <c r="J321" s="749"/>
      <c r="K321" s="558"/>
      <c r="L321" s="740" t="s">
        <v>186</v>
      </c>
      <c r="M321" s="741"/>
      <c r="O321" s="740" t="str">
        <f>A178</f>
        <v>p24-3G 74F85</v>
      </c>
      <c r="P321" s="741"/>
      <c r="R321" s="740" t="s">
        <v>186</v>
      </c>
      <c r="S321" s="741"/>
    </row>
    <row r="322" spans="1:19" x14ac:dyDescent="0.2">
      <c r="A322" s="545" t="str">
        <v xml:space="preserve"> </v>
      </c>
      <c r="C322" s="742" t="s">
        <v>186</v>
      </c>
      <c r="D322" s="743"/>
      <c r="F322" s="742" t="s">
        <v>186</v>
      </c>
      <c r="G322" s="743"/>
      <c r="H322" s="558"/>
      <c r="I322" s="742" t="s">
        <v>186</v>
      </c>
      <c r="J322" s="743"/>
      <c r="K322" s="558"/>
      <c r="L322" s="742" t="s">
        <v>186</v>
      </c>
      <c r="M322" s="743"/>
      <c r="O322" s="740" t="str">
        <f>A183</f>
        <v>p24-3G 75F51</v>
      </c>
      <c r="P322" s="741"/>
      <c r="R322" s="742" t="s">
        <v>186</v>
      </c>
      <c r="S322" s="743"/>
    </row>
    <row r="323" spans="1:19" x14ac:dyDescent="0.2">
      <c r="A323" s="459" t="str">
        <v xml:space="preserve"> </v>
      </c>
      <c r="C323" s="751" t="s">
        <v>186</v>
      </c>
      <c r="D323" s="751"/>
      <c r="F323" s="751" t="s">
        <v>186</v>
      </c>
      <c r="G323" s="751"/>
      <c r="I323" s="746" t="s">
        <v>186</v>
      </c>
      <c r="J323" s="746"/>
      <c r="L323" s="746" t="s">
        <v>186</v>
      </c>
      <c r="M323" s="746"/>
      <c r="O323" s="740" t="str">
        <f>A208</f>
        <v>p29-2G 84G88</v>
      </c>
      <c r="P323" s="741"/>
      <c r="R323" s="756" t="s">
        <v>186</v>
      </c>
      <c r="S323" s="756"/>
    </row>
    <row r="324" spans="1:19" x14ac:dyDescent="0.2">
      <c r="A324" s="546" t="str">
        <v xml:space="preserve"> </v>
      </c>
      <c r="C324" s="739" t="s">
        <v>186</v>
      </c>
      <c r="D324" s="739"/>
      <c r="F324" s="739" t="s">
        <v>186</v>
      </c>
      <c r="G324" s="739"/>
      <c r="I324" s="746" t="s">
        <v>186</v>
      </c>
      <c r="J324" s="746"/>
      <c r="L324" s="746" t="s">
        <v>186</v>
      </c>
      <c r="M324" s="746"/>
      <c r="O324" s="740" t="str">
        <f>A213</f>
        <v>p29-2G 93G80</v>
      </c>
      <c r="P324" s="741"/>
      <c r="R324" s="755" t="str">
        <f>A264</f>
        <v>Isard</v>
      </c>
      <c r="S324" s="755"/>
    </row>
    <row r="325" spans="1:19" x14ac:dyDescent="0.2">
      <c r="A325" s="546" t="str">
        <v xml:space="preserve"> </v>
      </c>
      <c r="C325" s="739" t="s">
        <v>186</v>
      </c>
      <c r="D325" s="739"/>
      <c r="F325" s="739" t="s">
        <v>186</v>
      </c>
      <c r="G325" s="739"/>
      <c r="I325" s="746" t="s">
        <v>186</v>
      </c>
      <c r="J325" s="746"/>
      <c r="L325" s="746" t="s">
        <v>186</v>
      </c>
      <c r="M325" s="746"/>
      <c r="O325" s="740" t="str">
        <f>A218</f>
        <v>p29-2G 110G250</v>
      </c>
      <c r="P325" s="741"/>
      <c r="R325" s="755" t="str">
        <f>A269</f>
        <v>Chamois</v>
      </c>
      <c r="S325" s="755"/>
    </row>
    <row r="326" spans="1:19" x14ac:dyDescent="0.2">
      <c r="A326" s="546" t="str">
        <v xml:space="preserve"> </v>
      </c>
      <c r="C326" s="739" t="s">
        <v>186</v>
      </c>
      <c r="D326" s="739"/>
      <c r="F326" s="739" t="s">
        <v>186</v>
      </c>
      <c r="G326" s="739"/>
      <c r="I326" s="746" t="s">
        <v>186</v>
      </c>
      <c r="J326" s="746"/>
      <c r="L326" s="746" t="s">
        <v>186</v>
      </c>
      <c r="M326" s="746"/>
      <c r="O326" s="740" t="str">
        <f>A223</f>
        <v>p29-2G 116G126</v>
      </c>
      <c r="P326" s="741"/>
      <c r="R326" s="755" t="str">
        <f>A279</f>
        <v>Pro75-2G</v>
      </c>
      <c r="S326" s="755"/>
    </row>
    <row r="327" spans="1:19" x14ac:dyDescent="0.2">
      <c r="A327" s="546" t="str">
        <v xml:space="preserve"> </v>
      </c>
      <c r="C327" s="739" t="s">
        <v>186</v>
      </c>
      <c r="D327" s="739"/>
      <c r="F327" s="739" t="s">
        <v>186</v>
      </c>
      <c r="G327" s="739"/>
      <c r="I327" s="746" t="s">
        <v>186</v>
      </c>
      <c r="J327" s="746"/>
      <c r="L327" s="746" t="s">
        <v>186</v>
      </c>
      <c r="M327" s="746"/>
      <c r="O327" s="740" t="str">
        <f>A228</f>
        <v>p29-3G 125G131</v>
      </c>
      <c r="P327" s="741"/>
      <c r="R327" s="755" t="str">
        <f>A289</f>
        <v>Pro98-2G WT</v>
      </c>
      <c r="S327" s="755"/>
    </row>
    <row r="328" spans="1:19" x14ac:dyDescent="0.2">
      <c r="A328" s="546" t="str">
        <v xml:space="preserve"> </v>
      </c>
      <c r="C328" s="739" t="s">
        <v>186</v>
      </c>
      <c r="D328" s="739"/>
      <c r="F328" s="739" t="s">
        <v>186</v>
      </c>
      <c r="G328" s="739"/>
      <c r="I328" s="746" t="s">
        <v>186</v>
      </c>
      <c r="J328" s="746"/>
      <c r="L328" s="746" t="s">
        <v>186</v>
      </c>
      <c r="M328" s="746"/>
      <c r="O328" s="740" t="str">
        <f>A243</f>
        <v>p38-1G 128G185</v>
      </c>
      <c r="P328" s="741"/>
      <c r="R328" s="755" t="str">
        <f>A294</f>
        <v>Pro98-3G WT</v>
      </c>
      <c r="S328" s="755"/>
    </row>
    <row r="329" spans="1:19" x14ac:dyDescent="0.2">
      <c r="A329" s="546" t="str">
        <v xml:space="preserve"> </v>
      </c>
      <c r="C329" s="739" t="s">
        <v>186</v>
      </c>
      <c r="D329" s="739"/>
      <c r="F329" s="739" t="s">
        <v>186</v>
      </c>
      <c r="G329" s="739"/>
      <c r="I329" s="746" t="s">
        <v>186</v>
      </c>
      <c r="J329" s="746"/>
      <c r="L329" s="746" t="s">
        <v>186</v>
      </c>
      <c r="M329" s="746"/>
      <c r="O329" s="740" t="str">
        <f>A238</f>
        <v>p38-1G 137G58</v>
      </c>
      <c r="P329" s="741"/>
      <c r="R329" s="755" t="str">
        <f>A299</f>
        <v>Aucun (2e ét. inerte)</v>
      </c>
      <c r="S329" s="755"/>
    </row>
    <row r="330" spans="1:19" x14ac:dyDescent="0.2">
      <c r="A330" s="546" t="str">
        <v xml:space="preserve"> </v>
      </c>
      <c r="C330" s="739" t="s">
        <v>186</v>
      </c>
      <c r="D330" s="739"/>
      <c r="F330" s="739" t="s">
        <v>186</v>
      </c>
      <c r="G330" s="739"/>
      <c r="I330" s="746" t="s">
        <v>186</v>
      </c>
      <c r="J330" s="746"/>
      <c r="L330" s="746" t="s">
        <v>186</v>
      </c>
      <c r="M330" s="746"/>
      <c r="O330" s="740" t="str">
        <f>A248</f>
        <v>p38-1G 141G78</v>
      </c>
      <c r="P330" s="741"/>
      <c r="R330" s="757" t="s">
        <v>186</v>
      </c>
      <c r="S330" s="757"/>
    </row>
    <row r="331" spans="1:19" x14ac:dyDescent="0.2">
      <c r="A331" s="546" t="str">
        <v xml:space="preserve"> </v>
      </c>
      <c r="C331" s="739" t="s">
        <v>186</v>
      </c>
      <c r="D331" s="739"/>
      <c r="F331" s="739" t="s">
        <v>186</v>
      </c>
      <c r="G331" s="739"/>
      <c r="I331" s="750" t="s">
        <v>186</v>
      </c>
      <c r="J331" s="750"/>
      <c r="L331" s="746" t="s">
        <v>186</v>
      </c>
      <c r="M331" s="746"/>
      <c r="O331" s="740" t="str">
        <f>A188</f>
        <v>p24-6G 140G145 PK</v>
      </c>
      <c r="P331" s="741"/>
      <c r="R331" s="739" t="s">
        <v>186</v>
      </c>
      <c r="S331" s="739"/>
    </row>
    <row r="332" spans="1:19" x14ac:dyDescent="0.2">
      <c r="A332" s="546" t="str">
        <v xml:space="preserve"> </v>
      </c>
      <c r="C332" s="739" t="s">
        <v>186</v>
      </c>
      <c r="D332" s="739"/>
      <c r="F332" s="739" t="s">
        <v>186</v>
      </c>
      <c r="G332" s="739"/>
      <c r="I332" s="750" t="s">
        <v>186</v>
      </c>
      <c r="J332" s="750"/>
      <c r="L332" s="746" t="s">
        <v>186</v>
      </c>
      <c r="M332" s="746"/>
      <c r="O332" s="740" t="str">
        <f>A193</f>
        <v>Pandora</v>
      </c>
      <c r="P332" s="741"/>
      <c r="R332" s="739" t="s">
        <v>186</v>
      </c>
      <c r="S332" s="739"/>
    </row>
    <row r="333" spans="1:19" x14ac:dyDescent="0.2">
      <c r="A333" s="546" t="str">
        <v xml:space="preserve"> </v>
      </c>
      <c r="C333" s="739" t="s">
        <v>186</v>
      </c>
      <c r="D333" s="739"/>
      <c r="F333" s="739" t="s">
        <v>186</v>
      </c>
      <c r="G333" s="739"/>
      <c r="I333" s="750" t="s">
        <v>186</v>
      </c>
      <c r="J333" s="750"/>
      <c r="L333" s="750" t="s">
        <v>186</v>
      </c>
      <c r="M333" s="750"/>
      <c r="O333" s="744" t="str">
        <f>A198</f>
        <v>p24-6G 142G117 WT</v>
      </c>
      <c r="P333" s="745"/>
      <c r="R333" s="739" t="s">
        <v>186</v>
      </c>
      <c r="S333" s="739"/>
    </row>
    <row r="334" spans="1:19" x14ac:dyDescent="0.2">
      <c r="A334" s="546" t="str">
        <v xml:space="preserve"> </v>
      </c>
      <c r="C334" s="739" t="s">
        <v>186</v>
      </c>
      <c r="D334" s="739"/>
      <c r="F334" s="739" t="s">
        <v>186</v>
      </c>
      <c r="G334" s="739"/>
      <c r="I334" s="747" t="s">
        <v>186</v>
      </c>
      <c r="J334" s="747"/>
      <c r="L334" s="750" t="s">
        <v>186</v>
      </c>
      <c r="M334" s="750"/>
      <c r="O334" s="744" t="str">
        <f>A203</f>
        <v>p24-6G 139G107 DT</v>
      </c>
      <c r="P334" s="745"/>
      <c r="R334" s="739" t="s">
        <v>186</v>
      </c>
      <c r="S334" s="739"/>
    </row>
    <row r="335" spans="1:19" x14ac:dyDescent="0.2">
      <c r="A335" s="546" t="str">
        <v xml:space="preserve"> </v>
      </c>
      <c r="C335" s="739" t="s">
        <v>186</v>
      </c>
      <c r="D335" s="739"/>
      <c r="F335" s="739" t="s">
        <v>186</v>
      </c>
      <c r="G335" s="739"/>
      <c r="I335" s="739" t="s">
        <v>186</v>
      </c>
      <c r="J335" s="739"/>
      <c r="L335" s="750" t="s">
        <v>186</v>
      </c>
      <c r="M335" s="750"/>
      <c r="O335" s="744" t="str">
        <f>A258</f>
        <v>Cariacou</v>
      </c>
      <c r="P335" s="745"/>
      <c r="R335" s="739" t="s">
        <v>186</v>
      </c>
      <c r="S335" s="739"/>
    </row>
    <row r="336" spans="1:19" x14ac:dyDescent="0.2">
      <c r="A336" s="559" t="str">
        <v xml:space="preserve"> </v>
      </c>
      <c r="C336" s="739" t="s">
        <v>186</v>
      </c>
      <c r="D336" s="739"/>
      <c r="F336" s="739" t="s">
        <v>186</v>
      </c>
      <c r="G336" s="739"/>
      <c r="I336" s="739" t="s">
        <v>186</v>
      </c>
      <c r="J336" s="739"/>
      <c r="L336" s="747" t="s">
        <v>186</v>
      </c>
      <c r="M336" s="747"/>
      <c r="O336" s="758" t="str">
        <f>A253</f>
        <v>Wapiti</v>
      </c>
      <c r="P336" s="759"/>
      <c r="R336" s="739" t="s">
        <v>186</v>
      </c>
      <c r="S336" s="739"/>
    </row>
  </sheetData>
  <sheetProtection password="C6AC" sheet="1"/>
  <dataConsolidate/>
  <mergeCells count="186">
    <mergeCell ref="R335:S335"/>
    <mergeCell ref="O335:P335"/>
    <mergeCell ref="O330:P330"/>
    <mergeCell ref="R336:S336"/>
    <mergeCell ref="R332:S332"/>
    <mergeCell ref="F332:G332"/>
    <mergeCell ref="F333:G333"/>
    <mergeCell ref="F334:G334"/>
    <mergeCell ref="F335:G335"/>
    <mergeCell ref="F336:G336"/>
    <mergeCell ref="O336:P336"/>
    <mergeCell ref="L335:M335"/>
    <mergeCell ref="L336:M336"/>
    <mergeCell ref="L334:M334"/>
    <mergeCell ref="I336:J336"/>
    <mergeCell ref="I335:J335"/>
    <mergeCell ref="O334:P334"/>
    <mergeCell ref="R334:S334"/>
    <mergeCell ref="L332:M332"/>
    <mergeCell ref="R325:S325"/>
    <mergeCell ref="R323:S323"/>
    <mergeCell ref="I327:J327"/>
    <mergeCell ref="I328:J328"/>
    <mergeCell ref="I329:J329"/>
    <mergeCell ref="O331:P331"/>
    <mergeCell ref="L324:M324"/>
    <mergeCell ref="R329:S329"/>
    <mergeCell ref="O333:P333"/>
    <mergeCell ref="R328:S328"/>
    <mergeCell ref="R326:S326"/>
    <mergeCell ref="R327:S327"/>
    <mergeCell ref="R324:S324"/>
    <mergeCell ref="O332:P332"/>
    <mergeCell ref="O325:P325"/>
    <mergeCell ref="R330:S330"/>
    <mergeCell ref="R331:S331"/>
    <mergeCell ref="R333:S333"/>
    <mergeCell ref="O328:P328"/>
    <mergeCell ref="O326:P326"/>
    <mergeCell ref="L333:M333"/>
    <mergeCell ref="I332:J332"/>
    <mergeCell ref="I333:J333"/>
    <mergeCell ref="L331:M331"/>
    <mergeCell ref="F310:G310"/>
    <mergeCell ref="O313:P313"/>
    <mergeCell ref="O310:P310"/>
    <mergeCell ref="O309:P309"/>
    <mergeCell ref="F315:G315"/>
    <mergeCell ref="F316:G316"/>
    <mergeCell ref="F317:G317"/>
    <mergeCell ref="O315:P315"/>
    <mergeCell ref="O320:P320"/>
    <mergeCell ref="O317:P317"/>
    <mergeCell ref="L318:M318"/>
    <mergeCell ref="R321:S321"/>
    <mergeCell ref="L321:M321"/>
    <mergeCell ref="L322:M322"/>
    <mergeCell ref="L319:M319"/>
    <mergeCell ref="L320:M320"/>
    <mergeCell ref="C312:D312"/>
    <mergeCell ref="C322:D322"/>
    <mergeCell ref="R312:S312"/>
    <mergeCell ref="R318:S318"/>
    <mergeCell ref="R322:S322"/>
    <mergeCell ref="F318:G318"/>
    <mergeCell ref="F312:G312"/>
    <mergeCell ref="O316:P316"/>
    <mergeCell ref="F313:G313"/>
    <mergeCell ref="O321:P321"/>
    <mergeCell ref="O314:P314"/>
    <mergeCell ref="O312:P312"/>
    <mergeCell ref="O322:P322"/>
    <mergeCell ref="F322:G322"/>
    <mergeCell ref="C319:D319"/>
    <mergeCell ref="I318:J318"/>
    <mergeCell ref="C317:D317"/>
    <mergeCell ref="C316:D316"/>
    <mergeCell ref="C315:D315"/>
    <mergeCell ref="R306:S306"/>
    <mergeCell ref="R307:S307"/>
    <mergeCell ref="R308:S308"/>
    <mergeCell ref="R309:S309"/>
    <mergeCell ref="R310:S310"/>
    <mergeCell ref="R317:S317"/>
    <mergeCell ref="L310:M310"/>
    <mergeCell ref="I306:J306"/>
    <mergeCell ref="R320:S320"/>
    <mergeCell ref="R319:S319"/>
    <mergeCell ref="O319:P319"/>
    <mergeCell ref="I309:J309"/>
    <mergeCell ref="O308:P308"/>
    <mergeCell ref="O307:P307"/>
    <mergeCell ref="I310:J310"/>
    <mergeCell ref="L308:M308"/>
    <mergeCell ref="L309:M309"/>
    <mergeCell ref="O306:P306"/>
    <mergeCell ref="I307:J307"/>
    <mergeCell ref="I308:J308"/>
    <mergeCell ref="R316:S316"/>
    <mergeCell ref="O318:P318"/>
    <mergeCell ref="I319:J319"/>
    <mergeCell ref="I320:J320"/>
    <mergeCell ref="C311:D311"/>
    <mergeCell ref="O311:P311"/>
    <mergeCell ref="R311:S311"/>
    <mergeCell ref="R315:S315"/>
    <mergeCell ref="R314:S314"/>
    <mergeCell ref="R313:S313"/>
    <mergeCell ref="I311:J311"/>
    <mergeCell ref="I312:J312"/>
    <mergeCell ref="I313:J313"/>
    <mergeCell ref="C314:D314"/>
    <mergeCell ref="C313:D313"/>
    <mergeCell ref="F314:G314"/>
    <mergeCell ref="F311:G311"/>
    <mergeCell ref="C324:D324"/>
    <mergeCell ref="L328:M328"/>
    <mergeCell ref="F323:G323"/>
    <mergeCell ref="C321:D321"/>
    <mergeCell ref="C320:D320"/>
    <mergeCell ref="C318:D318"/>
    <mergeCell ref="C323:D323"/>
    <mergeCell ref="F328:G328"/>
    <mergeCell ref="L306:M306"/>
    <mergeCell ref="L307:M307"/>
    <mergeCell ref="L316:M316"/>
    <mergeCell ref="L317:M317"/>
    <mergeCell ref="L311:M311"/>
    <mergeCell ref="L312:M312"/>
    <mergeCell ref="C306:D306"/>
    <mergeCell ref="C307:D307"/>
    <mergeCell ref="C308:D308"/>
    <mergeCell ref="C309:D309"/>
    <mergeCell ref="C310:D310"/>
    <mergeCell ref="F306:G306"/>
    <mergeCell ref="F309:G309"/>
    <mergeCell ref="F308:G308"/>
    <mergeCell ref="F307:G307"/>
    <mergeCell ref="F319:G319"/>
    <mergeCell ref="I321:J321"/>
    <mergeCell ref="F320:G320"/>
    <mergeCell ref="F321:G321"/>
    <mergeCell ref="O329:P329"/>
    <mergeCell ref="I324:J324"/>
    <mergeCell ref="I325:J325"/>
    <mergeCell ref="I330:J330"/>
    <mergeCell ref="L327:M327"/>
    <mergeCell ref="I331:J331"/>
    <mergeCell ref="F329:G329"/>
    <mergeCell ref="F330:G330"/>
    <mergeCell ref="L329:M329"/>
    <mergeCell ref="L330:M330"/>
    <mergeCell ref="F331:G331"/>
    <mergeCell ref="O327:P327"/>
    <mergeCell ref="F324:G324"/>
    <mergeCell ref="F325:G325"/>
    <mergeCell ref="F326:G326"/>
    <mergeCell ref="F327:G327"/>
    <mergeCell ref="O323:P323"/>
    <mergeCell ref="I326:J326"/>
    <mergeCell ref="L323:M323"/>
    <mergeCell ref="O324:P324"/>
    <mergeCell ref="C335:D335"/>
    <mergeCell ref="C336:D336"/>
    <mergeCell ref="C325:D325"/>
    <mergeCell ref="C326:D326"/>
    <mergeCell ref="C327:D327"/>
    <mergeCell ref="C328:D328"/>
    <mergeCell ref="C329:D329"/>
    <mergeCell ref="C330:D330"/>
    <mergeCell ref="L313:M313"/>
    <mergeCell ref="L314:M314"/>
    <mergeCell ref="L315:M315"/>
    <mergeCell ref="I322:J322"/>
    <mergeCell ref="I314:J314"/>
    <mergeCell ref="I315:J315"/>
    <mergeCell ref="I316:J316"/>
    <mergeCell ref="I317:J317"/>
    <mergeCell ref="C334:D334"/>
    <mergeCell ref="C331:D331"/>
    <mergeCell ref="C332:D332"/>
    <mergeCell ref="C333:D333"/>
    <mergeCell ref="L325:M325"/>
    <mergeCell ref="L326:M326"/>
    <mergeCell ref="I334:J334"/>
    <mergeCell ref="I323:J323"/>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07:S308 C307:D314 F307:G311 O312:P329 O332:P332 R324:S329 O330:O331 O307:P309 O310:P311 P331"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1057" activePane="bottomRight" state="frozen"/>
      <selection pane="topRight" activeCell="D1" sqref="D1"/>
      <selection pane="bottomLeft" activeCell="A8" sqref="A8"/>
      <selection pane="bottomRight" activeCell="Y278" sqref="Y278"/>
    </sheetView>
  </sheetViews>
  <sheetFormatPr baseColWidth="10" defaultColWidth="11.5703125" defaultRowHeight="12.75" x14ac:dyDescent="0.2"/>
  <cols>
    <col min="1" max="1" width="4.5703125" style="11" bestFit="1" customWidth="1"/>
    <col min="2" max="2" width="6" style="11" bestFit="1" customWidth="1"/>
    <col min="3" max="3" width="1.42578125" style="12" customWidth="1"/>
    <col min="4" max="4" width="7.140625" style="13" customWidth="1"/>
    <col min="5" max="6" width="7.42578125" style="13" customWidth="1"/>
    <col min="7" max="7" width="7.140625" style="13" customWidth="1"/>
    <col min="8" max="8" width="7.42578125" style="13" customWidth="1"/>
    <col min="9" max="9" width="7.140625" style="13" customWidth="1"/>
    <col min="10" max="12" width="7.5703125" style="13" bestFit="1" customWidth="1"/>
    <col min="13" max="13" width="5.7109375" style="13" customWidth="1"/>
    <col min="14" max="14" width="6.42578125" style="13" customWidth="1"/>
    <col min="15" max="15" width="1.42578125" style="12" customWidth="1"/>
    <col min="16" max="16" width="4" style="13" customWidth="1"/>
    <col min="17" max="17" width="8.5703125" style="13" customWidth="1"/>
    <col min="18" max="18" width="5.7109375" style="13" customWidth="1"/>
    <col min="19" max="19" width="5.28515625" style="13" customWidth="1"/>
    <col min="20" max="20" width="6" style="13" customWidth="1"/>
    <col min="21" max="21" width="8.7109375" style="13" customWidth="1"/>
    <col min="22" max="22" width="6.7109375" style="13" customWidth="1"/>
    <col min="23" max="23" width="7.140625" style="13" customWidth="1"/>
    <col min="24" max="24" width="1.42578125" style="12" customWidth="1"/>
    <col min="25" max="25" width="15.7109375" style="13" customWidth="1"/>
    <col min="26" max="26" width="5.7109375" style="13" customWidth="1"/>
    <col min="27" max="27" width="7.7109375" style="13" customWidth="1"/>
    <col min="28" max="28" width="1.5703125" style="13" customWidth="1"/>
    <col min="29" max="29" width="7.28515625" style="13" bestFit="1" customWidth="1"/>
    <col min="30" max="31" width="6.7109375" style="13" bestFit="1" customWidth="1"/>
    <col min="32" max="32" width="1.85546875" style="13" customWidth="1"/>
    <col min="33" max="238" width="11.42578125" style="13" customWidth="1"/>
    <col min="239" max="239" width="11" style="13" customWidth="1"/>
  </cols>
  <sheetData>
    <row r="1" spans="1:248" ht="13.5" thickBot="1" x14ac:dyDescent="0.25">
      <c r="D1" s="760" t="s">
        <v>268</v>
      </c>
      <c r="E1" s="761"/>
      <c r="F1" s="761"/>
      <c r="G1" s="761"/>
      <c r="H1" s="761"/>
      <c r="I1" s="761"/>
      <c r="J1" s="761"/>
      <c r="K1" s="761"/>
      <c r="L1" s="761"/>
      <c r="M1" s="761"/>
      <c r="N1" s="762"/>
      <c r="P1" s="760" t="s">
        <v>17</v>
      </c>
      <c r="Q1" s="761"/>
      <c r="R1" s="761"/>
      <c r="S1" s="761"/>
      <c r="T1" s="761"/>
      <c r="U1" s="761"/>
      <c r="V1" s="761"/>
      <c r="W1" s="762"/>
      <c r="Y1" s="14"/>
      <c r="Z1" s="14"/>
      <c r="AA1" s="14"/>
      <c r="AC1" s="767" t="s">
        <v>188</v>
      </c>
      <c r="AD1" s="768"/>
      <c r="AE1" s="768"/>
      <c r="AG1" s="763" t="s">
        <v>18</v>
      </c>
      <c r="AH1" s="763"/>
    </row>
    <row r="2" spans="1:248" s="17" customFormat="1" x14ac:dyDescent="0.2">
      <c r="A2" s="383" t="s">
        <v>19</v>
      </c>
      <c r="B2" s="384" t="s">
        <v>2</v>
      </c>
      <c r="C2" s="15"/>
      <c r="D2" s="387" t="s">
        <v>195</v>
      </c>
      <c r="E2" s="388" t="s">
        <v>196</v>
      </c>
      <c r="F2" s="384" t="s">
        <v>197</v>
      </c>
      <c r="G2" s="387" t="s">
        <v>192</v>
      </c>
      <c r="H2" s="388" t="s">
        <v>193</v>
      </c>
      <c r="I2" s="384" t="s">
        <v>194</v>
      </c>
      <c r="J2" s="387" t="s">
        <v>189</v>
      </c>
      <c r="K2" s="388" t="s">
        <v>190</v>
      </c>
      <c r="L2" s="384" t="s">
        <v>191</v>
      </c>
      <c r="M2" s="389" t="s">
        <v>20</v>
      </c>
      <c r="N2" s="384" t="s">
        <v>21</v>
      </c>
      <c r="O2" s="15"/>
      <c r="P2" s="389" t="s">
        <v>26</v>
      </c>
      <c r="Q2" s="384" t="s">
        <v>25</v>
      </c>
      <c r="R2" s="389" t="s">
        <v>22</v>
      </c>
      <c r="S2" s="392" t="s">
        <v>39</v>
      </c>
      <c r="T2" s="384" t="s">
        <v>27</v>
      </c>
      <c r="U2" s="393" t="s">
        <v>28</v>
      </c>
      <c r="V2" s="389" t="s">
        <v>24</v>
      </c>
      <c r="W2" s="384" t="s">
        <v>23</v>
      </c>
      <c r="X2" s="16"/>
      <c r="Y2" s="764" t="s">
        <v>187</v>
      </c>
      <c r="Z2" s="765"/>
      <c r="AA2" s="766"/>
      <c r="AC2" s="389" t="s">
        <v>11</v>
      </c>
      <c r="AD2" s="388" t="s">
        <v>3</v>
      </c>
      <c r="AE2" s="384" t="s">
        <v>29</v>
      </c>
      <c r="AG2" s="400" t="s">
        <v>31</v>
      </c>
      <c r="AH2" s="401" t="s">
        <v>30</v>
      </c>
      <c r="IF2"/>
      <c r="IG2"/>
      <c r="IH2"/>
      <c r="II2"/>
      <c r="IJ2"/>
      <c r="IK2"/>
      <c r="IL2"/>
      <c r="IM2"/>
      <c r="IN2"/>
    </row>
    <row r="3" spans="1:248" s="17" customFormat="1" x14ac:dyDescent="0.2">
      <c r="A3" s="385" t="s">
        <v>156</v>
      </c>
      <c r="B3" s="386" t="s">
        <v>156</v>
      </c>
      <c r="C3" s="15"/>
      <c r="D3" s="390" t="s">
        <v>7</v>
      </c>
      <c r="E3" s="391" t="s">
        <v>7</v>
      </c>
      <c r="F3" s="386" t="s">
        <v>7</v>
      </c>
      <c r="G3" s="390" t="s">
        <v>157</v>
      </c>
      <c r="H3" s="391" t="s">
        <v>157</v>
      </c>
      <c r="I3" s="386" t="s">
        <v>157</v>
      </c>
      <c r="J3" s="390" t="s">
        <v>39</v>
      </c>
      <c r="K3" s="391" t="s">
        <v>39</v>
      </c>
      <c r="L3" s="386" t="s">
        <v>39</v>
      </c>
      <c r="M3" s="385" t="s">
        <v>246</v>
      </c>
      <c r="N3" s="386" t="s">
        <v>158</v>
      </c>
      <c r="O3" s="15"/>
      <c r="P3" s="390" t="s">
        <v>14</v>
      </c>
      <c r="Q3" s="394" t="s">
        <v>229</v>
      </c>
      <c r="R3" s="390" t="s">
        <v>247</v>
      </c>
      <c r="S3" s="395" t="s">
        <v>230</v>
      </c>
      <c r="T3" s="394" t="s">
        <v>229</v>
      </c>
      <c r="U3" s="396" t="s">
        <v>229</v>
      </c>
      <c r="V3" s="390" t="s">
        <v>8</v>
      </c>
      <c r="W3" s="394" t="s">
        <v>229</v>
      </c>
      <c r="X3" s="16"/>
      <c r="Y3" s="397"/>
      <c r="Z3" s="398"/>
      <c r="AA3" s="399"/>
      <c r="AC3" s="390" t="s">
        <v>156</v>
      </c>
      <c r="AD3" s="395" t="s">
        <v>39</v>
      </c>
      <c r="AE3" s="394" t="s">
        <v>39</v>
      </c>
      <c r="AG3" s="397" t="s">
        <v>7</v>
      </c>
      <c r="AH3" s="394" t="s">
        <v>7</v>
      </c>
      <c r="IF3"/>
      <c r="IG3"/>
      <c r="IH3"/>
      <c r="II3"/>
      <c r="IJ3"/>
      <c r="IK3"/>
      <c r="IL3"/>
      <c r="IM3"/>
      <c r="IN3"/>
    </row>
    <row r="4" spans="1:248" x14ac:dyDescent="0.2">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1.6386000000000001</v>
      </c>
      <c r="T4" s="380">
        <f t="shared" ref="T4:T67" ca="1" si="1">m*g</f>
        <v>16.074666000000001</v>
      </c>
      <c r="U4" s="381">
        <f t="shared" ref="U4:U67" ca="1" si="2">IF(pos_xz&lt;L_rampe,Poids*COS(Beta),0)</f>
        <v>2.7913364575045656</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
      <c r="A5" s="402">
        <f t="shared" ref="A5:A68" ca="1" si="6">IF(B4+0.01&lt;=T_ini+ROUNDUP(Temps_fin_propu,0), 0.01, IF(K4&gt;0, 0.1, 0.0001))</f>
        <v>0.01</v>
      </c>
      <c r="B5" s="357">
        <f t="shared" ref="B5:B68" ca="1" si="7">B4+pas</f>
        <v>0.01</v>
      </c>
      <c r="C5" s="342"/>
      <c r="D5" s="359">
        <f t="shared" ref="D5:D68" ca="1" si="8">IF(AND(L4&lt;L_rampe,Poussee&lt;Poids*SIN(M4)),0,(-W4+Poussee)/m*COS(M4)-U4/m*SIN(M4))</f>
        <v>4.9467363872371637</v>
      </c>
      <c r="E5" s="360">
        <f t="shared" ref="E5:E68" ca="1" si="9">IF(AND(L4&lt;L_rampe,Poussee&lt;Poids*SIN(M4)),0,(-W4+Poussee)/m*SIN(M4)+U4/m*COS(M4)-Poids/m)</f>
        <v>28.056322480495389</v>
      </c>
      <c r="F5" s="357">
        <f t="shared" ref="F5:F68" ca="1" si="10">SQRT(acc_x^2+acc_z^2)</f>
        <v>28.489075660933036</v>
      </c>
      <c r="G5" s="359">
        <f t="shared" ref="G5:G68" ca="1" si="11">G4+acc_x*pas</f>
        <v>4.9467363872371641E-2</v>
      </c>
      <c r="H5" s="360">
        <f t="shared" ref="H5:H68" ca="1" si="12">H4+acc_z*pas</f>
        <v>0.28056322480495388</v>
      </c>
      <c r="I5" s="357">
        <f t="shared" ref="I5:I68" ca="1" si="13">SQRT(vit_x^2+vit_z^2)</f>
        <v>0.28489075660933039</v>
      </c>
      <c r="J5" s="359">
        <f t="shared" ref="J5:J68" ca="1" si="14">J4+0.5*(vit_x+G4)*pas*(K4&gt;=0)</f>
        <v>2.4733681936185822E-4</v>
      </c>
      <c r="K5" s="360">
        <f t="shared" ref="K5:K68" ca="1" si="15">K4+0.5*(vit_z+H4)*pas</f>
        <v>1.4028161240247695E-3</v>
      </c>
      <c r="L5" s="357">
        <f t="shared" ca="1" si="0"/>
        <v>1.424453783046652E-3</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62.5</v>
      </c>
      <c r="R5" s="359">
        <f t="shared" ref="R5:R68" ca="1" si="20">Poussee/(g*ISP)</f>
        <v>3.317186183656276E-2</v>
      </c>
      <c r="S5" s="360">
        <f t="shared" ref="S5:S68" ca="1" si="21">S4-Débit*pas</f>
        <v>1.6382682813816345</v>
      </c>
      <c r="T5" s="357">
        <f t="shared" ca="1" si="1"/>
        <v>16.071411840353836</v>
      </c>
      <c r="U5" s="364">
        <f t="shared" ca="1" si="2"/>
        <v>2.7907713786121722</v>
      </c>
      <c r="V5" s="359">
        <f t="shared" ca="1" si="3"/>
        <v>1.2249998281550369</v>
      </c>
      <c r="W5" s="357">
        <f t="shared" ca="1" si="4"/>
        <v>1.0819655820122723E-4</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1.4028161240247695E-3</v>
      </c>
      <c r="AF5" s="344"/>
      <c r="AG5" s="359">
        <f t="shared" ref="AG5:AG68" ca="1" si="27">IF(AND(L4&lt;L_rampe,Poussee&lt;Poids*SIN(M4)),0,(-W4+Poussee)/m-Poids*SIN(M4)/m)</f>
        <v>28.489075658844996</v>
      </c>
      <c r="AH5" s="357">
        <f t="shared" ref="AH5:AH68" ca="1" si="28">IF(AND(L4&lt;L_rampe,Poussee&lt;Poids*SIN(M4)), g*SIN(M4), (-W4+Poussee)/m)</f>
        <v>38.150039715894756</v>
      </c>
    </row>
    <row r="6" spans="1:248" x14ac:dyDescent="0.2">
      <c r="A6" s="402">
        <f t="shared" ca="1" si="6"/>
        <v>0.01</v>
      </c>
      <c r="B6" s="357">
        <f t="shared" ca="1" si="7"/>
        <v>0.02</v>
      </c>
      <c r="C6" s="342"/>
      <c r="D6" s="359">
        <f t="shared" ca="1" si="8"/>
        <v>18.207494381418815</v>
      </c>
      <c r="E6" s="360">
        <f t="shared" ca="1" si="9"/>
        <v>103.26579451145149</v>
      </c>
      <c r="F6" s="357">
        <f t="shared" ca="1" si="10"/>
        <v>104.85865328016911</v>
      </c>
      <c r="G6" s="359">
        <f t="shared" ca="1" si="11"/>
        <v>0.23154230768655978</v>
      </c>
      <c r="H6" s="360">
        <f t="shared" ca="1" si="12"/>
        <v>1.3132211699194687</v>
      </c>
      <c r="I6" s="357">
        <f t="shared" ca="1" si="13"/>
        <v>1.333477289410463</v>
      </c>
      <c r="J6" s="359">
        <f t="shared" ca="1" si="14"/>
        <v>1.6523851771565153E-3</v>
      </c>
      <c r="K6" s="360">
        <f t="shared" ca="1" si="15"/>
        <v>9.3717380976468829E-3</v>
      </c>
      <c r="L6" s="357">
        <f t="shared" ca="1" si="0"/>
        <v>9.5162940131425424E-3</v>
      </c>
      <c r="M6" s="359">
        <f t="shared" ca="1" si="16"/>
        <v>1.3962634015954636</v>
      </c>
      <c r="N6" s="357">
        <f t="shared" ca="1" si="17"/>
        <v>80</v>
      </c>
      <c r="O6" s="343"/>
      <c r="P6" s="363">
        <f t="shared" ca="1" si="18"/>
        <v>1</v>
      </c>
      <c r="Q6" s="357">
        <f t="shared" ca="1" si="19"/>
        <v>187.5</v>
      </c>
      <c r="R6" s="359">
        <f t="shared" ca="1" si="20"/>
        <v>9.9515585509688281E-2</v>
      </c>
      <c r="S6" s="360">
        <f t="shared" ca="1" si="21"/>
        <v>1.6372731255265376</v>
      </c>
      <c r="T6" s="357">
        <f t="shared" ca="1" si="1"/>
        <v>16.061649361415334</v>
      </c>
      <c r="U6" s="364">
        <f t="shared" ca="1" si="2"/>
        <v>2.7890761419349892</v>
      </c>
      <c r="V6" s="359">
        <f t="shared" ca="1" si="3"/>
        <v>1.2249988519626209</v>
      </c>
      <c r="W6" s="357">
        <f t="shared" ca="1" si="4"/>
        <v>2.3704327003539081E-3</v>
      </c>
      <c r="X6" s="343"/>
      <c r="Y6" s="367" t="str">
        <f t="shared" ca="1" si="22"/>
        <v/>
      </c>
      <c r="Z6" s="368" t="str">
        <f t="shared" ca="1" si="23"/>
        <v/>
      </c>
      <c r="AA6" s="369" t="str">
        <f t="shared" ca="1" si="24"/>
        <v/>
      </c>
      <c r="AB6" s="344"/>
      <c r="AC6" s="363" t="e">
        <f t="shared" ca="1" si="25"/>
        <v>#N/A</v>
      </c>
      <c r="AD6" s="376" t="e">
        <f t="shared" ca="1" si="26"/>
        <v>#N/A</v>
      </c>
      <c r="AE6" s="377">
        <f t="shared" ca="1" si="5"/>
        <v>9.3717380976468829E-3</v>
      </c>
      <c r="AF6" s="344"/>
      <c r="AG6" s="359">
        <f t="shared" ca="1" si="27"/>
        <v>104.85865327505721</v>
      </c>
      <c r="AH6" s="357">
        <f t="shared" ca="1" si="28"/>
        <v>114.51961733210696</v>
      </c>
    </row>
    <row r="7" spans="1:248" x14ac:dyDescent="0.2">
      <c r="A7" s="402">
        <f t="shared" ca="1" si="6"/>
        <v>0.01</v>
      </c>
      <c r="B7" s="357">
        <f t="shared" ca="1" si="7"/>
        <v>0.03</v>
      </c>
      <c r="C7" s="342"/>
      <c r="D7" s="359">
        <f t="shared" ca="1" si="8"/>
        <v>23.794904185470237</v>
      </c>
      <c r="E7" s="360">
        <f t="shared" ca="1" si="9"/>
        <v>134.9552456350801</v>
      </c>
      <c r="F7" s="357">
        <f t="shared" ca="1" si="10"/>
        <v>137.03691396707868</v>
      </c>
      <c r="G7" s="359">
        <f t="shared" ca="1" si="11"/>
        <v>0.46949134954126215</v>
      </c>
      <c r="H7" s="360">
        <f t="shared" ca="1" si="12"/>
        <v>2.6627736262702699</v>
      </c>
      <c r="I7" s="357">
        <f t="shared" ca="1" si="13"/>
        <v>2.7038464290810968</v>
      </c>
      <c r="J7" s="359">
        <f t="shared" ca="1" si="14"/>
        <v>5.1575534632956246E-3</v>
      </c>
      <c r="K7" s="360">
        <f t="shared" ca="1" si="15"/>
        <v>2.9251712078595574E-2</v>
      </c>
      <c r="L7" s="357">
        <f t="shared" ca="1" si="0"/>
        <v>2.970291260559824E-2</v>
      </c>
      <c r="M7" s="359">
        <f t="shared" ca="1" si="16"/>
        <v>1.3962634015954636</v>
      </c>
      <c r="N7" s="357">
        <f t="shared" ca="1" si="17"/>
        <v>80</v>
      </c>
      <c r="O7" s="343"/>
      <c r="P7" s="363">
        <f t="shared" ca="1" si="18"/>
        <v>2</v>
      </c>
      <c r="Q7" s="357">
        <f t="shared" ca="1" si="19"/>
        <v>240</v>
      </c>
      <c r="R7" s="359">
        <f t="shared" ca="1" si="20"/>
        <v>0.127379949452401</v>
      </c>
      <c r="S7" s="360">
        <f t="shared" ca="1" si="21"/>
        <v>1.6359993260320136</v>
      </c>
      <c r="T7" s="357">
        <f t="shared" ca="1" si="1"/>
        <v>16.049153388374055</v>
      </c>
      <c r="U7" s="364">
        <f t="shared" ca="1" si="2"/>
        <v>2.786906238988196</v>
      </c>
      <c r="V7" s="359">
        <f t="shared" ca="1" si="3"/>
        <v>1.2249964166705114</v>
      </c>
      <c r="W7" s="357">
        <f t="shared" ca="1" si="4"/>
        <v>9.7458463834672691E-3</v>
      </c>
      <c r="X7" s="343"/>
      <c r="Y7" s="367" t="str">
        <f t="shared" ca="1" si="22"/>
        <v/>
      </c>
      <c r="Z7" s="368" t="str">
        <f t="shared" ca="1" si="23"/>
        <v/>
      </c>
      <c r="AA7" s="369" t="str">
        <f t="shared" ca="1" si="24"/>
        <v/>
      </c>
      <c r="AB7" s="344"/>
      <c r="AC7" s="363" t="e">
        <f t="shared" ca="1" si="25"/>
        <v>#N/A</v>
      </c>
      <c r="AD7" s="376" t="e">
        <f t="shared" ca="1" si="26"/>
        <v>#N/A</v>
      </c>
      <c r="AE7" s="377">
        <f t="shared" ca="1" si="5"/>
        <v>2.9251712078595574E-2</v>
      </c>
      <c r="AF7" s="344"/>
      <c r="AG7" s="359">
        <f t="shared" ca="1" si="27"/>
        <v>137.03691396065994</v>
      </c>
      <c r="AH7" s="357">
        <f t="shared" ca="1" si="28"/>
        <v>146.69787801770971</v>
      </c>
    </row>
    <row r="8" spans="1:248" x14ac:dyDescent="0.2">
      <c r="A8" s="402">
        <f t="shared" ca="1" si="6"/>
        <v>0.01</v>
      </c>
      <c r="B8" s="357">
        <f t="shared" ca="1" si="7"/>
        <v>0.04</v>
      </c>
      <c r="C8" s="342"/>
      <c r="D8" s="359">
        <f t="shared" ca="1" si="8"/>
        <v>21.688067571088073</v>
      </c>
      <c r="E8" s="360">
        <f t="shared" ca="1" si="9"/>
        <v>123.00614993710451</v>
      </c>
      <c r="F8" s="357">
        <f t="shared" ca="1" si="10"/>
        <v>124.90350354300521</v>
      </c>
      <c r="G8" s="359">
        <f t="shared" ca="1" si="11"/>
        <v>0.68637202525214291</v>
      </c>
      <c r="H8" s="360">
        <f t="shared" ca="1" si="12"/>
        <v>3.892835125641315</v>
      </c>
      <c r="I8" s="357">
        <f t="shared" ca="1" si="13"/>
        <v>3.9528814645111177</v>
      </c>
      <c r="J8" s="359">
        <f t="shared" ca="1" si="14"/>
        <v>1.093687033726265E-2</v>
      </c>
      <c r="K8" s="360">
        <f t="shared" ca="1" si="15"/>
        <v>6.2029755838153497E-2</v>
      </c>
      <c r="L8" s="357">
        <f t="shared" ca="1" si="0"/>
        <v>6.2986552073557994E-2</v>
      </c>
      <c r="M8" s="359">
        <f t="shared" ca="1" si="16"/>
        <v>1.3962634015954636</v>
      </c>
      <c r="N8" s="357">
        <f t="shared" ca="1" si="17"/>
        <v>80</v>
      </c>
      <c r="O8" s="343"/>
      <c r="P8" s="363">
        <f t="shared" ca="1" si="18"/>
        <v>2</v>
      </c>
      <c r="Q8" s="357">
        <f t="shared" ca="1" si="19"/>
        <v>220</v>
      </c>
      <c r="R8" s="359">
        <f t="shared" ca="1" si="20"/>
        <v>0.11676495366470091</v>
      </c>
      <c r="S8" s="360">
        <f t="shared" ca="1" si="21"/>
        <v>1.6348316764953665</v>
      </c>
      <c r="T8" s="357">
        <f t="shared" ca="1" si="1"/>
        <v>16.037698746419547</v>
      </c>
      <c r="U8" s="364">
        <f t="shared" ca="1" si="2"/>
        <v>2.7849171612869688</v>
      </c>
      <c r="V8" s="359">
        <f t="shared" ca="1" si="3"/>
        <v>1.224992401378477</v>
      </c>
      <c r="W8" s="357">
        <f t="shared" ca="1" si="4"/>
        <v>2.0829635881099085E-2</v>
      </c>
      <c r="X8" s="343"/>
      <c r="Y8" s="367" t="str">
        <f t="shared" ca="1" si="22"/>
        <v/>
      </c>
      <c r="Z8" s="368" t="str">
        <f t="shared" ca="1" si="23"/>
        <v/>
      </c>
      <c r="AA8" s="369" t="str">
        <f t="shared" ca="1" si="24"/>
        <v/>
      </c>
      <c r="AB8" s="344"/>
      <c r="AC8" s="363" t="e">
        <f t="shared" ca="1" si="25"/>
        <v>#N/A</v>
      </c>
      <c r="AD8" s="376" t="e">
        <f t="shared" ca="1" si="26"/>
        <v>#N/A</v>
      </c>
      <c r="AE8" s="377">
        <f t="shared" ca="1" si="5"/>
        <v>6.2029755838153497E-2</v>
      </c>
      <c r="AF8" s="344"/>
      <c r="AG8" s="359">
        <f t="shared" ca="1" si="27"/>
        <v>124.90350353707933</v>
      </c>
      <c r="AH8" s="357">
        <f t="shared" ca="1" si="28"/>
        <v>134.5644675941291</v>
      </c>
    </row>
    <row r="9" spans="1:248" x14ac:dyDescent="0.2">
      <c r="A9" s="402">
        <f t="shared" ca="1" si="6"/>
        <v>0.01</v>
      </c>
      <c r="B9" s="357">
        <f t="shared" ca="1" si="7"/>
        <v>0.05</v>
      </c>
      <c r="C9" s="342"/>
      <c r="D9" s="359">
        <f t="shared" ca="1" si="8"/>
        <v>20.594138828535065</v>
      </c>
      <c r="E9" s="360">
        <f t="shared" ca="1" si="9"/>
        <v>116.80184408128812</v>
      </c>
      <c r="F9" s="357">
        <f t="shared" ca="1" si="10"/>
        <v>118.60349630124112</v>
      </c>
      <c r="G9" s="359">
        <f t="shared" ca="1" si="11"/>
        <v>0.8923134135374936</v>
      </c>
      <c r="H9" s="360">
        <f t="shared" ca="1" si="12"/>
        <v>5.0608535664541963</v>
      </c>
      <c r="I9" s="357">
        <f t="shared" ca="1" si="13"/>
        <v>5.1389164275235197</v>
      </c>
      <c r="J9" s="359">
        <f t="shared" ca="1" si="14"/>
        <v>1.8830297531210832E-2</v>
      </c>
      <c r="K9" s="360">
        <f t="shared" ca="1" si="15"/>
        <v>0.10679819929863105</v>
      </c>
      <c r="L9" s="357">
        <f t="shared" ca="1" si="0"/>
        <v>0.10844554153373039</v>
      </c>
      <c r="M9" s="359">
        <f t="shared" ca="1" si="16"/>
        <v>1.3962634015954636</v>
      </c>
      <c r="N9" s="357">
        <f t="shared" ca="1" si="17"/>
        <v>80</v>
      </c>
      <c r="O9" s="343"/>
      <c r="P9" s="363">
        <f t="shared" ca="1" si="18"/>
        <v>3</v>
      </c>
      <c r="Q9" s="357">
        <f t="shared" ca="1" si="19"/>
        <v>209.56896551724137</v>
      </c>
      <c r="R9" s="359">
        <f t="shared" ca="1" si="20"/>
        <v>0.11122868430990905</v>
      </c>
      <c r="S9" s="360">
        <f t="shared" ca="1" si="21"/>
        <v>1.6337193896522675</v>
      </c>
      <c r="T9" s="357">
        <f t="shared" ca="1" si="1"/>
        <v>16.026787212488745</v>
      </c>
      <c r="U9" s="364">
        <f t="shared" ca="1" si="2"/>
        <v>2.7830223933043343</v>
      </c>
      <c r="V9" s="359">
        <f t="shared" ca="1" si="3"/>
        <v>1.2249869172904462</v>
      </c>
      <c r="W9" s="357">
        <f t="shared" ca="1" si="4"/>
        <v>3.5204263358769229E-2</v>
      </c>
      <c r="X9" s="343"/>
      <c r="Y9" s="367" t="str">
        <f t="shared" ca="1" si="22"/>
        <v/>
      </c>
      <c r="Z9" s="368" t="str">
        <f t="shared" ca="1" si="23"/>
        <v/>
      </c>
      <c r="AA9" s="369" t="str">
        <f t="shared" ca="1" si="24"/>
        <v/>
      </c>
      <c r="AB9" s="344"/>
      <c r="AC9" s="363" t="e">
        <f t="shared" ca="1" si="25"/>
        <v>#N/A</v>
      </c>
      <c r="AD9" s="376" t="e">
        <f t="shared" ca="1" si="26"/>
        <v>#N/A</v>
      </c>
      <c r="AE9" s="377">
        <f t="shared" ca="1" si="5"/>
        <v>0.10679819929863105</v>
      </c>
      <c r="AF9" s="344"/>
      <c r="AG9" s="359">
        <f t="shared" ca="1" si="27"/>
        <v>118.60349629557052</v>
      </c>
      <c r="AH9" s="357">
        <f t="shared" ca="1" si="28"/>
        <v>128.26446035262029</v>
      </c>
    </row>
    <row r="10" spans="1:248" x14ac:dyDescent="0.2">
      <c r="A10" s="402">
        <f t="shared" ca="1" si="6"/>
        <v>0.01</v>
      </c>
      <c r="B10" s="357">
        <f t="shared" ca="1" si="7"/>
        <v>6.0000000000000005E-2</v>
      </c>
      <c r="C10" s="342"/>
      <c r="D10" s="359">
        <f t="shared" ca="1" si="8"/>
        <v>20.516034224965065</v>
      </c>
      <c r="E10" s="360">
        <f t="shared" ca="1" si="9"/>
        <v>116.35886790190318</v>
      </c>
      <c r="F10" s="357">
        <f t="shared" ca="1" si="10"/>
        <v>118.15368720328829</v>
      </c>
      <c r="G10" s="359">
        <f t="shared" ca="1" si="11"/>
        <v>1.0974737557871443</v>
      </c>
      <c r="H10" s="360">
        <f t="shared" ca="1" si="12"/>
        <v>6.2244422454732282</v>
      </c>
      <c r="I10" s="357">
        <f t="shared" ca="1" si="13"/>
        <v>6.3204532995563971</v>
      </c>
      <c r="J10" s="359">
        <f t="shared" ca="1" si="14"/>
        <v>2.8779233377834022E-2</v>
      </c>
      <c r="K10" s="360">
        <f t="shared" ca="1" si="15"/>
        <v>0.16322467835826818</v>
      </c>
      <c r="L10" s="357">
        <f t="shared" ca="1" si="0"/>
        <v>0.16574239016912945</v>
      </c>
      <c r="M10" s="359">
        <f t="shared" ca="1" si="16"/>
        <v>1.3962634015954636</v>
      </c>
      <c r="N10" s="357">
        <f t="shared" ca="1" si="17"/>
        <v>80</v>
      </c>
      <c r="O10" s="343"/>
      <c r="P10" s="363">
        <f t="shared" ca="1" si="18"/>
        <v>3</v>
      </c>
      <c r="Q10" s="357">
        <f t="shared" ca="1" si="19"/>
        <v>208.70689655172413</v>
      </c>
      <c r="R10" s="359">
        <f t="shared" ca="1" si="20"/>
        <v>0.11077114138802543</v>
      </c>
      <c r="S10" s="360">
        <f t="shared" ca="1" si="21"/>
        <v>1.6326116782383873</v>
      </c>
      <c r="T10" s="357">
        <f t="shared" ca="1" si="1"/>
        <v>16.015920563518581</v>
      </c>
      <c r="U10" s="364">
        <f t="shared" ca="1" si="2"/>
        <v>2.7811354195133187</v>
      </c>
      <c r="V10" s="359">
        <f t="shared" ca="1" si="3"/>
        <v>1.2249800051400839</v>
      </c>
      <c r="W10" s="357">
        <f t="shared" ca="1" si="4"/>
        <v>5.3253254506466112E-2</v>
      </c>
      <c r="X10" s="343"/>
      <c r="Y10" s="367" t="str">
        <f t="shared" ca="1" si="22"/>
        <v/>
      </c>
      <c r="Z10" s="368" t="str">
        <f t="shared" ca="1" si="23"/>
        <v/>
      </c>
      <c r="AA10" s="369" t="str">
        <f t="shared" ca="1" si="24"/>
        <v/>
      </c>
      <c r="AB10" s="344"/>
      <c r="AC10" s="363" t="e">
        <f t="shared" ca="1" si="25"/>
        <v>#N/A</v>
      </c>
      <c r="AD10" s="376" t="e">
        <f t="shared" ca="1" si="26"/>
        <v>#N/A</v>
      </c>
      <c r="AE10" s="377">
        <f t="shared" ca="1" si="5"/>
        <v>0.16322467835826818</v>
      </c>
      <c r="AF10" s="344"/>
      <c r="AG10" s="359">
        <f t="shared" ca="1" si="27"/>
        <v>118.15368719763516</v>
      </c>
      <c r="AH10" s="357">
        <f t="shared" ca="1" si="28"/>
        <v>127.81465125468493</v>
      </c>
    </row>
    <row r="11" spans="1:248" x14ac:dyDescent="0.2">
      <c r="A11" s="402">
        <f t="shared" ca="1" si="6"/>
        <v>0.01</v>
      </c>
      <c r="B11" s="357">
        <f t="shared" ca="1" si="7"/>
        <v>7.0000000000000007E-2</v>
      </c>
      <c r="C11" s="342"/>
      <c r="D11" s="359">
        <f t="shared" ca="1" si="8"/>
        <v>20.437370464434398</v>
      </c>
      <c r="E11" s="360">
        <f t="shared" ca="1" si="9"/>
        <v>115.91272053603225</v>
      </c>
      <c r="F11" s="357">
        <f t="shared" ca="1" si="10"/>
        <v>117.70065799971064</v>
      </c>
      <c r="G11" s="359">
        <f t="shared" ca="1" si="11"/>
        <v>1.3018474604314882</v>
      </c>
      <c r="H11" s="360">
        <f t="shared" ca="1" si="12"/>
        <v>7.3835694508335505</v>
      </c>
      <c r="I11" s="357">
        <f t="shared" ca="1" si="13"/>
        <v>7.4974598795534995</v>
      </c>
      <c r="J11" s="359">
        <f t="shared" ca="1" si="14"/>
        <v>4.0775839458927189E-2</v>
      </c>
      <c r="K11" s="360">
        <f t="shared" ca="1" si="15"/>
        <v>0.23126473683980209</v>
      </c>
      <c r="L11" s="357">
        <f t="shared" ca="1" si="0"/>
        <v>0.23483195606467855</v>
      </c>
      <c r="M11" s="359">
        <f t="shared" ca="1" si="16"/>
        <v>1.3962634015954636</v>
      </c>
      <c r="N11" s="357">
        <f t="shared" ca="1" si="17"/>
        <v>80</v>
      </c>
      <c r="O11" s="343"/>
      <c r="P11" s="363">
        <f t="shared" ca="1" si="18"/>
        <v>3</v>
      </c>
      <c r="Q11" s="357">
        <f t="shared" ca="1" si="19"/>
        <v>207.84482758620689</v>
      </c>
      <c r="R11" s="359">
        <f t="shared" ca="1" si="20"/>
        <v>0.1103135984661418</v>
      </c>
      <c r="S11" s="360">
        <f t="shared" ca="1" si="21"/>
        <v>1.6315085422537259</v>
      </c>
      <c r="T11" s="357">
        <f t="shared" ca="1" si="1"/>
        <v>16.005098799509053</v>
      </c>
      <c r="U11" s="364">
        <f t="shared" ca="1" si="2"/>
        <v>2.7792562399139227</v>
      </c>
      <c r="V11" s="359">
        <f t="shared" ca="1" si="3"/>
        <v>1.2249716703973195</v>
      </c>
      <c r="W11" s="357">
        <f t="shared" ca="1" si="4"/>
        <v>7.49333323859626E-2</v>
      </c>
      <c r="X11" s="343"/>
      <c r="Y11" s="367" t="str">
        <f t="shared" ca="1" si="22"/>
        <v/>
      </c>
      <c r="Z11" s="368" t="str">
        <f t="shared" ca="1" si="23"/>
        <v/>
      </c>
      <c r="AA11" s="369" t="str">
        <f t="shared" ca="1" si="24"/>
        <v/>
      </c>
      <c r="AB11" s="344"/>
      <c r="AC11" s="363" t="e">
        <f t="shared" ca="1" si="25"/>
        <v>#N/A</v>
      </c>
      <c r="AD11" s="376" t="e">
        <f t="shared" ca="1" si="26"/>
        <v>#N/A</v>
      </c>
      <c r="AE11" s="377">
        <f t="shared" ca="1" si="5"/>
        <v>0.23126473683980209</v>
      </c>
      <c r="AF11" s="344"/>
      <c r="AG11" s="359">
        <f t="shared" ca="1" si="27"/>
        <v>117.70065799407492</v>
      </c>
      <c r="AH11" s="357">
        <f t="shared" ca="1" si="28"/>
        <v>127.36162205112468</v>
      </c>
    </row>
    <row r="12" spans="1:248" x14ac:dyDescent="0.2">
      <c r="A12" s="402">
        <f t="shared" ca="1" si="6"/>
        <v>0.01</v>
      </c>
      <c r="B12" s="357">
        <f t="shared" ca="1" si="7"/>
        <v>0.08</v>
      </c>
      <c r="C12" s="342"/>
      <c r="D12" s="359">
        <f t="shared" ca="1" si="8"/>
        <v>20.358151683475871</v>
      </c>
      <c r="E12" s="360">
        <f t="shared" ca="1" si="9"/>
        <v>115.46342544321128</v>
      </c>
      <c r="F12" s="357">
        <f t="shared" ca="1" si="10"/>
        <v>117.24443251194242</v>
      </c>
      <c r="G12" s="359">
        <f t="shared" ca="1" si="11"/>
        <v>1.505428977266247</v>
      </c>
      <c r="H12" s="360">
        <f t="shared" ca="1" si="12"/>
        <v>8.5382037052656639</v>
      </c>
      <c r="I12" s="357">
        <f t="shared" ca="1" si="13"/>
        <v>8.6699042046729229</v>
      </c>
      <c r="J12" s="359">
        <f t="shared" ca="1" si="14"/>
        <v>5.4812221647415865E-2</v>
      </c>
      <c r="K12" s="360">
        <f t="shared" ca="1" si="15"/>
        <v>0.31087360262029817</v>
      </c>
      <c r="L12" s="357">
        <f t="shared" ca="1" si="0"/>
        <v>0.31566877648581038</v>
      </c>
      <c r="M12" s="359">
        <f t="shared" ca="1" si="16"/>
        <v>1.3962634015954636</v>
      </c>
      <c r="N12" s="357">
        <f t="shared" ca="1" si="17"/>
        <v>80</v>
      </c>
      <c r="O12" s="343"/>
      <c r="P12" s="363">
        <f t="shared" ca="1" si="18"/>
        <v>3</v>
      </c>
      <c r="Q12" s="357">
        <f t="shared" ca="1" si="19"/>
        <v>206.98275862068965</v>
      </c>
      <c r="R12" s="359">
        <f t="shared" ca="1" si="20"/>
        <v>0.10985605554425819</v>
      </c>
      <c r="S12" s="360">
        <f t="shared" ca="1" si="21"/>
        <v>1.6304099816982833</v>
      </c>
      <c r="T12" s="357">
        <f t="shared" ca="1" si="1"/>
        <v>15.994321920460161</v>
      </c>
      <c r="U12" s="364">
        <f t="shared" ca="1" si="2"/>
        <v>2.7773848545061455</v>
      </c>
      <c r="V12" s="359">
        <f t="shared" ca="1" si="3"/>
        <v>1.2249619185756049</v>
      </c>
      <c r="W12" s="357">
        <f t="shared" ca="1" si="4"/>
        <v>0.1002009608844463</v>
      </c>
      <c r="X12" s="343"/>
      <c r="Y12" s="367" t="str">
        <f t="shared" ca="1" si="22"/>
        <v/>
      </c>
      <c r="Z12" s="368" t="str">
        <f t="shared" ca="1" si="23"/>
        <v/>
      </c>
      <c r="AA12" s="369" t="str">
        <f t="shared" ca="1" si="24"/>
        <v/>
      </c>
      <c r="AB12" s="344"/>
      <c r="AC12" s="363" t="e">
        <f t="shared" ca="1" si="25"/>
        <v>#N/A</v>
      </c>
      <c r="AD12" s="376" t="e">
        <f t="shared" ca="1" si="26"/>
        <v>#N/A</v>
      </c>
      <c r="AE12" s="377">
        <f t="shared" ca="1" si="5"/>
        <v>0.31087360262029817</v>
      </c>
      <c r="AF12" s="344"/>
      <c r="AG12" s="359">
        <f t="shared" ca="1" si="27"/>
        <v>117.24443250632405</v>
      </c>
      <c r="AH12" s="357">
        <f t="shared" ca="1" si="28"/>
        <v>126.90539656337381</v>
      </c>
    </row>
    <row r="13" spans="1:248" x14ac:dyDescent="0.2">
      <c r="A13" s="402">
        <f t="shared" ca="1" si="6"/>
        <v>0.01</v>
      </c>
      <c r="B13" s="357">
        <f t="shared" ca="1" si="7"/>
        <v>0.09</v>
      </c>
      <c r="C13" s="342"/>
      <c r="D13" s="359">
        <f t="shared" ca="1" si="8"/>
        <v>20.278382066775443</v>
      </c>
      <c r="E13" s="360">
        <f t="shared" ca="1" si="9"/>
        <v>115.01100635606748</v>
      </c>
      <c r="F13" s="357">
        <f t="shared" ca="1" si="10"/>
        <v>116.78503483872201</v>
      </c>
      <c r="G13" s="359">
        <f t="shared" ca="1" si="11"/>
        <v>1.7082127979340014</v>
      </c>
      <c r="H13" s="360">
        <f t="shared" ca="1" si="12"/>
        <v>9.6883137688263385</v>
      </c>
      <c r="I13" s="357">
        <f t="shared" ca="1" si="13"/>
        <v>9.8377545530601402</v>
      </c>
      <c r="J13" s="359">
        <f t="shared" ca="1" si="14"/>
        <v>7.0880430523417109E-2</v>
      </c>
      <c r="K13" s="360">
        <f t="shared" ca="1" si="15"/>
        <v>0.40200618999075821</v>
      </c>
      <c r="L13" s="357">
        <f t="shared" ca="1" si="0"/>
        <v>0.40820707027447545</v>
      </c>
      <c r="M13" s="359">
        <f t="shared" ca="1" si="16"/>
        <v>1.3962634015954636</v>
      </c>
      <c r="N13" s="357">
        <f t="shared" ca="1" si="17"/>
        <v>80</v>
      </c>
      <c r="O13" s="343"/>
      <c r="P13" s="363">
        <f t="shared" ca="1" si="18"/>
        <v>3</v>
      </c>
      <c r="Q13" s="357">
        <f t="shared" ca="1" si="19"/>
        <v>206.12068965517241</v>
      </c>
      <c r="R13" s="359">
        <f t="shared" ca="1" si="20"/>
        <v>0.10939851262237456</v>
      </c>
      <c r="S13" s="360">
        <f t="shared" ca="1" si="21"/>
        <v>1.6293159965720596</v>
      </c>
      <c r="T13" s="357">
        <f t="shared" ca="1" si="1"/>
        <v>15.983589926371906</v>
      </c>
      <c r="U13" s="364">
        <f t="shared" ca="1" si="2"/>
        <v>2.7755212632899879</v>
      </c>
      <c r="V13" s="359">
        <f t="shared" ca="1" si="3"/>
        <v>1.2249507552315615</v>
      </c>
      <c r="W13" s="357">
        <f t="shared" ca="1" si="4"/>
        <v>0.12901235307595191</v>
      </c>
      <c r="X13" s="343"/>
      <c r="Y13" s="367" t="str">
        <f t="shared" ca="1" si="22"/>
        <v/>
      </c>
      <c r="Z13" s="368" t="str">
        <f t="shared" ca="1" si="23"/>
        <v/>
      </c>
      <c r="AA13" s="369" t="str">
        <f t="shared" ca="1" si="24"/>
        <v/>
      </c>
      <c r="AB13" s="344"/>
      <c r="AC13" s="363" t="e">
        <f t="shared" ca="1" si="25"/>
        <v>#N/A</v>
      </c>
      <c r="AD13" s="376" t="e">
        <f t="shared" ca="1" si="26"/>
        <v>#N/A</v>
      </c>
      <c r="AE13" s="377">
        <f t="shared" ca="1" si="5"/>
        <v>0.40200618999075821</v>
      </c>
      <c r="AF13" s="344"/>
      <c r="AG13" s="359">
        <f t="shared" ca="1" si="27"/>
        <v>116.7850348331209</v>
      </c>
      <c r="AH13" s="357">
        <f t="shared" ca="1" si="28"/>
        <v>126.44599889017067</v>
      </c>
    </row>
    <row r="14" spans="1:248" x14ac:dyDescent="0.2">
      <c r="A14" s="402">
        <f t="shared" ca="1" si="6"/>
        <v>0.01</v>
      </c>
      <c r="B14" s="357">
        <f t="shared" ca="1" si="7"/>
        <v>9.9999999999999992E-2</v>
      </c>
      <c r="C14" s="342"/>
      <c r="D14" s="359">
        <f t="shared" ca="1" si="8"/>
        <v>20.198065846325353</v>
      </c>
      <c r="E14" s="360">
        <f t="shared" ca="1" si="9"/>
        <v>114.55548727551631</v>
      </c>
      <c r="F14" s="357">
        <f t="shared" ca="1" si="10"/>
        <v>116.32248935121477</v>
      </c>
      <c r="G14" s="359">
        <f t="shared" ca="1" si="11"/>
        <v>1.9101934563972549</v>
      </c>
      <c r="H14" s="360">
        <f t="shared" ca="1" si="12"/>
        <v>10.833868641581502</v>
      </c>
      <c r="I14" s="357">
        <f t="shared" ca="1" si="13"/>
        <v>11.000979446572288</v>
      </c>
      <c r="J14" s="359">
        <f t="shared" ca="1" si="14"/>
        <v>8.8972461795073399E-2</v>
      </c>
      <c r="K14" s="360">
        <f t="shared" ca="1" si="15"/>
        <v>0.50461710204279742</v>
      </c>
      <c r="L14" s="357">
        <f t="shared" ca="1" si="0"/>
        <v>0.51240074027263738</v>
      </c>
      <c r="M14" s="359">
        <f t="shared" ca="1" si="16"/>
        <v>1.3962634015954636</v>
      </c>
      <c r="N14" s="357">
        <f t="shared" ca="1" si="17"/>
        <v>80</v>
      </c>
      <c r="O14" s="343"/>
      <c r="P14" s="363">
        <f t="shared" ca="1" si="18"/>
        <v>3</v>
      </c>
      <c r="Q14" s="357">
        <f t="shared" ca="1" si="19"/>
        <v>205.25862068965517</v>
      </c>
      <c r="R14" s="359">
        <f t="shared" ca="1" si="20"/>
        <v>0.10894096970049094</v>
      </c>
      <c r="S14" s="360">
        <f t="shared" ca="1" si="21"/>
        <v>1.6282265868750547</v>
      </c>
      <c r="T14" s="357">
        <f t="shared" ca="1" si="1"/>
        <v>15.972902817244288</v>
      </c>
      <c r="U14" s="364">
        <f t="shared" ca="1" si="2"/>
        <v>2.7736654662654496</v>
      </c>
      <c r="V14" s="359">
        <f t="shared" ca="1" si="3"/>
        <v>1.2249381859646207</v>
      </c>
      <c r="W14" s="357">
        <f t="shared" ca="1" si="4"/>
        <v>0.1613234796180695</v>
      </c>
      <c r="X14" s="343"/>
      <c r="Y14" s="367" t="str">
        <f t="shared" ca="1" si="22"/>
        <v/>
      </c>
      <c r="Z14" s="368" t="str">
        <f t="shared" ca="1" si="23"/>
        <v/>
      </c>
      <c r="AA14" s="369" t="str">
        <f t="shared" ca="1" si="24"/>
        <v/>
      </c>
      <c r="AB14" s="344"/>
      <c r="AC14" s="363" t="e">
        <f t="shared" ca="1" si="25"/>
        <v>#N/A</v>
      </c>
      <c r="AD14" s="376" t="e">
        <f t="shared" ca="1" si="26"/>
        <v>#N/A</v>
      </c>
      <c r="AE14" s="377">
        <f t="shared" ca="1" si="5"/>
        <v>0.50461710204279742</v>
      </c>
      <c r="AF14" s="344"/>
      <c r="AG14" s="359">
        <f t="shared" ca="1" si="27"/>
        <v>116.32248934563088</v>
      </c>
      <c r="AH14" s="357">
        <f t="shared" ca="1" si="28"/>
        <v>125.98345340268065</v>
      </c>
    </row>
    <row r="15" spans="1:248" x14ac:dyDescent="0.2">
      <c r="A15" s="402">
        <f t="shared" ca="1" si="6"/>
        <v>0.01</v>
      </c>
      <c r="B15" s="357">
        <f t="shared" ca="1" si="7"/>
        <v>0.10999999999999999</v>
      </c>
      <c r="C15" s="342"/>
      <c r="D15" s="359">
        <f t="shared" ca="1" si="8"/>
        <v>20.117207300568047</v>
      </c>
      <c r="E15" s="360">
        <f t="shared" ca="1" si="9"/>
        <v>114.09689246590666</v>
      </c>
      <c r="F15" s="357">
        <f t="shared" ca="1" si="10"/>
        <v>115.85682068808335</v>
      </c>
      <c r="G15" s="359">
        <f t="shared" ca="1" si="11"/>
        <v>2.1113655294029354</v>
      </c>
      <c r="H15" s="360">
        <f t="shared" ca="1" si="12"/>
        <v>11.974837566240568</v>
      </c>
      <c r="I15" s="357">
        <f t="shared" ca="1" si="13"/>
        <v>12.159547653453119</v>
      </c>
      <c r="J15" s="359">
        <f t="shared" ca="1" si="14"/>
        <v>0.10908025672407436</v>
      </c>
      <c r="K15" s="360">
        <f t="shared" ca="1" si="15"/>
        <v>0.61866063308190777</v>
      </c>
      <c r="L15" s="357">
        <f t="shared" ca="1" si="0"/>
        <v>0.62820337577276431</v>
      </c>
      <c r="M15" s="359">
        <f t="shared" ca="1" si="16"/>
        <v>1.3962634015954636</v>
      </c>
      <c r="N15" s="357">
        <f t="shared" ca="1" si="17"/>
        <v>80</v>
      </c>
      <c r="O15" s="343"/>
      <c r="P15" s="363">
        <f t="shared" ca="1" si="18"/>
        <v>3</v>
      </c>
      <c r="Q15" s="357">
        <f t="shared" ca="1" si="19"/>
        <v>204.39655172413794</v>
      </c>
      <c r="R15" s="359">
        <f t="shared" ca="1" si="20"/>
        <v>0.10848342677860731</v>
      </c>
      <c r="S15" s="360">
        <f t="shared" ca="1" si="21"/>
        <v>1.6271417526072687</v>
      </c>
      <c r="T15" s="357">
        <f t="shared" ca="1" si="1"/>
        <v>15.962260593077307</v>
      </c>
      <c r="U15" s="364">
        <f t="shared" ca="1" si="2"/>
        <v>2.7718174634325301</v>
      </c>
      <c r="V15" s="359">
        <f t="shared" ca="1" si="3"/>
        <v>1.2249242164166636</v>
      </c>
      <c r="W15" s="357">
        <f t="shared" ca="1" si="4"/>
        <v>0.19709007718112787</v>
      </c>
      <c r="X15" s="343"/>
      <c r="Y15" s="367" t="str">
        <f t="shared" ca="1" si="22"/>
        <v/>
      </c>
      <c r="Z15" s="368" t="str">
        <f t="shared" ca="1" si="23"/>
        <v/>
      </c>
      <c r="AA15" s="369" t="str">
        <f t="shared" ca="1" si="24"/>
        <v/>
      </c>
      <c r="AB15" s="344"/>
      <c r="AC15" s="363" t="e">
        <f t="shared" ca="1" si="25"/>
        <v>#N/A</v>
      </c>
      <c r="AD15" s="376" t="e">
        <f t="shared" ca="1" si="26"/>
        <v>#N/A</v>
      </c>
      <c r="AE15" s="377">
        <f t="shared" ca="1" si="5"/>
        <v>0.61866063308190777</v>
      </c>
      <c r="AF15" s="344"/>
      <c r="AG15" s="359">
        <f t="shared" ca="1" si="27"/>
        <v>115.85682068251658</v>
      </c>
      <c r="AH15" s="357">
        <f t="shared" ca="1" si="28"/>
        <v>125.51778473956635</v>
      </c>
    </row>
    <row r="16" spans="1:248" x14ac:dyDescent="0.2">
      <c r="A16" s="402">
        <f t="shared" ca="1" si="6"/>
        <v>0.01</v>
      </c>
      <c r="B16" s="357">
        <f t="shared" ca="1" si="7"/>
        <v>0.11999999999999998</v>
      </c>
      <c r="C16" s="342"/>
      <c r="D16" s="359">
        <f t="shared" ca="1" si="8"/>
        <v>20.035810753531248</v>
      </c>
      <c r="E16" s="360">
        <f t="shared" ca="1" si="9"/>
        <v>113.63524645011529</v>
      </c>
      <c r="F16" s="357">
        <f t="shared" ca="1" si="10"/>
        <v>115.38805375050642</v>
      </c>
      <c r="G16" s="359">
        <f t="shared" ca="1" si="11"/>
        <v>2.3117236369382477</v>
      </c>
      <c r="H16" s="360">
        <f t="shared" ca="1" si="12"/>
        <v>13.111190030741721</v>
      </c>
      <c r="I16" s="357">
        <f t="shared" ca="1" si="13"/>
        <v>13.313428190958183</v>
      </c>
      <c r="J16" s="359">
        <f t="shared" ca="1" si="14"/>
        <v>0.13119570255578028</v>
      </c>
      <c r="K16" s="360">
        <f t="shared" ca="1" si="15"/>
        <v>0.7440907710668192</v>
      </c>
      <c r="L16" s="357">
        <f t="shared" ca="1" si="0"/>
        <v>0.75556825499482061</v>
      </c>
      <c r="M16" s="359">
        <f t="shared" ca="1" si="16"/>
        <v>1.3962634015954636</v>
      </c>
      <c r="N16" s="357">
        <f t="shared" ca="1" si="17"/>
        <v>80</v>
      </c>
      <c r="O16" s="343"/>
      <c r="P16" s="363">
        <f t="shared" ca="1" si="18"/>
        <v>3</v>
      </c>
      <c r="Q16" s="357">
        <f t="shared" ca="1" si="19"/>
        <v>203.5344827586207</v>
      </c>
      <c r="R16" s="359">
        <f t="shared" ca="1" si="20"/>
        <v>0.1080258838567237</v>
      </c>
      <c r="S16" s="360">
        <f t="shared" ca="1" si="21"/>
        <v>1.6260614937687015</v>
      </c>
      <c r="T16" s="357">
        <f t="shared" ca="1" si="1"/>
        <v>15.951663253870962</v>
      </c>
      <c r="U16" s="364">
        <f t="shared" ca="1" si="2"/>
        <v>2.7699772547912302</v>
      </c>
      <c r="V16" s="359">
        <f t="shared" ca="1" si="3"/>
        <v>1.2249088522716536</v>
      </c>
      <c r="W16" s="357">
        <f t="shared" ca="1" si="4"/>
        <v>0.23626765690705173</v>
      </c>
      <c r="X16" s="343"/>
      <c r="Y16" s="367" t="str">
        <f t="shared" ca="1" si="22"/>
        <v/>
      </c>
      <c r="Z16" s="368" t="str">
        <f t="shared" ca="1" si="23"/>
        <v/>
      </c>
      <c r="AA16" s="369" t="str">
        <f t="shared" ca="1" si="24"/>
        <v/>
      </c>
      <c r="AB16" s="344"/>
      <c r="AC16" s="363" t="e">
        <f t="shared" ca="1" si="25"/>
        <v>#N/A</v>
      </c>
      <c r="AD16" s="376" t="e">
        <f t="shared" ca="1" si="26"/>
        <v>#N/A</v>
      </c>
      <c r="AE16" s="377">
        <f t="shared" ca="1" si="5"/>
        <v>0.7440907710668192</v>
      </c>
      <c r="AF16" s="344"/>
      <c r="AG16" s="359">
        <f t="shared" ca="1" si="27"/>
        <v>115.38805374495672</v>
      </c>
      <c r="AH16" s="357">
        <f t="shared" ca="1" si="28"/>
        <v>125.04901780200647</v>
      </c>
    </row>
    <row r="17" spans="1:34" x14ac:dyDescent="0.2">
      <c r="A17" s="402">
        <f t="shared" ca="1" si="6"/>
        <v>0.01</v>
      </c>
      <c r="B17" s="357">
        <f t="shared" ca="1" si="7"/>
        <v>0.12999999999999998</v>
      </c>
      <c r="C17" s="342"/>
      <c r="D17" s="359">
        <f t="shared" ca="1" si="8"/>
        <v>19.953880573954404</v>
      </c>
      <c r="E17" s="360">
        <f t="shared" ca="1" si="9"/>
        <v>113.17057400459298</v>
      </c>
      <c r="F17" s="357">
        <f t="shared" ca="1" si="10"/>
        <v>114.91621369714845</v>
      </c>
      <c r="G17" s="359">
        <f t="shared" ca="1" si="11"/>
        <v>2.5112624426777916</v>
      </c>
      <c r="H17" s="360">
        <f t="shared" ca="1" si="12"/>
        <v>14.242895770787651</v>
      </c>
      <c r="I17" s="357">
        <f t="shared" ca="1" si="13"/>
        <v>14.462590327929668</v>
      </c>
      <c r="J17" s="359">
        <f t="shared" ca="1" si="14"/>
        <v>0.15531063295386047</v>
      </c>
      <c r="K17" s="360">
        <f t="shared" ca="1" si="15"/>
        <v>0.880861200074466</v>
      </c>
      <c r="L17" s="357">
        <f t="shared" ca="1" si="0"/>
        <v>0.89444834758925973</v>
      </c>
      <c r="M17" s="359">
        <f t="shared" ca="1" si="16"/>
        <v>1.3962634015954636</v>
      </c>
      <c r="N17" s="357">
        <f t="shared" ca="1" si="17"/>
        <v>80</v>
      </c>
      <c r="O17" s="343"/>
      <c r="P17" s="363">
        <f t="shared" ca="1" si="18"/>
        <v>3</v>
      </c>
      <c r="Q17" s="357">
        <f t="shared" ca="1" si="19"/>
        <v>202.67241379310346</v>
      </c>
      <c r="R17" s="359">
        <f t="shared" ca="1" si="20"/>
        <v>0.10756834093484008</v>
      </c>
      <c r="S17" s="360">
        <f t="shared" ca="1" si="21"/>
        <v>1.6249858103593531</v>
      </c>
      <c r="T17" s="357">
        <f t="shared" ca="1" si="1"/>
        <v>15.941110799625255</v>
      </c>
      <c r="U17" s="364">
        <f t="shared" ca="1" si="2"/>
        <v>2.7681448403415496</v>
      </c>
      <c r="V17" s="359">
        <f t="shared" ca="1" si="3"/>
        <v>1.2248920992552699</v>
      </c>
      <c r="W17" s="357">
        <f t="shared" ca="1" si="4"/>
        <v>0.27881151289508982</v>
      </c>
      <c r="X17" s="343"/>
      <c r="Y17" s="367" t="str">
        <f t="shared" ca="1" si="22"/>
        <v/>
      </c>
      <c r="Z17" s="368" t="str">
        <f t="shared" ca="1" si="23"/>
        <v/>
      </c>
      <c r="AA17" s="369" t="str">
        <f t="shared" ca="1" si="24"/>
        <v/>
      </c>
      <c r="AB17" s="344"/>
      <c r="AC17" s="363" t="e">
        <f t="shared" ca="1" si="25"/>
        <v>#N/A</v>
      </c>
      <c r="AD17" s="376" t="e">
        <f t="shared" ca="1" si="26"/>
        <v>#N/A</v>
      </c>
      <c r="AE17" s="377">
        <f t="shared" ca="1" si="5"/>
        <v>0.880861200074466</v>
      </c>
      <c r="AF17" s="344"/>
      <c r="AG17" s="359">
        <f t="shared" ca="1" si="27"/>
        <v>114.91621369161575</v>
      </c>
      <c r="AH17" s="357">
        <f t="shared" ca="1" si="28"/>
        <v>124.57717774866552</v>
      </c>
    </row>
    <row r="18" spans="1:34" x14ac:dyDescent="0.2">
      <c r="A18" s="402">
        <f t="shared" ca="1" si="6"/>
        <v>0.01</v>
      </c>
      <c r="B18" s="357">
        <f t="shared" ca="1" si="7"/>
        <v>0.13999999999999999</v>
      </c>
      <c r="C18" s="342"/>
      <c r="D18" s="359">
        <f t="shared" ca="1" si="8"/>
        <v>19.871421174406969</v>
      </c>
      <c r="E18" s="360">
        <f t="shared" ca="1" si="9"/>
        <v>112.70290015436387</v>
      </c>
      <c r="F18" s="357">
        <f t="shared" ca="1" si="10"/>
        <v>114.44132593908191</v>
      </c>
      <c r="G18" s="359">
        <f t="shared" ca="1" si="11"/>
        <v>2.7099766544218613</v>
      </c>
      <c r="H18" s="360">
        <f t="shared" ca="1" si="12"/>
        <v>15.36992477233129</v>
      </c>
      <c r="I18" s="357">
        <f t="shared" ca="1" si="13"/>
        <v>15.607003587320488</v>
      </c>
      <c r="J18" s="359">
        <f t="shared" ca="1" si="14"/>
        <v>0.18141682843935875</v>
      </c>
      <c r="K18" s="360">
        <f t="shared" ca="1" si="15"/>
        <v>1.0289253027900607</v>
      </c>
      <c r="L18" s="357">
        <f t="shared" ca="1" si="0"/>
        <v>1.0447963171655104</v>
      </c>
      <c r="M18" s="359">
        <f t="shared" ca="1" si="16"/>
        <v>1.3962634015954636</v>
      </c>
      <c r="N18" s="357">
        <f t="shared" ca="1" si="17"/>
        <v>80</v>
      </c>
      <c r="O18" s="343"/>
      <c r="P18" s="363">
        <f t="shared" ca="1" si="18"/>
        <v>3</v>
      </c>
      <c r="Q18" s="357">
        <f t="shared" ca="1" si="19"/>
        <v>201.81034482758622</v>
      </c>
      <c r="R18" s="359">
        <f t="shared" ca="1" si="20"/>
        <v>0.10711079801295645</v>
      </c>
      <c r="S18" s="360">
        <f t="shared" ca="1" si="21"/>
        <v>1.6239147023792235</v>
      </c>
      <c r="T18" s="357">
        <f t="shared" ca="1" si="1"/>
        <v>15.930603230340184</v>
      </c>
      <c r="U18" s="364">
        <f t="shared" ca="1" si="2"/>
        <v>2.7663202200834878</v>
      </c>
      <c r="V18" s="359">
        <f t="shared" ca="1" si="3"/>
        <v>1.2248739631345342</v>
      </c>
      <c r="W18" s="357">
        <f t="shared" ca="1" si="4"/>
        <v>0.3246767307116124</v>
      </c>
      <c r="X18" s="343"/>
      <c r="Y18" s="367" t="str">
        <f t="shared" ca="1" si="22"/>
        <v/>
      </c>
      <c r="Z18" s="368" t="str">
        <f t="shared" ca="1" si="23"/>
        <v/>
      </c>
      <c r="AA18" s="369" t="str">
        <f t="shared" ca="1" si="24"/>
        <v/>
      </c>
      <c r="AB18" s="344"/>
      <c r="AC18" s="363" t="e">
        <f t="shared" ca="1" si="25"/>
        <v>#N/A</v>
      </c>
      <c r="AD18" s="376" t="e">
        <f t="shared" ca="1" si="26"/>
        <v>#N/A</v>
      </c>
      <c r="AE18" s="377">
        <f t="shared" ca="1" si="5"/>
        <v>1.0289253027900607</v>
      </c>
      <c r="AF18" s="344"/>
      <c r="AG18" s="359">
        <f t="shared" ca="1" si="27"/>
        <v>114.44132593356615</v>
      </c>
      <c r="AH18" s="357">
        <f t="shared" ca="1" si="28"/>
        <v>124.10228999061592</v>
      </c>
    </row>
    <row r="19" spans="1:34" x14ac:dyDescent="0.2">
      <c r="A19" s="402">
        <f t="shared" ca="1" si="6"/>
        <v>0.01</v>
      </c>
      <c r="B19" s="357">
        <f t="shared" ca="1" si="7"/>
        <v>0.15</v>
      </c>
      <c r="C19" s="342"/>
      <c r="D19" s="359">
        <f t="shared" ca="1" si="8"/>
        <v>19.788437010398656</v>
      </c>
      <c r="E19" s="360">
        <f t="shared" ca="1" si="9"/>
        <v>112.23225016797952</v>
      </c>
      <c r="F19" s="357">
        <f t="shared" ca="1" si="10"/>
        <v>113.96341613466338</v>
      </c>
      <c r="G19" s="359">
        <f t="shared" ca="1" si="11"/>
        <v>2.907861024525848</v>
      </c>
      <c r="H19" s="360">
        <f t="shared" ca="1" si="12"/>
        <v>16.492247274011085</v>
      </c>
      <c r="I19" s="357">
        <f t="shared" ca="1" si="13"/>
        <v>16.746637748667119</v>
      </c>
      <c r="J19" s="359">
        <f t="shared" ca="1" si="14"/>
        <v>0.20950601683409731</v>
      </c>
      <c r="K19" s="360">
        <f t="shared" ca="1" si="15"/>
        <v>1.1882361630217726</v>
      </c>
      <c r="L19" s="357">
        <f t="shared" ca="1" si="0"/>
        <v>1.2065645238454483</v>
      </c>
      <c r="M19" s="359">
        <f t="shared" ca="1" si="16"/>
        <v>1.3962634015954636</v>
      </c>
      <c r="N19" s="357">
        <f t="shared" ca="1" si="17"/>
        <v>80</v>
      </c>
      <c r="O19" s="343"/>
      <c r="P19" s="363">
        <f t="shared" ca="1" si="18"/>
        <v>3</v>
      </c>
      <c r="Q19" s="357">
        <f t="shared" ca="1" si="19"/>
        <v>200.94827586206895</v>
      </c>
      <c r="R19" s="359">
        <f t="shared" ca="1" si="20"/>
        <v>0.10665325509107282</v>
      </c>
      <c r="S19" s="360">
        <f t="shared" ca="1" si="21"/>
        <v>1.6228481698283128</v>
      </c>
      <c r="T19" s="357">
        <f t="shared" ca="1" si="1"/>
        <v>15.92014054601575</v>
      </c>
      <c r="U19" s="364">
        <f t="shared" ca="1" si="2"/>
        <v>2.7645033940170456</v>
      </c>
      <c r="V19" s="359">
        <f t="shared" ca="1" si="3"/>
        <v>1.2248544497174352</v>
      </c>
      <c r="W19" s="357">
        <f t="shared" ca="1" si="4"/>
        <v>0.37381819592118049</v>
      </c>
      <c r="X19" s="343"/>
      <c r="Y19" s="367" t="str">
        <f t="shared" ca="1" si="22"/>
        <v/>
      </c>
      <c r="Z19" s="368" t="str">
        <f t="shared" ca="1" si="23"/>
        <v/>
      </c>
      <c r="AA19" s="369" t="str">
        <f t="shared" ca="1" si="24"/>
        <v/>
      </c>
      <c r="AB19" s="344"/>
      <c r="AC19" s="363" t="e">
        <f t="shared" ca="1" si="25"/>
        <v>#N/A</v>
      </c>
      <c r="AD19" s="376" t="e">
        <f t="shared" ca="1" si="26"/>
        <v>#N/A</v>
      </c>
      <c r="AE19" s="377">
        <f t="shared" ca="1" si="5"/>
        <v>1.1882361630217726</v>
      </c>
      <c r="AF19" s="344"/>
      <c r="AG19" s="359">
        <f t="shared" ca="1" si="27"/>
        <v>113.96341612916449</v>
      </c>
      <c r="AH19" s="357">
        <f t="shared" ca="1" si="28"/>
        <v>123.62438018621425</v>
      </c>
    </row>
    <row r="20" spans="1:34" x14ac:dyDescent="0.2">
      <c r="A20" s="402">
        <f t="shared" ca="1" si="6"/>
        <v>0.01</v>
      </c>
      <c r="B20" s="357">
        <f t="shared" ca="1" si="7"/>
        <v>0.16</v>
      </c>
      <c r="C20" s="342"/>
      <c r="D20" s="359">
        <f t="shared" ca="1" si="8"/>
        <v>19.704932579482119</v>
      </c>
      <c r="E20" s="360">
        <f t="shared" ca="1" si="9"/>
        <v>111.7586495524299</v>
      </c>
      <c r="F20" s="357">
        <f t="shared" ca="1" si="10"/>
        <v>113.48251018436619</v>
      </c>
      <c r="G20" s="359">
        <f t="shared" ca="1" si="11"/>
        <v>3.1049103503206692</v>
      </c>
      <c r="H20" s="360">
        <f t="shared" ca="1" si="12"/>
        <v>17.609833769535385</v>
      </c>
      <c r="I20" s="357">
        <f t="shared" ca="1" si="13"/>
        <v>17.881462850510786</v>
      </c>
      <c r="J20" s="359">
        <f t="shared" ca="1" si="14"/>
        <v>0.23956987370832988</v>
      </c>
      <c r="K20" s="360">
        <f t="shared" ca="1" si="15"/>
        <v>1.358746568239505</v>
      </c>
      <c r="L20" s="357">
        <f t="shared" ca="1" si="0"/>
        <v>1.3797050268413378</v>
      </c>
      <c r="M20" s="359">
        <f t="shared" ca="1" si="16"/>
        <v>1.3962634015954636</v>
      </c>
      <c r="N20" s="357">
        <f t="shared" ca="1" si="17"/>
        <v>80</v>
      </c>
      <c r="O20" s="343"/>
      <c r="P20" s="363">
        <f t="shared" ca="1" si="18"/>
        <v>3</v>
      </c>
      <c r="Q20" s="357">
        <f t="shared" ca="1" si="19"/>
        <v>200.08620689655172</v>
      </c>
      <c r="R20" s="359">
        <f t="shared" ca="1" si="20"/>
        <v>0.10619571216918919</v>
      </c>
      <c r="S20" s="360">
        <f t="shared" ca="1" si="21"/>
        <v>1.6217862127066209</v>
      </c>
      <c r="T20" s="357">
        <f t="shared" ca="1" si="1"/>
        <v>15.909722746651951</v>
      </c>
      <c r="U20" s="364">
        <f t="shared" ca="1" si="2"/>
        <v>2.7626943621422222</v>
      </c>
      <c r="V20" s="359">
        <f t="shared" ca="1" si="3"/>
        <v>1.2248335648525501</v>
      </c>
      <c r="W20" s="357">
        <f t="shared" ca="1" si="4"/>
        <v>0.42619060263609071</v>
      </c>
      <c r="X20" s="343"/>
      <c r="Y20" s="367" t="str">
        <f t="shared" ca="1" si="22"/>
        <v/>
      </c>
      <c r="Z20" s="368" t="str">
        <f t="shared" ca="1" si="23"/>
        <v/>
      </c>
      <c r="AA20" s="369" t="str">
        <f t="shared" ca="1" si="24"/>
        <v/>
      </c>
      <c r="AB20" s="344"/>
      <c r="AC20" s="363" t="e">
        <f t="shared" ca="1" si="25"/>
        <v>#N/A</v>
      </c>
      <c r="AD20" s="376" t="e">
        <f t="shared" ca="1" si="26"/>
        <v>#N/A</v>
      </c>
      <c r="AE20" s="377">
        <f t="shared" ca="1" si="5"/>
        <v>1.358746568239505</v>
      </c>
      <c r="AF20" s="344"/>
      <c r="AG20" s="359">
        <f t="shared" ca="1" si="27"/>
        <v>113.4825101788841</v>
      </c>
      <c r="AH20" s="357">
        <f t="shared" ca="1" si="28"/>
        <v>123.14347423593387</v>
      </c>
    </row>
    <row r="21" spans="1:34" x14ac:dyDescent="0.2">
      <c r="A21" s="402">
        <f t="shared" ca="1" si="6"/>
        <v>0.01</v>
      </c>
      <c r="B21" s="357">
        <f t="shared" ca="1" si="7"/>
        <v>0.17</v>
      </c>
      <c r="C21" s="342"/>
      <c r="D21" s="359">
        <f t="shared" ca="1" si="8"/>
        <v>19.620912420348265</v>
      </c>
      <c r="E21" s="360">
        <f t="shared" ca="1" si="9"/>
        <v>111.2821240480128</v>
      </c>
      <c r="F21" s="357">
        <f t="shared" ca="1" si="10"/>
        <v>112.99863422557056</v>
      </c>
      <c r="G21" s="359">
        <f t="shared" ca="1" si="11"/>
        <v>3.3011194745241519</v>
      </c>
      <c r="H21" s="360">
        <f t="shared" ca="1" si="12"/>
        <v>18.722655010015512</v>
      </c>
      <c r="I21" s="357">
        <f t="shared" ca="1" si="13"/>
        <v>19.011449192766488</v>
      </c>
      <c r="J21" s="359">
        <f t="shared" ca="1" si="14"/>
        <v>0.27160002283255397</v>
      </c>
      <c r="K21" s="360">
        <f t="shared" ca="1" si="15"/>
        <v>1.5404090121372596</v>
      </c>
      <c r="L21" s="357">
        <f t="shared" ca="1" si="0"/>
        <v>1.5641695870577244</v>
      </c>
      <c r="M21" s="359">
        <f t="shared" ca="1" si="16"/>
        <v>1.3962634015954636</v>
      </c>
      <c r="N21" s="357">
        <f t="shared" ca="1" si="17"/>
        <v>80</v>
      </c>
      <c r="O21" s="343"/>
      <c r="P21" s="363">
        <f t="shared" ca="1" si="18"/>
        <v>3</v>
      </c>
      <c r="Q21" s="357">
        <f t="shared" ca="1" si="19"/>
        <v>199.22413793103448</v>
      </c>
      <c r="R21" s="359">
        <f t="shared" ca="1" si="20"/>
        <v>0.10573816924730557</v>
      </c>
      <c r="S21" s="360">
        <f t="shared" ca="1" si="21"/>
        <v>1.6207288310141479</v>
      </c>
      <c r="T21" s="357">
        <f t="shared" ca="1" si="1"/>
        <v>15.899349832248792</v>
      </c>
      <c r="U21" s="364">
        <f t="shared" ca="1" si="2"/>
        <v>2.7608931244590185</v>
      </c>
      <c r="V21" s="359">
        <f t="shared" ca="1" si="3"/>
        <v>1.224811314428661</v>
      </c>
      <c r="W21" s="357">
        <f t="shared" ca="1" si="4"/>
        <v>0.48174846208160499</v>
      </c>
      <c r="X21" s="343"/>
      <c r="Y21" s="367" t="str">
        <f t="shared" ca="1" si="22"/>
        <v/>
      </c>
      <c r="Z21" s="368" t="str">
        <f t="shared" ca="1" si="23"/>
        <v/>
      </c>
      <c r="AA21" s="369" t="str">
        <f t="shared" ca="1" si="24"/>
        <v/>
      </c>
      <c r="AB21" s="344"/>
      <c r="AC21" s="363" t="e">
        <f t="shared" ca="1" si="25"/>
        <v>#N/A</v>
      </c>
      <c r="AD21" s="376" t="e">
        <f t="shared" ca="1" si="26"/>
        <v>#N/A</v>
      </c>
      <c r="AE21" s="377">
        <f t="shared" ca="1" si="5"/>
        <v>1.5404090121372596</v>
      </c>
      <c r="AF21" s="344"/>
      <c r="AG21" s="359">
        <f t="shared" ca="1" si="27"/>
        <v>112.99863422010523</v>
      </c>
      <c r="AH21" s="357">
        <f t="shared" ca="1" si="28"/>
        <v>122.65959827715498</v>
      </c>
    </row>
    <row r="22" spans="1:34" x14ac:dyDescent="0.2">
      <c r="A22" s="402">
        <f t="shared" ca="1" si="6"/>
        <v>0.01</v>
      </c>
      <c r="B22" s="357">
        <f t="shared" ca="1" si="7"/>
        <v>0.18000000000000002</v>
      </c>
      <c r="C22" s="342"/>
      <c r="D22" s="359">
        <f t="shared" ca="1" si="8"/>
        <v>19.536381111914661</v>
      </c>
      <c r="E22" s="360">
        <f t="shared" ca="1" si="9"/>
        <v>110.80269962316373</v>
      </c>
      <c r="F22" s="357">
        <f t="shared" ca="1" si="10"/>
        <v>112.5118146273138</v>
      </c>
      <c r="G22" s="359">
        <f t="shared" ca="1" si="11"/>
        <v>3.4964832856432984</v>
      </c>
      <c r="H22" s="360">
        <f t="shared" ca="1" si="12"/>
        <v>19.830682006247148</v>
      </c>
      <c r="I22" s="357">
        <f t="shared" ca="1" si="13"/>
        <v>20.136567339039626</v>
      </c>
      <c r="J22" s="359">
        <f t="shared" ca="1" si="14"/>
        <v>0.30558803663339124</v>
      </c>
      <c r="K22" s="360">
        <f t="shared" ca="1" si="15"/>
        <v>1.7331756972185728</v>
      </c>
      <c r="L22" s="357">
        <f t="shared" ca="1" si="0"/>
        <v>1.7599096697167547</v>
      </c>
      <c r="M22" s="359">
        <f t="shared" ca="1" si="16"/>
        <v>1.3962634015954636</v>
      </c>
      <c r="N22" s="357">
        <f t="shared" ca="1" si="17"/>
        <v>80</v>
      </c>
      <c r="O22" s="343"/>
      <c r="P22" s="363">
        <f t="shared" ca="1" si="18"/>
        <v>3</v>
      </c>
      <c r="Q22" s="357">
        <f t="shared" ca="1" si="19"/>
        <v>198.36206896551724</v>
      </c>
      <c r="R22" s="359">
        <f t="shared" ca="1" si="20"/>
        <v>0.10528062632542194</v>
      </c>
      <c r="S22" s="360">
        <f t="shared" ca="1" si="21"/>
        <v>1.6196760247508937</v>
      </c>
      <c r="T22" s="357">
        <f t="shared" ca="1" si="1"/>
        <v>15.889021802806267</v>
      </c>
      <c r="U22" s="364">
        <f t="shared" ca="1" si="2"/>
        <v>2.7590996809674335</v>
      </c>
      <c r="V22" s="359">
        <f t="shared" ca="1" si="3"/>
        <v>1.2247877043743716</v>
      </c>
      <c r="W22" s="357">
        <f t="shared" ca="1" si="4"/>
        <v>0.54044611117409025</v>
      </c>
      <c r="X22" s="343"/>
      <c r="Y22" s="367" t="str">
        <f t="shared" ca="1" si="22"/>
        <v/>
      </c>
      <c r="Z22" s="368" t="str">
        <f t="shared" ca="1" si="23"/>
        <v/>
      </c>
      <c r="AA22" s="369" t="str">
        <f t="shared" ca="1" si="24"/>
        <v/>
      </c>
      <c r="AB22" s="344"/>
      <c r="AC22" s="363" t="e">
        <f t="shared" ca="1" si="25"/>
        <v>#N/A</v>
      </c>
      <c r="AD22" s="376" t="e">
        <f t="shared" ca="1" si="26"/>
        <v>#N/A</v>
      </c>
      <c r="AE22" s="377">
        <f t="shared" ca="1" si="5"/>
        <v>1.7331756972185728</v>
      </c>
      <c r="AF22" s="344"/>
      <c r="AG22" s="359">
        <f t="shared" ca="1" si="27"/>
        <v>112.51181462186514</v>
      </c>
      <c r="AH22" s="357">
        <f t="shared" ca="1" si="28"/>
        <v>122.1727786789149</v>
      </c>
    </row>
    <row r="23" spans="1:34" x14ac:dyDescent="0.2">
      <c r="A23" s="402">
        <f t="shared" ca="1" si="6"/>
        <v>0.01</v>
      </c>
      <c r="B23" s="357">
        <f t="shared" ca="1" si="7"/>
        <v>0.19000000000000003</v>
      </c>
      <c r="C23" s="342"/>
      <c r="D23" s="359">
        <f t="shared" ca="1" si="8"/>
        <v>19.451343272407186</v>
      </c>
      <c r="E23" s="360">
        <f t="shared" ca="1" si="9"/>
        <v>110.32040246924785</v>
      </c>
      <c r="F23" s="357">
        <f t="shared" ca="1" si="10"/>
        <v>112.0220779850019</v>
      </c>
      <c r="G23" s="359">
        <f t="shared" ca="1" si="11"/>
        <v>3.6909967183673702</v>
      </c>
      <c r="H23" s="360">
        <f t="shared" ca="1" si="12"/>
        <v>20.933886030939625</v>
      </c>
      <c r="I23" s="357">
        <f t="shared" ca="1" si="13"/>
        <v>21.256788118889641</v>
      </c>
      <c r="J23" s="359">
        <f t="shared" ca="1" si="14"/>
        <v>0.34152543665344459</v>
      </c>
      <c r="K23" s="360">
        <f t="shared" ca="1" si="15"/>
        <v>1.9369985374045067</v>
      </c>
      <c r="L23" s="357">
        <f t="shared" ca="1" si="0"/>
        <v>1.9668764470064011</v>
      </c>
      <c r="M23" s="359">
        <f t="shared" ca="1" si="16"/>
        <v>1.3962634015954636</v>
      </c>
      <c r="N23" s="357">
        <f t="shared" ca="1" si="17"/>
        <v>80</v>
      </c>
      <c r="O23" s="343"/>
      <c r="P23" s="363">
        <f t="shared" ca="1" si="18"/>
        <v>3</v>
      </c>
      <c r="Q23" s="357">
        <f t="shared" ca="1" si="19"/>
        <v>197.5</v>
      </c>
      <c r="R23" s="359">
        <f t="shared" ca="1" si="20"/>
        <v>0.10482308340353833</v>
      </c>
      <c r="S23" s="360">
        <f t="shared" ca="1" si="21"/>
        <v>1.6186277939168583</v>
      </c>
      <c r="T23" s="357">
        <f t="shared" ca="1" si="1"/>
        <v>15.87873865832438</v>
      </c>
      <c r="U23" s="364">
        <f t="shared" ca="1" si="2"/>
        <v>2.7573140316674682</v>
      </c>
      <c r="V23" s="359">
        <f t="shared" ca="1" si="3"/>
        <v>1.2247627406577182</v>
      </c>
      <c r="W23" s="357">
        <f t="shared" ca="1" si="4"/>
        <v>0.60223772110928175</v>
      </c>
      <c r="X23" s="343"/>
      <c r="Y23" s="367" t="str">
        <f t="shared" ca="1" si="22"/>
        <v/>
      </c>
      <c r="Z23" s="368" t="str">
        <f t="shared" ca="1" si="23"/>
        <v/>
      </c>
      <c r="AA23" s="369" t="str">
        <f t="shared" ca="1" si="24"/>
        <v/>
      </c>
      <c r="AB23" s="344"/>
      <c r="AC23" s="363" t="e">
        <f t="shared" ca="1" si="25"/>
        <v>#N/A</v>
      </c>
      <c r="AD23" s="376" t="e">
        <f t="shared" ca="1" si="26"/>
        <v>#N/A</v>
      </c>
      <c r="AE23" s="377">
        <f t="shared" ca="1" si="5"/>
        <v>1.9369985374045067</v>
      </c>
      <c r="AF23" s="344"/>
      <c r="AG23" s="359">
        <f t="shared" ca="1" si="27"/>
        <v>112.02207797956984</v>
      </c>
      <c r="AH23" s="357">
        <f t="shared" ca="1" si="28"/>
        <v>121.68304203661961</v>
      </c>
    </row>
    <row r="24" spans="1:34" x14ac:dyDescent="0.2">
      <c r="A24" s="402">
        <f t="shared" ca="1" si="6"/>
        <v>0.01</v>
      </c>
      <c r="B24" s="357">
        <f t="shared" ca="1" si="7"/>
        <v>0.20000000000000004</v>
      </c>
      <c r="C24" s="342"/>
      <c r="D24" s="359">
        <f t="shared" ca="1" si="8"/>
        <v>19.365803558435356</v>
      </c>
      <c r="E24" s="360">
        <f t="shared" ca="1" si="9"/>
        <v>109.8352589953159</v>
      </c>
      <c r="F24" s="357">
        <f t="shared" ca="1" si="10"/>
        <v>111.52945111508451</v>
      </c>
      <c r="G24" s="359">
        <f t="shared" ca="1" si="11"/>
        <v>3.8846547539517235</v>
      </c>
      <c r="H24" s="360">
        <f t="shared" ca="1" si="12"/>
        <v>22.032238620892784</v>
      </c>
      <c r="I24" s="357">
        <f t="shared" ca="1" si="13"/>
        <v>22.372082630040488</v>
      </c>
      <c r="J24" s="359">
        <f t="shared" ca="1" si="14"/>
        <v>0.37940369401504004</v>
      </c>
      <c r="K24" s="360">
        <f t="shared" ca="1" si="15"/>
        <v>2.1518291606636688</v>
      </c>
      <c r="L24" s="357">
        <f t="shared" ca="1" si="0"/>
        <v>2.1850208007510519</v>
      </c>
      <c r="M24" s="359">
        <f t="shared" ca="1" si="16"/>
        <v>1.3962634015954636</v>
      </c>
      <c r="N24" s="357">
        <f t="shared" ca="1" si="17"/>
        <v>80</v>
      </c>
      <c r="O24" s="343"/>
      <c r="P24" s="363">
        <f t="shared" ca="1" si="18"/>
        <v>3</v>
      </c>
      <c r="Q24" s="357">
        <f t="shared" ca="1" si="19"/>
        <v>196.63793103448276</v>
      </c>
      <c r="R24" s="359">
        <f t="shared" ca="1" si="20"/>
        <v>0.10436554048165469</v>
      </c>
      <c r="S24" s="360">
        <f t="shared" ca="1" si="21"/>
        <v>1.6175841385120417</v>
      </c>
      <c r="T24" s="357">
        <f t="shared" ca="1" si="1"/>
        <v>15.86850039880313</v>
      </c>
      <c r="U24" s="364">
        <f t="shared" ca="1" si="2"/>
        <v>2.7555361765591222</v>
      </c>
      <c r="V24" s="359">
        <f t="shared" ca="1" si="3"/>
        <v>1.2247364292857763</v>
      </c>
      <c r="W24" s="357">
        <f t="shared" ca="1" si="4"/>
        <v>0.66707730595791626</v>
      </c>
      <c r="X24" s="343"/>
      <c r="Y24" s="367" t="str">
        <f t="shared" ca="1" si="22"/>
        <v/>
      </c>
      <c r="Z24" s="368" t="str">
        <f t="shared" ca="1" si="23"/>
        <v/>
      </c>
      <c r="AA24" s="369" t="str">
        <f t="shared" ca="1" si="24"/>
        <v/>
      </c>
      <c r="AB24" s="344"/>
      <c r="AC24" s="363" t="e">
        <f t="shared" ca="1" si="25"/>
        <v>#N/A</v>
      </c>
      <c r="AD24" s="376" t="e">
        <f t="shared" ca="1" si="26"/>
        <v>#N/A</v>
      </c>
      <c r="AE24" s="377">
        <f t="shared" ca="1" si="5"/>
        <v>2.1518291606636688</v>
      </c>
      <c r="AF24" s="344"/>
      <c r="AG24" s="359">
        <f t="shared" ca="1" si="27"/>
        <v>111.52945110966903</v>
      </c>
      <c r="AH24" s="357">
        <f t="shared" ca="1" si="28"/>
        <v>121.19041516671878</v>
      </c>
    </row>
    <row r="25" spans="1:34" x14ac:dyDescent="0.2">
      <c r="A25" s="402">
        <f t="shared" ca="1" si="6"/>
        <v>0.01</v>
      </c>
      <c r="B25" s="357">
        <f t="shared" ca="1" si="7"/>
        <v>0.21000000000000005</v>
      </c>
      <c r="C25" s="342"/>
      <c r="D25" s="359">
        <f t="shared" ca="1" si="8"/>
        <v>19.279766664061693</v>
      </c>
      <c r="E25" s="360">
        <f t="shared" ca="1" si="9"/>
        <v>109.34729582282613</v>
      </c>
      <c r="F25" s="357">
        <f t="shared" ca="1" si="10"/>
        <v>111.03396104969556</v>
      </c>
      <c r="G25" s="359">
        <f t="shared" ca="1" si="11"/>
        <v>4.0774524205923406</v>
      </c>
      <c r="H25" s="360">
        <f t="shared" ca="1" si="12"/>
        <v>23.125711579121045</v>
      </c>
      <c r="I25" s="357">
        <f t="shared" ca="1" si="13"/>
        <v>23.482422240537442</v>
      </c>
      <c r="J25" s="359">
        <f t="shared" ca="1" si="14"/>
        <v>0.41921422988776036</v>
      </c>
      <c r="K25" s="360">
        <f t="shared" ca="1" si="15"/>
        <v>2.3776189116637378</v>
      </c>
      <c r="L25" s="357">
        <f t="shared" ca="1" si="0"/>
        <v>2.4142933251039413</v>
      </c>
      <c r="M25" s="359">
        <f t="shared" ca="1" si="16"/>
        <v>1.3962634015954636</v>
      </c>
      <c r="N25" s="357">
        <f t="shared" ca="1" si="17"/>
        <v>80</v>
      </c>
      <c r="O25" s="343"/>
      <c r="P25" s="363">
        <f t="shared" ca="1" si="18"/>
        <v>3</v>
      </c>
      <c r="Q25" s="357">
        <f t="shared" ca="1" si="19"/>
        <v>195.77586206896552</v>
      </c>
      <c r="R25" s="359">
        <f t="shared" ca="1" si="20"/>
        <v>0.10390799755977108</v>
      </c>
      <c r="S25" s="360">
        <f t="shared" ca="1" si="21"/>
        <v>1.616545058536444</v>
      </c>
      <c r="T25" s="357">
        <f t="shared" ca="1" si="1"/>
        <v>15.858307024242517</v>
      </c>
      <c r="U25" s="364">
        <f t="shared" ca="1" si="2"/>
        <v>2.7537661156423954</v>
      </c>
      <c r="V25" s="359">
        <f t="shared" ca="1" si="3"/>
        <v>1.2247087763042694</v>
      </c>
      <c r="W25" s="357">
        <f t="shared" ca="1" si="4"/>
        <v>0.73491873126597629</v>
      </c>
      <c r="X25" s="343"/>
      <c r="Y25" s="367" t="str">
        <f t="shared" ca="1" si="22"/>
        <v>Sortie de rampe</v>
      </c>
      <c r="Z25" s="368" t="str">
        <f t="shared" ca="1" si="23"/>
        <v/>
      </c>
      <c r="AA25" s="369" t="str">
        <f t="shared" ca="1" si="24"/>
        <v/>
      </c>
      <c r="AB25" s="344"/>
      <c r="AC25" s="363" t="e">
        <f t="shared" ca="1" si="25"/>
        <v>#N/A</v>
      </c>
      <c r="AD25" s="376" t="e">
        <f t="shared" ca="1" si="26"/>
        <v>#N/A</v>
      </c>
      <c r="AE25" s="377">
        <f t="shared" ca="1" si="5"/>
        <v>2.3776189116637378</v>
      </c>
      <c r="AF25" s="344"/>
      <c r="AG25" s="359">
        <f t="shared" ca="1" si="27"/>
        <v>111.03396104429655</v>
      </c>
      <c r="AH25" s="357">
        <f t="shared" ca="1" si="28"/>
        <v>120.69492510134631</v>
      </c>
    </row>
    <row r="26" spans="1:34" x14ac:dyDescent="0.2">
      <c r="A26" s="402">
        <f t="shared" ca="1" si="6"/>
        <v>0.01</v>
      </c>
      <c r="B26" s="357">
        <f t="shared" ca="1" si="7"/>
        <v>0.22000000000000006</v>
      </c>
      <c r="C26" s="342"/>
      <c r="D26" s="359">
        <f t="shared" ca="1" si="8"/>
        <v>19.193237319865268</v>
      </c>
      <c r="E26" s="360">
        <f t="shared" ca="1" si="9"/>
        <v>108.85653978033365</v>
      </c>
      <c r="F26" s="357">
        <f t="shared" ca="1" si="10"/>
        <v>110.53563503126053</v>
      </c>
      <c r="G26" s="359">
        <f t="shared" ca="1" si="11"/>
        <v>4.2693847937909934</v>
      </c>
      <c r="H26" s="360">
        <f t="shared" ca="1" si="12"/>
        <v>24.214276976924381</v>
      </c>
      <c r="I26" s="357">
        <f t="shared" ca="1" si="13"/>
        <v>24.587778590850046</v>
      </c>
      <c r="J26" s="359">
        <f t="shared" ca="1" si="14"/>
        <v>0.46094841595967706</v>
      </c>
      <c r="K26" s="360">
        <f t="shared" ca="1" si="15"/>
        <v>2.6143188544439648</v>
      </c>
      <c r="L26" s="357">
        <f t="shared" ca="1" si="0"/>
        <v>2.6546443292608788</v>
      </c>
      <c r="M26" s="359">
        <f t="shared" ca="1" si="16"/>
        <v>1.3962634015954636</v>
      </c>
      <c r="N26" s="357">
        <f t="shared" ca="1" si="17"/>
        <v>80</v>
      </c>
      <c r="O26" s="343"/>
      <c r="P26" s="363">
        <f t="shared" ca="1" si="18"/>
        <v>3</v>
      </c>
      <c r="Q26" s="357">
        <f t="shared" ca="1" si="19"/>
        <v>194.91379310344826</v>
      </c>
      <c r="R26" s="359">
        <f t="shared" ca="1" si="20"/>
        <v>0.10345045463788743</v>
      </c>
      <c r="S26" s="360">
        <f t="shared" ca="1" si="21"/>
        <v>1.6155105539900652</v>
      </c>
      <c r="T26" s="357">
        <f t="shared" ca="1" si="1"/>
        <v>15.84815853464254</v>
      </c>
      <c r="U26" s="364">
        <f t="shared" ca="1" si="2"/>
        <v>0</v>
      </c>
      <c r="V26" s="359">
        <f t="shared" ca="1" si="3"/>
        <v>1.2246797877971707</v>
      </c>
      <c r="W26" s="357">
        <f t="shared" ca="1" si="4"/>
        <v>0.8057157226568068</v>
      </c>
      <c r="X26" s="343"/>
      <c r="Y26" s="367" t="str">
        <f t="shared" ca="1" si="22"/>
        <v/>
      </c>
      <c r="Z26" s="368" t="str">
        <f t="shared" ca="1" si="23"/>
        <v/>
      </c>
      <c r="AA26" s="369" t="str">
        <f t="shared" ca="1" si="24"/>
        <v/>
      </c>
      <c r="AB26" s="344"/>
      <c r="AC26" s="363" t="e">
        <f t="shared" ca="1" si="25"/>
        <v>#N/A</v>
      </c>
      <c r="AD26" s="376" t="e">
        <f t="shared" ca="1" si="26"/>
        <v>#N/A</v>
      </c>
      <c r="AE26" s="377">
        <f t="shared" ca="1" si="5"/>
        <v>2.6143188544439648</v>
      </c>
      <c r="AF26" s="344"/>
      <c r="AG26" s="359">
        <f t="shared" ca="1" si="27"/>
        <v>110.53563502587795</v>
      </c>
      <c r="AH26" s="357">
        <f t="shared" ca="1" si="28"/>
        <v>120.1965990829277</v>
      </c>
    </row>
    <row r="27" spans="1:34" x14ac:dyDescent="0.2">
      <c r="A27" s="402">
        <f t="shared" ca="1" si="6"/>
        <v>0.01</v>
      </c>
      <c r="B27" s="357">
        <f t="shared" ca="1" si="7"/>
        <v>0.23000000000000007</v>
      </c>
      <c r="C27" s="342"/>
      <c r="D27" s="359">
        <f t="shared" ca="1" si="8"/>
        <v>20.784899295624761</v>
      </c>
      <c r="E27" s="360">
        <f t="shared" ca="1" si="9"/>
        <v>108.06702149786159</v>
      </c>
      <c r="F27" s="357">
        <f t="shared" ca="1" si="10"/>
        <v>110.0476859100115</v>
      </c>
      <c r="G27" s="359">
        <f t="shared" ca="1" si="11"/>
        <v>4.4772337867472407</v>
      </c>
      <c r="H27" s="360">
        <f t="shared" ca="1" si="12"/>
        <v>25.294947191902999</v>
      </c>
      <c r="I27" s="357">
        <f t="shared" ca="1" si="13"/>
        <v>25.68812908372956</v>
      </c>
      <c r="J27" s="359">
        <f t="shared" ca="1" si="14"/>
        <v>0.50468150886236818</v>
      </c>
      <c r="K27" s="360">
        <f t="shared" ca="1" si="15"/>
        <v>2.8618649752881016</v>
      </c>
      <c r="L27" s="357">
        <f t="shared" ca="1" si="0"/>
        <v>2.9060238406056413</v>
      </c>
      <c r="M27" s="359">
        <f t="shared" ca="1" si="16"/>
        <v>1.3956096730844041</v>
      </c>
      <c r="N27" s="357">
        <f t="shared" ca="1" si="17"/>
        <v>79.962544115368914</v>
      </c>
      <c r="O27" s="343"/>
      <c r="P27" s="363">
        <f t="shared" ca="1" si="18"/>
        <v>3</v>
      </c>
      <c r="Q27" s="357">
        <f t="shared" ca="1" si="19"/>
        <v>194.05172413793102</v>
      </c>
      <c r="R27" s="359">
        <f t="shared" ca="1" si="20"/>
        <v>0.10299291171600382</v>
      </c>
      <c r="S27" s="360">
        <f t="shared" ca="1" si="21"/>
        <v>1.6144806248729051</v>
      </c>
      <c r="T27" s="357">
        <f t="shared" ca="1" si="1"/>
        <v>15.838054930003199</v>
      </c>
      <c r="U27" s="364">
        <f t="shared" ca="1" si="2"/>
        <v>0</v>
      </c>
      <c r="V27" s="359">
        <f t="shared" ca="1" si="3"/>
        <v>1.2246494716987606</v>
      </c>
      <c r="W27" s="357">
        <f t="shared" ca="1" si="4"/>
        <v>0.87942225147949449</v>
      </c>
      <c r="X27" s="343"/>
      <c r="Y27" s="367" t="str">
        <f t="shared" ca="1" si="22"/>
        <v/>
      </c>
      <c r="Z27" s="368" t="str">
        <f t="shared" ca="1" si="23"/>
        <v/>
      </c>
      <c r="AA27" s="369" t="str">
        <f t="shared" ca="1" si="24"/>
        <v/>
      </c>
      <c r="AB27" s="344"/>
      <c r="AC27" s="363" t="e">
        <f t="shared" ca="1" si="25"/>
        <v>#N/A</v>
      </c>
      <c r="AD27" s="376" t="e">
        <f t="shared" ca="1" si="26"/>
        <v>#N/A</v>
      </c>
      <c r="AE27" s="377">
        <f t="shared" ca="1" si="5"/>
        <v>2.8618649752881016</v>
      </c>
      <c r="AF27" s="344"/>
      <c r="AG27" s="359">
        <f t="shared" ca="1" si="27"/>
        <v>110.03450050170696</v>
      </c>
      <c r="AH27" s="357">
        <f t="shared" ca="1" si="28"/>
        <v>119.69546455875673</v>
      </c>
    </row>
    <row r="28" spans="1:34" x14ac:dyDescent="0.2">
      <c r="A28" s="402">
        <f t="shared" ca="1" si="6"/>
        <v>0.01</v>
      </c>
      <c r="B28" s="357">
        <f t="shared" ca="1" si="7"/>
        <v>0.24000000000000007</v>
      </c>
      <c r="C28" s="342"/>
      <c r="D28" s="359">
        <f t="shared" ca="1" si="8"/>
        <v>20.774125989393614</v>
      </c>
      <c r="E28" s="360">
        <f t="shared" ca="1" si="9"/>
        <v>107.55720593306752</v>
      </c>
      <c r="F28" s="357">
        <f t="shared" ca="1" si="10"/>
        <v>109.54504488451997</v>
      </c>
      <c r="G28" s="359">
        <f t="shared" ca="1" si="11"/>
        <v>4.6849750466411768</v>
      </c>
      <c r="H28" s="360">
        <f t="shared" ca="1" si="12"/>
        <v>26.370519251233674</v>
      </c>
      <c r="I28" s="357">
        <f t="shared" ca="1" si="13"/>
        <v>26.783451546941002</v>
      </c>
      <c r="J28" s="359">
        <f t="shared" ca="1" si="14"/>
        <v>0.55049255302931022</v>
      </c>
      <c r="K28" s="360">
        <f t="shared" ca="1" si="15"/>
        <v>3.120192307503785</v>
      </c>
      <c r="L28" s="357">
        <f t="shared" ca="1" si="0"/>
        <v>3.1683816194938581</v>
      </c>
      <c r="M28" s="359">
        <f t="shared" ca="1" si="16"/>
        <v>1.394971292321848</v>
      </c>
      <c r="N28" s="357">
        <f t="shared" ca="1" si="17"/>
        <v>79.925967591952116</v>
      </c>
      <c r="O28" s="343"/>
      <c r="P28" s="363">
        <f t="shared" ca="1" si="18"/>
        <v>3</v>
      </c>
      <c r="Q28" s="357">
        <f t="shared" ca="1" si="19"/>
        <v>193.18965517241378</v>
      </c>
      <c r="R28" s="359">
        <f t="shared" ca="1" si="20"/>
        <v>0.10253536879412019</v>
      </c>
      <c r="S28" s="360">
        <f t="shared" ca="1" si="21"/>
        <v>1.6134552711849639</v>
      </c>
      <c r="T28" s="357">
        <f t="shared" ca="1" si="1"/>
        <v>15.827996210324496</v>
      </c>
      <c r="U28" s="364">
        <f t="shared" ca="1" si="2"/>
        <v>0</v>
      </c>
      <c r="V28" s="359">
        <f t="shared" ca="1" si="3"/>
        <v>1.2246178360635798</v>
      </c>
      <c r="W28" s="357">
        <f t="shared" ca="1" si="4"/>
        <v>0.95599224152685536</v>
      </c>
      <c r="X28" s="343"/>
      <c r="Y28" s="367" t="str">
        <f t="shared" ca="1" si="22"/>
        <v/>
      </c>
      <c r="Z28" s="368" t="str">
        <f t="shared" ca="1" si="23"/>
        <v/>
      </c>
      <c r="AA28" s="369" t="str">
        <f t="shared" ca="1" si="24"/>
        <v/>
      </c>
      <c r="AB28" s="344"/>
      <c r="AC28" s="363" t="e">
        <f t="shared" ca="1" si="25"/>
        <v>#N/A</v>
      </c>
      <c r="AD28" s="376" t="e">
        <f t="shared" ca="1" si="26"/>
        <v>#N/A</v>
      </c>
      <c r="AE28" s="377">
        <f t="shared" ca="1" si="5"/>
        <v>3.120192307503785</v>
      </c>
      <c r="AF28" s="344"/>
      <c r="AG28" s="359">
        <f t="shared" ca="1" si="27"/>
        <v>109.53170056816498</v>
      </c>
      <c r="AH28" s="357">
        <f t="shared" ca="1" si="28"/>
        <v>119.1915489418536</v>
      </c>
    </row>
    <row r="29" spans="1:34" x14ac:dyDescent="0.2">
      <c r="A29" s="402">
        <f t="shared" ca="1" si="6"/>
        <v>0.01</v>
      </c>
      <c r="B29" s="357">
        <f t="shared" ca="1" si="7"/>
        <v>0.25000000000000006</v>
      </c>
      <c r="C29" s="342"/>
      <c r="D29" s="359">
        <f t="shared" ca="1" si="8"/>
        <v>20.760419890784096</v>
      </c>
      <c r="E29" s="360">
        <f t="shared" ca="1" si="9"/>
        <v>107.04506260830816</v>
      </c>
      <c r="F29" s="357">
        <f t="shared" ca="1" si="10"/>
        <v>109.03962794717468</v>
      </c>
      <c r="G29" s="359">
        <f t="shared" ca="1" si="11"/>
        <v>4.892579245549018</v>
      </c>
      <c r="H29" s="360">
        <f t="shared" ca="1" si="12"/>
        <v>27.440969877316753</v>
      </c>
      <c r="I29" s="357">
        <f t="shared" ca="1" si="13"/>
        <v>27.873718077819873</v>
      </c>
      <c r="J29" s="359">
        <f t="shared" ca="1" si="14"/>
        <v>0.59838032449026124</v>
      </c>
      <c r="K29" s="360">
        <f t="shared" ca="1" si="15"/>
        <v>3.3892497531465371</v>
      </c>
      <c r="L29" s="357">
        <f t="shared" ca="1" si="0"/>
        <v>3.441667168966362</v>
      </c>
      <c r="M29" s="359">
        <f t="shared" ca="1" si="16"/>
        <v>1.3943556692742656</v>
      </c>
      <c r="N29" s="357">
        <f t="shared" ca="1" si="17"/>
        <v>79.89069498955466</v>
      </c>
      <c r="O29" s="343"/>
      <c r="P29" s="363">
        <f t="shared" ca="1" si="18"/>
        <v>3</v>
      </c>
      <c r="Q29" s="357">
        <f t="shared" ca="1" si="19"/>
        <v>192.32758620689654</v>
      </c>
      <c r="R29" s="359">
        <f t="shared" ca="1" si="20"/>
        <v>0.10207782587223657</v>
      </c>
      <c r="S29" s="360">
        <f t="shared" ca="1" si="21"/>
        <v>1.6124344929262415</v>
      </c>
      <c r="T29" s="357">
        <f t="shared" ca="1" si="1"/>
        <v>15.81798237560643</v>
      </c>
      <c r="U29" s="364">
        <f t="shared" ca="1" si="2"/>
        <v>0</v>
      </c>
      <c r="V29" s="359">
        <f t="shared" ca="1" si="3"/>
        <v>1.2245848872512788</v>
      </c>
      <c r="W29" s="357">
        <f t="shared" ca="1" si="4"/>
        <v>1.0353791201290836</v>
      </c>
      <c r="X29" s="343"/>
      <c r="Y29" s="367" t="str">
        <f t="shared" ca="1" si="22"/>
        <v/>
      </c>
      <c r="Z29" s="368" t="str">
        <f t="shared" ca="1" si="23"/>
        <v/>
      </c>
      <c r="AA29" s="369" t="str">
        <f t="shared" ca="1" si="24"/>
        <v/>
      </c>
      <c r="AB29" s="344"/>
      <c r="AC29" s="363" t="e">
        <f t="shared" ca="1" si="25"/>
        <v>#N/A</v>
      </c>
      <c r="AD29" s="376" t="e">
        <f t="shared" ca="1" si="26"/>
        <v>#N/A</v>
      </c>
      <c r="AE29" s="377">
        <f t="shared" ca="1" si="5"/>
        <v>3.3892497531465371</v>
      </c>
      <c r="AF29" s="344"/>
      <c r="AG29" s="359">
        <f t="shared" ca="1" si="27"/>
        <v>109.026124892463</v>
      </c>
      <c r="AH29" s="357">
        <f t="shared" ca="1" si="28"/>
        <v>118.68487979196543</v>
      </c>
    </row>
    <row r="30" spans="1:34" x14ac:dyDescent="0.2">
      <c r="A30" s="402">
        <f t="shared" ca="1" si="6"/>
        <v>0.01</v>
      </c>
      <c r="B30" s="357">
        <f t="shared" ca="1" si="7"/>
        <v>0.26000000000000006</v>
      </c>
      <c r="C30" s="342"/>
      <c r="D30" s="359">
        <f t="shared" ca="1" si="8"/>
        <v>20.742942297419411</v>
      </c>
      <c r="E30" s="360">
        <f t="shared" ca="1" si="9"/>
        <v>106.53077368664732</v>
      </c>
      <c r="F30" s="357">
        <f t="shared" ca="1" si="10"/>
        <v>108.53144888662338</v>
      </c>
      <c r="G30" s="359">
        <f t="shared" ca="1" si="11"/>
        <v>5.1000086685232118</v>
      </c>
      <c r="H30" s="360">
        <f t="shared" ca="1" si="12"/>
        <v>28.506277614183226</v>
      </c>
      <c r="I30" s="357">
        <f t="shared" ca="1" si="13"/>
        <v>28.958901081289248</v>
      </c>
      <c r="J30" s="359">
        <f t="shared" ca="1" si="14"/>
        <v>0.64834326406062237</v>
      </c>
      <c r="K30" s="360">
        <f t="shared" ca="1" si="15"/>
        <v>3.6689859906040372</v>
      </c>
      <c r="L30" s="357">
        <f t="shared" ca="1" si="0"/>
        <v>3.7258297313888979</v>
      </c>
      <c r="M30" s="359">
        <f t="shared" ca="1" si="16"/>
        <v>1.3937610624064574</v>
      </c>
      <c r="N30" s="357">
        <f t="shared" ca="1" si="17"/>
        <v>79.856626525559747</v>
      </c>
      <c r="O30" s="343"/>
      <c r="P30" s="363">
        <f t="shared" ca="1" si="18"/>
        <v>3</v>
      </c>
      <c r="Q30" s="357">
        <f t="shared" ca="1" si="19"/>
        <v>191.4655172413793</v>
      </c>
      <c r="R30" s="359">
        <f t="shared" ca="1" si="20"/>
        <v>0.10162028295035294</v>
      </c>
      <c r="S30" s="360">
        <f t="shared" ca="1" si="21"/>
        <v>1.611418290096738</v>
      </c>
      <c r="T30" s="357">
        <f t="shared" ca="1" si="1"/>
        <v>15.808013425849001</v>
      </c>
      <c r="U30" s="364">
        <f t="shared" ca="1" si="2"/>
        <v>0</v>
      </c>
      <c r="V30" s="359">
        <f t="shared" ca="1" si="3"/>
        <v>1.2245506316524597</v>
      </c>
      <c r="W30" s="357">
        <f t="shared" ca="1" si="4"/>
        <v>1.1175362060332523</v>
      </c>
      <c r="X30" s="343"/>
      <c r="Y30" s="367" t="str">
        <f t="shared" ca="1" si="22"/>
        <v/>
      </c>
      <c r="Z30" s="368" t="str">
        <f t="shared" ca="1" si="23"/>
        <v/>
      </c>
      <c r="AA30" s="369" t="str">
        <f t="shared" ca="1" si="24"/>
        <v/>
      </c>
      <c r="AB30" s="344"/>
      <c r="AC30" s="363" t="e">
        <f t="shared" ca="1" si="25"/>
        <v>#N/A</v>
      </c>
      <c r="AD30" s="376" t="e">
        <f t="shared" ca="1" si="26"/>
        <v>#N/A</v>
      </c>
      <c r="AE30" s="377">
        <f t="shared" ca="1" si="5"/>
        <v>3.6689859906040372</v>
      </c>
      <c r="AF30" s="344"/>
      <c r="AG30" s="359">
        <f t="shared" ca="1" si="27"/>
        <v>108.51778841536935</v>
      </c>
      <c r="AH30" s="357">
        <f t="shared" ca="1" si="28"/>
        <v>118.17548509382884</v>
      </c>
    </row>
    <row r="31" spans="1:34" x14ac:dyDescent="0.2">
      <c r="A31" s="402">
        <f t="shared" ca="1" si="6"/>
        <v>0.01</v>
      </c>
      <c r="B31" s="357">
        <f t="shared" ca="1" si="7"/>
        <v>0.27000000000000007</v>
      </c>
      <c r="C31" s="342"/>
      <c r="D31" s="359">
        <f t="shared" ca="1" si="8"/>
        <v>20.721930112934494</v>
      </c>
      <c r="E31" s="360">
        <f t="shared" ca="1" si="9"/>
        <v>106.01433107355126</v>
      </c>
      <c r="F31" s="357">
        <f t="shared" ca="1" si="10"/>
        <v>108.02053869786928</v>
      </c>
      <c r="G31" s="359">
        <f t="shared" ca="1" si="11"/>
        <v>5.3072279696525566</v>
      </c>
      <c r="H31" s="360">
        <f t="shared" ca="1" si="12"/>
        <v>29.566420924918738</v>
      </c>
      <c r="I31" s="357">
        <f t="shared" ca="1" si="13"/>
        <v>30.0389732685945</v>
      </c>
      <c r="J31" s="359">
        <f t="shared" ca="1" si="14"/>
        <v>0.70037944725150125</v>
      </c>
      <c r="K31" s="360">
        <f t="shared" ca="1" si="15"/>
        <v>3.9593494832995471</v>
      </c>
      <c r="L31" s="357">
        <f t="shared" ca="1" si="0"/>
        <v>4.0208182874928218</v>
      </c>
      <c r="M31" s="359">
        <f t="shared" ca="1" si="16"/>
        <v>1.3931859234517801</v>
      </c>
      <c r="N31" s="357">
        <f t="shared" ca="1" si="17"/>
        <v>79.823673490823182</v>
      </c>
      <c r="O31" s="343"/>
      <c r="P31" s="363">
        <f t="shared" ca="1" si="18"/>
        <v>3</v>
      </c>
      <c r="Q31" s="357">
        <f t="shared" ca="1" si="19"/>
        <v>190.60344827586206</v>
      </c>
      <c r="R31" s="359">
        <f t="shared" ca="1" si="20"/>
        <v>0.10116274002846933</v>
      </c>
      <c r="S31" s="360">
        <f t="shared" ca="1" si="21"/>
        <v>1.6104066626964533</v>
      </c>
      <c r="T31" s="357">
        <f t="shared" ca="1" si="1"/>
        <v>15.798089361052208</v>
      </c>
      <c r="U31" s="364">
        <f t="shared" ca="1" si="2"/>
        <v>0</v>
      </c>
      <c r="V31" s="359">
        <f t="shared" ca="1" si="3"/>
        <v>1.2245150756875374</v>
      </c>
      <c r="W31" s="357">
        <f t="shared" ca="1" si="4"/>
        <v>1.2024167181614167</v>
      </c>
      <c r="X31" s="343"/>
      <c r="Y31" s="367" t="str">
        <f t="shared" ca="1" si="22"/>
        <v/>
      </c>
      <c r="Z31" s="368" t="str">
        <f t="shared" ca="1" si="23"/>
        <v/>
      </c>
      <c r="AA31" s="369" t="str">
        <f t="shared" ca="1" si="24"/>
        <v/>
      </c>
      <c r="AB31" s="344"/>
      <c r="AC31" s="363" t="e">
        <f t="shared" ca="1" si="25"/>
        <v>#N/A</v>
      </c>
      <c r="AD31" s="376" t="e">
        <f t="shared" ca="1" si="26"/>
        <v>#N/A</v>
      </c>
      <c r="AE31" s="377">
        <f t="shared" ca="1" si="5"/>
        <v>3.9593494832995471</v>
      </c>
      <c r="AF31" s="344"/>
      <c r="AG31" s="359">
        <f t="shared" ca="1" si="27"/>
        <v>108.00672190872493</v>
      </c>
      <c r="AH31" s="357">
        <f t="shared" ca="1" si="28"/>
        <v>117.66339301686381</v>
      </c>
    </row>
    <row r="32" spans="1:34" x14ac:dyDescent="0.2">
      <c r="A32" s="402">
        <f t="shared" ca="1" si="6"/>
        <v>0.01</v>
      </c>
      <c r="B32" s="357">
        <f t="shared" ca="1" si="7"/>
        <v>0.28000000000000008</v>
      </c>
      <c r="C32" s="342"/>
      <c r="D32" s="359">
        <f t="shared" ca="1" si="8"/>
        <v>20.697594765221965</v>
      </c>
      <c r="E32" s="360">
        <f t="shared" ca="1" si="9"/>
        <v>105.49573068675051</v>
      </c>
      <c r="F32" s="357">
        <f t="shared" ca="1" si="10"/>
        <v>107.5069282520747</v>
      </c>
      <c r="G32" s="359">
        <f t="shared" ca="1" si="11"/>
        <v>5.5142039173047763</v>
      </c>
      <c r="H32" s="360">
        <f t="shared" ca="1" si="12"/>
        <v>30.621378231786242</v>
      </c>
      <c r="I32" s="357">
        <f t="shared" ca="1" si="13"/>
        <v>31.113907656476254</v>
      </c>
      <c r="J32" s="359">
        <f t="shared" ca="1" si="14"/>
        <v>0.75448660668628786</v>
      </c>
      <c r="K32" s="360">
        <f t="shared" ca="1" si="15"/>
        <v>4.260288479083072</v>
      </c>
      <c r="L32" s="357">
        <f t="shared" ca="1" si="0"/>
        <v>4.326581556457354</v>
      </c>
      <c r="M32" s="359">
        <f t="shared" ca="1" si="16"/>
        <v>1.3926288696661435</v>
      </c>
      <c r="N32" s="357">
        <f t="shared" ca="1" si="17"/>
        <v>79.791756659944411</v>
      </c>
      <c r="O32" s="343"/>
      <c r="P32" s="363">
        <f t="shared" ca="1" si="18"/>
        <v>3</v>
      </c>
      <c r="Q32" s="357">
        <f t="shared" ca="1" si="19"/>
        <v>189.74137931034483</v>
      </c>
      <c r="R32" s="359">
        <f t="shared" ca="1" si="20"/>
        <v>0.10070519710658569</v>
      </c>
      <c r="S32" s="360">
        <f t="shared" ca="1" si="21"/>
        <v>1.6093996107253874</v>
      </c>
      <c r="T32" s="357">
        <f t="shared" ca="1" si="1"/>
        <v>15.788210181216051</v>
      </c>
      <c r="U32" s="364">
        <f t="shared" ca="1" si="2"/>
        <v>0</v>
      </c>
      <c r="V32" s="359">
        <f t="shared" ca="1" si="3"/>
        <v>1.2244782258067415</v>
      </c>
      <c r="W32" s="357">
        <f t="shared" ca="1" si="4"/>
        <v>1.2899737843378876</v>
      </c>
      <c r="X32" s="343"/>
      <c r="Y32" s="367" t="str">
        <f t="shared" ca="1" si="22"/>
        <v/>
      </c>
      <c r="Z32" s="368" t="str">
        <f t="shared" ca="1" si="23"/>
        <v/>
      </c>
      <c r="AA32" s="369" t="str">
        <f t="shared" ca="1" si="24"/>
        <v/>
      </c>
      <c r="AB32" s="344"/>
      <c r="AC32" s="363" t="e">
        <f t="shared" ca="1" si="25"/>
        <v>#N/A</v>
      </c>
      <c r="AD32" s="376" t="e">
        <f t="shared" ca="1" si="26"/>
        <v>#N/A</v>
      </c>
      <c r="AE32" s="377">
        <f t="shared" ca="1" si="5"/>
        <v>4.260288479083072</v>
      </c>
      <c r="AF32" s="344"/>
      <c r="AG32" s="359">
        <f t="shared" ca="1" si="27"/>
        <v>107.49295604203365</v>
      </c>
      <c r="AH32" s="357">
        <f t="shared" ca="1" si="28"/>
        <v>117.14863190951392</v>
      </c>
    </row>
    <row r="33" spans="1:34" x14ac:dyDescent="0.2">
      <c r="A33" s="402">
        <f t="shared" ca="1" si="6"/>
        <v>0.01</v>
      </c>
      <c r="B33" s="357">
        <f t="shared" ca="1" si="7"/>
        <v>0.29000000000000009</v>
      </c>
      <c r="C33" s="342"/>
      <c r="D33" s="359">
        <f t="shared" ca="1" si="8"/>
        <v>20.67012585065163</v>
      </c>
      <c r="E33" s="360">
        <f t="shared" ca="1" si="9"/>
        <v>104.97497191318908</v>
      </c>
      <c r="F33" s="357">
        <f t="shared" ca="1" si="10"/>
        <v>106.99064833365864</v>
      </c>
      <c r="G33" s="359">
        <f t="shared" ca="1" si="11"/>
        <v>5.7209051758112928</v>
      </c>
      <c r="H33" s="360">
        <f t="shared" ca="1" si="12"/>
        <v>31.671127950918134</v>
      </c>
      <c r="I33" s="357">
        <f t="shared" ca="1" si="13"/>
        <v>32.183677566649408</v>
      </c>
      <c r="J33" s="359">
        <f t="shared" ca="1" si="14"/>
        <v>0.81066215215186821</v>
      </c>
      <c r="K33" s="360">
        <f t="shared" ca="1" si="15"/>
        <v>4.5717510099965937</v>
      </c>
      <c r="L33" s="357">
        <f t="shared" ca="1" si="0"/>
        <v>4.6430679967384041</v>
      </c>
      <c r="M33" s="359">
        <f t="shared" ca="1" si="16"/>
        <v>1.3920886609042575</v>
      </c>
      <c r="N33" s="357">
        <f t="shared" ca="1" si="17"/>
        <v>79.760804977832365</v>
      </c>
      <c r="O33" s="343"/>
      <c r="P33" s="363">
        <f t="shared" ca="1" si="18"/>
        <v>3</v>
      </c>
      <c r="Q33" s="357">
        <f t="shared" ca="1" si="19"/>
        <v>188.87931034482759</v>
      </c>
      <c r="R33" s="359">
        <f t="shared" ca="1" si="20"/>
        <v>0.10024765418470208</v>
      </c>
      <c r="S33" s="360">
        <f t="shared" ca="1" si="21"/>
        <v>1.6083971341835404</v>
      </c>
      <c r="T33" s="357">
        <f t="shared" ca="1" si="1"/>
        <v>15.778375886340532</v>
      </c>
      <c r="U33" s="364">
        <f t="shared" ca="1" si="2"/>
        <v>0</v>
      </c>
      <c r="V33" s="359">
        <f t="shared" ca="1" si="3"/>
        <v>1.2244400884900761</v>
      </c>
      <c r="W33" s="357">
        <f t="shared" ca="1" si="4"/>
        <v>1.3801604499816384</v>
      </c>
      <c r="X33" s="343"/>
      <c r="Y33" s="367" t="str">
        <f t="shared" ca="1" si="22"/>
        <v/>
      </c>
      <c r="Z33" s="368" t="str">
        <f t="shared" ca="1" si="23"/>
        <v/>
      </c>
      <c r="AA33" s="369" t="str">
        <f t="shared" ca="1" si="24"/>
        <v/>
      </c>
      <c r="AB33" s="344"/>
      <c r="AC33" s="363" t="e">
        <f t="shared" ca="1" si="25"/>
        <v>#N/A</v>
      </c>
      <c r="AD33" s="376" t="e">
        <f t="shared" ca="1" si="26"/>
        <v>#N/A</v>
      </c>
      <c r="AE33" s="377">
        <f t="shared" ca="1" si="5"/>
        <v>4.5717510099965937</v>
      </c>
      <c r="AF33" s="344"/>
      <c r="AG33" s="359">
        <f t="shared" ca="1" si="27"/>
        <v>106.97652141642644</v>
      </c>
      <c r="AH33" s="357">
        <f t="shared" ca="1" si="28"/>
        <v>116.63123029357696</v>
      </c>
    </row>
    <row r="34" spans="1:34" x14ac:dyDescent="0.2">
      <c r="A34" s="402">
        <f t="shared" ca="1" si="6"/>
        <v>0.01</v>
      </c>
      <c r="B34" s="357">
        <f t="shared" ca="1" si="7"/>
        <v>0.3000000000000001</v>
      </c>
      <c r="C34" s="342"/>
      <c r="D34" s="359">
        <f t="shared" ca="1" si="8"/>
        <v>20.639694146825764</v>
      </c>
      <c r="E34" s="360">
        <f t="shared" ca="1" si="9"/>
        <v>104.4520571576307</v>
      </c>
      <c r="F34" s="357">
        <f t="shared" ca="1" si="10"/>
        <v>106.47172967006532</v>
      </c>
      <c r="G34" s="359">
        <f t="shared" ca="1" si="11"/>
        <v>5.9273021172795506</v>
      </c>
      <c r="H34" s="360">
        <f t="shared" ca="1" si="12"/>
        <v>32.71564852249444</v>
      </c>
      <c r="I34" s="357">
        <f t="shared" ca="1" si="13"/>
        <v>33.248256625526984</v>
      </c>
      <c r="J34" s="359">
        <f t="shared" ca="1" si="14"/>
        <v>0.86890318861732241</v>
      </c>
      <c r="K34" s="360">
        <f t="shared" ca="1" si="15"/>
        <v>4.8936848923636562</v>
      </c>
      <c r="L34" s="357">
        <f t="shared" ca="1" si="0"/>
        <v>4.9702258074395012</v>
      </c>
      <c r="M34" s="359">
        <f t="shared" ca="1" si="16"/>
        <v>1.3915641805441166</v>
      </c>
      <c r="N34" s="357">
        <f t="shared" ca="1" si="17"/>
        <v>79.730754466758782</v>
      </c>
      <c r="O34" s="343"/>
      <c r="P34" s="363">
        <f t="shared" ca="1" si="18"/>
        <v>3</v>
      </c>
      <c r="Q34" s="357">
        <f t="shared" ca="1" si="19"/>
        <v>188.01724137931035</v>
      </c>
      <c r="R34" s="359">
        <f t="shared" ca="1" si="20"/>
        <v>9.9790111262818462E-2</v>
      </c>
      <c r="S34" s="360">
        <f t="shared" ca="1" si="21"/>
        <v>1.6073992330709121</v>
      </c>
      <c r="T34" s="357">
        <f t="shared" ca="1" si="1"/>
        <v>15.768586476425648</v>
      </c>
      <c r="U34" s="364">
        <f t="shared" ca="1" si="2"/>
        <v>0</v>
      </c>
      <c r="V34" s="359">
        <f t="shared" ca="1" si="3"/>
        <v>1.2244006702472336</v>
      </c>
      <c r="W34" s="357">
        <f t="shared" ca="1" si="4"/>
        <v>1.4729296867637156</v>
      </c>
      <c r="X34" s="343"/>
      <c r="Y34" s="367" t="str">
        <f t="shared" ca="1" si="22"/>
        <v/>
      </c>
      <c r="Z34" s="368" t="str">
        <f t="shared" ca="1" si="23"/>
        <v/>
      </c>
      <c r="AA34" s="369" t="str">
        <f t="shared" ca="1" si="24"/>
        <v/>
      </c>
      <c r="AB34" s="344"/>
      <c r="AC34" s="363" t="e">
        <f t="shared" ca="1" si="25"/>
        <v>#N/A</v>
      </c>
      <c r="AD34" s="376" t="e">
        <f t="shared" ca="1" si="26"/>
        <v>#N/A</v>
      </c>
      <c r="AE34" s="377">
        <f t="shared" ca="1" si="5"/>
        <v>4.8936848923636562</v>
      </c>
      <c r="AF34" s="344"/>
      <c r="AG34" s="359">
        <f t="shared" ca="1" si="27"/>
        <v>106.45744859183193</v>
      </c>
      <c r="AH34" s="357">
        <f t="shared" ca="1" si="28"/>
        <v>116.11121685852827</v>
      </c>
    </row>
    <row r="35" spans="1:34" x14ac:dyDescent="0.2">
      <c r="A35" s="402">
        <f t="shared" ca="1" si="6"/>
        <v>0.01</v>
      </c>
      <c r="B35" s="357">
        <f t="shared" ca="1" si="7"/>
        <v>0.31000000000000011</v>
      </c>
      <c r="C35" s="342"/>
      <c r="D35" s="359">
        <f t="shared" ca="1" si="8"/>
        <v>20.606454121124873</v>
      </c>
      <c r="E35" s="360">
        <f t="shared" ca="1" si="9"/>
        <v>103.92699146468418</v>
      </c>
      <c r="F35" s="357">
        <f t="shared" ca="1" si="10"/>
        <v>105.95020295566479</v>
      </c>
      <c r="G35" s="359">
        <f t="shared" ca="1" si="11"/>
        <v>6.1333666584907993</v>
      </c>
      <c r="H35" s="360">
        <f t="shared" ca="1" si="12"/>
        <v>33.754918437141285</v>
      </c>
      <c r="I35" s="357">
        <f t="shared" ca="1" si="13"/>
        <v>34.307618764139654</v>
      </c>
      <c r="J35" s="359">
        <f t="shared" ca="1" si="14"/>
        <v>0.92920653249617413</v>
      </c>
      <c r="K35" s="360">
        <f t="shared" ca="1" si="15"/>
        <v>5.2260377271618346</v>
      </c>
      <c r="L35" s="357">
        <f t="shared" ca="1" si="0"/>
        <v>5.3080029300813694</v>
      </c>
      <c r="M35" s="359">
        <f t="shared" ca="1" si="16"/>
        <v>1.3910544195080907</v>
      </c>
      <c r="N35" s="357">
        <f t="shared" ca="1" si="17"/>
        <v>79.701547310834286</v>
      </c>
      <c r="O35" s="343"/>
      <c r="P35" s="363">
        <f t="shared" ca="1" si="18"/>
        <v>3</v>
      </c>
      <c r="Q35" s="357">
        <f t="shared" ca="1" si="19"/>
        <v>187.15517241379308</v>
      </c>
      <c r="R35" s="359">
        <f t="shared" ca="1" si="20"/>
        <v>9.9332568340934818E-2</v>
      </c>
      <c r="S35" s="360">
        <f t="shared" ca="1" si="21"/>
        <v>1.6064059073875028</v>
      </c>
      <c r="T35" s="357">
        <f t="shared" ca="1" si="1"/>
        <v>15.758841951471403</v>
      </c>
      <c r="U35" s="364">
        <f t="shared" ca="1" si="2"/>
        <v>0</v>
      </c>
      <c r="V35" s="359">
        <f t="shared" ca="1" si="3"/>
        <v>1.2243599776174785</v>
      </c>
      <c r="W35" s="357">
        <f t="shared" ca="1" si="4"/>
        <v>1.5682344012291585</v>
      </c>
      <c r="X35" s="343"/>
      <c r="Y35" s="367" t="str">
        <f t="shared" ca="1" si="22"/>
        <v/>
      </c>
      <c r="Z35" s="368" t="str">
        <f t="shared" ca="1" si="23"/>
        <v/>
      </c>
      <c r="AA35" s="369" t="str">
        <f t="shared" ca="1" si="24"/>
        <v/>
      </c>
      <c r="AB35" s="344"/>
      <c r="AC35" s="363" t="e">
        <f t="shared" ca="1" si="25"/>
        <v>#N/A</v>
      </c>
      <c r="AD35" s="376" t="e">
        <f t="shared" ca="1" si="26"/>
        <v>#N/A</v>
      </c>
      <c r="AE35" s="377">
        <f t="shared" ca="1" si="5"/>
        <v>5.2260377271618346</v>
      </c>
      <c r="AF35" s="344"/>
      <c r="AG35" s="359">
        <f t="shared" ca="1" si="27"/>
        <v>105.93576810870839</v>
      </c>
      <c r="AH35" s="357">
        <f t="shared" ca="1" si="28"/>
        <v>115.58862045583754</v>
      </c>
    </row>
    <row r="36" spans="1:34" x14ac:dyDescent="0.2">
      <c r="A36" s="402">
        <f t="shared" ca="1" si="6"/>
        <v>0.01</v>
      </c>
      <c r="B36" s="357">
        <f t="shared" ca="1" si="7"/>
        <v>0.32000000000000012</v>
      </c>
      <c r="C36" s="342"/>
      <c r="D36" s="359">
        <f t="shared" ca="1" si="8"/>
        <v>20.570546033292196</v>
      </c>
      <c r="E36" s="360">
        <f t="shared" ca="1" si="9"/>
        <v>103.39978220012277</v>
      </c>
      <c r="F36" s="357">
        <f t="shared" ca="1" si="10"/>
        <v>105.4260988709182</v>
      </c>
      <c r="G36" s="359">
        <f t="shared" ca="1" si="11"/>
        <v>6.3390721188237213</v>
      </c>
      <c r="H36" s="360">
        <f t="shared" ca="1" si="12"/>
        <v>34.788916259142511</v>
      </c>
      <c r="I36" s="357">
        <f t="shared" ca="1" si="13"/>
        <v>35.36173821821091</v>
      </c>
      <c r="J36" s="359">
        <f t="shared" ca="1" si="14"/>
        <v>0.99156872638274673</v>
      </c>
      <c r="K36" s="360">
        <f t="shared" ca="1" si="15"/>
        <v>5.5687569006432538</v>
      </c>
      <c r="L36" s="357">
        <f t="shared" ca="1" si="0"/>
        <v>5.6563470506681401</v>
      </c>
      <c r="M36" s="359">
        <f t="shared" ca="1" si="16"/>
        <v>1.390558462795108</v>
      </c>
      <c r="N36" s="357">
        <f t="shared" ca="1" si="17"/>
        <v>79.673131084359198</v>
      </c>
      <c r="O36" s="343"/>
      <c r="P36" s="363">
        <f t="shared" ca="1" si="18"/>
        <v>3</v>
      </c>
      <c r="Q36" s="357">
        <f t="shared" ca="1" si="19"/>
        <v>186.29310344827584</v>
      </c>
      <c r="R36" s="359">
        <f t="shared" ca="1" si="20"/>
        <v>9.8875025419051202E-2</v>
      </c>
      <c r="S36" s="360">
        <f t="shared" ca="1" si="21"/>
        <v>1.6054171571333122</v>
      </c>
      <c r="T36" s="357">
        <f t="shared" ca="1" si="1"/>
        <v>15.749142311477794</v>
      </c>
      <c r="U36" s="364">
        <f t="shared" ca="1" si="2"/>
        <v>0</v>
      </c>
      <c r="V36" s="359">
        <f t="shared" ca="1" si="3"/>
        <v>1.2243180171695007</v>
      </c>
      <c r="W36" s="357">
        <f t="shared" ca="1" si="4"/>
        <v>1.6660274433825935</v>
      </c>
      <c r="X36" s="343"/>
      <c r="Y36" s="367" t="str">
        <f t="shared" ca="1" si="22"/>
        <v/>
      </c>
      <c r="Z36" s="368" t="str">
        <f t="shared" ca="1" si="23"/>
        <v/>
      </c>
      <c r="AA36" s="369" t="str">
        <f t="shared" ca="1" si="24"/>
        <v/>
      </c>
      <c r="AB36" s="344"/>
      <c r="AC36" s="363" t="e">
        <f t="shared" ca="1" si="25"/>
        <v>#N/A</v>
      </c>
      <c r="AD36" s="376" t="e">
        <f t="shared" ca="1" si="26"/>
        <v>#N/A</v>
      </c>
      <c r="AE36" s="377">
        <f t="shared" ca="1" si="5"/>
        <v>5.5687569006432538</v>
      </c>
      <c r="AF36" s="344"/>
      <c r="AG36" s="359">
        <f t="shared" ca="1" si="27"/>
        <v>105.41151050538534</v>
      </c>
      <c r="AH36" s="357">
        <f t="shared" ca="1" si="28"/>
        <v>115.06347009327952</v>
      </c>
    </row>
    <row r="37" spans="1:34" x14ac:dyDescent="0.2">
      <c r="A37" s="402">
        <f t="shared" ca="1" si="6"/>
        <v>0.01</v>
      </c>
      <c r="B37" s="357">
        <f t="shared" ca="1" si="7"/>
        <v>0.33000000000000013</v>
      </c>
      <c r="C37" s="342"/>
      <c r="D37" s="359">
        <f t="shared" ca="1" si="8"/>
        <v>20.532097708628587</v>
      </c>
      <c r="E37" s="360">
        <f t="shared" ca="1" si="9"/>
        <v>102.87043878045603</v>
      </c>
      <c r="F37" s="357">
        <f t="shared" ca="1" si="10"/>
        <v>104.89944809769126</v>
      </c>
      <c r="G37" s="359">
        <f t="shared" ca="1" si="11"/>
        <v>6.5443930959100074</v>
      </c>
      <c r="H37" s="360">
        <f t="shared" ca="1" si="12"/>
        <v>35.81762064694707</v>
      </c>
      <c r="I37" s="357">
        <f t="shared" ca="1" si="13"/>
        <v>36.410589528355672</v>
      </c>
      <c r="J37" s="359">
        <f t="shared" ca="1" si="14"/>
        <v>1.0559860524564153</v>
      </c>
      <c r="K37" s="360">
        <f t="shared" ca="1" si="15"/>
        <v>5.9217895851737019</v>
      </c>
      <c r="L37" s="357">
        <f t="shared" ca="1" si="0"/>
        <v>6.0152056019768931</v>
      </c>
      <c r="M37" s="359">
        <f t="shared" ca="1" si="16"/>
        <v>1.3900754780638187</v>
      </c>
      <c r="N37" s="357">
        <f t="shared" ca="1" si="17"/>
        <v>79.645458097687055</v>
      </c>
      <c r="O37" s="343"/>
      <c r="P37" s="363">
        <f t="shared" ca="1" si="18"/>
        <v>3</v>
      </c>
      <c r="Q37" s="357">
        <f t="shared" ca="1" si="19"/>
        <v>185.43103448275861</v>
      </c>
      <c r="R37" s="359">
        <f t="shared" ca="1" si="20"/>
        <v>9.8417482497167572E-2</v>
      </c>
      <c r="S37" s="360">
        <f t="shared" ca="1" si="21"/>
        <v>1.6044329823083405</v>
      </c>
      <c r="T37" s="357">
        <f t="shared" ca="1" si="1"/>
        <v>15.739487556444821</v>
      </c>
      <c r="U37" s="364">
        <f t="shared" ca="1" si="2"/>
        <v>0</v>
      </c>
      <c r="V37" s="359">
        <f t="shared" ca="1" si="3"/>
        <v>1.2242747955012387</v>
      </c>
      <c r="W37" s="357">
        <f t="shared" ca="1" si="4"/>
        <v>1.7662616152364696</v>
      </c>
      <c r="X37" s="343"/>
      <c r="Y37" s="367" t="str">
        <f t="shared" ca="1" si="22"/>
        <v/>
      </c>
      <c r="Z37" s="368" t="str">
        <f t="shared" ca="1" si="23"/>
        <v/>
      </c>
      <c r="AA37" s="369" t="str">
        <f t="shared" ca="1" si="24"/>
        <v/>
      </c>
      <c r="AB37" s="344"/>
      <c r="AC37" s="363" t="e">
        <f t="shared" ca="1" si="25"/>
        <v>#N/A</v>
      </c>
      <c r="AD37" s="376" t="e">
        <f t="shared" ca="1" si="26"/>
        <v>#N/A</v>
      </c>
      <c r="AE37" s="377">
        <f t="shared" ca="1" si="5"/>
        <v>5.9217895851737019</v>
      </c>
      <c r="AF37" s="344"/>
      <c r="AG37" s="359">
        <f t="shared" ca="1" si="27"/>
        <v>104.88470633183458</v>
      </c>
      <c r="AH37" s="357">
        <f t="shared" ca="1" si="28"/>
        <v>114.53579492923936</v>
      </c>
    </row>
    <row r="38" spans="1:34" x14ac:dyDescent="0.2">
      <c r="A38" s="402">
        <f t="shared" ca="1" si="6"/>
        <v>0.01</v>
      </c>
      <c r="B38" s="357">
        <f t="shared" ca="1" si="7"/>
        <v>0.34000000000000014</v>
      </c>
      <c r="C38" s="342"/>
      <c r="D38" s="359">
        <f t="shared" ca="1" si="8"/>
        <v>20.491226041998424</v>
      </c>
      <c r="E38" s="360">
        <f t="shared" ca="1" si="9"/>
        <v>102.33897244204817</v>
      </c>
      <c r="F38" s="357">
        <f t="shared" ca="1" si="10"/>
        <v>104.3702813314143</v>
      </c>
      <c r="G38" s="359">
        <f t="shared" ca="1" si="11"/>
        <v>6.7493053563299918</v>
      </c>
      <c r="H38" s="360">
        <f t="shared" ca="1" si="12"/>
        <v>36.841010371367553</v>
      </c>
      <c r="I38" s="357">
        <f t="shared" ca="1" si="13"/>
        <v>37.454147540375239</v>
      </c>
      <c r="J38" s="359">
        <f t="shared" ca="1" si="14"/>
        <v>1.1224545447176153</v>
      </c>
      <c r="K38" s="360">
        <f t="shared" ca="1" si="15"/>
        <v>6.2850827402652749</v>
      </c>
      <c r="L38" s="357">
        <f t="shared" ca="1" si="0"/>
        <v>6.3845257660172141</v>
      </c>
      <c r="M38" s="359">
        <f t="shared" ca="1" si="16"/>
        <v>1.3896047059022212</v>
      </c>
      <c r="N38" s="357">
        <f t="shared" ca="1" si="17"/>
        <v>79.618484839715265</v>
      </c>
      <c r="O38" s="343"/>
      <c r="P38" s="363">
        <f t="shared" ca="1" si="18"/>
        <v>3</v>
      </c>
      <c r="Q38" s="357">
        <f t="shared" ca="1" si="19"/>
        <v>184.56896551724137</v>
      </c>
      <c r="R38" s="359">
        <f t="shared" ca="1" si="20"/>
        <v>9.7959939575283955E-2</v>
      </c>
      <c r="S38" s="360">
        <f t="shared" ca="1" si="21"/>
        <v>1.6034533829125877</v>
      </c>
      <c r="T38" s="357">
        <f t="shared" ca="1" si="1"/>
        <v>15.729877686372486</v>
      </c>
      <c r="U38" s="364">
        <f t="shared" ca="1" si="2"/>
        <v>0</v>
      </c>
      <c r="V38" s="359">
        <f t="shared" ca="1" si="3"/>
        <v>1.2242303192396806</v>
      </c>
      <c r="W38" s="357">
        <f t="shared" ca="1" si="4"/>
        <v>1.8688896793206518</v>
      </c>
      <c r="X38" s="343"/>
      <c r="Y38" s="367" t="str">
        <f t="shared" ca="1" si="22"/>
        <v/>
      </c>
      <c r="Z38" s="368" t="str">
        <f t="shared" ca="1" si="23"/>
        <v/>
      </c>
      <c r="AA38" s="369" t="str">
        <f t="shared" ca="1" si="24"/>
        <v/>
      </c>
      <c r="AB38" s="344"/>
      <c r="AC38" s="363" t="e">
        <f t="shared" ca="1" si="25"/>
        <v>#N/A</v>
      </c>
      <c r="AD38" s="376" t="e">
        <f t="shared" ca="1" si="26"/>
        <v>#N/A</v>
      </c>
      <c r="AE38" s="377">
        <f t="shared" ca="1" si="5"/>
        <v>6.2850827402652749</v>
      </c>
      <c r="AF38" s="344"/>
      <c r="AG38" s="359">
        <f t="shared" ca="1" si="27"/>
        <v>104.35538616051716</v>
      </c>
      <c r="AH38" s="357">
        <f t="shared" ca="1" si="28"/>
        <v>114.00562426701394</v>
      </c>
    </row>
    <row r="39" spans="1:34" x14ac:dyDescent="0.2">
      <c r="A39" s="402">
        <f t="shared" ca="1" si="6"/>
        <v>0.01</v>
      </c>
      <c r="B39" s="357">
        <f t="shared" ca="1" si="7"/>
        <v>0.35000000000000014</v>
      </c>
      <c r="C39" s="342"/>
      <c r="D39" s="359">
        <f t="shared" ca="1" si="8"/>
        <v>20.448038280363452</v>
      </c>
      <c r="E39" s="360">
        <f t="shared" ca="1" si="9"/>
        <v>101.80539604286329</v>
      </c>
      <c r="F39" s="357">
        <f t="shared" ca="1" si="10"/>
        <v>103.83862929064237</v>
      </c>
      <c r="G39" s="359">
        <f t="shared" ca="1" si="11"/>
        <v>6.9537857391336262</v>
      </c>
      <c r="H39" s="360">
        <f t="shared" ca="1" si="12"/>
        <v>37.859064331796183</v>
      </c>
      <c r="I39" s="357">
        <f t="shared" ca="1" si="13"/>
        <v>38.49238740562685</v>
      </c>
      <c r="J39" s="359">
        <f t="shared" ca="1" si="14"/>
        <v>1.1909700001949335</v>
      </c>
      <c r="K39" s="360">
        <f t="shared" ca="1" si="15"/>
        <v>6.6585831137810931</v>
      </c>
      <c r="L39" s="357">
        <f t="shared" ca="1" si="0"/>
        <v>6.7642544766215762</v>
      </c>
      <c r="M39" s="359">
        <f t="shared" ca="1" si="16"/>
        <v>1.389145451492741</v>
      </c>
      <c r="N39" s="357">
        <f t="shared" ca="1" si="17"/>
        <v>79.592171500329286</v>
      </c>
      <c r="O39" s="343"/>
      <c r="P39" s="363">
        <f t="shared" ca="1" si="18"/>
        <v>3</v>
      </c>
      <c r="Q39" s="357">
        <f t="shared" ca="1" si="19"/>
        <v>183.70689655172413</v>
      </c>
      <c r="R39" s="359">
        <f t="shared" ca="1" si="20"/>
        <v>9.7502396653400325E-2</v>
      </c>
      <c r="S39" s="360">
        <f t="shared" ca="1" si="21"/>
        <v>1.6024783589460536</v>
      </c>
      <c r="T39" s="357">
        <f t="shared" ca="1" si="1"/>
        <v>15.720312701260786</v>
      </c>
      <c r="U39" s="364">
        <f t="shared" ca="1" si="2"/>
        <v>0</v>
      </c>
      <c r="V39" s="359">
        <f t="shared" ca="1" si="3"/>
        <v>1.2241845950406465</v>
      </c>
      <c r="W39" s="357">
        <f t="shared" ca="1" si="4"/>
        <v>1.9738643671520071</v>
      </c>
      <c r="X39" s="343"/>
      <c r="Y39" s="367" t="str">
        <f t="shared" ca="1" si="22"/>
        <v/>
      </c>
      <c r="Z39" s="368" t="str">
        <f t="shared" ca="1" si="23"/>
        <v/>
      </c>
      <c r="AA39" s="369" t="str">
        <f t="shared" ca="1" si="24"/>
        <v/>
      </c>
      <c r="AB39" s="344"/>
      <c r="AC39" s="363" t="e">
        <f t="shared" ca="1" si="25"/>
        <v>#N/A</v>
      </c>
      <c r="AD39" s="376" t="e">
        <f t="shared" ca="1" si="26"/>
        <v>#N/A</v>
      </c>
      <c r="AE39" s="377">
        <f t="shared" ca="1" si="5"/>
        <v>6.6585831137810931</v>
      </c>
      <c r="AF39" s="344"/>
      <c r="AG39" s="359">
        <f t="shared" ca="1" si="27"/>
        <v>103.82358059481942</v>
      </c>
      <c r="AH39" s="357">
        <f t="shared" ca="1" si="28"/>
        <v>113.47298754910982</v>
      </c>
    </row>
    <row r="40" spans="1:34" x14ac:dyDescent="0.2">
      <c r="A40" s="402">
        <f t="shared" ca="1" si="6"/>
        <v>0.01</v>
      </c>
      <c r="B40" s="357">
        <f t="shared" ca="1" si="7"/>
        <v>0.36000000000000015</v>
      </c>
      <c r="C40" s="342"/>
      <c r="D40" s="359">
        <f t="shared" ca="1" si="8"/>
        <v>20.402633121956665</v>
      </c>
      <c r="E40" s="360">
        <f t="shared" ca="1" si="9"/>
        <v>101.26972389129565</v>
      </c>
      <c r="F40" s="357">
        <f t="shared" ca="1" si="10"/>
        <v>103.30452272445976</v>
      </c>
      <c r="G40" s="359">
        <f t="shared" ca="1" si="11"/>
        <v>7.1578120703531924</v>
      </c>
      <c r="H40" s="360">
        <f t="shared" ca="1" si="12"/>
        <v>38.87176157070914</v>
      </c>
      <c r="I40" s="357">
        <f t="shared" ca="1" si="13"/>
        <v>39.525284581449299</v>
      </c>
      <c r="J40" s="359">
        <f t="shared" ca="1" si="14"/>
        <v>1.2615279892423676</v>
      </c>
      <c r="K40" s="360">
        <f t="shared" ca="1" si="15"/>
        <v>7.04223724329362</v>
      </c>
      <c r="L40" s="357">
        <f t="shared" ca="1" si="0"/>
        <v>7.1543384221375508</v>
      </c>
      <c r="M40" s="359">
        <f t="shared" ca="1" si="16"/>
        <v>1.3886970774388001</v>
      </c>
      <c r="N40" s="357">
        <f t="shared" ca="1" si="17"/>
        <v>79.566481559395299</v>
      </c>
      <c r="O40" s="343"/>
      <c r="P40" s="363">
        <f t="shared" ca="1" si="18"/>
        <v>3</v>
      </c>
      <c r="Q40" s="357">
        <f t="shared" ca="1" si="19"/>
        <v>182.84482758620689</v>
      </c>
      <c r="R40" s="359">
        <f t="shared" ca="1" si="20"/>
        <v>9.7044853731516709E-2</v>
      </c>
      <c r="S40" s="360">
        <f t="shared" ca="1" si="21"/>
        <v>1.6015079104087384</v>
      </c>
      <c r="T40" s="357">
        <f t="shared" ca="1" si="1"/>
        <v>15.710792601109725</v>
      </c>
      <c r="U40" s="364">
        <f t="shared" ca="1" si="2"/>
        <v>0</v>
      </c>
      <c r="V40" s="359">
        <f t="shared" ca="1" si="3"/>
        <v>1.2241376295885478</v>
      </c>
      <c r="W40" s="357">
        <f t="shared" ca="1" si="4"/>
        <v>2.0811383876624294</v>
      </c>
      <c r="X40" s="343"/>
      <c r="Y40" s="367" t="str">
        <f t="shared" ca="1" si="22"/>
        <v/>
      </c>
      <c r="Z40" s="368" t="str">
        <f t="shared" ca="1" si="23"/>
        <v/>
      </c>
      <c r="AA40" s="369" t="str">
        <f t="shared" ca="1" si="24"/>
        <v/>
      </c>
      <c r="AB40" s="344"/>
      <c r="AC40" s="363" t="e">
        <f t="shared" ca="1" si="25"/>
        <v>#N/A</v>
      </c>
      <c r="AD40" s="376" t="e">
        <f t="shared" ca="1" si="26"/>
        <v>#N/A</v>
      </c>
      <c r="AE40" s="377">
        <f t="shared" ca="1" si="5"/>
        <v>7.04223724329362</v>
      </c>
      <c r="AF40" s="344"/>
      <c r="AG40" s="359">
        <f t="shared" ca="1" si="27"/>
        <v>103.28932027549021</v>
      </c>
      <c r="AH40" s="357">
        <f t="shared" ca="1" si="28"/>
        <v>112.93791435153938</v>
      </c>
    </row>
    <row r="41" spans="1:34" x14ac:dyDescent="0.2">
      <c r="A41" s="402">
        <f t="shared" ca="1" si="6"/>
        <v>0.01</v>
      </c>
      <c r="B41" s="357">
        <f t="shared" ca="1" si="7"/>
        <v>0.37000000000000016</v>
      </c>
      <c r="C41" s="342"/>
      <c r="D41" s="359">
        <f t="shared" ca="1" si="8"/>
        <v>20.355101662752446</v>
      </c>
      <c r="E41" s="360">
        <f t="shared" ca="1" si="9"/>
        <v>100.73197159761632</v>
      </c>
      <c r="F41" s="357">
        <f t="shared" ca="1" si="10"/>
        <v>102.76799241808692</v>
      </c>
      <c r="G41" s="359">
        <f t="shared" ca="1" si="11"/>
        <v>7.3613630869807167</v>
      </c>
      <c r="H41" s="360">
        <f t="shared" ca="1" si="12"/>
        <v>39.879081286685306</v>
      </c>
      <c r="I41" s="357">
        <f t="shared" ca="1" si="13"/>
        <v>40.552814831629341</v>
      </c>
      <c r="J41" s="359">
        <f t="shared" ca="1" si="14"/>
        <v>1.3341238650290372</v>
      </c>
      <c r="K41" s="360">
        <f t="shared" ca="1" si="15"/>
        <v>7.4359914575805925</v>
      </c>
      <c r="L41" s="357">
        <f t="shared" ca="1" si="0"/>
        <v>7.5547240482000113</v>
      </c>
      <c r="M41" s="359">
        <f t="shared" ca="1" si="16"/>
        <v>1.3882589975634898</v>
      </c>
      <c r="N41" s="357">
        <f t="shared" ca="1" si="17"/>
        <v>79.541381431450404</v>
      </c>
      <c r="O41" s="343"/>
      <c r="P41" s="363">
        <f t="shared" ca="1" si="18"/>
        <v>3</v>
      </c>
      <c r="Q41" s="357">
        <f t="shared" ca="1" si="19"/>
        <v>181.98275862068965</v>
      </c>
      <c r="R41" s="359">
        <f t="shared" ca="1" si="20"/>
        <v>9.6587310809633078E-2</v>
      </c>
      <c r="S41" s="360">
        <f t="shared" ca="1" si="21"/>
        <v>1.600542037300642</v>
      </c>
      <c r="T41" s="357">
        <f t="shared" ca="1" si="1"/>
        <v>15.7013173859193</v>
      </c>
      <c r="U41" s="364">
        <f t="shared" ca="1" si="2"/>
        <v>0</v>
      </c>
      <c r="V41" s="359">
        <f t="shared" ca="1" si="3"/>
        <v>1.2240894295961338</v>
      </c>
      <c r="W41" s="357">
        <f t="shared" ca="1" si="4"/>
        <v>2.1906644355837002</v>
      </c>
      <c r="X41" s="343"/>
      <c r="Y41" s="367" t="str">
        <f t="shared" ca="1" si="22"/>
        <v/>
      </c>
      <c r="Z41" s="368" t="str">
        <f t="shared" ca="1" si="23"/>
        <v/>
      </c>
      <c r="AA41" s="369" t="str">
        <f t="shared" ca="1" si="24"/>
        <v/>
      </c>
      <c r="AB41" s="344"/>
      <c r="AC41" s="363" t="e">
        <f t="shared" ca="1" si="25"/>
        <v>#N/A</v>
      </c>
      <c r="AD41" s="376" t="e">
        <f t="shared" ca="1" si="26"/>
        <v>#N/A</v>
      </c>
      <c r="AE41" s="377">
        <f t="shared" ca="1" si="5"/>
        <v>7.4359914575805925</v>
      </c>
      <c r="AF41" s="344"/>
      <c r="AG41" s="359">
        <f t="shared" ca="1" si="27"/>
        <v>102.75263588541084</v>
      </c>
      <c r="AH41" s="357">
        <f t="shared" ca="1" si="28"/>
        <v>112.40043437811619</v>
      </c>
    </row>
    <row r="42" spans="1:34" x14ac:dyDescent="0.2">
      <c r="A42" s="402">
        <f t="shared" ca="1" si="6"/>
        <v>0.01</v>
      </c>
      <c r="B42" s="357">
        <f t="shared" ca="1" si="7"/>
        <v>0.38000000000000017</v>
      </c>
      <c r="C42" s="342"/>
      <c r="D42" s="359">
        <f t="shared" ca="1" si="8"/>
        <v>20.305528215060008</v>
      </c>
      <c r="E42" s="360">
        <f t="shared" ca="1" si="9"/>
        <v>100.19215594440776</v>
      </c>
      <c r="F42" s="357">
        <f t="shared" ca="1" si="10"/>
        <v>102.22906919698096</v>
      </c>
      <c r="G42" s="359">
        <f t="shared" ca="1" si="11"/>
        <v>7.5644183691313165</v>
      </c>
      <c r="H42" s="360">
        <f t="shared" ca="1" si="12"/>
        <v>40.881002846129384</v>
      </c>
      <c r="I42" s="357">
        <f t="shared" ca="1" si="13"/>
        <v>41.574954226895912</v>
      </c>
      <c r="J42" s="359">
        <f t="shared" ca="1" si="14"/>
        <v>1.4087527723095974</v>
      </c>
      <c r="K42" s="360">
        <f t="shared" ca="1" si="15"/>
        <v>7.8397918782446663</v>
      </c>
      <c r="L42" s="357">
        <f t="shared" ca="1" si="0"/>
        <v>7.9653575605669458</v>
      </c>
      <c r="M42" s="359">
        <f t="shared" ca="1" si="16"/>
        <v>1.3878306715260984</v>
      </c>
      <c r="N42" s="357">
        <f t="shared" ca="1" si="17"/>
        <v>79.516840157252318</v>
      </c>
      <c r="O42" s="343"/>
      <c r="P42" s="363">
        <f t="shared" ca="1" si="18"/>
        <v>3</v>
      </c>
      <c r="Q42" s="357">
        <f t="shared" ca="1" si="19"/>
        <v>181.12068965517238</v>
      </c>
      <c r="R42" s="359">
        <f t="shared" ca="1" si="20"/>
        <v>9.6129767887749448E-2</v>
      </c>
      <c r="S42" s="360">
        <f t="shared" ca="1" si="21"/>
        <v>1.5995807396217645</v>
      </c>
      <c r="T42" s="357">
        <f t="shared" ca="1" si="1"/>
        <v>15.691887055689511</v>
      </c>
      <c r="U42" s="364">
        <f t="shared" ca="1" si="2"/>
        <v>0</v>
      </c>
      <c r="V42" s="359">
        <f t="shared" ca="1" si="3"/>
        <v>1.2240400018042183</v>
      </c>
      <c r="W42" s="357">
        <f t="shared" ca="1" si="4"/>
        <v>2.3023951997874774</v>
      </c>
      <c r="X42" s="343"/>
      <c r="Y42" s="367" t="str">
        <f t="shared" ca="1" si="22"/>
        <v/>
      </c>
      <c r="Z42" s="368" t="str">
        <f t="shared" ca="1" si="23"/>
        <v/>
      </c>
      <c r="AA42" s="369" t="str">
        <f t="shared" ca="1" si="24"/>
        <v/>
      </c>
      <c r="AB42" s="344"/>
      <c r="AC42" s="363" t="e">
        <f t="shared" ca="1" si="25"/>
        <v>#N/A</v>
      </c>
      <c r="AD42" s="376" t="e">
        <f t="shared" ca="1" si="26"/>
        <v>#N/A</v>
      </c>
      <c r="AE42" s="377">
        <f t="shared" ca="1" si="5"/>
        <v>7.8397918782446663</v>
      </c>
      <c r="AF42" s="344"/>
      <c r="AG42" s="359">
        <f t="shared" ca="1" si="27"/>
        <v>102.21355815296769</v>
      </c>
      <c r="AH42" s="357">
        <f t="shared" ca="1" si="28"/>
        <v>111.86057745475125</v>
      </c>
    </row>
    <row r="43" spans="1:34" x14ac:dyDescent="0.2">
      <c r="A43" s="402">
        <f t="shared" ca="1" si="6"/>
        <v>0.01</v>
      </c>
      <c r="B43" s="357">
        <f t="shared" ca="1" si="7"/>
        <v>0.39000000000000018</v>
      </c>
      <c r="C43" s="342"/>
      <c r="D43" s="359">
        <f t="shared" ca="1" si="8"/>
        <v>20.253991018470799</v>
      </c>
      <c r="E43" s="360">
        <f t="shared" ca="1" si="9"/>
        <v>99.650294773022964</v>
      </c>
      <c r="F43" s="357">
        <f t="shared" ca="1" si="10"/>
        <v>101.68778392966711</v>
      </c>
      <c r="G43" s="359">
        <f t="shared" ca="1" si="11"/>
        <v>7.7669582793160243</v>
      </c>
      <c r="H43" s="360">
        <f t="shared" ca="1" si="12"/>
        <v>41.877505793859612</v>
      </c>
      <c r="I43" s="357">
        <f t="shared" ca="1" si="13"/>
        <v>42.591679145431456</v>
      </c>
      <c r="J43" s="359">
        <f t="shared" ca="1" si="14"/>
        <v>1.4854096555518341</v>
      </c>
      <c r="K43" s="360">
        <f t="shared" ca="1" si="15"/>
        <v>8.2535844214446108</v>
      </c>
      <c r="L43" s="357">
        <f t="shared" ca="1" si="0"/>
        <v>8.3861849280062852</v>
      </c>
      <c r="M43" s="359">
        <f t="shared" ca="1" si="16"/>
        <v>1.3874116001301002</v>
      </c>
      <c r="N43" s="357">
        <f t="shared" ca="1" si="17"/>
        <v>79.492829134946959</v>
      </c>
      <c r="O43" s="343"/>
      <c r="P43" s="363">
        <f t="shared" ca="1" si="18"/>
        <v>3</v>
      </c>
      <c r="Q43" s="357">
        <f t="shared" ca="1" si="19"/>
        <v>180.25862068965515</v>
      </c>
      <c r="R43" s="359">
        <f t="shared" ca="1" si="20"/>
        <v>9.5672224965865818E-2</v>
      </c>
      <c r="S43" s="360">
        <f t="shared" ca="1" si="21"/>
        <v>1.5986240173721058</v>
      </c>
      <c r="T43" s="357">
        <f t="shared" ca="1" si="1"/>
        <v>15.682501610420358</v>
      </c>
      <c r="U43" s="364">
        <f t="shared" ca="1" si="2"/>
        <v>0</v>
      </c>
      <c r="V43" s="359">
        <f t="shared" ca="1" si="3"/>
        <v>1.2239893529813977</v>
      </c>
      <c r="W43" s="357">
        <f t="shared" ca="1" si="4"/>
        <v>2.4162833715786927</v>
      </c>
      <c r="X43" s="343"/>
      <c r="Y43" s="367" t="str">
        <f t="shared" ca="1" si="22"/>
        <v/>
      </c>
      <c r="Z43" s="368" t="str">
        <f t="shared" ca="1" si="23"/>
        <v/>
      </c>
      <c r="AA43" s="369" t="str">
        <f t="shared" ca="1" si="24"/>
        <v/>
      </c>
      <c r="AB43" s="344"/>
      <c r="AC43" s="363" t="e">
        <f t="shared" ca="1" si="25"/>
        <v>#N/A</v>
      </c>
      <c r="AD43" s="376" t="e">
        <f t="shared" ca="1" si="26"/>
        <v>#N/A</v>
      </c>
      <c r="AE43" s="377">
        <f t="shared" ca="1" si="5"/>
        <v>8.2535844214446108</v>
      </c>
      <c r="AF43" s="344"/>
      <c r="AG43" s="359">
        <f t="shared" ca="1" si="27"/>
        <v>101.67211785424796</v>
      </c>
      <c r="AH43" s="357">
        <f t="shared" ca="1" si="28"/>
        <v>111.31837352375112</v>
      </c>
    </row>
    <row r="44" spans="1:34" x14ac:dyDescent="0.2">
      <c r="A44" s="402">
        <f t="shared" ca="1" si="6"/>
        <v>0.01</v>
      </c>
      <c r="B44" s="357">
        <f t="shared" ca="1" si="7"/>
        <v>0.40000000000000019</v>
      </c>
      <c r="C44" s="342"/>
      <c r="D44" s="359">
        <f t="shared" ca="1" si="8"/>
        <v>20.200562859744956</v>
      </c>
      <c r="E44" s="360">
        <f t="shared" ca="1" si="9"/>
        <v>99.106406883634108</v>
      </c>
      <c r="F44" s="357">
        <f t="shared" ca="1" si="10"/>
        <v>101.14416752949695</v>
      </c>
      <c r="G44" s="359">
        <f t="shared" ca="1" si="11"/>
        <v>7.9689639079134738</v>
      </c>
      <c r="H44" s="360">
        <f t="shared" ca="1" si="12"/>
        <v>42.868569862695956</v>
      </c>
      <c r="I44" s="357">
        <f t="shared" ca="1" si="13"/>
        <v>43.602966273390983</v>
      </c>
      <c r="J44" s="359">
        <f t="shared" ca="1" si="14"/>
        <v>1.5640892664879815</v>
      </c>
      <c r="K44" s="360">
        <f t="shared" ca="1" si="15"/>
        <v>8.6773147997273892</v>
      </c>
      <c r="L44" s="357">
        <f t="shared" ca="1" si="0"/>
        <v>8.8171518852240993</v>
      </c>
      <c r="M44" s="359">
        <f t="shared" ca="1" si="16"/>
        <v>1.3870013212184673</v>
      </c>
      <c r="N44" s="357">
        <f t="shared" ca="1" si="17"/>
        <v>79.469321884887179</v>
      </c>
      <c r="O44" s="343"/>
      <c r="P44" s="363">
        <f t="shared" ca="1" si="18"/>
        <v>3</v>
      </c>
      <c r="Q44" s="357">
        <f t="shared" ca="1" si="19"/>
        <v>179.39655172413791</v>
      </c>
      <c r="R44" s="359">
        <f t="shared" ca="1" si="20"/>
        <v>9.5214682043982202E-2</v>
      </c>
      <c r="S44" s="360">
        <f t="shared" ca="1" si="21"/>
        <v>1.5976718705516659</v>
      </c>
      <c r="T44" s="357">
        <f t="shared" ca="1" si="1"/>
        <v>15.673161050111844</v>
      </c>
      <c r="U44" s="364">
        <f t="shared" ca="1" si="2"/>
        <v>0</v>
      </c>
      <c r="V44" s="359">
        <f t="shared" ca="1" si="3"/>
        <v>1.2239374899237541</v>
      </c>
      <c r="W44" s="357">
        <f t="shared" ca="1" si="4"/>
        <v>2.5322816529405459</v>
      </c>
      <c r="X44" s="343"/>
      <c r="Y44" s="367" t="str">
        <f t="shared" ca="1" si="22"/>
        <v/>
      </c>
      <c r="Z44" s="368" t="str">
        <f t="shared" ca="1" si="23"/>
        <v/>
      </c>
      <c r="AA44" s="369" t="str">
        <f t="shared" ca="1" si="24"/>
        <v/>
      </c>
      <c r="AB44" s="344"/>
      <c r="AC44" s="363" t="e">
        <f t="shared" ca="1" si="25"/>
        <v>#N/A</v>
      </c>
      <c r="AD44" s="376" t="e">
        <f t="shared" ca="1" si="26"/>
        <v>#N/A</v>
      </c>
      <c r="AE44" s="377">
        <f t="shared" ca="1" si="5"/>
        <v>8.6773147997273892</v>
      </c>
      <c r="AF44" s="344"/>
      <c r="AG44" s="359">
        <f t="shared" ca="1" si="27"/>
        <v>101.12834581423974</v>
      </c>
      <c r="AH44" s="357">
        <f t="shared" ca="1" si="28"/>
        <v>110.77385263811965</v>
      </c>
    </row>
    <row r="45" spans="1:34" x14ac:dyDescent="0.2">
      <c r="A45" s="402">
        <f t="shared" ca="1" si="6"/>
        <v>0.01</v>
      </c>
      <c r="B45" s="357">
        <f t="shared" ca="1" si="7"/>
        <v>0.4100000000000002</v>
      </c>
      <c r="C45" s="342"/>
      <c r="D45" s="359">
        <f t="shared" ca="1" si="8"/>
        <v>20.145311615308366</v>
      </c>
      <c r="E45" s="360">
        <f t="shared" ca="1" si="9"/>
        <v>98.560511946859265</v>
      </c>
      <c r="F45" s="357">
        <f t="shared" ca="1" si="10"/>
        <v>100.59825095549557</v>
      </c>
      <c r="G45" s="359">
        <f t="shared" ca="1" si="11"/>
        <v>8.1704170240665572</v>
      </c>
      <c r="H45" s="360">
        <f t="shared" ca="1" si="12"/>
        <v>43.854174982164551</v>
      </c>
      <c r="I45" s="357">
        <f t="shared" ca="1" si="13"/>
        <v>44.608792605421009</v>
      </c>
      <c r="J45" s="359">
        <f t="shared" ca="1" si="14"/>
        <v>1.6447861711478817</v>
      </c>
      <c r="K45" s="360">
        <f t="shared" ca="1" si="15"/>
        <v>9.1109285239516922</v>
      </c>
      <c r="L45" s="357">
        <f t="shared" ca="1" si="0"/>
        <v>9.2582039358266393</v>
      </c>
      <c r="M45" s="359">
        <f t="shared" ca="1" si="16"/>
        <v>1.3865994060700417</v>
      </c>
      <c r="N45" s="357">
        <f t="shared" ca="1" si="17"/>
        <v>79.446293843160007</v>
      </c>
      <c r="O45" s="343"/>
      <c r="P45" s="363">
        <f t="shared" ca="1" si="18"/>
        <v>3</v>
      </c>
      <c r="Q45" s="357">
        <f t="shared" ca="1" si="19"/>
        <v>178.53448275862067</v>
      </c>
      <c r="R45" s="359">
        <f t="shared" ca="1" si="20"/>
        <v>9.4757139122098571E-2</v>
      </c>
      <c r="S45" s="360">
        <f t="shared" ca="1" si="21"/>
        <v>1.5967242991604449</v>
      </c>
      <c r="T45" s="357">
        <f t="shared" ca="1" si="1"/>
        <v>15.663865374763965</v>
      </c>
      <c r="U45" s="364">
        <f t="shared" ca="1" si="2"/>
        <v>0</v>
      </c>
      <c r="V45" s="359">
        <f t="shared" ca="1" si="3"/>
        <v>1.2238844194545466</v>
      </c>
      <c r="W45" s="357">
        <f t="shared" ca="1" si="4"/>
        <v>2.6503427647292677</v>
      </c>
      <c r="X45" s="343"/>
      <c r="Y45" s="367" t="str">
        <f t="shared" ca="1" si="22"/>
        <v/>
      </c>
      <c r="Z45" s="368" t="str">
        <f t="shared" ca="1" si="23"/>
        <v/>
      </c>
      <c r="AA45" s="369" t="str">
        <f t="shared" ca="1" si="24"/>
        <v/>
      </c>
      <c r="AB45" s="344"/>
      <c r="AC45" s="363" t="e">
        <f t="shared" ca="1" si="25"/>
        <v>#N/A</v>
      </c>
      <c r="AD45" s="376" t="e">
        <f t="shared" ca="1" si="26"/>
        <v>#N/A</v>
      </c>
      <c r="AE45" s="377">
        <f t="shared" ca="1" si="5"/>
        <v>9.1109285239516922</v>
      </c>
      <c r="AF45" s="344"/>
      <c r="AG45" s="359">
        <f t="shared" ca="1" si="27"/>
        <v>100.5822729071869</v>
      </c>
      <c r="AH45" s="357">
        <f t="shared" ca="1" si="28"/>
        <v>110.22704495586483</v>
      </c>
    </row>
    <row r="46" spans="1:34" x14ac:dyDescent="0.2">
      <c r="A46" s="402">
        <f t="shared" ca="1" si="6"/>
        <v>0.01</v>
      </c>
      <c r="B46" s="357">
        <f t="shared" ca="1" si="7"/>
        <v>0.42000000000000021</v>
      </c>
      <c r="C46" s="342"/>
      <c r="D46" s="359">
        <f t="shared" ca="1" si="8"/>
        <v>20.088300727690367</v>
      </c>
      <c r="E46" s="360">
        <f t="shared" ca="1" si="9"/>
        <v>98.012630425296152</v>
      </c>
      <c r="F46" s="357">
        <f t="shared" ca="1" si="10"/>
        <v>100.05006521243159</v>
      </c>
      <c r="G46" s="359">
        <f t="shared" ca="1" si="11"/>
        <v>8.3713000313434609</v>
      </c>
      <c r="H46" s="360">
        <f t="shared" ca="1" si="12"/>
        <v>44.834301286417514</v>
      </c>
      <c r="I46" s="357">
        <f t="shared" ca="1" si="13"/>
        <v>45.609135445171837</v>
      </c>
      <c r="J46" s="359">
        <f t="shared" ca="1" si="14"/>
        <v>1.7274947564249319</v>
      </c>
      <c r="K46" s="360">
        <f t="shared" ca="1" si="15"/>
        <v>9.5543709052946024</v>
      </c>
      <c r="L46" s="357">
        <f t="shared" ca="1" si="0"/>
        <v>9.7092863553103435</v>
      </c>
      <c r="M46" s="359">
        <f t="shared" ca="1" si="16"/>
        <v>1.386205456225158</v>
      </c>
      <c r="N46" s="357">
        <f t="shared" ca="1" si="17"/>
        <v>79.423722179708349</v>
      </c>
      <c r="O46" s="343"/>
      <c r="P46" s="363">
        <f t="shared" ca="1" si="18"/>
        <v>3</v>
      </c>
      <c r="Q46" s="357">
        <f t="shared" ca="1" si="19"/>
        <v>177.67241379310343</v>
      </c>
      <c r="R46" s="359">
        <f t="shared" ca="1" si="20"/>
        <v>9.4299596200214955E-2</v>
      </c>
      <c r="S46" s="360">
        <f t="shared" ca="1" si="21"/>
        <v>1.5957813031984427</v>
      </c>
      <c r="T46" s="357">
        <f t="shared" ca="1" si="1"/>
        <v>15.654614584376723</v>
      </c>
      <c r="U46" s="364">
        <f t="shared" ca="1" si="2"/>
        <v>0</v>
      </c>
      <c r="V46" s="359">
        <f t="shared" ca="1" si="3"/>
        <v>1.2238301484238945</v>
      </c>
      <c r="W46" s="357">
        <f t="shared" ca="1" si="4"/>
        <v>2.7704194548168477</v>
      </c>
      <c r="X46" s="343"/>
      <c r="Y46" s="367" t="str">
        <f t="shared" ca="1" si="22"/>
        <v/>
      </c>
      <c r="Z46" s="368" t="str">
        <f t="shared" ca="1" si="23"/>
        <v/>
      </c>
      <c r="AA46" s="369" t="str">
        <f t="shared" ca="1" si="24"/>
        <v/>
      </c>
      <c r="AB46" s="344"/>
      <c r="AC46" s="363" t="e">
        <f t="shared" ca="1" si="25"/>
        <v>#N/A</v>
      </c>
      <c r="AD46" s="376" t="e">
        <f t="shared" ca="1" si="26"/>
        <v>#N/A</v>
      </c>
      <c r="AE46" s="377">
        <f t="shared" ca="1" si="5"/>
        <v>9.5543709052946024</v>
      </c>
      <c r="AF46" s="344"/>
      <c r="AG46" s="359">
        <f t="shared" ca="1" si="27"/>
        <v>100.03393005622321</v>
      </c>
      <c r="AH46" s="357">
        <f t="shared" ca="1" si="28"/>
        <v>109.67798073431204</v>
      </c>
    </row>
    <row r="47" spans="1:34" x14ac:dyDescent="0.2">
      <c r="A47" s="402">
        <f t="shared" ca="1" si="6"/>
        <v>0.01</v>
      </c>
      <c r="B47" s="357">
        <f t="shared" ca="1" si="7"/>
        <v>0.43000000000000022</v>
      </c>
      <c r="C47" s="342"/>
      <c r="D47" s="359">
        <f t="shared" ca="1" si="8"/>
        <v>20.029589625338453</v>
      </c>
      <c r="E47" s="360">
        <f t="shared" ca="1" si="9"/>
        <v>97.462783503568957</v>
      </c>
      <c r="F47" s="357">
        <f t="shared" ca="1" si="10"/>
        <v>99.499641350223058</v>
      </c>
      <c r="G47" s="359">
        <f t="shared" ca="1" si="11"/>
        <v>8.5715959275968459</v>
      </c>
      <c r="H47" s="360">
        <f t="shared" ca="1" si="12"/>
        <v>45.808929121453204</v>
      </c>
      <c r="I47" s="357">
        <f t="shared" ca="1" si="13"/>
        <v>46.603972405797322</v>
      </c>
      <c r="J47" s="359">
        <f t="shared" ca="1" si="14"/>
        <v>1.8122092362196334</v>
      </c>
      <c r="K47" s="360">
        <f t="shared" ca="1" si="15"/>
        <v>10.007587057333955</v>
      </c>
      <c r="L47" s="357">
        <f t="shared" ca="1" si="0"/>
        <v>10.170344194075136</v>
      </c>
      <c r="M47" s="359">
        <f t="shared" ca="1" si="16"/>
        <v>1.3858191006804466</v>
      </c>
      <c r="N47" s="357">
        <f t="shared" ca="1" si="17"/>
        <v>79.401585637604896</v>
      </c>
      <c r="O47" s="343"/>
      <c r="P47" s="363">
        <f t="shared" ca="1" si="18"/>
        <v>3</v>
      </c>
      <c r="Q47" s="357">
        <f t="shared" ca="1" si="19"/>
        <v>176.81034482758619</v>
      </c>
      <c r="R47" s="359">
        <f t="shared" ca="1" si="20"/>
        <v>9.3842053278331325E-2</v>
      </c>
      <c r="S47" s="360">
        <f t="shared" ca="1" si="21"/>
        <v>1.5948428826656593</v>
      </c>
      <c r="T47" s="357">
        <f t="shared" ca="1" si="1"/>
        <v>15.645408678950119</v>
      </c>
      <c r="U47" s="364">
        <f t="shared" ca="1" si="2"/>
        <v>0</v>
      </c>
      <c r="V47" s="359">
        <f t="shared" ca="1" si="3"/>
        <v>1.2237746837084496</v>
      </c>
      <c r="W47" s="357">
        <f t="shared" ca="1" si="4"/>
        <v>2.8924645061798557</v>
      </c>
      <c r="X47" s="343"/>
      <c r="Y47" s="367" t="str">
        <f t="shared" ca="1" si="22"/>
        <v/>
      </c>
      <c r="Z47" s="368" t="str">
        <f t="shared" ca="1" si="23"/>
        <v/>
      </c>
      <c r="AA47" s="369" t="str">
        <f t="shared" ca="1" si="24"/>
        <v/>
      </c>
      <c r="AB47" s="344"/>
      <c r="AC47" s="363" t="e">
        <f t="shared" ca="1" si="25"/>
        <v>#N/A</v>
      </c>
      <c r="AD47" s="376" t="e">
        <f t="shared" ca="1" si="26"/>
        <v>#N/A</v>
      </c>
      <c r="AE47" s="377">
        <f t="shared" ca="1" si="5"/>
        <v>10.007587057333955</v>
      </c>
      <c r="AF47" s="344"/>
      <c r="AG47" s="359">
        <f t="shared" ca="1" si="27"/>
        <v>99.483348232390313</v>
      </c>
      <c r="AH47" s="357">
        <f t="shared" ca="1" si="28"/>
        <v>109.12669032442541</v>
      </c>
    </row>
    <row r="48" spans="1:34" x14ac:dyDescent="0.2">
      <c r="A48" s="402">
        <f t="shared" ca="1" si="6"/>
        <v>0.01</v>
      </c>
      <c r="B48" s="357">
        <f t="shared" ca="1" si="7"/>
        <v>0.44000000000000022</v>
      </c>
      <c r="C48" s="342"/>
      <c r="D48" s="359">
        <f t="shared" ca="1" si="8"/>
        <v>19.969234093707342</v>
      </c>
      <c r="E48" s="360">
        <f t="shared" ca="1" si="9"/>
        <v>96.910993025719236</v>
      </c>
      <c r="F48" s="357">
        <f t="shared" ca="1" si="10"/>
        <v>98.947010462773889</v>
      </c>
      <c r="G48" s="359">
        <f t="shared" ca="1" si="11"/>
        <v>8.7712882685339189</v>
      </c>
      <c r="H48" s="360">
        <f t="shared" ca="1" si="12"/>
        <v>46.778039051710394</v>
      </c>
      <c r="I48" s="357">
        <f t="shared" ca="1" si="13"/>
        <v>47.593281410437164</v>
      </c>
      <c r="J48" s="359">
        <f t="shared" ca="1" si="14"/>
        <v>1.8989236572002872</v>
      </c>
      <c r="K48" s="360">
        <f t="shared" ca="1" si="15"/>
        <v>10.470521898199774</v>
      </c>
      <c r="L48" s="357">
        <f t="shared" ca="1" si="0"/>
        <v>10.641322280457251</v>
      </c>
      <c r="M48" s="359">
        <f t="shared" ca="1" si="16"/>
        <v>1.3854399934023567</v>
      </c>
      <c r="N48" s="357">
        <f t="shared" ca="1" si="17"/>
        <v>79.379864390587656</v>
      </c>
      <c r="O48" s="343"/>
      <c r="P48" s="363">
        <f t="shared" ca="1" si="18"/>
        <v>3</v>
      </c>
      <c r="Q48" s="357">
        <f t="shared" ca="1" si="19"/>
        <v>175.94827586206895</v>
      </c>
      <c r="R48" s="359">
        <f t="shared" ca="1" si="20"/>
        <v>9.3384510356447709E-2</v>
      </c>
      <c r="S48" s="360">
        <f t="shared" ca="1" si="21"/>
        <v>1.5939090375620948</v>
      </c>
      <c r="T48" s="357">
        <f t="shared" ca="1" si="1"/>
        <v>15.63624765848415</v>
      </c>
      <c r="U48" s="364">
        <f t="shared" ca="1" si="2"/>
        <v>0</v>
      </c>
      <c r="V48" s="359">
        <f t="shared" ca="1" si="3"/>
        <v>1.2237180322110612</v>
      </c>
      <c r="W48" s="357">
        <f t="shared" ca="1" si="4"/>
        <v>3.0164307449325034</v>
      </c>
      <c r="X48" s="343"/>
      <c r="Y48" s="367" t="str">
        <f t="shared" ca="1" si="22"/>
        <v/>
      </c>
      <c r="Z48" s="368" t="str">
        <f t="shared" ca="1" si="23"/>
        <v/>
      </c>
      <c r="AA48" s="369" t="str">
        <f t="shared" ca="1" si="24"/>
        <v/>
      </c>
      <c r="AB48" s="344"/>
      <c r="AC48" s="363" t="e">
        <f t="shared" ca="1" si="25"/>
        <v>#N/A</v>
      </c>
      <c r="AD48" s="376" t="e">
        <f t="shared" ca="1" si="26"/>
        <v>#N/A</v>
      </c>
      <c r="AE48" s="377">
        <f t="shared" ca="1" si="5"/>
        <v>10.470521898199774</v>
      </c>
      <c r="AF48" s="344"/>
      <c r="AG48" s="359">
        <f t="shared" ca="1" si="27"/>
        <v>98.930558453127404</v>
      </c>
      <c r="AH48" s="357">
        <f t="shared" ca="1" si="28"/>
        <v>108.57320416513873</v>
      </c>
    </row>
    <row r="49" spans="1:34" x14ac:dyDescent="0.2">
      <c r="A49" s="402">
        <f t="shared" ca="1" si="6"/>
        <v>0.01</v>
      </c>
      <c r="B49" s="357">
        <f t="shared" ca="1" si="7"/>
        <v>0.45000000000000023</v>
      </c>
      <c r="C49" s="342"/>
      <c r="D49" s="359">
        <f t="shared" ca="1" si="8"/>
        <v>19.907286604259767</v>
      </c>
      <c r="E49" s="360">
        <f t="shared" ca="1" si="9"/>
        <v>96.357281438956122</v>
      </c>
      <c r="F49" s="357">
        <f t="shared" ca="1" si="10"/>
        <v>98.392203686320272</v>
      </c>
      <c r="G49" s="359">
        <f t="shared" ca="1" si="11"/>
        <v>8.9703611345765157</v>
      </c>
      <c r="H49" s="360">
        <f t="shared" ca="1" si="12"/>
        <v>47.741611866099959</v>
      </c>
      <c r="I49" s="357">
        <f t="shared" ca="1" si="13"/>
        <v>48.57704069267762</v>
      </c>
      <c r="J49" s="359">
        <f t="shared" ca="1" si="14"/>
        <v>1.9876319042158395</v>
      </c>
      <c r="K49" s="360">
        <f t="shared" ca="1" si="15"/>
        <v>10.943120152788826</v>
      </c>
      <c r="L49" s="357">
        <f t="shared" ca="1" si="0"/>
        <v>11.12216522377858</v>
      </c>
      <c r="M49" s="359">
        <f t="shared" ca="1" si="16"/>
        <v>1.3850678111168055</v>
      </c>
      <c r="N49" s="357">
        <f t="shared" ca="1" si="17"/>
        <v>79.358539916416049</v>
      </c>
      <c r="O49" s="343"/>
      <c r="P49" s="363">
        <f t="shared" ca="1" si="18"/>
        <v>3</v>
      </c>
      <c r="Q49" s="357">
        <f t="shared" ca="1" si="19"/>
        <v>175.08620689655169</v>
      </c>
      <c r="R49" s="359">
        <f t="shared" ca="1" si="20"/>
        <v>9.2926967434564064E-2</v>
      </c>
      <c r="S49" s="360">
        <f t="shared" ca="1" si="21"/>
        <v>1.5929797678877491</v>
      </c>
      <c r="T49" s="357">
        <f t="shared" ca="1" si="1"/>
        <v>15.62713152297882</v>
      </c>
      <c r="U49" s="364">
        <f t="shared" ca="1" si="2"/>
        <v>0</v>
      </c>
      <c r="V49" s="359">
        <f t="shared" ca="1" si="3"/>
        <v>1.2236602008604318</v>
      </c>
      <c r="W49" s="357">
        <f t="shared" ca="1" si="4"/>
        <v>3.1422710483021019</v>
      </c>
      <c r="X49" s="343"/>
      <c r="Y49" s="367" t="str">
        <f t="shared" ca="1" si="22"/>
        <v/>
      </c>
      <c r="Z49" s="368" t="str">
        <f t="shared" ca="1" si="23"/>
        <v/>
      </c>
      <c r="AA49" s="369" t="str">
        <f t="shared" ca="1" si="24"/>
        <v/>
      </c>
      <c r="AB49" s="344"/>
      <c r="AC49" s="363" t="e">
        <f t="shared" ca="1" si="25"/>
        <v>#N/A</v>
      </c>
      <c r="AD49" s="376" t="e">
        <f t="shared" ca="1" si="26"/>
        <v>#N/A</v>
      </c>
      <c r="AE49" s="377">
        <f t="shared" ca="1" si="5"/>
        <v>10.943120152788826</v>
      </c>
      <c r="AF49" s="344"/>
      <c r="AG49" s="359">
        <f t="shared" ca="1" si="27"/>
        <v>98.375591780306678</v>
      </c>
      <c r="AH49" s="357">
        <f t="shared" ca="1" si="28"/>
        <v>108.01755277769746</v>
      </c>
    </row>
    <row r="50" spans="1:34" x14ac:dyDescent="0.2">
      <c r="A50" s="402">
        <f t="shared" ca="1" si="6"/>
        <v>0.01</v>
      </c>
      <c r="B50" s="357">
        <f t="shared" ca="1" si="7"/>
        <v>0.46000000000000024</v>
      </c>
      <c r="C50" s="342"/>
      <c r="D50" s="359">
        <f t="shared" ca="1" si="8"/>
        <v>19.843796606984071</v>
      </c>
      <c r="E50" s="360">
        <f t="shared" ca="1" si="9"/>
        <v>95.801671742933593</v>
      </c>
      <c r="F50" s="357">
        <f t="shared" ca="1" si="10"/>
        <v>97.835252197355501</v>
      </c>
      <c r="G50" s="359">
        <f t="shared" ca="1" si="11"/>
        <v>9.1687991006463569</v>
      </c>
      <c r="H50" s="360">
        <f t="shared" ca="1" si="12"/>
        <v>48.699628583529297</v>
      </c>
      <c r="I50" s="357">
        <f t="shared" ca="1" si="13"/>
        <v>49.555228796986874</v>
      </c>
      <c r="J50" s="359">
        <f t="shared" ca="1" si="14"/>
        <v>2.078327705391954</v>
      </c>
      <c r="K50" s="360">
        <f t="shared" ca="1" si="15"/>
        <v>11.425326355036972</v>
      </c>
      <c r="L50" s="357">
        <f t="shared" ca="1" si="0"/>
        <v>11.612817417410048</v>
      </c>
      <c r="M50" s="359">
        <f t="shared" ca="1" si="16"/>
        <v>1.3847022513388778</v>
      </c>
      <c r="N50" s="357">
        <f t="shared" ca="1" si="17"/>
        <v>79.337594883981041</v>
      </c>
      <c r="O50" s="343"/>
      <c r="P50" s="363">
        <f t="shared" ca="1" si="18"/>
        <v>3</v>
      </c>
      <c r="Q50" s="357">
        <f t="shared" ca="1" si="19"/>
        <v>174.22413793103445</v>
      </c>
      <c r="R50" s="359">
        <f t="shared" ca="1" si="20"/>
        <v>9.2469424512680448E-2</v>
      </c>
      <c r="S50" s="360">
        <f t="shared" ca="1" si="21"/>
        <v>1.5920550736426222</v>
      </c>
      <c r="T50" s="357">
        <f t="shared" ca="1" si="1"/>
        <v>15.618060272434125</v>
      </c>
      <c r="U50" s="364">
        <f t="shared" ca="1" si="2"/>
        <v>0</v>
      </c>
      <c r="V50" s="359">
        <f t="shared" ca="1" si="3"/>
        <v>1.2236011966107694</v>
      </c>
      <c r="W50" s="357">
        <f t="shared" ca="1" si="4"/>
        <v>3.2699383525450947</v>
      </c>
      <c r="X50" s="343"/>
      <c r="Y50" s="367" t="str">
        <f t="shared" ca="1" si="22"/>
        <v/>
      </c>
      <c r="Z50" s="368" t="str">
        <f t="shared" ca="1" si="23"/>
        <v/>
      </c>
      <c r="AA50" s="369" t="str">
        <f t="shared" ca="1" si="24"/>
        <v/>
      </c>
      <c r="AB50" s="344"/>
      <c r="AC50" s="363" t="e">
        <f t="shared" ca="1" si="25"/>
        <v>#N/A</v>
      </c>
      <c r="AD50" s="376" t="e">
        <f t="shared" ca="1" si="26"/>
        <v>#N/A</v>
      </c>
      <c r="AE50" s="377">
        <f t="shared" ca="1" si="5"/>
        <v>11.425326355036972</v>
      </c>
      <c r="AF50" s="344"/>
      <c r="AG50" s="359">
        <f t="shared" ca="1" si="27"/>
        <v>97.818479317877575</v>
      </c>
      <c r="AH50" s="357">
        <f t="shared" ca="1" si="28"/>
        <v>107.45976676001354</v>
      </c>
    </row>
    <row r="51" spans="1:34" x14ac:dyDescent="0.2">
      <c r="A51" s="402">
        <f t="shared" ca="1" si="6"/>
        <v>0.01</v>
      </c>
      <c r="B51" s="357">
        <f t="shared" ca="1" si="7"/>
        <v>0.47000000000000025</v>
      </c>
      <c r="C51" s="342"/>
      <c r="D51" s="359">
        <f t="shared" ca="1" si="8"/>
        <v>19.778810791178284</v>
      </c>
      <c r="E51" s="360">
        <f t="shared" ca="1" si="9"/>
        <v>95.244187443847551</v>
      </c>
      <c r="F51" s="357">
        <f t="shared" ca="1" si="10"/>
        <v>97.276187210190329</v>
      </c>
      <c r="G51" s="359">
        <f t="shared" ca="1" si="11"/>
        <v>9.3665872085581405</v>
      </c>
      <c r="H51" s="360">
        <f t="shared" ca="1" si="12"/>
        <v>49.652070457967774</v>
      </c>
      <c r="I51" s="357">
        <f t="shared" ca="1" si="13"/>
        <v>50.527824579121955</v>
      </c>
      <c r="J51" s="359">
        <f t="shared" ca="1" si="14"/>
        <v>2.1710046369379765</v>
      </c>
      <c r="K51" s="360">
        <f t="shared" ca="1" si="15"/>
        <v>11.917084850244457</v>
      </c>
      <c r="L51" s="357">
        <f t="shared" ca="1" si="0"/>
        <v>12.113223041846961</v>
      </c>
      <c r="M51" s="359">
        <f t="shared" ca="1" si="16"/>
        <v>1.384343030611882</v>
      </c>
      <c r="N51" s="357">
        <f t="shared" ca="1" si="17"/>
        <v>79.317013052410559</v>
      </c>
      <c r="O51" s="343"/>
      <c r="P51" s="363">
        <f t="shared" ca="1" si="18"/>
        <v>3</v>
      </c>
      <c r="Q51" s="357">
        <f t="shared" ca="1" si="19"/>
        <v>173.36206896551721</v>
      </c>
      <c r="R51" s="359">
        <f t="shared" ca="1" si="20"/>
        <v>9.2011881590796818E-2</v>
      </c>
      <c r="S51" s="360">
        <f t="shared" ca="1" si="21"/>
        <v>1.5911349548267142</v>
      </c>
      <c r="T51" s="357">
        <f t="shared" ca="1" si="1"/>
        <v>15.609033906850067</v>
      </c>
      <c r="U51" s="364">
        <f t="shared" ca="1" si="2"/>
        <v>0</v>
      </c>
      <c r="V51" s="359">
        <f t="shared" ca="1" si="3"/>
        <v>1.2235410264414299</v>
      </c>
      <c r="W51" s="357">
        <f t="shared" ca="1" si="4"/>
        <v>3.3993856608018023</v>
      </c>
      <c r="X51" s="343"/>
      <c r="Y51" s="367" t="str">
        <f t="shared" ca="1" si="22"/>
        <v/>
      </c>
      <c r="Z51" s="368" t="str">
        <f t="shared" ca="1" si="23"/>
        <v/>
      </c>
      <c r="AA51" s="369" t="str">
        <f t="shared" ca="1" si="24"/>
        <v/>
      </c>
      <c r="AB51" s="344"/>
      <c r="AC51" s="363" t="e">
        <f t="shared" ca="1" si="25"/>
        <v>#N/A</v>
      </c>
      <c r="AD51" s="376" t="e">
        <f t="shared" ca="1" si="26"/>
        <v>#N/A</v>
      </c>
      <c r="AE51" s="377">
        <f t="shared" ca="1" si="5"/>
        <v>11.917084850244457</v>
      </c>
      <c r="AF51" s="344"/>
      <c r="AG51" s="359">
        <f t="shared" ca="1" si="27"/>
        <v>97.259252209173226</v>
      </c>
      <c r="AH51" s="357">
        <f t="shared" ca="1" si="28"/>
        <v>106.89987678103417</v>
      </c>
    </row>
    <row r="52" spans="1:34" x14ac:dyDescent="0.2">
      <c r="A52" s="402">
        <f t="shared" ca="1" si="6"/>
        <v>0.01</v>
      </c>
      <c r="B52" s="357">
        <f t="shared" ca="1" si="7"/>
        <v>0.48000000000000026</v>
      </c>
      <c r="C52" s="342"/>
      <c r="D52" s="359">
        <f t="shared" ca="1" si="8"/>
        <v>19.712373318543744</v>
      </c>
      <c r="E52" s="360">
        <f t="shared" ca="1" si="9"/>
        <v>94.684852512750467</v>
      </c>
      <c r="F52" s="357">
        <f t="shared" ca="1" si="10"/>
        <v>96.715039974199172</v>
      </c>
      <c r="G52" s="359">
        <f t="shared" ca="1" si="11"/>
        <v>9.5637109417435777</v>
      </c>
      <c r="H52" s="360">
        <f t="shared" ca="1" si="12"/>
        <v>50.598918983095281</v>
      </c>
      <c r="I52" s="357">
        <f t="shared" ca="1" si="13"/>
        <v>51.494807206504483</v>
      </c>
      <c r="J52" s="359">
        <f t="shared" ca="1" si="14"/>
        <v>2.2656561276894851</v>
      </c>
      <c r="K52" s="360">
        <f t="shared" ca="1" si="15"/>
        <v>12.418339797449772</v>
      </c>
      <c r="L52" s="357">
        <f t="shared" ca="1" si="0"/>
        <v>12.623326067794563</v>
      </c>
      <c r="M52" s="359">
        <f t="shared" ca="1" si="16"/>
        <v>1.3839898829295654</v>
      </c>
      <c r="N52" s="357">
        <f t="shared" ca="1" si="17"/>
        <v>79.296779180668992</v>
      </c>
      <c r="O52" s="343"/>
      <c r="P52" s="363">
        <f t="shared" ca="1" si="18"/>
        <v>3</v>
      </c>
      <c r="Q52" s="357">
        <f t="shared" ca="1" si="19"/>
        <v>172.49999999999997</v>
      </c>
      <c r="R52" s="359">
        <f t="shared" ca="1" si="20"/>
        <v>9.1554338668913202E-2</v>
      </c>
      <c r="S52" s="360">
        <f t="shared" ca="1" si="21"/>
        <v>1.590219411440025</v>
      </c>
      <c r="T52" s="357">
        <f t="shared" ca="1" si="1"/>
        <v>15.600052426226647</v>
      </c>
      <c r="U52" s="364">
        <f t="shared" ca="1" si="2"/>
        <v>0</v>
      </c>
      <c r="V52" s="359">
        <f t="shared" ca="1" si="3"/>
        <v>1.2234796973565538</v>
      </c>
      <c r="W52" s="357">
        <f t="shared" ca="1" si="4"/>
        <v>3.5305660508880941</v>
      </c>
      <c r="X52" s="343"/>
      <c r="Y52" s="367" t="str">
        <f t="shared" ca="1" si="22"/>
        <v/>
      </c>
      <c r="Z52" s="368" t="str">
        <f t="shared" ca="1" si="23"/>
        <v/>
      </c>
      <c r="AA52" s="369" t="str">
        <f t="shared" ca="1" si="24"/>
        <v/>
      </c>
      <c r="AB52" s="344"/>
      <c r="AC52" s="363" t="e">
        <f t="shared" ca="1" si="25"/>
        <v>#N/A</v>
      </c>
      <c r="AD52" s="376" t="e">
        <f t="shared" ca="1" si="26"/>
        <v>#N/A</v>
      </c>
      <c r="AE52" s="377">
        <f t="shared" ca="1" si="5"/>
        <v>12.418339797449772</v>
      </c>
      <c r="AF52" s="344"/>
      <c r="AG52" s="359">
        <f t="shared" ca="1" si="27"/>
        <v>96.697941633925623</v>
      </c>
      <c r="AH52" s="357">
        <f t="shared" ca="1" si="28"/>
        <v>106.33791357512666</v>
      </c>
    </row>
    <row r="53" spans="1:34" x14ac:dyDescent="0.2">
      <c r="A53" s="402">
        <f t="shared" ca="1" si="6"/>
        <v>0.01</v>
      </c>
      <c r="B53" s="357">
        <f t="shared" ca="1" si="7"/>
        <v>0.49000000000000027</v>
      </c>
      <c r="C53" s="342"/>
      <c r="D53" s="359">
        <f t="shared" ca="1" si="8"/>
        <v>19.644526032040719</v>
      </c>
      <c r="E53" s="360">
        <f t="shared" ca="1" si="9"/>
        <v>94.123691347567828</v>
      </c>
      <c r="F53" s="357">
        <f t="shared" ca="1" si="10"/>
        <v>96.151841770793666</v>
      </c>
      <c r="G53" s="359">
        <f t="shared" ca="1" si="11"/>
        <v>9.7601562020639854</v>
      </c>
      <c r="H53" s="360">
        <f t="shared" ca="1" si="12"/>
        <v>51.540155896570958</v>
      </c>
      <c r="I53" s="357">
        <f t="shared" ca="1" si="13"/>
        <v>52.456156158562806</v>
      </c>
      <c r="J53" s="359">
        <f t="shared" ca="1" si="14"/>
        <v>2.362275463408523</v>
      </c>
      <c r="K53" s="360">
        <f t="shared" ca="1" si="15"/>
        <v>12.929035171848103</v>
      </c>
      <c r="L53" s="357">
        <f t="shared" ca="1" si="0"/>
        <v>13.143070259262378</v>
      </c>
      <c r="M53" s="359">
        <f t="shared" ca="1" si="16"/>
        <v>1.3836425583190397</v>
      </c>
      <c r="N53" s="357">
        <f t="shared" ca="1" si="17"/>
        <v>79.276878946364846</v>
      </c>
      <c r="O53" s="343"/>
      <c r="P53" s="363">
        <f t="shared" ca="1" si="18"/>
        <v>3</v>
      </c>
      <c r="Q53" s="357">
        <f t="shared" ca="1" si="19"/>
        <v>171.63793103448273</v>
      </c>
      <c r="R53" s="359">
        <f t="shared" ca="1" si="20"/>
        <v>9.1096795747029585E-2</v>
      </c>
      <c r="S53" s="360">
        <f t="shared" ca="1" si="21"/>
        <v>1.5893084434825546</v>
      </c>
      <c r="T53" s="357">
        <f t="shared" ca="1" si="1"/>
        <v>15.591115830563862</v>
      </c>
      <c r="U53" s="364">
        <f t="shared" ca="1" si="2"/>
        <v>0</v>
      </c>
      <c r="V53" s="359">
        <f t="shared" ca="1" si="3"/>
        <v>1.2234172163847004</v>
      </c>
      <c r="W53" s="357">
        <f t="shared" ca="1" si="4"/>
        <v>3.6634326830221924</v>
      </c>
      <c r="X53" s="343"/>
      <c r="Y53" s="367" t="str">
        <f t="shared" ca="1" si="22"/>
        <v/>
      </c>
      <c r="Z53" s="368" t="str">
        <f t="shared" ca="1" si="23"/>
        <v/>
      </c>
      <c r="AA53" s="369" t="str">
        <f t="shared" ca="1" si="24"/>
        <v/>
      </c>
      <c r="AB53" s="344"/>
      <c r="AC53" s="363" t="e">
        <f t="shared" ca="1" si="25"/>
        <v>#N/A</v>
      </c>
      <c r="AD53" s="376" t="e">
        <f t="shared" ca="1" si="26"/>
        <v>#N/A</v>
      </c>
      <c r="AE53" s="377">
        <f t="shared" ca="1" si="5"/>
        <v>12.929035171848103</v>
      </c>
      <c r="AF53" s="344"/>
      <c r="AG53" s="359">
        <f t="shared" ca="1" si="27"/>
        <v>96.134578805028326</v>
      </c>
      <c r="AH53" s="357">
        <f t="shared" ca="1" si="28"/>
        <v>105.77390793648036</v>
      </c>
    </row>
    <row r="54" spans="1:34" x14ac:dyDescent="0.2">
      <c r="A54" s="402">
        <f t="shared" ca="1" si="6"/>
        <v>0.01</v>
      </c>
      <c r="B54" s="357">
        <f t="shared" ca="1" si="7"/>
        <v>0.50000000000000022</v>
      </c>
      <c r="C54" s="342"/>
      <c r="D54" s="359">
        <f t="shared" ca="1" si="8"/>
        <v>19.575308643465792</v>
      </c>
      <c r="E54" s="360">
        <f t="shared" ca="1" si="9"/>
        <v>93.560728738374507</v>
      </c>
      <c r="F54" s="357">
        <f t="shared" ca="1" si="10"/>
        <v>95.586623910161421</v>
      </c>
      <c r="G54" s="359">
        <f t="shared" ca="1" si="11"/>
        <v>9.9559092884986438</v>
      </c>
      <c r="H54" s="360">
        <f t="shared" ca="1" si="12"/>
        <v>52.475763183954705</v>
      </c>
      <c r="I54" s="357">
        <f t="shared" ca="1" si="13"/>
        <v>53.411851227038646</v>
      </c>
      <c r="J54" s="359">
        <f t="shared" ca="1" si="14"/>
        <v>2.460855790861336</v>
      </c>
      <c r="K54" s="360">
        <f t="shared" ca="1" si="15"/>
        <v>13.44911476725073</v>
      </c>
      <c r="L54" s="357">
        <f t="shared" ca="1" si="0"/>
        <v>13.672399176666012</v>
      </c>
      <c r="M54" s="359">
        <f t="shared" ca="1" si="16"/>
        <v>1.3833008215651201</v>
      </c>
      <c r="N54" s="357">
        <f t="shared" ca="1" si="17"/>
        <v>79.257298872660755</v>
      </c>
      <c r="O54" s="343"/>
      <c r="P54" s="363">
        <f t="shared" ca="1" si="18"/>
        <v>3</v>
      </c>
      <c r="Q54" s="357">
        <f t="shared" ca="1" si="19"/>
        <v>170.77586206896549</v>
      </c>
      <c r="R54" s="359">
        <f t="shared" ca="1" si="20"/>
        <v>9.0639252825145955E-2</v>
      </c>
      <c r="S54" s="360">
        <f t="shared" ca="1" si="21"/>
        <v>1.5884020509543031</v>
      </c>
      <c r="T54" s="357">
        <f t="shared" ca="1" si="1"/>
        <v>15.582224119861714</v>
      </c>
      <c r="U54" s="364">
        <f t="shared" ca="1" si="2"/>
        <v>0</v>
      </c>
      <c r="V54" s="359">
        <f t="shared" ca="1" si="3"/>
        <v>1.2233535905784747</v>
      </c>
      <c r="W54" s="357">
        <f t="shared" ca="1" si="4"/>
        <v>3.7979388074848432</v>
      </c>
      <c r="X54" s="343"/>
      <c r="Y54" s="367" t="str">
        <f t="shared" ca="1" si="22"/>
        <v/>
      </c>
      <c r="Z54" s="368" t="str">
        <f t="shared" ca="1" si="23"/>
        <v/>
      </c>
      <c r="AA54" s="369" t="str">
        <f t="shared" ca="1" si="24"/>
        <v/>
      </c>
      <c r="AB54" s="344"/>
      <c r="AC54" s="363" t="e">
        <f t="shared" ca="1" si="25"/>
        <v>#N/A</v>
      </c>
      <c r="AD54" s="376" t="e">
        <f t="shared" ca="1" si="26"/>
        <v>#N/A</v>
      </c>
      <c r="AE54" s="377">
        <f t="shared" ca="1" si="5"/>
        <v>13.44911476725073</v>
      </c>
      <c r="AF54" s="344"/>
      <c r="AG54" s="359">
        <f t="shared" ca="1" si="27"/>
        <v>95.569194965081493</v>
      </c>
      <c r="AH54" s="357">
        <f t="shared" ca="1" si="28"/>
        <v>105.20789071352753</v>
      </c>
    </row>
    <row r="55" spans="1:34" x14ac:dyDescent="0.2">
      <c r="A55" s="402">
        <f t="shared" ca="1" si="6"/>
        <v>0.01</v>
      </c>
      <c r="B55" s="357">
        <f t="shared" ca="1" si="7"/>
        <v>0.51000000000000023</v>
      </c>
      <c r="C55" s="342"/>
      <c r="D55" s="359">
        <f t="shared" ca="1" si="8"/>
        <v>19.504758902296516</v>
      </c>
      <c r="E55" s="360">
        <f t="shared" ca="1" si="9"/>
        <v>92.995989835549437</v>
      </c>
      <c r="F55" s="357">
        <f t="shared" ca="1" si="10"/>
        <v>95.019417727800928</v>
      </c>
      <c r="G55" s="359">
        <f t="shared" ca="1" si="11"/>
        <v>10.150956877521608</v>
      </c>
      <c r="H55" s="360">
        <f t="shared" ca="1" si="12"/>
        <v>53.405723082310196</v>
      </c>
      <c r="I55" s="357">
        <f t="shared" ca="1" si="13"/>
        <v>54.361872516256312</v>
      </c>
      <c r="J55" s="359">
        <f t="shared" ca="1" si="14"/>
        <v>2.5613901216914372</v>
      </c>
      <c r="K55" s="360">
        <f t="shared" ca="1" si="15"/>
        <v>13.978522198582056</v>
      </c>
      <c r="L55" s="357">
        <f t="shared" ca="1" si="0"/>
        <v>14.211256179935319</v>
      </c>
      <c r="M55" s="359">
        <f t="shared" ca="1" si="16"/>
        <v>1.3829644510594363</v>
      </c>
      <c r="N55" s="357">
        <f t="shared" ca="1" si="17"/>
        <v>79.238026262332397</v>
      </c>
      <c r="O55" s="343"/>
      <c r="P55" s="363">
        <f t="shared" ca="1" si="18"/>
        <v>3</v>
      </c>
      <c r="Q55" s="357">
        <f t="shared" ca="1" si="19"/>
        <v>169.91379310344826</v>
      </c>
      <c r="R55" s="359">
        <f t="shared" ca="1" si="20"/>
        <v>9.0181709903262339E-2</v>
      </c>
      <c r="S55" s="360">
        <f t="shared" ca="1" si="21"/>
        <v>1.5875002338552704</v>
      </c>
      <c r="T55" s="357">
        <f t="shared" ca="1" si="1"/>
        <v>15.573377294120203</v>
      </c>
      <c r="U55" s="364">
        <f t="shared" ca="1" si="2"/>
        <v>0</v>
      </c>
      <c r="V55" s="359">
        <f t="shared" ca="1" si="3"/>
        <v>1.2232888270141524</v>
      </c>
      <c r="W55" s="357">
        <f t="shared" ca="1" si="4"/>
        <v>3.9340377722111208</v>
      </c>
      <c r="X55" s="343"/>
      <c r="Y55" s="367" t="str">
        <f t="shared" ca="1" si="22"/>
        <v/>
      </c>
      <c r="Z55" s="368" t="str">
        <f t="shared" ca="1" si="23"/>
        <v/>
      </c>
      <c r="AA55" s="369" t="str">
        <f t="shared" ca="1" si="24"/>
        <v/>
      </c>
      <c r="AB55" s="344"/>
      <c r="AC55" s="363" t="e">
        <f t="shared" ca="1" si="25"/>
        <v>#N/A</v>
      </c>
      <c r="AD55" s="376" t="e">
        <f t="shared" ca="1" si="26"/>
        <v>#N/A</v>
      </c>
      <c r="AE55" s="377">
        <f t="shared" ca="1" si="5"/>
        <v>13.978522198582056</v>
      </c>
      <c r="AF55" s="344"/>
      <c r="AG55" s="359">
        <f t="shared" ca="1" si="27"/>
        <v>95.001821382748318</v>
      </c>
      <c r="AH55" s="357">
        <f t="shared" ca="1" si="28"/>
        <v>104.63989280338456</v>
      </c>
    </row>
    <row r="56" spans="1:34" x14ac:dyDescent="0.2">
      <c r="A56" s="402">
        <f t="shared" ca="1" si="6"/>
        <v>0.01</v>
      </c>
      <c r="B56" s="357">
        <f t="shared" ca="1" si="7"/>
        <v>0.52000000000000024</v>
      </c>
      <c r="C56" s="342"/>
      <c r="D56" s="359">
        <f t="shared" ca="1" si="8"/>
        <v>19.432912747999545</v>
      </c>
      <c r="E56" s="360">
        <f t="shared" ca="1" si="9"/>
        <v>92.429500120480213</v>
      </c>
      <c r="F56" s="357">
        <f t="shared" ca="1" si="10"/>
        <v>94.450254580880909</v>
      </c>
      <c r="G56" s="359">
        <f t="shared" ca="1" si="11"/>
        <v>10.345286005001604</v>
      </c>
      <c r="H56" s="360">
        <f t="shared" ca="1" si="12"/>
        <v>54.330018083515</v>
      </c>
      <c r="I56" s="357">
        <f t="shared" ca="1" si="13"/>
        <v>55.306200443353084</v>
      </c>
      <c r="J56" s="359">
        <f t="shared" ca="1" si="14"/>
        <v>2.6638713361040534</v>
      </c>
      <c r="K56" s="360">
        <f t="shared" ca="1" si="15"/>
        <v>14.517200904411181</v>
      </c>
      <c r="L56" s="357">
        <f t="shared" ca="1" si="0"/>
        <v>14.759584431627932</v>
      </c>
      <c r="M56" s="359">
        <f t="shared" ca="1" si="16"/>
        <v>1.3826332377599151</v>
      </c>
      <c r="N56" s="357">
        <f t="shared" ca="1" si="17"/>
        <v>79.21904913815122</v>
      </c>
      <c r="O56" s="343"/>
      <c r="P56" s="363">
        <f t="shared" ca="1" si="18"/>
        <v>3</v>
      </c>
      <c r="Q56" s="357">
        <f t="shared" ca="1" si="19"/>
        <v>169.05172413793102</v>
      </c>
      <c r="R56" s="359">
        <f t="shared" ca="1" si="20"/>
        <v>8.9724166981378708E-2</v>
      </c>
      <c r="S56" s="360">
        <f t="shared" ca="1" si="21"/>
        <v>1.5866029921854565</v>
      </c>
      <c r="T56" s="357">
        <f t="shared" ca="1" si="1"/>
        <v>15.564575353339329</v>
      </c>
      <c r="U56" s="364">
        <f t="shared" ca="1" si="2"/>
        <v>0</v>
      </c>
      <c r="V56" s="359">
        <f t="shared" ca="1" si="3"/>
        <v>1.2232229327912942</v>
      </c>
      <c r="W56" s="357">
        <f t="shared" ca="1" si="4"/>
        <v>4.0716830303121201</v>
      </c>
      <c r="X56" s="343"/>
      <c r="Y56" s="367" t="str">
        <f t="shared" ca="1" si="22"/>
        <v/>
      </c>
      <c r="Z56" s="368" t="str">
        <f t="shared" ca="1" si="23"/>
        <v/>
      </c>
      <c r="AA56" s="369" t="str">
        <f t="shared" ca="1" si="24"/>
        <v/>
      </c>
      <c r="AB56" s="344"/>
      <c r="AC56" s="363" t="e">
        <f t="shared" ca="1" si="25"/>
        <v>#N/A</v>
      </c>
      <c r="AD56" s="376" t="e">
        <f t="shared" ca="1" si="26"/>
        <v>#N/A</v>
      </c>
      <c r="AE56" s="377">
        <f t="shared" ca="1" si="5"/>
        <v>14.517200904411181</v>
      </c>
      <c r="AF56" s="344"/>
      <c r="AG56" s="359">
        <f t="shared" ca="1" si="27"/>
        <v>94.432489348949176</v>
      </c>
      <c r="AH56" s="357">
        <f t="shared" ca="1" si="28"/>
        <v>104.06994514631512</v>
      </c>
    </row>
    <row r="57" spans="1:34" x14ac:dyDescent="0.2">
      <c r="A57" s="402">
        <f t="shared" ca="1" si="6"/>
        <v>0.01</v>
      </c>
      <c r="B57" s="357">
        <f t="shared" ca="1" si="7"/>
        <v>0.53000000000000025</v>
      </c>
      <c r="C57" s="342"/>
      <c r="D57" s="359">
        <f t="shared" ca="1" si="8"/>
        <v>19.35980444770356</v>
      </c>
      <c r="E57" s="360">
        <f t="shared" ca="1" si="9"/>
        <v>91.861285378531704</v>
      </c>
      <c r="F57" s="357">
        <f t="shared" ca="1" si="10"/>
        <v>93.879165844447968</v>
      </c>
      <c r="G57" s="359">
        <f t="shared" ca="1" si="11"/>
        <v>10.538884049478639</v>
      </c>
      <c r="H57" s="360">
        <f t="shared" ca="1" si="12"/>
        <v>55.248630937300319</v>
      </c>
      <c r="I57" s="357">
        <f t="shared" ca="1" si="13"/>
        <v>56.244815738469384</v>
      </c>
      <c r="J57" s="359">
        <f t="shared" ca="1" si="14"/>
        <v>2.7682921863764545</v>
      </c>
      <c r="K57" s="360">
        <f t="shared" ca="1" si="15"/>
        <v>15.065094149515257</v>
      </c>
      <c r="L57" s="357">
        <f t="shared" ca="1" si="0"/>
        <v>15.317326900047272</v>
      </c>
      <c r="M57" s="359">
        <f t="shared" ca="1" si="16"/>
        <v>1.3823069842481472</v>
      </c>
      <c r="N57" s="357">
        <f t="shared" ca="1" si="17"/>
        <v>79.200356188875602</v>
      </c>
      <c r="O57" s="343"/>
      <c r="P57" s="363">
        <f t="shared" ca="1" si="18"/>
        <v>3</v>
      </c>
      <c r="Q57" s="357">
        <f t="shared" ca="1" si="19"/>
        <v>168.18965517241378</v>
      </c>
      <c r="R57" s="359">
        <f t="shared" ca="1" si="20"/>
        <v>8.9266624059495092E-2</v>
      </c>
      <c r="S57" s="360">
        <f t="shared" ca="1" si="21"/>
        <v>1.5857103259448615</v>
      </c>
      <c r="T57" s="357">
        <f t="shared" ca="1" si="1"/>
        <v>15.555818297519092</v>
      </c>
      <c r="U57" s="364">
        <f t="shared" ca="1" si="2"/>
        <v>0</v>
      </c>
      <c r="V57" s="359">
        <f t="shared" ca="1" si="3"/>
        <v>1.2231559150323674</v>
      </c>
      <c r="W57" s="357">
        <f t="shared" ca="1" si="4"/>
        <v>4.2108281475249223</v>
      </c>
      <c r="X57" s="343"/>
      <c r="Y57" s="367" t="str">
        <f t="shared" ca="1" si="22"/>
        <v/>
      </c>
      <c r="Z57" s="368" t="str">
        <f t="shared" ca="1" si="23"/>
        <v/>
      </c>
      <c r="AA57" s="369" t="str">
        <f t="shared" ca="1" si="24"/>
        <v/>
      </c>
      <c r="AB57" s="344"/>
      <c r="AC57" s="363" t="e">
        <f t="shared" ca="1" si="25"/>
        <v>#N/A</v>
      </c>
      <c r="AD57" s="376" t="e">
        <f t="shared" ca="1" si="26"/>
        <v>#N/A</v>
      </c>
      <c r="AE57" s="377">
        <f t="shared" ca="1" si="5"/>
        <v>15.065094149515257</v>
      </c>
      <c r="AF57" s="344"/>
      <c r="AG57" s="359">
        <f t="shared" ca="1" si="27"/>
        <v>93.861230172915313</v>
      </c>
      <c r="AH57" s="357">
        <f t="shared" ca="1" si="28"/>
        <v>103.49807872021663</v>
      </c>
    </row>
    <row r="58" spans="1:34" x14ac:dyDescent="0.2">
      <c r="A58" s="402">
        <f t="shared" ca="1" si="6"/>
        <v>0.01</v>
      </c>
      <c r="B58" s="357">
        <f t="shared" ca="1" si="7"/>
        <v>0.54000000000000026</v>
      </c>
      <c r="C58" s="342"/>
      <c r="D58" s="359">
        <f t="shared" ca="1" si="8"/>
        <v>19.285466720886824</v>
      </c>
      <c r="E58" s="360">
        <f t="shared" ca="1" si="9"/>
        <v>91.291371674031581</v>
      </c>
      <c r="F58" s="357">
        <f t="shared" ca="1" si="10"/>
        <v>93.306182907504095</v>
      </c>
      <c r="G58" s="359">
        <f t="shared" ca="1" si="11"/>
        <v>10.731738716687508</v>
      </c>
      <c r="H58" s="360">
        <f t="shared" ca="1" si="12"/>
        <v>56.161544654040632</v>
      </c>
      <c r="I58" s="357">
        <f t="shared" ca="1" si="13"/>
        <v>57.177699444897655</v>
      </c>
      <c r="J58" s="359">
        <f t="shared" ca="1" si="14"/>
        <v>2.8746453002072854</v>
      </c>
      <c r="K58" s="360">
        <f t="shared" ca="1" si="15"/>
        <v>15.622145027471962</v>
      </c>
      <c r="L58" s="357">
        <f t="shared" ca="1" si="0"/>
        <v>15.8844263623642</v>
      </c>
      <c r="M58" s="359">
        <f t="shared" ca="1" si="16"/>
        <v>1.3819855038737601</v>
      </c>
      <c r="N58" s="357">
        <f t="shared" ca="1" si="17"/>
        <v>79.181936720226929</v>
      </c>
      <c r="O58" s="343"/>
      <c r="P58" s="363">
        <f t="shared" ca="1" si="18"/>
        <v>3</v>
      </c>
      <c r="Q58" s="357">
        <f t="shared" ca="1" si="19"/>
        <v>167.32758620689651</v>
      </c>
      <c r="R58" s="359">
        <f t="shared" ca="1" si="20"/>
        <v>8.8809081137611448E-2</v>
      </c>
      <c r="S58" s="360">
        <f t="shared" ca="1" si="21"/>
        <v>1.5848222351334853</v>
      </c>
      <c r="T58" s="357">
        <f t="shared" ca="1" si="1"/>
        <v>15.547106126659491</v>
      </c>
      <c r="U58" s="364">
        <f t="shared" ca="1" si="2"/>
        <v>0</v>
      </c>
      <c r="V58" s="359">
        <f t="shared" ca="1" si="3"/>
        <v>1.2230877808823539</v>
      </c>
      <c r="W58" s="357">
        <f t="shared" ca="1" si="4"/>
        <v>4.3514268095891193</v>
      </c>
      <c r="X58" s="343"/>
      <c r="Y58" s="367" t="str">
        <f t="shared" ca="1" si="22"/>
        <v/>
      </c>
      <c r="Z58" s="368" t="str">
        <f t="shared" ca="1" si="23"/>
        <v/>
      </c>
      <c r="AA58" s="369" t="str">
        <f t="shared" ca="1" si="24"/>
        <v/>
      </c>
      <c r="AB58" s="344"/>
      <c r="AC58" s="363" t="e">
        <f t="shared" ca="1" si="25"/>
        <v>#N/A</v>
      </c>
      <c r="AD58" s="376" t="e">
        <f t="shared" ca="1" si="26"/>
        <v>#N/A</v>
      </c>
      <c r="AE58" s="377">
        <f t="shared" ca="1" si="5"/>
        <v>15.622145027471962</v>
      </c>
      <c r="AF58" s="344"/>
      <c r="AG58" s="359">
        <f t="shared" ca="1" si="27"/>
        <v>93.288075178122654</v>
      </c>
      <c r="AH58" s="357">
        <f t="shared" ca="1" si="28"/>
        <v>102.92432453513167</v>
      </c>
    </row>
    <row r="59" spans="1:34" x14ac:dyDescent="0.2">
      <c r="A59" s="402">
        <f t="shared" ca="1" si="6"/>
        <v>0.01</v>
      </c>
      <c r="B59" s="357">
        <f t="shared" ca="1" si="7"/>
        <v>0.55000000000000027</v>
      </c>
      <c r="C59" s="342"/>
      <c r="D59" s="359">
        <f t="shared" ca="1" si="8"/>
        <v>19.20993085251677</v>
      </c>
      <c r="E59" s="360">
        <f t="shared" ca="1" si="9"/>
        <v>90.719785327056229</v>
      </c>
      <c r="F59" s="357">
        <f t="shared" ca="1" si="10"/>
        <v>92.731337168972402</v>
      </c>
      <c r="G59" s="359">
        <f t="shared" ca="1" si="11"/>
        <v>10.923838025212675</v>
      </c>
      <c r="H59" s="360">
        <f t="shared" ca="1" si="12"/>
        <v>57.068742507311192</v>
      </c>
      <c r="I59" s="357">
        <f t="shared" ca="1" si="13"/>
        <v>58.104832919189001</v>
      </c>
      <c r="J59" s="359">
        <f t="shared" ca="1" si="14"/>
        <v>2.9829231839167862</v>
      </c>
      <c r="K59" s="360">
        <f t="shared" ca="1" si="15"/>
        <v>16.188296463278721</v>
      </c>
      <c r="L59" s="357">
        <f t="shared" ca="1" si="0"/>
        <v>16.460825407741577</v>
      </c>
      <c r="M59" s="359">
        <f t="shared" ca="1" si="16"/>
        <v>1.3816686199763157</v>
      </c>
      <c r="N59" s="357">
        <f t="shared" ca="1" si="17"/>
        <v>79.163780610307711</v>
      </c>
      <c r="O59" s="343"/>
      <c r="P59" s="363">
        <f t="shared" ca="1" si="18"/>
        <v>3</v>
      </c>
      <c r="Q59" s="357">
        <f t="shared" ca="1" si="19"/>
        <v>166.4655172413793</v>
      </c>
      <c r="R59" s="359">
        <f t="shared" ca="1" si="20"/>
        <v>8.8351538215727846E-2</v>
      </c>
      <c r="S59" s="360">
        <f t="shared" ca="1" si="21"/>
        <v>1.5839387197513279</v>
      </c>
      <c r="T59" s="357">
        <f t="shared" ca="1" si="1"/>
        <v>15.538438840760527</v>
      </c>
      <c r="U59" s="364">
        <f t="shared" ca="1" si="2"/>
        <v>0</v>
      </c>
      <c r="V59" s="359">
        <f t="shared" ca="1" si="3"/>
        <v>1.2230185375083606</v>
      </c>
      <c r="W59" s="357">
        <f t="shared" ca="1" si="4"/>
        <v>4.4934328295483352</v>
      </c>
      <c r="X59" s="343"/>
      <c r="Y59" s="367" t="str">
        <f t="shared" ca="1" si="22"/>
        <v/>
      </c>
      <c r="Z59" s="368" t="str">
        <f t="shared" ca="1" si="23"/>
        <v/>
      </c>
      <c r="AA59" s="369" t="str">
        <f t="shared" ca="1" si="24"/>
        <v/>
      </c>
      <c r="AB59" s="344"/>
      <c r="AC59" s="363" t="e">
        <f t="shared" ca="1" si="25"/>
        <v>#N/A</v>
      </c>
      <c r="AD59" s="376" t="e">
        <f t="shared" ca="1" si="26"/>
        <v>#N/A</v>
      </c>
      <c r="AE59" s="377">
        <f t="shared" ca="1" si="5"/>
        <v>16.188296463278721</v>
      </c>
      <c r="AF59" s="344"/>
      <c r="AG59" s="359">
        <f t="shared" ca="1" si="27"/>
        <v>92.713055698122304</v>
      </c>
      <c r="AH59" s="357">
        <f t="shared" ca="1" si="28"/>
        <v>102.3487136277857</v>
      </c>
    </row>
    <row r="60" spans="1:34" x14ac:dyDescent="0.2">
      <c r="A60" s="402">
        <f t="shared" ca="1" si="6"/>
        <v>0.01</v>
      </c>
      <c r="B60" s="357">
        <f t="shared" ca="1" si="7"/>
        <v>0.56000000000000028</v>
      </c>
      <c r="C60" s="342"/>
      <c r="D60" s="359">
        <f t="shared" ca="1" si="8"/>
        <v>19.133226795895421</v>
      </c>
      <c r="E60" s="360">
        <f t="shared" ca="1" si="9"/>
        <v>90.14655289182889</v>
      </c>
      <c r="F60" s="357">
        <f t="shared" ca="1" si="10"/>
        <v>92.154660033567879</v>
      </c>
      <c r="G60" s="359">
        <f t="shared" ca="1" si="11"/>
        <v>11.115170293171628</v>
      </c>
      <c r="H60" s="360">
        <f t="shared" ca="1" si="12"/>
        <v>57.970208036229479</v>
      </c>
      <c r="I60" s="357">
        <f t="shared" ca="1" si="13"/>
        <v>59.026197831216692</v>
      </c>
      <c r="J60" s="359">
        <f t="shared" ca="1" si="14"/>
        <v>3.0931182255087077</v>
      </c>
      <c r="K60" s="360">
        <f t="shared" ca="1" si="15"/>
        <v>16.763491215996424</v>
      </c>
      <c r="L60" s="357">
        <f t="shared" ca="1" si="0"/>
        <v>17.046466440461007</v>
      </c>
      <c r="M60" s="359">
        <f t="shared" ca="1" si="16"/>
        <v>1.3813561651764334</v>
      </c>
      <c r="N60" s="357">
        <f t="shared" ca="1" si="17"/>
        <v>79.145878268985854</v>
      </c>
      <c r="O60" s="343"/>
      <c r="P60" s="363">
        <f t="shared" ca="1" si="18"/>
        <v>3</v>
      </c>
      <c r="Q60" s="357">
        <f t="shared" ca="1" si="19"/>
        <v>165.60344827586204</v>
      </c>
      <c r="R60" s="359">
        <f t="shared" ca="1" si="20"/>
        <v>8.7893995293844202E-2</v>
      </c>
      <c r="S60" s="360">
        <f t="shared" ca="1" si="21"/>
        <v>1.5830597797983894</v>
      </c>
      <c r="T60" s="357">
        <f t="shared" ca="1" si="1"/>
        <v>15.5298164398222</v>
      </c>
      <c r="U60" s="364">
        <f t="shared" ca="1" si="2"/>
        <v>0</v>
      </c>
      <c r="V60" s="359">
        <f t="shared" ca="1" si="3"/>
        <v>1.2229481920992267</v>
      </c>
      <c r="W60" s="357">
        <f t="shared" ca="1" si="4"/>
        <v>4.6368001549751368</v>
      </c>
      <c r="X60" s="343"/>
      <c r="Y60" s="367" t="str">
        <f t="shared" ca="1" si="22"/>
        <v/>
      </c>
      <c r="Z60" s="368" t="str">
        <f t="shared" ca="1" si="23"/>
        <v/>
      </c>
      <c r="AA60" s="369" t="str">
        <f t="shared" ca="1" si="24"/>
        <v/>
      </c>
      <c r="AB60" s="344"/>
      <c r="AC60" s="363" t="e">
        <f t="shared" ca="1" si="25"/>
        <v>#N/A</v>
      </c>
      <c r="AD60" s="376" t="e">
        <f t="shared" ca="1" si="26"/>
        <v>#N/A</v>
      </c>
      <c r="AE60" s="377">
        <f t="shared" ca="1" si="5"/>
        <v>16.763491215996424</v>
      </c>
      <c r="AF60" s="344"/>
      <c r="AG60" s="359">
        <f t="shared" ca="1" si="27"/>
        <v>92.136203072283706</v>
      </c>
      <c r="AH60" s="357">
        <f t="shared" ca="1" si="28"/>
        <v>101.77127705615253</v>
      </c>
    </row>
    <row r="61" spans="1:34" x14ac:dyDescent="0.2">
      <c r="A61" s="402">
        <f t="shared" ca="1" si="6"/>
        <v>0.01</v>
      </c>
      <c r="B61" s="357">
        <f t="shared" ca="1" si="7"/>
        <v>0.57000000000000028</v>
      </c>
      <c r="C61" s="342"/>
      <c r="D61" s="359">
        <f t="shared" ca="1" si="8"/>
        <v>19.055383266308745</v>
      </c>
      <c r="E61" s="360">
        <f t="shared" ca="1" si="9"/>
        <v>89.57170113656457</v>
      </c>
      <c r="F61" s="357">
        <f t="shared" ca="1" si="10"/>
        <v>91.576182907587722</v>
      </c>
      <c r="G61" s="359">
        <f t="shared" ca="1" si="11"/>
        <v>11.305724125834717</v>
      </c>
      <c r="H61" s="360">
        <f t="shared" ca="1" si="12"/>
        <v>58.865925047595127</v>
      </c>
      <c r="I61" s="357">
        <f t="shared" ca="1" si="13"/>
        <v>59.941776164195943</v>
      </c>
      <c r="J61" s="359">
        <f t="shared" ca="1" si="14"/>
        <v>3.2052226976037397</v>
      </c>
      <c r="K61" s="360">
        <f t="shared" ca="1" si="15"/>
        <v>17.347671881415547</v>
      </c>
      <c r="L61" s="357">
        <f t="shared" ca="1" si="0"/>
        <v>17.641291683051154</v>
      </c>
      <c r="M61" s="359">
        <f t="shared" ca="1" si="16"/>
        <v>1.381047980728858</v>
      </c>
      <c r="N61" s="357">
        <f t="shared" ca="1" si="17"/>
        <v>79.128220600828215</v>
      </c>
      <c r="O61" s="343"/>
      <c r="P61" s="363">
        <f t="shared" ca="1" si="18"/>
        <v>3</v>
      </c>
      <c r="Q61" s="357">
        <f t="shared" ca="1" si="19"/>
        <v>164.7413793103448</v>
      </c>
      <c r="R61" s="359">
        <f t="shared" ca="1" si="20"/>
        <v>8.7436452371960585E-2</v>
      </c>
      <c r="S61" s="360">
        <f t="shared" ca="1" si="21"/>
        <v>1.5821854152746697</v>
      </c>
      <c r="T61" s="357">
        <f t="shared" ca="1" si="1"/>
        <v>15.521238923844511</v>
      </c>
      <c r="U61" s="364">
        <f t="shared" ca="1" si="2"/>
        <v>0</v>
      </c>
      <c r="V61" s="359">
        <f t="shared" ca="1" si="3"/>
        <v>1.2228767518651249</v>
      </c>
      <c r="W61" s="357">
        <f t="shared" ca="1" si="4"/>
        <v>4.7814828751178062</v>
      </c>
      <c r="X61" s="343"/>
      <c r="Y61" s="367" t="str">
        <f t="shared" ca="1" si="22"/>
        <v/>
      </c>
      <c r="Z61" s="368" t="str">
        <f t="shared" ca="1" si="23"/>
        <v/>
      </c>
      <c r="AA61" s="369" t="str">
        <f t="shared" ca="1" si="24"/>
        <v/>
      </c>
      <c r="AB61" s="344"/>
      <c r="AC61" s="363" t="e">
        <f t="shared" ca="1" si="25"/>
        <v>#N/A</v>
      </c>
      <c r="AD61" s="376" t="e">
        <f t="shared" ca="1" si="26"/>
        <v>#N/A</v>
      </c>
      <c r="AE61" s="377">
        <f t="shared" ca="1" si="5"/>
        <v>17.347671881415547</v>
      </c>
      <c r="AF61" s="344"/>
      <c r="AG61" s="359">
        <f t="shared" ca="1" si="27"/>
        <v>91.557548641463939</v>
      </c>
      <c r="AH61" s="357">
        <f t="shared" ca="1" si="28"/>
        <v>101.1920458940492</v>
      </c>
    </row>
    <row r="62" spans="1:34" x14ac:dyDescent="0.2">
      <c r="A62" s="402">
        <f t="shared" ca="1" si="6"/>
        <v>0.01</v>
      </c>
      <c r="B62" s="357">
        <f t="shared" ca="1" si="7"/>
        <v>0.58000000000000029</v>
      </c>
      <c r="C62" s="342"/>
      <c r="D62" s="359">
        <f t="shared" ca="1" si="8"/>
        <v>18.976427826443263</v>
      </c>
      <c r="E62" s="360">
        <f t="shared" ca="1" si="9"/>
        <v>88.99525702461662</v>
      </c>
      <c r="F62" s="357">
        <f t="shared" ca="1" si="10"/>
        <v>90.995937194634038</v>
      </c>
      <c r="G62" s="359">
        <f t="shared" ca="1" si="11"/>
        <v>11.495488404099149</v>
      </c>
      <c r="H62" s="360">
        <f t="shared" ca="1" si="12"/>
        <v>59.755877617841293</v>
      </c>
      <c r="I62" s="357">
        <f t="shared" ca="1" si="13"/>
        <v>60.851550214659312</v>
      </c>
      <c r="J62" s="359">
        <f t="shared" ca="1" si="14"/>
        <v>3.319228760253409</v>
      </c>
      <c r="K62" s="360">
        <f t="shared" ca="1" si="15"/>
        <v>17.94078089474273</v>
      </c>
      <c r="L62" s="357">
        <f t="shared" ca="1" si="0"/>
        <v>18.245243179416907</v>
      </c>
      <c r="M62" s="359">
        <f t="shared" ca="1" si="16"/>
        <v>1.3807439159310726</v>
      </c>
      <c r="N62" s="357">
        <f t="shared" ca="1" si="17"/>
        <v>79.11079897121661</v>
      </c>
      <c r="O62" s="343"/>
      <c r="P62" s="363">
        <f t="shared" ca="1" si="18"/>
        <v>3</v>
      </c>
      <c r="Q62" s="357">
        <f t="shared" ca="1" si="19"/>
        <v>163.87931034482756</v>
      </c>
      <c r="R62" s="359">
        <f t="shared" ca="1" si="20"/>
        <v>8.6978909450076955E-2</v>
      </c>
      <c r="S62" s="360">
        <f t="shared" ca="1" si="21"/>
        <v>1.5813156261801689</v>
      </c>
      <c r="T62" s="357">
        <f t="shared" ca="1" si="1"/>
        <v>15.512706292827458</v>
      </c>
      <c r="U62" s="364">
        <f t="shared" ca="1" si="2"/>
        <v>0</v>
      </c>
      <c r="V62" s="359">
        <f t="shared" ca="1" si="3"/>
        <v>1.2228042240371662</v>
      </c>
      <c r="W62" s="357">
        <f t="shared" ca="1" si="4"/>
        <v>4.9274352279674734</v>
      </c>
      <c r="X62" s="343"/>
      <c r="Y62" s="367" t="str">
        <f t="shared" ca="1" si="22"/>
        <v/>
      </c>
      <c r="Z62" s="368" t="str">
        <f t="shared" ca="1" si="23"/>
        <v/>
      </c>
      <c r="AA62" s="369" t="str">
        <f t="shared" ca="1" si="24"/>
        <v/>
      </c>
      <c r="AB62" s="344"/>
      <c r="AC62" s="363" t="e">
        <f t="shared" ca="1" si="25"/>
        <v>#N/A</v>
      </c>
      <c r="AD62" s="376" t="e">
        <f t="shared" ca="1" si="26"/>
        <v>#N/A</v>
      </c>
      <c r="AE62" s="377">
        <f t="shared" ca="1" si="5"/>
        <v>17.94078089474273</v>
      </c>
      <c r="AF62" s="344"/>
      <c r="AG62" s="359">
        <f t="shared" ca="1" si="27"/>
        <v>90.97712374361501</v>
      </c>
      <c r="AH62" s="357">
        <f t="shared" ca="1" si="28"/>
        <v>100.61105122576129</v>
      </c>
    </row>
    <row r="63" spans="1:34" x14ac:dyDescent="0.2">
      <c r="A63" s="402">
        <f t="shared" ca="1" si="6"/>
        <v>0.01</v>
      </c>
      <c r="B63" s="357">
        <f t="shared" ca="1" si="7"/>
        <v>0.5900000000000003</v>
      </c>
      <c r="C63" s="342"/>
      <c r="D63" s="359">
        <f t="shared" ca="1" si="8"/>
        <v>18.896386964417626</v>
      </c>
      <c r="E63" s="360">
        <f t="shared" ca="1" si="9"/>
        <v>88.417247696797588</v>
      </c>
      <c r="F63" s="357">
        <f t="shared" ca="1" si="10"/>
        <v>90.413954291281115</v>
      </c>
      <c r="G63" s="359">
        <f t="shared" ca="1" si="11"/>
        <v>11.684452273743325</v>
      </c>
      <c r="H63" s="360">
        <f t="shared" ca="1" si="12"/>
        <v>60.640050094809268</v>
      </c>
      <c r="I63" s="357">
        <f t="shared" ca="1" si="13"/>
        <v>61.755502592387366</v>
      </c>
      <c r="J63" s="359">
        <f t="shared" ca="1" si="14"/>
        <v>3.4351284636426214</v>
      </c>
      <c r="K63" s="360">
        <f t="shared" ca="1" si="15"/>
        <v>18.542760533305984</v>
      </c>
      <c r="L63" s="357">
        <f t="shared" ca="1" si="0"/>
        <v>18.858262797968898</v>
      </c>
      <c r="M63" s="359">
        <f t="shared" ca="1" si="16"/>
        <v>1.3804438275818185</v>
      </c>
      <c r="N63" s="357">
        <f t="shared" ca="1" si="17"/>
        <v>79.093605175323304</v>
      </c>
      <c r="O63" s="343"/>
      <c r="P63" s="363">
        <f t="shared" ca="1" si="18"/>
        <v>3</v>
      </c>
      <c r="Q63" s="357">
        <f t="shared" ca="1" si="19"/>
        <v>163.01724137931032</v>
      </c>
      <c r="R63" s="359">
        <f t="shared" ca="1" si="20"/>
        <v>8.6521366528193339E-2</v>
      </c>
      <c r="S63" s="360">
        <f t="shared" ca="1" si="21"/>
        <v>1.5804504125148868</v>
      </c>
      <c r="T63" s="357">
        <f t="shared" ca="1" si="1"/>
        <v>15.504218546771041</v>
      </c>
      <c r="U63" s="364">
        <f t="shared" ca="1" si="2"/>
        <v>0</v>
      </c>
      <c r="V63" s="359">
        <f t="shared" ca="1" si="3"/>
        <v>1.2227306158669971</v>
      </c>
      <c r="W63" s="357">
        <f t="shared" ca="1" si="4"/>
        <v>5.0746116072441598</v>
      </c>
      <c r="X63" s="343"/>
      <c r="Y63" s="367" t="str">
        <f t="shared" ca="1" si="22"/>
        <v/>
      </c>
      <c r="Z63" s="368" t="str">
        <f t="shared" ca="1" si="23"/>
        <v/>
      </c>
      <c r="AA63" s="369" t="str">
        <f t="shared" ca="1" si="24"/>
        <v/>
      </c>
      <c r="AB63" s="344"/>
      <c r="AC63" s="363" t="e">
        <f t="shared" ca="1" si="25"/>
        <v>#N/A</v>
      </c>
      <c r="AD63" s="376" t="e">
        <f t="shared" ca="1" si="26"/>
        <v>#N/A</v>
      </c>
      <c r="AE63" s="377">
        <f t="shared" ca="1" si="5"/>
        <v>18.542760533305984</v>
      </c>
      <c r="AF63" s="344"/>
      <c r="AG63" s="359">
        <f t="shared" ca="1" si="27"/>
        <v>90.394959709340341</v>
      </c>
      <c r="AH63" s="357">
        <f t="shared" ca="1" si="28"/>
        <v>100.02832414070046</v>
      </c>
    </row>
    <row r="64" spans="1:34" x14ac:dyDescent="0.2">
      <c r="A64" s="402">
        <f t="shared" ca="1" si="6"/>
        <v>0.01</v>
      </c>
      <c r="B64" s="357">
        <f t="shared" ca="1" si="7"/>
        <v>0.60000000000000031</v>
      </c>
      <c r="C64" s="342"/>
      <c r="D64" s="359">
        <f t="shared" ca="1" si="8"/>
        <v>18.815286165176008</v>
      </c>
      <c r="E64" s="360">
        <f t="shared" ca="1" si="9"/>
        <v>87.837700454761489</v>
      </c>
      <c r="F64" s="357">
        <f t="shared" ca="1" si="10"/>
        <v>89.830265582696967</v>
      </c>
      <c r="G64" s="359">
        <f t="shared" ca="1" si="11"/>
        <v>11.872605135395085</v>
      </c>
      <c r="H64" s="360">
        <f t="shared" ca="1" si="12"/>
        <v>61.518427099356884</v>
      </c>
      <c r="I64" s="357">
        <f t="shared" ca="1" si="13"/>
        <v>62.653616220294076</v>
      </c>
      <c r="J64" s="359">
        <f t="shared" ca="1" si="14"/>
        <v>3.5529137506883135</v>
      </c>
      <c r="K64" s="360">
        <f t="shared" ca="1" si="15"/>
        <v>19.153552919276816</v>
      </c>
      <c r="L64" s="357">
        <f t="shared" ca="1" si="0"/>
        <v>19.480292234752731</v>
      </c>
      <c r="M64" s="359">
        <f t="shared" ca="1" si="16"/>
        <v>1.3801475794845368</v>
      </c>
      <c r="N64" s="357">
        <f t="shared" ca="1" si="17"/>
        <v>79.07663140966028</v>
      </c>
      <c r="O64" s="343"/>
      <c r="P64" s="363">
        <f t="shared" ca="1" si="18"/>
        <v>3</v>
      </c>
      <c r="Q64" s="357">
        <f t="shared" ca="1" si="19"/>
        <v>162.15517241379308</v>
      </c>
      <c r="R64" s="359">
        <f t="shared" ca="1" si="20"/>
        <v>8.6063823606309708E-2</v>
      </c>
      <c r="S64" s="360">
        <f t="shared" ca="1" si="21"/>
        <v>1.5795897742788236</v>
      </c>
      <c r="T64" s="357">
        <f t="shared" ca="1" si="1"/>
        <v>15.495775685675261</v>
      </c>
      <c r="U64" s="364">
        <f t="shared" ca="1" si="2"/>
        <v>0</v>
      </c>
      <c r="V64" s="359">
        <f t="shared" ca="1" si="3"/>
        <v>1.2226559346263977</v>
      </c>
      <c r="W64" s="357">
        <f t="shared" ca="1" si="4"/>
        <v>5.222966569300274</v>
      </c>
      <c r="X64" s="343"/>
      <c r="Y64" s="367" t="str">
        <f t="shared" ca="1" si="22"/>
        <v/>
      </c>
      <c r="Z64" s="368" t="str">
        <f t="shared" ca="1" si="23"/>
        <v/>
      </c>
      <c r="AA64" s="369" t="str">
        <f t="shared" ca="1" si="24"/>
        <v/>
      </c>
      <c r="AB64" s="344"/>
      <c r="AC64" s="363" t="e">
        <f t="shared" ca="1" si="25"/>
        <v>#N/A</v>
      </c>
      <c r="AD64" s="376" t="e">
        <f t="shared" ca="1" si="26"/>
        <v>#N/A</v>
      </c>
      <c r="AE64" s="377">
        <f t="shared" ca="1" si="5"/>
        <v>19.153552919276816</v>
      </c>
      <c r="AF64" s="344"/>
      <c r="AG64" s="359">
        <f t="shared" ca="1" si="27"/>
        <v>89.811087857409944</v>
      </c>
      <c r="AH64" s="357">
        <f t="shared" ca="1" si="28"/>
        <v>99.443895728095299</v>
      </c>
    </row>
    <row r="65" spans="1:34" x14ac:dyDescent="0.2">
      <c r="A65" s="402">
        <f t="shared" ca="1" si="6"/>
        <v>0.01</v>
      </c>
      <c r="B65" s="357">
        <f t="shared" ca="1" si="7"/>
        <v>0.61000000000000032</v>
      </c>
      <c r="C65" s="342"/>
      <c r="D65" s="359">
        <f t="shared" ca="1" si="8"/>
        <v>18.733149975904183</v>
      </c>
      <c r="E65" s="360">
        <f t="shared" ca="1" si="9"/>
        <v>87.256642745348216</v>
      </c>
      <c r="F65" s="357">
        <f t="shared" ca="1" si="10"/>
        <v>89.244902438229204</v>
      </c>
      <c r="G65" s="359">
        <f t="shared" ca="1" si="11"/>
        <v>12.059936635154127</v>
      </c>
      <c r="H65" s="360">
        <f t="shared" ca="1" si="12"/>
        <v>62.390993526810369</v>
      </c>
      <c r="I65" s="357">
        <f t="shared" ca="1" si="13"/>
        <v>63.545874334266784</v>
      </c>
      <c r="J65" s="359">
        <f t="shared" ca="1" si="14"/>
        <v>3.6725764595410597</v>
      </c>
      <c r="K65" s="360">
        <f t="shared" ca="1" si="15"/>
        <v>19.773100022407654</v>
      </c>
      <c r="L65" s="357">
        <f t="shared" ca="1" si="0"/>
        <v>20.111273016577361</v>
      </c>
      <c r="M65" s="359">
        <f t="shared" ca="1" si="16"/>
        <v>1.3798550419913223</v>
      </c>
      <c r="N65" s="357">
        <f t="shared" ca="1" si="17"/>
        <v>79.059870245949753</v>
      </c>
      <c r="O65" s="343"/>
      <c r="P65" s="363">
        <f t="shared" ca="1" si="18"/>
        <v>3</v>
      </c>
      <c r="Q65" s="357">
        <f t="shared" ca="1" si="19"/>
        <v>161.29310344827584</v>
      </c>
      <c r="R65" s="359">
        <f t="shared" ca="1" si="20"/>
        <v>8.5606280684426092E-2</v>
      </c>
      <c r="S65" s="360">
        <f t="shared" ca="1" si="21"/>
        <v>1.5787337114719793</v>
      </c>
      <c r="T65" s="357">
        <f t="shared" ca="1" si="1"/>
        <v>15.487377709540118</v>
      </c>
      <c r="U65" s="364">
        <f t="shared" ca="1" si="2"/>
        <v>0</v>
      </c>
      <c r="V65" s="359">
        <f t="shared" ca="1" si="3"/>
        <v>1.2225801876068794</v>
      </c>
      <c r="W65" s="357">
        <f t="shared" ca="1" si="4"/>
        <v>5.3724548399402421</v>
      </c>
      <c r="X65" s="343"/>
      <c r="Y65" s="367" t="str">
        <f t="shared" ca="1" si="22"/>
        <v/>
      </c>
      <c r="Z65" s="368" t="str">
        <f t="shared" ca="1" si="23"/>
        <v/>
      </c>
      <c r="AA65" s="369" t="str">
        <f t="shared" ca="1" si="24"/>
        <v/>
      </c>
      <c r="AB65" s="344"/>
      <c r="AC65" s="363" t="e">
        <f t="shared" ca="1" si="25"/>
        <v>#N/A</v>
      </c>
      <c r="AD65" s="376" t="e">
        <f t="shared" ca="1" si="26"/>
        <v>#N/A</v>
      </c>
      <c r="AE65" s="377">
        <f t="shared" ca="1" si="5"/>
        <v>19.773100022407654</v>
      </c>
      <c r="AF65" s="344"/>
      <c r="AG65" s="359">
        <f t="shared" ca="1" si="27"/>
        <v>89.225539490242994</v>
      </c>
      <c r="AH65" s="357">
        <f t="shared" ca="1" si="28"/>
        <v>98.857797071717016</v>
      </c>
    </row>
    <row r="66" spans="1:34" x14ac:dyDescent="0.2">
      <c r="A66" s="402">
        <f t="shared" ca="1" si="6"/>
        <v>0.01</v>
      </c>
      <c r="B66" s="357">
        <f t="shared" ca="1" si="7"/>
        <v>0.62000000000000033</v>
      </c>
      <c r="C66" s="342"/>
      <c r="D66" s="359">
        <f t="shared" ca="1" si="8"/>
        <v>18.650002066052931</v>
      </c>
      <c r="E66" s="360">
        <f t="shared" ca="1" si="9"/>
        <v>86.674102145801768</v>
      </c>
      <c r="F66" s="357">
        <f t="shared" ca="1" si="10"/>
        <v>88.657896206963187</v>
      </c>
      <c r="G66" s="359">
        <f t="shared" ca="1" si="11"/>
        <v>12.246436655814657</v>
      </c>
      <c r="H66" s="360">
        <f t="shared" ca="1" si="12"/>
        <v>63.257734548268388</v>
      </c>
      <c r="I66" s="357">
        <f t="shared" ca="1" si="13"/>
        <v>64.432260482960459</v>
      </c>
      <c r="J66" s="359">
        <f t="shared" ca="1" si="14"/>
        <v>3.7941083259959036</v>
      </c>
      <c r="K66" s="360">
        <f t="shared" ca="1" si="15"/>
        <v>20.401343662783049</v>
      </c>
      <c r="L66" s="357">
        <f t="shared" ca="1" si="0"/>
        <v>20.751146504142117</v>
      </c>
      <c r="M66" s="359">
        <f t="shared" ca="1" si="16"/>
        <v>1.3795660915834789</v>
      </c>
      <c r="N66" s="357">
        <f t="shared" ca="1" si="17"/>
        <v>79.043314607091745</v>
      </c>
      <c r="O66" s="343"/>
      <c r="P66" s="363">
        <f t="shared" ca="1" si="18"/>
        <v>3</v>
      </c>
      <c r="Q66" s="357">
        <f t="shared" ca="1" si="19"/>
        <v>160.43103448275861</v>
      </c>
      <c r="R66" s="359">
        <f t="shared" ca="1" si="20"/>
        <v>8.5148737762542476E-2</v>
      </c>
      <c r="S66" s="360">
        <f t="shared" ca="1" si="21"/>
        <v>1.5778822240943537</v>
      </c>
      <c r="T66" s="357">
        <f t="shared" ca="1" si="1"/>
        <v>15.47902461836561</v>
      </c>
      <c r="U66" s="364">
        <f t="shared" ca="1" si="2"/>
        <v>0</v>
      </c>
      <c r="V66" s="359">
        <f t="shared" ca="1" si="3"/>
        <v>1.2225033821192783</v>
      </c>
      <c r="W66" s="357">
        <f t="shared" ca="1" si="4"/>
        <v>5.5230313211548587</v>
      </c>
      <c r="X66" s="343"/>
      <c r="Y66" s="367" t="str">
        <f t="shared" ca="1" si="22"/>
        <v/>
      </c>
      <c r="Z66" s="368" t="str">
        <f t="shared" ca="1" si="23"/>
        <v/>
      </c>
      <c r="AA66" s="369" t="str">
        <f t="shared" ca="1" si="24"/>
        <v/>
      </c>
      <c r="AB66" s="344"/>
      <c r="AC66" s="363" t="e">
        <f t="shared" ca="1" si="25"/>
        <v>#N/A</v>
      </c>
      <c r="AD66" s="376" t="e">
        <f t="shared" ca="1" si="26"/>
        <v>#N/A</v>
      </c>
      <c r="AE66" s="377">
        <f t="shared" ca="1" si="5"/>
        <v>20.401343662783049</v>
      </c>
      <c r="AF66" s="344"/>
      <c r="AG66" s="359">
        <f t="shared" ca="1" si="27"/>
        <v>88.63834588936578</v>
      </c>
      <c r="AH66" s="357">
        <f t="shared" ca="1" si="28"/>
        <v>98.270059244641189</v>
      </c>
    </row>
    <row r="67" spans="1:34" x14ac:dyDescent="0.2">
      <c r="A67" s="402">
        <f t="shared" ca="1" si="6"/>
        <v>0.01</v>
      </c>
      <c r="B67" s="357">
        <f t="shared" ca="1" si="7"/>
        <v>0.63000000000000034</v>
      </c>
      <c r="C67" s="342"/>
      <c r="D67" s="359">
        <f t="shared" ca="1" si="8"/>
        <v>18.46711133357547</v>
      </c>
      <c r="E67" s="360">
        <f t="shared" ca="1" si="9"/>
        <v>85.580002777499814</v>
      </c>
      <c r="F67" s="357">
        <f t="shared" ca="1" si="10"/>
        <v>87.549820538956823</v>
      </c>
      <c r="G67" s="359">
        <f t="shared" ca="1" si="11"/>
        <v>12.431107769150412</v>
      </c>
      <c r="H67" s="360">
        <f t="shared" ca="1" si="12"/>
        <v>64.113534576043392</v>
      </c>
      <c r="I67" s="357">
        <f t="shared" ca="1" si="13"/>
        <v>65.307562779526094</v>
      </c>
      <c r="J67" s="359">
        <f t="shared" ca="1" si="14"/>
        <v>3.917496048120729</v>
      </c>
      <c r="K67" s="360">
        <f t="shared" ca="1" si="15"/>
        <v>21.038200008404608</v>
      </c>
      <c r="L67" s="357">
        <f t="shared" ca="1" si="0"/>
        <v>21.399827917080948</v>
      </c>
      <c r="M67" s="359">
        <f t="shared" ca="1" si="16"/>
        <v>1.3792805877728493</v>
      </c>
      <c r="N67" s="357">
        <f t="shared" ca="1" si="17"/>
        <v>79.026956443707761</v>
      </c>
      <c r="O67" s="343"/>
      <c r="P67" s="363">
        <f t="shared" ca="1" si="18"/>
        <v>4</v>
      </c>
      <c r="Q67" s="357">
        <f t="shared" ca="1" si="19"/>
        <v>158.74999999999991</v>
      </c>
      <c r="R67" s="359">
        <f t="shared" ca="1" si="20"/>
        <v>8.425652906486937E-2</v>
      </c>
      <c r="S67" s="360">
        <f t="shared" ca="1" si="21"/>
        <v>1.577039658803705</v>
      </c>
      <c r="T67" s="357">
        <f t="shared" ca="1" si="1"/>
        <v>15.470759052864347</v>
      </c>
      <c r="U67" s="364">
        <f t="shared" ca="1" si="2"/>
        <v>0</v>
      </c>
      <c r="V67" s="359">
        <f t="shared" ca="1" si="3"/>
        <v>1.22242552861117</v>
      </c>
      <c r="W67" s="357">
        <f t="shared" ca="1" si="4"/>
        <v>5.673748290644026</v>
      </c>
      <c r="X67" s="343"/>
      <c r="Y67" s="367" t="str">
        <f t="shared" ca="1" si="22"/>
        <v/>
      </c>
      <c r="Z67" s="368" t="str">
        <f t="shared" ca="1" si="23"/>
        <v/>
      </c>
      <c r="AA67" s="369" t="str">
        <f t="shared" ca="1" si="24"/>
        <v/>
      </c>
      <c r="AB67" s="344"/>
      <c r="AC67" s="363" t="e">
        <f t="shared" ca="1" si="25"/>
        <v>#N/A</v>
      </c>
      <c r="AD67" s="376" t="e">
        <f t="shared" ca="1" si="26"/>
        <v>#N/A</v>
      </c>
      <c r="AE67" s="377">
        <f t="shared" ca="1" si="5"/>
        <v>21.038200008404608</v>
      </c>
      <c r="AF67" s="344"/>
      <c r="AG67" s="359">
        <f t="shared" ca="1" si="27"/>
        <v>87.529963487671424</v>
      </c>
      <c r="AH67" s="357">
        <f t="shared" ca="1" si="28"/>
        <v>97.161138480866384</v>
      </c>
    </row>
    <row r="68" spans="1:34" x14ac:dyDescent="0.2">
      <c r="A68" s="402">
        <f t="shared" ca="1" si="6"/>
        <v>0.01</v>
      </c>
      <c r="B68" s="357">
        <f t="shared" ca="1" si="7"/>
        <v>0.64000000000000035</v>
      </c>
      <c r="C68" s="342"/>
      <c r="D68" s="359">
        <f t="shared" ca="1" si="8"/>
        <v>18.183968009888819</v>
      </c>
      <c r="E68" s="360">
        <f t="shared" ca="1" si="9"/>
        <v>83.973955813243762</v>
      </c>
      <c r="F68" s="357">
        <f t="shared" ca="1" si="10"/>
        <v>85.920206863748149</v>
      </c>
      <c r="G68" s="359">
        <f t="shared" ca="1" si="11"/>
        <v>12.612947449249299</v>
      </c>
      <c r="H68" s="360">
        <f t="shared" ca="1" si="12"/>
        <v>64.953274134175828</v>
      </c>
      <c r="I68" s="357">
        <f t="shared" ca="1" si="13"/>
        <v>66.166564548168282</v>
      </c>
      <c r="J68" s="359">
        <f t="shared" ca="1" si="14"/>
        <v>4.0427163242127273</v>
      </c>
      <c r="K68" s="360">
        <f t="shared" ca="1" si="15"/>
        <v>21.683534051955704</v>
      </c>
      <c r="L68" s="357">
        <f t="shared" ref="L68:L131" ca="1" si="29">SQRT(pos_x^2+pos_z^2)</f>
        <v>22.057180333405686</v>
      </c>
      <c r="M68" s="359">
        <f t="shared" ca="1" si="16"/>
        <v>1.3789983749245647</v>
      </c>
      <c r="N68" s="357">
        <f t="shared" ca="1" si="17"/>
        <v>79.010786838576692</v>
      </c>
      <c r="O68" s="343"/>
      <c r="P68" s="363">
        <f t="shared" ca="1" si="18"/>
        <v>4</v>
      </c>
      <c r="Q68" s="357">
        <f t="shared" ca="1" si="19"/>
        <v>156.24999999999991</v>
      </c>
      <c r="R68" s="359">
        <f t="shared" ca="1" si="20"/>
        <v>8.2929654591406859E-2</v>
      </c>
      <c r="S68" s="360">
        <f t="shared" ca="1" si="21"/>
        <v>1.576210362257791</v>
      </c>
      <c r="T68" s="357">
        <f t="shared" ref="T68:T131" ca="1" si="30">m*g</f>
        <v>15.462623653748931</v>
      </c>
      <c r="U68" s="364">
        <f t="shared" ref="U68:U131" ca="1" si="31">IF(pos_xz&lt;L_rampe,Poids*COS(Beta),0)</f>
        <v>0</v>
      </c>
      <c r="V68" s="359">
        <f t="shared" ref="V68:V131" ca="1" si="32">Rho_moyen*(20000-Alt_rampe-pos_z)/(20000+Alt_rampe+pos_z)</f>
        <v>1.2223466437856267</v>
      </c>
      <c r="W68" s="357">
        <f t="shared" ref="W68:W131" ca="1" si="33">1/2*Rho*Sref*Cx*vit_xz^2</f>
        <v>5.8236096557622972</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21.683534051955704</v>
      </c>
      <c r="AF68" s="344"/>
      <c r="AG68" s="359">
        <f t="shared" ca="1" si="27"/>
        <v>85.899913375422443</v>
      </c>
      <c r="AH68" s="357">
        <f t="shared" ca="1" si="28"/>
        <v>95.530555638314581</v>
      </c>
    </row>
    <row r="69" spans="1:34" x14ac:dyDescent="0.2">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17.899231322921146</v>
      </c>
      <c r="E69" s="360">
        <f t="shared" ref="E69:E132" ca="1" si="38">IF(AND(L68&lt;L_rampe,Poussee&lt;Poids*SIN(M68)),0,(-W68+Poussee)/m*SIN(M68)+U68/m*COS(M68)-Poids/m)</f>
        <v>82.366208898572779</v>
      </c>
      <c r="F69" s="357">
        <f t="shared" ref="F69:F132" ca="1" si="39">SQRT(acc_x^2+acc_z^2)</f>
        <v>84.28864010217967</v>
      </c>
      <c r="G69" s="359">
        <f t="shared" ref="G69:G132" ca="1" si="40">G68+acc_x*pas</f>
        <v>12.79193976247851</v>
      </c>
      <c r="H69" s="360">
        <f t="shared" ref="H69:H132" ca="1" si="41">H68+acc_z*pas</f>
        <v>65.776936223161556</v>
      </c>
      <c r="I69" s="357">
        <f t="shared" ref="I69:I132" ca="1" si="42">SQRT(vit_x^2+vit_z^2)</f>
        <v>67.009246091809914</v>
      </c>
      <c r="J69" s="359">
        <f t="shared" ref="J69:J132" ca="1" si="43">J68+0.5*(vit_x+G68)*pas*(K68&gt;=0)</f>
        <v>4.1697407602713668</v>
      </c>
      <c r="K69" s="360">
        <f t="shared" ref="K69:K132" ca="1" si="44">K68+0.5*(vit_z+H68)*pas</f>
        <v>22.337185103742392</v>
      </c>
      <c r="L69" s="357">
        <f t="shared" ca="1" si="29"/>
        <v>22.723040649673614</v>
      </c>
      <c r="M69" s="359">
        <f t="shared" ref="M69:M132" ca="1" si="45">IF(AND(L68&gt;L_rampe,G69&gt;0),ATAN2(G69,H69),$M$4)</f>
        <v>1.3787193054842448</v>
      </c>
      <c r="N69" s="357">
        <f t="shared" ref="N69:N132" ca="1" si="46">DEGREES(Beta)</f>
        <v>78.994797337455282</v>
      </c>
      <c r="O69" s="343"/>
      <c r="P69" s="363">
        <f t="shared" ref="P69:P132" ca="1" si="47">MATCH(t-pas/2-T_ini,CdP_t)</f>
        <v>4</v>
      </c>
      <c r="Q69" s="357">
        <f t="shared" ref="Q69:Q132" ca="1" si="48">(INDEX(CdP,2,i_P+1)-INDEX(CdP,2,i_P+0))/(INDEX(CdP,1,i_P+1)-INDEX(CdP,1,i_P+0))*(t-pas/2-T_ini-INDEX(CdP,1,i_P+0))+INDEX(CdP,2,i_P+0)</f>
        <v>153.74999999999991</v>
      </c>
      <c r="R69" s="359">
        <f t="shared" ref="R69:R132" ca="1" si="49">Poussee/(g*ISP)</f>
        <v>8.1602780117944348E-2</v>
      </c>
      <c r="S69" s="360">
        <f t="shared" ref="S69:S132" ca="1" si="50">S68-Débit*pas</f>
        <v>1.5753943344566115</v>
      </c>
      <c r="T69" s="357">
        <f t="shared" ca="1" si="30"/>
        <v>15.45461842101936</v>
      </c>
      <c r="U69" s="364">
        <f t="shared" ca="1" si="31"/>
        <v>0</v>
      </c>
      <c r="V69" s="359">
        <f t="shared" ca="1" si="32"/>
        <v>1.2222667474831621</v>
      </c>
      <c r="W69" s="357">
        <f t="shared" ca="1" si="33"/>
        <v>5.9725000365685919</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22.337185103742392</v>
      </c>
      <c r="AF69" s="344"/>
      <c r="AG69" s="359">
        <f t="shared" ref="AG69:AG132" ca="1" si="56">IF(AND(L68&lt;L_rampe,Poussee&lt;Poids*SIN(M68)),0,(-W68+Poussee)/m-Poids*SIN(M68)/m)</f>
        <v>84.267893430989801</v>
      </c>
      <c r="AH69" s="357">
        <f t="shared" ref="AH69:AH132" ca="1" si="57">IF(AND(L68&lt;L_rampe,Poussee&lt;Poids*SIN(M68)), g*SIN(M68), (-W68+Poussee)/m)</f>
        <v>93.898008332790369</v>
      </c>
    </row>
    <row r="70" spans="1:34" x14ac:dyDescent="0.2">
      <c r="A70" s="402">
        <f t="shared" ca="1" si="35"/>
        <v>0.01</v>
      </c>
      <c r="B70" s="357">
        <f t="shared" ca="1" si="36"/>
        <v>0.66000000000000036</v>
      </c>
      <c r="C70" s="342"/>
      <c r="D70" s="359">
        <f t="shared" ca="1" si="37"/>
        <v>17.61295023262884</v>
      </c>
      <c r="E70" s="360">
        <f t="shared" ca="1" si="38"/>
        <v>80.756866766489111</v>
      </c>
      <c r="F70" s="357">
        <f t="shared" ca="1" si="39"/>
        <v>82.655233021494368</v>
      </c>
      <c r="G70" s="359">
        <f t="shared" ca="1" si="40"/>
        <v>12.968069264804798</v>
      </c>
      <c r="H70" s="360">
        <f t="shared" ca="1" si="41"/>
        <v>66.584504890826452</v>
      </c>
      <c r="I70" s="357">
        <f t="shared" ca="1" si="42"/>
        <v>67.835588830740363</v>
      </c>
      <c r="J70" s="359">
        <f t="shared" ca="1" si="43"/>
        <v>4.2985408054077832</v>
      </c>
      <c r="K70" s="360">
        <f t="shared" ca="1" si="44"/>
        <v>22.998992309312332</v>
      </c>
      <c r="L70" s="357">
        <f t="shared" ca="1" si="29"/>
        <v>23.397245570783827</v>
      </c>
      <c r="M70" s="359">
        <f t="shared" ca="1" si="45"/>
        <v>1.378443239379413</v>
      </c>
      <c r="N70" s="357">
        <f t="shared" ca="1" si="46"/>
        <v>78.978979914781803</v>
      </c>
      <c r="O70" s="343"/>
      <c r="P70" s="363">
        <f t="shared" ca="1" si="47"/>
        <v>4</v>
      </c>
      <c r="Q70" s="357">
        <f t="shared" ca="1" si="48"/>
        <v>151.24999999999991</v>
      </c>
      <c r="R70" s="359">
        <f t="shared" ca="1" si="49"/>
        <v>8.0275905644481838E-2</v>
      </c>
      <c r="S70" s="360">
        <f t="shared" ca="1" si="50"/>
        <v>1.5745915754001667</v>
      </c>
      <c r="T70" s="357">
        <f t="shared" ca="1" si="30"/>
        <v>15.446743354675636</v>
      </c>
      <c r="U70" s="364">
        <f t="shared" ca="1" si="31"/>
        <v>0</v>
      </c>
      <c r="V70" s="359">
        <f t="shared" ca="1" si="32"/>
        <v>1.222185859561824</v>
      </c>
      <c r="W70" s="357">
        <f t="shared" ca="1" si="33"/>
        <v>6.1203062463818183</v>
      </c>
      <c r="X70" s="343"/>
      <c r="Y70" s="367" t="str">
        <f t="shared" ca="1" si="51"/>
        <v/>
      </c>
      <c r="Z70" s="368" t="str">
        <f t="shared" ca="1" si="52"/>
        <v/>
      </c>
      <c r="AA70" s="369" t="str">
        <f t="shared" ca="1" si="53"/>
        <v/>
      </c>
      <c r="AB70" s="344"/>
      <c r="AC70" s="363" t="e">
        <f t="shared" ca="1" si="54"/>
        <v>#N/A</v>
      </c>
      <c r="AD70" s="376" t="e">
        <f t="shared" ca="1" si="55"/>
        <v>#N/A</v>
      </c>
      <c r="AE70" s="377">
        <f t="shared" ca="1" si="34"/>
        <v>22.998992309312332</v>
      </c>
      <c r="AF70" s="344"/>
      <c r="AG70" s="359">
        <f t="shared" ca="1" si="56"/>
        <v>82.634015397075331</v>
      </c>
      <c r="AH70" s="357">
        <f t="shared" ca="1" si="57"/>
        <v>92.263608057543749</v>
      </c>
    </row>
    <row r="71" spans="1:34" x14ac:dyDescent="0.2">
      <c r="A71" s="402">
        <f t="shared" ca="1" si="35"/>
        <v>0.01</v>
      </c>
      <c r="B71" s="357">
        <f t="shared" ca="1" si="36"/>
        <v>0.67000000000000037</v>
      </c>
      <c r="C71" s="342"/>
      <c r="D71" s="359">
        <f t="shared" ca="1" si="37"/>
        <v>17.234026242130785</v>
      </c>
      <c r="E71" s="360">
        <f t="shared" ca="1" si="38"/>
        <v>78.678045612321242</v>
      </c>
      <c r="F71" s="357">
        <f t="shared" ca="1" si="39"/>
        <v>80.543444934326928</v>
      </c>
      <c r="G71" s="359">
        <f t="shared" ca="1" si="40"/>
        <v>13.140409527226106</v>
      </c>
      <c r="H71" s="360">
        <f t="shared" ca="1" si="41"/>
        <v>67.371285346949662</v>
      </c>
      <c r="I71" s="357">
        <f t="shared" ca="1" si="42"/>
        <v>68.640807482454122</v>
      </c>
      <c r="J71" s="359">
        <f t="shared" ca="1" si="43"/>
        <v>4.4290831993679376</v>
      </c>
      <c r="K71" s="360">
        <f t="shared" ca="1" si="44"/>
        <v>23.668771260501213</v>
      </c>
      <c r="L71" s="357">
        <f t="shared" ca="1" si="29"/>
        <v>24.079607782703846</v>
      </c>
      <c r="M71" s="359">
        <f t="shared" ca="1" si="45"/>
        <v>1.3781700244976518</v>
      </c>
      <c r="N71" s="357">
        <f t="shared" ca="1" si="46"/>
        <v>78.963325855156725</v>
      </c>
      <c r="O71" s="343"/>
      <c r="P71" s="363">
        <f t="shared" ca="1" si="47"/>
        <v>5</v>
      </c>
      <c r="Q71" s="357">
        <f t="shared" ca="1" si="48"/>
        <v>147.99999999999986</v>
      </c>
      <c r="R71" s="359">
        <f t="shared" ca="1" si="49"/>
        <v>7.8550968828980536E-2</v>
      </c>
      <c r="S71" s="360">
        <f t="shared" ca="1" si="50"/>
        <v>1.5738060657118769</v>
      </c>
      <c r="T71" s="357">
        <f t="shared" ca="1" si="30"/>
        <v>15.439037504633513</v>
      </c>
      <c r="U71" s="364">
        <f t="shared" ca="1" si="31"/>
        <v>0</v>
      </c>
      <c r="V71" s="359">
        <f t="shared" ca="1" si="32"/>
        <v>1.2221040027554062</v>
      </c>
      <c r="W71" s="357">
        <f t="shared" ca="1" si="33"/>
        <v>6.2660468122292148</v>
      </c>
      <c r="X71" s="343"/>
      <c r="Y71" s="367" t="str">
        <f t="shared" ca="1" si="51"/>
        <v/>
      </c>
      <c r="Z71" s="368" t="str">
        <f t="shared" ca="1" si="52"/>
        <v/>
      </c>
      <c r="AA71" s="369" t="str">
        <f t="shared" ca="1" si="53"/>
        <v/>
      </c>
      <c r="AB71" s="344"/>
      <c r="AC71" s="363" t="e">
        <f t="shared" ca="1" si="54"/>
        <v>#N/A</v>
      </c>
      <c r="AD71" s="376" t="e">
        <f t="shared" ca="1" si="55"/>
        <v>#N/A</v>
      </c>
      <c r="AE71" s="377">
        <f t="shared" ca="1" si="34"/>
        <v>23.668771260501213</v>
      </c>
      <c r="AF71" s="344"/>
      <c r="AG71" s="359">
        <f t="shared" ca="1" si="56"/>
        <v>80.521608982015977</v>
      </c>
      <c r="AH71" s="357">
        <f t="shared" ca="1" si="57"/>
        <v>90.150684283607617</v>
      </c>
    </row>
    <row r="72" spans="1:34" x14ac:dyDescent="0.2">
      <c r="A72" s="402">
        <f t="shared" ca="1" si="35"/>
        <v>0.01</v>
      </c>
      <c r="B72" s="357">
        <f t="shared" ca="1" si="36"/>
        <v>0.68000000000000038</v>
      </c>
      <c r="C72" s="342"/>
      <c r="D72" s="359">
        <f t="shared" ca="1" si="37"/>
        <v>16.762055330121136</v>
      </c>
      <c r="E72" s="360">
        <f t="shared" ca="1" si="38"/>
        <v>76.129575194148217</v>
      </c>
      <c r="F72" s="357">
        <f t="shared" ca="1" si="39"/>
        <v>77.953054578582808</v>
      </c>
      <c r="G72" s="359">
        <f t="shared" ca="1" si="40"/>
        <v>13.308030080527317</v>
      </c>
      <c r="H72" s="360">
        <f t="shared" ca="1" si="41"/>
        <v>68.132581098891151</v>
      </c>
      <c r="I72" s="357">
        <f t="shared" ca="1" si="42"/>
        <v>69.420114317258225</v>
      </c>
      <c r="J72" s="359">
        <f t="shared" ca="1" si="43"/>
        <v>4.561325397406705</v>
      </c>
      <c r="K72" s="360">
        <f t="shared" ca="1" si="44"/>
        <v>24.346290592730416</v>
      </c>
      <c r="L72" s="357">
        <f t="shared" ca="1" si="29"/>
        <v>24.769892107288257</v>
      </c>
      <c r="M72" s="359">
        <f t="shared" ca="1" si="45"/>
        <v>1.3778994977541108</v>
      </c>
      <c r="N72" s="357">
        <f t="shared" ca="1" si="46"/>
        <v>78.947825814506402</v>
      </c>
      <c r="O72" s="343"/>
      <c r="P72" s="363">
        <f t="shared" ca="1" si="47"/>
        <v>5</v>
      </c>
      <c r="Q72" s="357">
        <f t="shared" ca="1" si="48"/>
        <v>143.99999999999986</v>
      </c>
      <c r="R72" s="359">
        <f t="shared" ca="1" si="49"/>
        <v>7.6427969671440527E-2</v>
      </c>
      <c r="S72" s="360">
        <f t="shared" ca="1" si="50"/>
        <v>1.5730417860151624</v>
      </c>
      <c r="T72" s="357">
        <f t="shared" ca="1" si="30"/>
        <v>15.431539920808744</v>
      </c>
      <c r="U72" s="364">
        <f t="shared" ca="1" si="31"/>
        <v>0</v>
      </c>
      <c r="V72" s="359">
        <f t="shared" ca="1" si="32"/>
        <v>1.2220212055321771</v>
      </c>
      <c r="W72" s="357">
        <f t="shared" ca="1" si="33"/>
        <v>6.4087022119441954</v>
      </c>
      <c r="X72" s="343"/>
      <c r="Y72" s="367" t="str">
        <f t="shared" ca="1" si="51"/>
        <v/>
      </c>
      <c r="Z72" s="368" t="str">
        <f t="shared" ca="1" si="52"/>
        <v/>
      </c>
      <c r="AA72" s="369" t="str">
        <f t="shared" ca="1" si="53"/>
        <v/>
      </c>
      <c r="AB72" s="344"/>
      <c r="AC72" s="363" t="e">
        <f t="shared" ca="1" si="54"/>
        <v>#N/A</v>
      </c>
      <c r="AD72" s="376" t="e">
        <f t="shared" ca="1" si="55"/>
        <v>#N/A</v>
      </c>
      <c r="AE72" s="377">
        <f t="shared" ca="1" si="34"/>
        <v>24.346290592730416</v>
      </c>
      <c r="AF72" s="344"/>
      <c r="AG72" s="359">
        <f t="shared" ca="1" si="56"/>
        <v>77.930429455833448</v>
      </c>
      <c r="AH72" s="357">
        <f t="shared" ca="1" si="57"/>
        <v>87.558992019327732</v>
      </c>
    </row>
    <row r="73" spans="1:34" x14ac:dyDescent="0.2">
      <c r="A73" s="402">
        <f t="shared" ca="1" si="35"/>
        <v>0.01</v>
      </c>
      <c r="B73" s="357">
        <f t="shared" ca="1" si="36"/>
        <v>0.69000000000000039</v>
      </c>
      <c r="C73" s="342"/>
      <c r="D73" s="359">
        <f t="shared" ca="1" si="37"/>
        <v>16.125502747740761</v>
      </c>
      <c r="E73" s="360">
        <f t="shared" ca="1" si="38"/>
        <v>72.747081481837625</v>
      </c>
      <c r="F73" s="357">
        <f t="shared" ca="1" si="39"/>
        <v>74.512882798832294</v>
      </c>
      <c r="G73" s="359">
        <f t="shared" ca="1" si="40"/>
        <v>13.469285108004724</v>
      </c>
      <c r="H73" s="360">
        <f t="shared" ca="1" si="41"/>
        <v>68.860051913709526</v>
      </c>
      <c r="I73" s="357">
        <f t="shared" ca="1" si="42"/>
        <v>70.165008308126701</v>
      </c>
      <c r="J73" s="359">
        <f t="shared" ca="1" si="43"/>
        <v>4.6952119733493651</v>
      </c>
      <c r="K73" s="360">
        <f t="shared" ca="1" si="44"/>
        <v>25.031253757793419</v>
      </c>
      <c r="L73" s="357">
        <f t="shared" ca="1" si="29"/>
        <v>25.467796923992669</v>
      </c>
      <c r="M73" s="359">
        <f t="shared" ca="1" si="45"/>
        <v>1.3776314717813176</v>
      </c>
      <c r="N73" s="357">
        <f t="shared" ca="1" si="46"/>
        <v>78.932469057465468</v>
      </c>
      <c r="O73" s="343"/>
      <c r="P73" s="363">
        <f t="shared" ca="1" si="47"/>
        <v>6</v>
      </c>
      <c r="Q73" s="357">
        <f t="shared" ca="1" si="48"/>
        <v>138.66666666666643</v>
      </c>
      <c r="R73" s="359">
        <f t="shared" ca="1" si="49"/>
        <v>7.3597304128053778E-2</v>
      </c>
      <c r="S73" s="360">
        <f t="shared" ca="1" si="50"/>
        <v>1.5723058129738818</v>
      </c>
      <c r="T73" s="357">
        <f t="shared" ca="1" si="30"/>
        <v>15.424320025273781</v>
      </c>
      <c r="U73" s="364">
        <f t="shared" ca="1" si="31"/>
        <v>0</v>
      </c>
      <c r="V73" s="359">
        <f t="shared" ca="1" si="32"/>
        <v>1.2219375043199954</v>
      </c>
      <c r="W73" s="357">
        <f t="shared" ca="1" si="33"/>
        <v>6.5465254014806415</v>
      </c>
      <c r="X73" s="343"/>
      <c r="Y73" s="367" t="str">
        <f t="shared" ca="1" si="51"/>
        <v/>
      </c>
      <c r="Z73" s="368" t="str">
        <f t="shared" ca="1" si="52"/>
        <v/>
      </c>
      <c r="AA73" s="369" t="str">
        <f t="shared" ca="1" si="53"/>
        <v/>
      </c>
      <c r="AB73" s="344"/>
      <c r="AC73" s="363" t="e">
        <f t="shared" ca="1" si="54"/>
        <v>#N/A</v>
      </c>
      <c r="AD73" s="376" t="e">
        <f t="shared" ca="1" si="55"/>
        <v>#N/A</v>
      </c>
      <c r="AE73" s="377">
        <f t="shared" ca="1" si="34"/>
        <v>25.031253757793419</v>
      </c>
      <c r="AF73" s="344"/>
      <c r="AG73" s="359">
        <f t="shared" ca="1" si="56"/>
        <v>74.489147061429634</v>
      </c>
      <c r="AH73" s="357">
        <f t="shared" ca="1" si="57"/>
        <v>84.117201223448774</v>
      </c>
    </row>
    <row r="74" spans="1:34" x14ac:dyDescent="0.2">
      <c r="A74" s="402">
        <f t="shared" ca="1" si="35"/>
        <v>0.01</v>
      </c>
      <c r="B74" s="357">
        <f t="shared" ca="1" si="36"/>
        <v>0.7000000000000004</v>
      </c>
      <c r="C74" s="342"/>
      <c r="D74" s="359">
        <f t="shared" ca="1" si="37"/>
        <v>15.323684282075018</v>
      </c>
      <c r="E74" s="360">
        <f t="shared" ca="1" si="38"/>
        <v>68.530438019675358</v>
      </c>
      <c r="F74" s="357">
        <f t="shared" ca="1" si="39"/>
        <v>70.222761517511387</v>
      </c>
      <c r="G74" s="359">
        <f t="shared" ca="1" si="40"/>
        <v>13.622521950825474</v>
      </c>
      <c r="H74" s="360">
        <f t="shared" ca="1" si="41"/>
        <v>69.545356293906281</v>
      </c>
      <c r="I74" s="357">
        <f t="shared" ca="1" si="42"/>
        <v>70.866985870340869</v>
      </c>
      <c r="J74" s="359">
        <f t="shared" ca="1" si="43"/>
        <v>4.8306710086435158</v>
      </c>
      <c r="K74" s="360">
        <f t="shared" ca="1" si="44"/>
        <v>25.723280798831496</v>
      </c>
      <c r="L74" s="357">
        <f t="shared" ca="1" si="29"/>
        <v>26.172935590974163</v>
      </c>
      <c r="M74" s="359">
        <f t="shared" ca="1" si="45"/>
        <v>1.3773657366243466</v>
      </c>
      <c r="N74" s="357">
        <f t="shared" ca="1" si="46"/>
        <v>78.917243554502775</v>
      </c>
      <c r="O74" s="343"/>
      <c r="P74" s="363">
        <f t="shared" ca="1" si="47"/>
        <v>6</v>
      </c>
      <c r="Q74" s="357">
        <f t="shared" ca="1" si="48"/>
        <v>131.99999999999977</v>
      </c>
      <c r="R74" s="359">
        <f t="shared" ca="1" si="49"/>
        <v>7.0058972198820429E-2</v>
      </c>
      <c r="S74" s="360">
        <f t="shared" ca="1" si="50"/>
        <v>1.5716052232518936</v>
      </c>
      <c r="T74" s="357">
        <f t="shared" ca="1" si="30"/>
        <v>15.417447240101076</v>
      </c>
      <c r="U74" s="364">
        <f t="shared" ca="1" si="31"/>
        <v>0</v>
      </c>
      <c r="V74" s="359">
        <f t="shared" ca="1" si="32"/>
        <v>1.2218529457301766</v>
      </c>
      <c r="W74" s="357">
        <f t="shared" ca="1" si="33"/>
        <v>6.6777101497681937</v>
      </c>
      <c r="X74" s="343"/>
      <c r="Y74" s="367" t="str">
        <f t="shared" ca="1" si="51"/>
        <v/>
      </c>
      <c r="Z74" s="368" t="str">
        <f t="shared" ca="1" si="52"/>
        <v/>
      </c>
      <c r="AA74" s="369" t="str">
        <f t="shared" ca="1" si="53"/>
        <v/>
      </c>
      <c r="AB74" s="344"/>
      <c r="AC74" s="363" t="e">
        <f t="shared" ca="1" si="54"/>
        <v>#N/A</v>
      </c>
      <c r="AD74" s="376" t="e">
        <f t="shared" ca="1" si="55"/>
        <v>#N/A</v>
      </c>
      <c r="AE74" s="377">
        <f t="shared" ca="1" si="34"/>
        <v>25.723280798831496</v>
      </c>
      <c r="AF74" s="344"/>
      <c r="AG74" s="359">
        <f t="shared" ca="1" si="56"/>
        <v>70.197506007192246</v>
      </c>
      <c r="AH74" s="357">
        <f t="shared" ca="1" si="57"/>
        <v>79.825055772553711</v>
      </c>
    </row>
    <row r="75" spans="1:34" x14ac:dyDescent="0.2">
      <c r="A75" s="402">
        <f t="shared" ca="1" si="35"/>
        <v>0.01</v>
      </c>
      <c r="B75" s="357">
        <f t="shared" ca="1" si="36"/>
        <v>0.71000000000000041</v>
      </c>
      <c r="C75" s="342"/>
      <c r="D75" s="359">
        <f t="shared" ca="1" si="37"/>
        <v>14.519186259361376</v>
      </c>
      <c r="E75" s="360">
        <f t="shared" ca="1" si="38"/>
        <v>64.312984360006041</v>
      </c>
      <c r="F75" s="357">
        <f t="shared" ca="1" si="39"/>
        <v>65.931530597464601</v>
      </c>
      <c r="G75" s="359">
        <f t="shared" ca="1" si="40"/>
        <v>13.767713813419087</v>
      </c>
      <c r="H75" s="360">
        <f t="shared" ca="1" si="41"/>
        <v>70.188486137506345</v>
      </c>
      <c r="I75" s="357">
        <f t="shared" ca="1" si="42"/>
        <v>71.526033931171739</v>
      </c>
      <c r="J75" s="359">
        <f t="shared" ca="1" si="43"/>
        <v>4.9676221874647384</v>
      </c>
      <c r="K75" s="360">
        <f t="shared" ca="1" si="44"/>
        <v>26.42195001098856</v>
      </c>
      <c r="L75" s="357">
        <f t="shared" ca="1" si="29"/>
        <v>26.884878883501973</v>
      </c>
      <c r="M75" s="359">
        <f t="shared" ca="1" si="45"/>
        <v>1.3771020923022168</v>
      </c>
      <c r="N75" s="357">
        <f t="shared" ca="1" si="46"/>
        <v>78.902137847552154</v>
      </c>
      <c r="O75" s="343"/>
      <c r="P75" s="363">
        <f t="shared" ca="1" si="47"/>
        <v>6</v>
      </c>
      <c r="Q75" s="357">
        <f t="shared" ca="1" si="48"/>
        <v>125.33333333333309</v>
      </c>
      <c r="R75" s="359">
        <f t="shared" ca="1" si="49"/>
        <v>6.6520640269587053E-2</v>
      </c>
      <c r="S75" s="360">
        <f t="shared" ca="1" si="50"/>
        <v>1.5709400168491976</v>
      </c>
      <c r="T75" s="357">
        <f t="shared" ca="1" si="30"/>
        <v>15.410921565290629</v>
      </c>
      <c r="U75" s="364">
        <f t="shared" ca="1" si="31"/>
        <v>0</v>
      </c>
      <c r="V75" s="359">
        <f t="shared" ca="1" si="32"/>
        <v>1.2217675814637028</v>
      </c>
      <c r="W75" s="357">
        <f t="shared" ca="1" si="33"/>
        <v>6.8020150248383242</v>
      </c>
      <c r="X75" s="343"/>
      <c r="Y75" s="367" t="str">
        <f t="shared" ca="1" si="51"/>
        <v/>
      </c>
      <c r="Z75" s="368" t="str">
        <f t="shared" ca="1" si="52"/>
        <v/>
      </c>
      <c r="AA75" s="369" t="str">
        <f t="shared" ca="1" si="53"/>
        <v/>
      </c>
      <c r="AB75" s="344"/>
      <c r="AC75" s="363" t="e">
        <f t="shared" ca="1" si="54"/>
        <v>#N/A</v>
      </c>
      <c r="AD75" s="376" t="e">
        <f t="shared" ca="1" si="55"/>
        <v>#N/A</v>
      </c>
      <c r="AE75" s="377">
        <f t="shared" ca="1" si="34"/>
        <v>26.42195001098856</v>
      </c>
      <c r="AF75" s="344"/>
      <c r="AG75" s="359">
        <f t="shared" ca="1" si="56"/>
        <v>65.90455750033513</v>
      </c>
      <c r="AH75" s="357">
        <f t="shared" ca="1" si="57"/>
        <v>75.531606497331495</v>
      </c>
    </row>
    <row r="76" spans="1:34" x14ac:dyDescent="0.2">
      <c r="A76" s="402">
        <f t="shared" ca="1" si="35"/>
        <v>0.01</v>
      </c>
      <c r="B76" s="357">
        <f t="shared" ca="1" si="36"/>
        <v>0.72000000000000042</v>
      </c>
      <c r="C76" s="342"/>
      <c r="D76" s="359">
        <f t="shared" ca="1" si="37"/>
        <v>13.712135936785145</v>
      </c>
      <c r="E76" s="360">
        <f t="shared" ca="1" si="38"/>
        <v>60.095147372876383</v>
      </c>
      <c r="F76" s="357">
        <f t="shared" ca="1" si="39"/>
        <v>61.63967399099873</v>
      </c>
      <c r="G76" s="359">
        <f t="shared" ca="1" si="40"/>
        <v>13.904835172786939</v>
      </c>
      <c r="H76" s="360">
        <f t="shared" ca="1" si="41"/>
        <v>70.789437611235115</v>
      </c>
      <c r="I76" s="357">
        <f t="shared" ca="1" si="42"/>
        <v>72.142143844616385</v>
      </c>
      <c r="J76" s="359">
        <f t="shared" ca="1" si="43"/>
        <v>5.1059849323957689</v>
      </c>
      <c r="K76" s="360">
        <f t="shared" ca="1" si="44"/>
        <v>27.126839629732267</v>
      </c>
      <c r="L76" s="357">
        <f t="shared" ca="1" si="29"/>
        <v>27.603197467450499</v>
      </c>
      <c r="M76" s="359">
        <f t="shared" ca="1" si="45"/>
        <v>1.3768403477485667</v>
      </c>
      <c r="N76" s="357">
        <f t="shared" ca="1" si="46"/>
        <v>78.887140989317473</v>
      </c>
      <c r="O76" s="343"/>
      <c r="P76" s="363">
        <f t="shared" ca="1" si="47"/>
        <v>6</v>
      </c>
      <c r="Q76" s="357">
        <f t="shared" ca="1" si="48"/>
        <v>118.66666666666643</v>
      </c>
      <c r="R76" s="359">
        <f t="shared" ca="1" si="49"/>
        <v>6.2982308340353704E-2</v>
      </c>
      <c r="S76" s="360">
        <f t="shared" ca="1" si="50"/>
        <v>1.5703101937657939</v>
      </c>
      <c r="T76" s="357">
        <f t="shared" ca="1" si="30"/>
        <v>15.404743000842439</v>
      </c>
      <c r="U76" s="364">
        <f t="shared" ca="1" si="31"/>
        <v>0</v>
      </c>
      <c r="V76" s="359">
        <f t="shared" ca="1" si="32"/>
        <v>1.2216814632161153</v>
      </c>
      <c r="W76" s="357">
        <f t="shared" ca="1" si="33"/>
        <v>6.9192141663909172</v>
      </c>
      <c r="X76" s="343"/>
      <c r="Y76" s="367" t="str">
        <f t="shared" ca="1" si="51"/>
        <v/>
      </c>
      <c r="Z76" s="368" t="str">
        <f t="shared" ca="1" si="52"/>
        <v/>
      </c>
      <c r="AA76" s="369" t="str">
        <f t="shared" ca="1" si="53"/>
        <v/>
      </c>
      <c r="AB76" s="344"/>
      <c r="AC76" s="363" t="e">
        <f t="shared" ca="1" si="54"/>
        <v>#N/A</v>
      </c>
      <c r="AD76" s="376" t="e">
        <f t="shared" ca="1" si="55"/>
        <v>#N/A</v>
      </c>
      <c r="AE76" s="377">
        <f t="shared" ca="1" si="34"/>
        <v>27.126839629732267</v>
      </c>
      <c r="AF76" s="344"/>
      <c r="AG76" s="359">
        <f t="shared" ca="1" si="56"/>
        <v>61.610744220788931</v>
      </c>
      <c r="AH76" s="357">
        <f t="shared" ca="1" si="57"/>
        <v>71.237295717709841</v>
      </c>
    </row>
    <row r="77" spans="1:34" x14ac:dyDescent="0.2">
      <c r="A77" s="402">
        <f t="shared" ca="1" si="35"/>
        <v>0.01</v>
      </c>
      <c r="B77" s="357">
        <f t="shared" ca="1" si="36"/>
        <v>0.73000000000000043</v>
      </c>
      <c r="C77" s="342"/>
      <c r="D77" s="359">
        <f t="shared" ca="1" si="37"/>
        <v>12.902655328402604</v>
      </c>
      <c r="E77" s="360">
        <f t="shared" ca="1" si="38"/>
        <v>55.877345663527208</v>
      </c>
      <c r="F77" s="357">
        <f t="shared" ca="1" si="39"/>
        <v>57.347678880010996</v>
      </c>
      <c r="G77" s="359">
        <f t="shared" ca="1" si="40"/>
        <v>14.033861726070965</v>
      </c>
      <c r="H77" s="360">
        <f t="shared" ca="1" si="41"/>
        <v>71.34821106787038</v>
      </c>
      <c r="I77" s="357">
        <f t="shared" ca="1" si="42"/>
        <v>72.715311300522259</v>
      </c>
      <c r="J77" s="359">
        <f t="shared" ca="1" si="43"/>
        <v>5.2456784168900583</v>
      </c>
      <c r="K77" s="360">
        <f t="shared" ca="1" si="44"/>
        <v>27.837527873127794</v>
      </c>
      <c r="L77" s="357">
        <f t="shared" ca="1" si="29"/>
        <v>28.327461943149672</v>
      </c>
      <c r="M77" s="359">
        <f t="shared" ca="1" si="45"/>
        <v>1.3765803198503648</v>
      </c>
      <c r="N77" s="357">
        <f t="shared" ca="1" si="46"/>
        <v>78.872242488194843</v>
      </c>
      <c r="O77" s="343"/>
      <c r="P77" s="363">
        <f t="shared" ca="1" si="47"/>
        <v>6</v>
      </c>
      <c r="Q77" s="357">
        <f t="shared" ca="1" si="48"/>
        <v>111.99999999999974</v>
      </c>
      <c r="R77" s="359">
        <f t="shared" ca="1" si="49"/>
        <v>5.9443976411120328E-2</v>
      </c>
      <c r="S77" s="360">
        <f t="shared" ca="1" si="50"/>
        <v>1.5697157540016828</v>
      </c>
      <c r="T77" s="357">
        <f t="shared" ca="1" si="30"/>
        <v>15.39891154675651</v>
      </c>
      <c r="U77" s="364">
        <f t="shared" ca="1" si="31"/>
        <v>0</v>
      </c>
      <c r="V77" s="359">
        <f t="shared" ca="1" si="32"/>
        <v>1.2215946426720186</v>
      </c>
      <c r="W77" s="357">
        <f t="shared" ca="1" si="33"/>
        <v>7.0290973099484706</v>
      </c>
      <c r="X77" s="343"/>
      <c r="Y77" s="367" t="str">
        <f t="shared" ca="1" si="51"/>
        <v/>
      </c>
      <c r="Z77" s="368" t="str">
        <f t="shared" ca="1" si="52"/>
        <v/>
      </c>
      <c r="AA77" s="369" t="str">
        <f t="shared" ca="1" si="53"/>
        <v/>
      </c>
      <c r="AB77" s="344"/>
      <c r="AC77" s="363" t="e">
        <f t="shared" ca="1" si="54"/>
        <v>#N/A</v>
      </c>
      <c r="AD77" s="376" t="e">
        <f t="shared" ca="1" si="55"/>
        <v>#N/A</v>
      </c>
      <c r="AE77" s="377">
        <f t="shared" ca="1" si="34"/>
        <v>27.837527873127794</v>
      </c>
      <c r="AF77" s="344"/>
      <c r="AG77" s="359">
        <f t="shared" ca="1" si="56"/>
        <v>57.316499760090892</v>
      </c>
      <c r="AH77" s="357">
        <f t="shared" ca="1" si="57"/>
        <v>66.942556679912244</v>
      </c>
    </row>
    <row r="78" spans="1:34" x14ac:dyDescent="0.2">
      <c r="A78" s="402">
        <f t="shared" ca="1" si="35"/>
        <v>0.01</v>
      </c>
      <c r="B78" s="357">
        <f t="shared" ca="1" si="36"/>
        <v>0.74000000000000044</v>
      </c>
      <c r="C78" s="342"/>
      <c r="D78" s="359">
        <f t="shared" ca="1" si="37"/>
        <v>12.090861406283917</v>
      </c>
      <c r="E78" s="360">
        <f t="shared" ca="1" si="38"/>
        <v>51.659989404650531</v>
      </c>
      <c r="F78" s="357">
        <f t="shared" ca="1" si="39"/>
        <v>53.056040512222275</v>
      </c>
      <c r="G78" s="359">
        <f t="shared" ca="1" si="40"/>
        <v>14.154770340133805</v>
      </c>
      <c r="H78" s="360">
        <f t="shared" ca="1" si="41"/>
        <v>71.864810961916888</v>
      </c>
      <c r="I78" s="357">
        <f t="shared" ca="1" si="42"/>
        <v>73.24553623241475</v>
      </c>
      <c r="J78" s="359">
        <f t="shared" ca="1" si="43"/>
        <v>5.3866215772210824</v>
      </c>
      <c r="K78" s="360">
        <f t="shared" ca="1" si="44"/>
        <v>28.553592983276729</v>
      </c>
      <c r="L78" s="357">
        <f t="shared" ca="1" si="29"/>
        <v>29.057242888319838</v>
      </c>
      <c r="M78" s="359">
        <f t="shared" ca="1" si="45"/>
        <v>1.3763218325714099</v>
      </c>
      <c r="N78" s="357">
        <f t="shared" ca="1" si="46"/>
        <v>78.85743225805291</v>
      </c>
      <c r="O78" s="343"/>
      <c r="P78" s="363">
        <f t="shared" ca="1" si="47"/>
        <v>6</v>
      </c>
      <c r="Q78" s="357">
        <f t="shared" ca="1" si="48"/>
        <v>105.33333333333307</v>
      </c>
      <c r="R78" s="359">
        <f t="shared" ca="1" si="49"/>
        <v>5.5905644481886965E-2</v>
      </c>
      <c r="S78" s="360">
        <f t="shared" ca="1" si="50"/>
        <v>1.569156697556864</v>
      </c>
      <c r="T78" s="357">
        <f t="shared" ca="1" si="30"/>
        <v>15.393427203032838</v>
      </c>
      <c r="U78" s="364">
        <f t="shared" ca="1" si="31"/>
        <v>0</v>
      </c>
      <c r="V78" s="359">
        <f t="shared" ca="1" si="32"/>
        <v>1.2215071714997165</v>
      </c>
      <c r="W78" s="357">
        <f t="shared" ca="1" si="33"/>
        <v>7.1314698020669276</v>
      </c>
      <c r="X78" s="343"/>
      <c r="Y78" s="367" t="str">
        <f t="shared" ca="1" si="51"/>
        <v/>
      </c>
      <c r="Z78" s="368" t="str">
        <f t="shared" ca="1" si="52"/>
        <v/>
      </c>
      <c r="AA78" s="369" t="str">
        <f t="shared" ca="1" si="53"/>
        <v/>
      </c>
      <c r="AB78" s="344"/>
      <c r="AC78" s="363" t="e">
        <f t="shared" ca="1" si="54"/>
        <v>#N/A</v>
      </c>
      <c r="AD78" s="376" t="e">
        <f t="shared" ca="1" si="55"/>
        <v>#N/A</v>
      </c>
      <c r="AE78" s="377">
        <f t="shared" ca="1" si="34"/>
        <v>28.553592983276729</v>
      </c>
      <c r="AF78" s="344"/>
      <c r="AG78" s="359">
        <f t="shared" ca="1" si="56"/>
        <v>53.022248491757999</v>
      </c>
      <c r="AH78" s="357">
        <f t="shared" ca="1" si="57"/>
        <v>62.647813425161253</v>
      </c>
    </row>
    <row r="79" spans="1:34" x14ac:dyDescent="0.2">
      <c r="A79" s="402">
        <f t="shared" ca="1" si="35"/>
        <v>0.01</v>
      </c>
      <c r="B79" s="357">
        <f t="shared" ca="1" si="36"/>
        <v>0.75000000000000044</v>
      </c>
      <c r="C79" s="342"/>
      <c r="D79" s="359">
        <f t="shared" ca="1" si="37"/>
        <v>11.276866275732601</v>
      </c>
      <c r="E79" s="360">
        <f t="shared" ca="1" si="38"/>
        <v>47.443480181910047</v>
      </c>
      <c r="F79" s="357">
        <f t="shared" ca="1" si="39"/>
        <v>48.765269657534411</v>
      </c>
      <c r="G79" s="359">
        <f t="shared" ca="1" si="40"/>
        <v>14.26753900289113</v>
      </c>
      <c r="H79" s="360">
        <f t="shared" ca="1" si="41"/>
        <v>72.339245763735988</v>
      </c>
      <c r="I79" s="357">
        <f t="shared" ca="1" si="42"/>
        <v>73.73282272411123</v>
      </c>
      <c r="J79" s="359">
        <f t="shared" ca="1" si="43"/>
        <v>5.528733123936207</v>
      </c>
      <c r="K79" s="360">
        <f t="shared" ca="1" si="44"/>
        <v>29.274613266904993</v>
      </c>
      <c r="L79" s="357">
        <f t="shared" ca="1" si="29"/>
        <v>29.792110900078214</v>
      </c>
      <c r="M79" s="359">
        <f t="shared" ca="1" si="45"/>
        <v>1.3760647161491435</v>
      </c>
      <c r="N79" s="357">
        <f t="shared" ca="1" si="46"/>
        <v>78.842700572213545</v>
      </c>
      <c r="O79" s="343"/>
      <c r="P79" s="363">
        <f t="shared" ca="1" si="47"/>
        <v>6</v>
      </c>
      <c r="Q79" s="357">
        <f t="shared" ca="1" si="48"/>
        <v>98.666666666666401</v>
      </c>
      <c r="R79" s="359">
        <f t="shared" ca="1" si="49"/>
        <v>5.2367312552653603E-2</v>
      </c>
      <c r="S79" s="360">
        <f t="shared" ca="1" si="50"/>
        <v>1.5686330244313376</v>
      </c>
      <c r="T79" s="357">
        <f t="shared" ca="1" si="30"/>
        <v>15.388289969671423</v>
      </c>
      <c r="U79" s="364">
        <f t="shared" ca="1" si="31"/>
        <v>0</v>
      </c>
      <c r="V79" s="359">
        <f t="shared" ca="1" si="32"/>
        <v>1.2214191013459663</v>
      </c>
      <c r="W79" s="357">
        <f t="shared" ca="1" si="33"/>
        <v>7.2261526068514765</v>
      </c>
      <c r="X79" s="343"/>
      <c r="Y79" s="367" t="str">
        <f t="shared" ca="1" si="51"/>
        <v/>
      </c>
      <c r="Z79" s="368" t="str">
        <f t="shared" ca="1" si="52"/>
        <v/>
      </c>
      <c r="AA79" s="369" t="str">
        <f t="shared" ca="1" si="53"/>
        <v/>
      </c>
      <c r="AB79" s="344"/>
      <c r="AC79" s="363" t="e">
        <f t="shared" ca="1" si="54"/>
        <v>#N/A</v>
      </c>
      <c r="AD79" s="376" t="e">
        <f t="shared" ca="1" si="55"/>
        <v>#N/A</v>
      </c>
      <c r="AE79" s="377">
        <f t="shared" ca="1" si="34"/>
        <v>29.274613266904993</v>
      </c>
      <c r="AF79" s="344"/>
      <c r="AG79" s="359">
        <f t="shared" ca="1" si="56"/>
        <v>48.728405450027843</v>
      </c>
      <c r="AH79" s="357">
        <f t="shared" ca="1" si="57"/>
        <v>58.353480666890142</v>
      </c>
    </row>
    <row r="80" spans="1:34" x14ac:dyDescent="0.2">
      <c r="A80" s="402">
        <f t="shared" ca="1" si="35"/>
        <v>0.01</v>
      </c>
      <c r="B80" s="357">
        <f t="shared" ca="1" si="36"/>
        <v>0.76000000000000045</v>
      </c>
      <c r="C80" s="342"/>
      <c r="D80" s="359">
        <f t="shared" ca="1" si="37"/>
        <v>10.460777327537267</v>
      </c>
      <c r="E80" s="360">
        <f t="shared" ca="1" si="38"/>
        <v>43.228210852137543</v>
      </c>
      <c r="F80" s="357">
        <f t="shared" ca="1" si="39"/>
        <v>44.475904440193005</v>
      </c>
      <c r="G80" s="359">
        <f t="shared" ca="1" si="40"/>
        <v>14.372146776166502</v>
      </c>
      <c r="H80" s="360">
        <f t="shared" ca="1" si="41"/>
        <v>72.771527872257366</v>
      </c>
      <c r="I80" s="357">
        <f t="shared" ca="1" si="42"/>
        <v>74.177178915205474</v>
      </c>
      <c r="J80" s="359">
        <f t="shared" ca="1" si="43"/>
        <v>5.6719315528314951</v>
      </c>
      <c r="K80" s="360">
        <f t="shared" ca="1" si="44"/>
        <v>30.000167135084961</v>
      </c>
      <c r="L80" s="357">
        <f t="shared" ca="1" si="29"/>
        <v>30.531636636004912</v>
      </c>
      <c r="M80" s="359">
        <f t="shared" ca="1" si="45"/>
        <v>1.3758088063547769</v>
      </c>
      <c r="N80" s="357">
        <f t="shared" ca="1" si="46"/>
        <v>78.828038021060266</v>
      </c>
      <c r="O80" s="343"/>
      <c r="P80" s="363">
        <f t="shared" ca="1" si="47"/>
        <v>6</v>
      </c>
      <c r="Q80" s="357">
        <f t="shared" ca="1" si="48"/>
        <v>91.99999999999973</v>
      </c>
      <c r="R80" s="359">
        <f t="shared" ca="1" si="49"/>
        <v>4.882898062342024E-2</v>
      </c>
      <c r="S80" s="360">
        <f t="shared" ca="1" si="50"/>
        <v>1.5681447346251034</v>
      </c>
      <c r="T80" s="357">
        <f t="shared" ca="1" si="30"/>
        <v>15.383499846672265</v>
      </c>
      <c r="U80" s="364">
        <f t="shared" ca="1" si="31"/>
        <v>0</v>
      </c>
      <c r="V80" s="359">
        <f t="shared" ca="1" si="32"/>
        <v>1.2213304838308714</v>
      </c>
      <c r="W80" s="357">
        <f t="shared" ca="1" si="33"/>
        <v>7.3129823040326105</v>
      </c>
      <c r="X80" s="343"/>
      <c r="Y80" s="367" t="str">
        <f t="shared" ca="1" si="51"/>
        <v/>
      </c>
      <c r="Z80" s="368" t="str">
        <f t="shared" ca="1" si="52"/>
        <v/>
      </c>
      <c r="AA80" s="369" t="str">
        <f t="shared" ca="1" si="53"/>
        <v/>
      </c>
      <c r="AB80" s="344"/>
      <c r="AC80" s="363" t="e">
        <f t="shared" ca="1" si="54"/>
        <v>#N/A</v>
      </c>
      <c r="AD80" s="376" t="e">
        <f t="shared" ca="1" si="55"/>
        <v>#N/A</v>
      </c>
      <c r="AE80" s="377">
        <f t="shared" ca="1" si="34"/>
        <v>30.000167135084961</v>
      </c>
      <c r="AF80" s="344"/>
      <c r="AG80" s="359">
        <f t="shared" ca="1" si="56"/>
        <v>44.435376216909468</v>
      </c>
      <c r="AH80" s="357">
        <f t="shared" ca="1" si="57"/>
        <v>54.059963676385493</v>
      </c>
    </row>
    <row r="81" spans="1:34" x14ac:dyDescent="0.2">
      <c r="A81" s="402">
        <f t="shared" ca="1" si="35"/>
        <v>0.01</v>
      </c>
      <c r="B81" s="357">
        <f t="shared" ca="1" si="36"/>
        <v>0.77000000000000046</v>
      </c>
      <c r="C81" s="342"/>
      <c r="D81" s="359">
        <f t="shared" ca="1" si="37"/>
        <v>9.6426973697707385</v>
      </c>
      <c r="E81" s="360">
        <f t="shared" ca="1" si="38"/>
        <v>39.014565413684331</v>
      </c>
      <c r="F81" s="357">
        <f t="shared" ca="1" si="39"/>
        <v>40.188529793756295</v>
      </c>
      <c r="G81" s="359">
        <f t="shared" ca="1" si="40"/>
        <v>14.468573749864209</v>
      </c>
      <c r="H81" s="360">
        <f t="shared" ca="1" si="41"/>
        <v>73.16167352639421</v>
      </c>
      <c r="I81" s="357">
        <f t="shared" ca="1" si="42"/>
        <v>74.578616905504163</v>
      </c>
      <c r="J81" s="359">
        <f t="shared" ca="1" si="43"/>
        <v>5.8161351554616489</v>
      </c>
      <c r="K81" s="360">
        <f t="shared" ca="1" si="44"/>
        <v>30.72983314207822</v>
      </c>
      <c r="L81" s="357">
        <f t="shared" ca="1" si="29"/>
        <v>31.275390854257378</v>
      </c>
      <c r="M81" s="359">
        <f t="shared" ca="1" si="45"/>
        <v>1.375553943807974</v>
      </c>
      <c r="N81" s="357">
        <f t="shared" ca="1" si="46"/>
        <v>78.813435472772511</v>
      </c>
      <c r="O81" s="343"/>
      <c r="P81" s="363">
        <f t="shared" ca="1" si="47"/>
        <v>6</v>
      </c>
      <c r="Q81" s="357">
        <f t="shared" ca="1" si="48"/>
        <v>85.333333333333059</v>
      </c>
      <c r="R81" s="359">
        <f t="shared" ca="1" si="49"/>
        <v>4.5290648694186877E-2</v>
      </c>
      <c r="S81" s="360">
        <f t="shared" ca="1" si="50"/>
        <v>1.5676918281381615</v>
      </c>
      <c r="T81" s="357">
        <f t="shared" ca="1" si="30"/>
        <v>15.379056834035365</v>
      </c>
      <c r="U81" s="364">
        <f t="shared" ca="1" si="31"/>
        <v>0</v>
      </c>
      <c r="V81" s="359">
        <f t="shared" ca="1" si="32"/>
        <v>1.2212413705428984</v>
      </c>
      <c r="W81" s="357">
        <f t="shared" ca="1" si="33"/>
        <v>7.3918110788633902</v>
      </c>
      <c r="X81" s="343"/>
      <c r="Y81" s="367" t="str">
        <f t="shared" ca="1" si="51"/>
        <v/>
      </c>
      <c r="Z81" s="368" t="str">
        <f t="shared" ca="1" si="52"/>
        <v/>
      </c>
      <c r="AA81" s="369" t="str">
        <f t="shared" ca="1" si="53"/>
        <v/>
      </c>
      <c r="AB81" s="344"/>
      <c r="AC81" s="363" t="e">
        <f t="shared" ca="1" si="54"/>
        <v>#N/A</v>
      </c>
      <c r="AD81" s="376" t="e">
        <f t="shared" ca="1" si="55"/>
        <v>#N/A</v>
      </c>
      <c r="AE81" s="377">
        <f t="shared" ca="1" si="34"/>
        <v>30.72983314207822</v>
      </c>
      <c r="AF81" s="344"/>
      <c r="AG81" s="359">
        <f t="shared" ca="1" si="56"/>
        <v>40.143556817473353</v>
      </c>
      <c r="AH81" s="357">
        <f t="shared" ca="1" si="57"/>
        <v>49.767658176773033</v>
      </c>
    </row>
    <row r="82" spans="1:34" x14ac:dyDescent="0.2">
      <c r="A82" s="402">
        <f t="shared" ca="1" si="35"/>
        <v>0.01</v>
      </c>
      <c r="B82" s="357">
        <f t="shared" ca="1" si="36"/>
        <v>0.78000000000000047</v>
      </c>
      <c r="C82" s="342"/>
      <c r="D82" s="359">
        <f t="shared" ca="1" si="37"/>
        <v>8.8227247412756142</v>
      </c>
      <c r="E82" s="360">
        <f t="shared" ca="1" si="38"/>
        <v>34.802918888463694</v>
      </c>
      <c r="F82" s="357">
        <f t="shared" ca="1" si="39"/>
        <v>35.903810870397862</v>
      </c>
      <c r="G82" s="359">
        <f t="shared" ca="1" si="40"/>
        <v>14.556800997276966</v>
      </c>
      <c r="H82" s="360">
        <f t="shared" ca="1" si="41"/>
        <v>73.509702715278848</v>
      </c>
      <c r="I82" s="357">
        <f t="shared" ca="1" si="42"/>
        <v>74.937152658497766</v>
      </c>
      <c r="J82" s="359">
        <f t="shared" ca="1" si="43"/>
        <v>5.9612620291973553</v>
      </c>
      <c r="K82" s="360">
        <f t="shared" ca="1" si="44"/>
        <v>31.463190023286586</v>
      </c>
      <c r="L82" s="357">
        <f t="shared" ca="1" si="29"/>
        <v>32.022944452723124</v>
      </c>
      <c r="M82" s="359">
        <f t="shared" ca="1" si="45"/>
        <v>1.3752999733383542</v>
      </c>
      <c r="N82" s="357">
        <f t="shared" ca="1" si="46"/>
        <v>78.798884036742336</v>
      </c>
      <c r="O82" s="343"/>
      <c r="P82" s="363">
        <f t="shared" ca="1" si="47"/>
        <v>6</v>
      </c>
      <c r="Q82" s="357">
        <f t="shared" ca="1" si="48"/>
        <v>78.666666666666373</v>
      </c>
      <c r="R82" s="359">
        <f t="shared" ca="1" si="49"/>
        <v>4.1752316764953501E-2</v>
      </c>
      <c r="S82" s="360">
        <f t="shared" ca="1" si="50"/>
        <v>1.567274304970512</v>
      </c>
      <c r="T82" s="357">
        <f t="shared" ca="1" si="30"/>
        <v>15.374960931760723</v>
      </c>
      <c r="U82" s="364">
        <f t="shared" ca="1" si="31"/>
        <v>0</v>
      </c>
      <c r="V82" s="359">
        <f t="shared" ca="1" si="32"/>
        <v>1.2211518130340355</v>
      </c>
      <c r="W82" s="357">
        <f t="shared" ca="1" si="33"/>
        <v>7.4625067041047162</v>
      </c>
      <c r="X82" s="343"/>
      <c r="Y82" s="367" t="str">
        <f t="shared" ca="1" si="51"/>
        <v/>
      </c>
      <c r="Z82" s="368" t="str">
        <f t="shared" ca="1" si="52"/>
        <v/>
      </c>
      <c r="AA82" s="369" t="str">
        <f t="shared" ca="1" si="53"/>
        <v/>
      </c>
      <c r="AB82" s="344"/>
      <c r="AC82" s="363" t="e">
        <f t="shared" ca="1" si="54"/>
        <v>#N/A</v>
      </c>
      <c r="AD82" s="376" t="e">
        <f t="shared" ca="1" si="55"/>
        <v>#N/A</v>
      </c>
      <c r="AE82" s="377">
        <f t="shared" ca="1" si="34"/>
        <v>31.463190023286586</v>
      </c>
      <c r="AF82" s="344"/>
      <c r="AG82" s="359">
        <f t="shared" ca="1" si="56"/>
        <v>35.853333623299129</v>
      </c>
      <c r="AH82" s="357">
        <f t="shared" ca="1" si="57"/>
        <v>45.476950245250151</v>
      </c>
    </row>
    <row r="83" spans="1:34" x14ac:dyDescent="0.2">
      <c r="A83" s="402">
        <f t="shared" ca="1" si="35"/>
        <v>0.01</v>
      </c>
      <c r="B83" s="357">
        <f t="shared" ca="1" si="36"/>
        <v>0.79000000000000048</v>
      </c>
      <c r="C83" s="342"/>
      <c r="D83" s="359">
        <f t="shared" ca="1" si="37"/>
        <v>8.0009534086523093</v>
      </c>
      <c r="E83" s="360">
        <f t="shared" ca="1" si="38"/>
        <v>30.593637215267869</v>
      </c>
      <c r="F83" s="357">
        <f t="shared" ca="1" si="39"/>
        <v>31.62255355765641</v>
      </c>
      <c r="G83" s="359">
        <f t="shared" ca="1" si="40"/>
        <v>14.636810531363489</v>
      </c>
      <c r="H83" s="360">
        <f t="shared" ca="1" si="41"/>
        <v>73.815639087431521</v>
      </c>
      <c r="I83" s="357">
        <f t="shared" ca="1" si="42"/>
        <v>75.252805903946069</v>
      </c>
      <c r="J83" s="359">
        <f t="shared" ca="1" si="43"/>
        <v>6.1072300868405573</v>
      </c>
      <c r="K83" s="360">
        <f t="shared" ca="1" si="44"/>
        <v>32.199816732300135</v>
      </c>
      <c r="L83" s="357">
        <f t="shared" ca="1" si="29"/>
        <v>32.773868507201378</v>
      </c>
      <c r="M83" s="359">
        <f t="shared" ca="1" si="45"/>
        <v>1.3750467433869511</v>
      </c>
      <c r="N83" s="357">
        <f t="shared" ca="1" si="46"/>
        <v>78.784375029280639</v>
      </c>
      <c r="O83" s="343"/>
      <c r="P83" s="363">
        <f t="shared" ca="1" si="47"/>
        <v>6</v>
      </c>
      <c r="Q83" s="357">
        <f t="shared" ca="1" si="48"/>
        <v>71.999999999999702</v>
      </c>
      <c r="R83" s="359">
        <f t="shared" ca="1" si="49"/>
        <v>3.8213984835720138E-2</v>
      </c>
      <c r="S83" s="360">
        <f t="shared" ca="1" si="50"/>
        <v>1.5668921651221548</v>
      </c>
      <c r="T83" s="357">
        <f t="shared" ca="1" si="30"/>
        <v>15.371212139848339</v>
      </c>
      <c r="U83" s="364">
        <f t="shared" ca="1" si="31"/>
        <v>0</v>
      </c>
      <c r="V83" s="359">
        <f t="shared" ca="1" si="32"/>
        <v>1.2210618628150745</v>
      </c>
      <c r="W83" s="357">
        <f t="shared" ca="1" si="33"/>
        <v>7.524952514370014</v>
      </c>
      <c r="X83" s="343"/>
      <c r="Y83" s="367" t="str">
        <f t="shared" ca="1" si="51"/>
        <v/>
      </c>
      <c r="Z83" s="368" t="str">
        <f t="shared" ca="1" si="52"/>
        <v/>
      </c>
      <c r="AA83" s="369" t="str">
        <f t="shared" ca="1" si="53"/>
        <v/>
      </c>
      <c r="AB83" s="344"/>
      <c r="AC83" s="363" t="e">
        <f t="shared" ca="1" si="54"/>
        <v>#N/A</v>
      </c>
      <c r="AD83" s="376" t="e">
        <f t="shared" ca="1" si="55"/>
        <v>#N/A</v>
      </c>
      <c r="AE83" s="377">
        <f t="shared" ca="1" si="34"/>
        <v>32.199816732300135</v>
      </c>
      <c r="AF83" s="344"/>
      <c r="AG83" s="359">
        <f t="shared" ca="1" si="56"/>
        <v>31.565083263988097</v>
      </c>
      <c r="AH83" s="357">
        <f t="shared" ca="1" si="57"/>
        <v>41.188216223458909</v>
      </c>
    </row>
    <row r="84" spans="1:34" x14ac:dyDescent="0.2">
      <c r="A84" s="402">
        <f t="shared" ca="1" si="35"/>
        <v>0.01</v>
      </c>
      <c r="B84" s="357">
        <f t="shared" ca="1" si="36"/>
        <v>0.80000000000000049</v>
      </c>
      <c r="C84" s="342"/>
      <c r="D84" s="359">
        <f t="shared" ca="1" si="37"/>
        <v>7.1774730482855515</v>
      </c>
      <c r="E84" s="360">
        <f t="shared" ca="1" si="38"/>
        <v>26.387077153984237</v>
      </c>
      <c r="F84" s="357">
        <f t="shared" ca="1" si="39"/>
        <v>27.345821620298452</v>
      </c>
      <c r="G84" s="359">
        <f t="shared" ca="1" si="40"/>
        <v>14.708585261846345</v>
      </c>
      <c r="H84" s="360">
        <f t="shared" ca="1" si="41"/>
        <v>74.079509858971363</v>
      </c>
      <c r="I84" s="357">
        <f t="shared" ca="1" si="42"/>
        <v>75.525600039658343</v>
      </c>
      <c r="J84" s="359">
        <f t="shared" ca="1" si="43"/>
        <v>6.2539570658066062</v>
      </c>
      <c r="K84" s="360">
        <f t="shared" ca="1" si="44"/>
        <v>32.939292477032147</v>
      </c>
      <c r="L84" s="357">
        <f t="shared" ca="1" si="29"/>
        <v>33.527734308605154</v>
      </c>
      <c r="M84" s="359">
        <f t="shared" ca="1" si="45"/>
        <v>1.3747941054414736</v>
      </c>
      <c r="N84" s="357">
        <f t="shared" ca="1" si="46"/>
        <v>78.769899941259922</v>
      </c>
      <c r="O84" s="343"/>
      <c r="P84" s="363">
        <f t="shared" ca="1" si="47"/>
        <v>6</v>
      </c>
      <c r="Q84" s="357">
        <f t="shared" ca="1" si="48"/>
        <v>65.33333333333303</v>
      </c>
      <c r="R84" s="359">
        <f t="shared" ca="1" si="49"/>
        <v>3.4675652906486776E-2</v>
      </c>
      <c r="S84" s="360">
        <f t="shared" ca="1" si="50"/>
        <v>1.5665454085930899</v>
      </c>
      <c r="T84" s="357">
        <f t="shared" ca="1" si="30"/>
        <v>15.367810458298212</v>
      </c>
      <c r="U84" s="364">
        <f t="shared" ca="1" si="31"/>
        <v>0</v>
      </c>
      <c r="V84" s="359">
        <f t="shared" ca="1" si="32"/>
        <v>1.2209715713510381</v>
      </c>
      <c r="W84" s="357">
        <f t="shared" ca="1" si="33"/>
        <v>7.5790473731054844</v>
      </c>
      <c r="X84" s="343"/>
      <c r="Y84" s="367" t="str">
        <f t="shared" ca="1" si="51"/>
        <v/>
      </c>
      <c r="Z84" s="368" t="str">
        <f t="shared" ca="1" si="52"/>
        <v/>
      </c>
      <c r="AA84" s="369" t="str">
        <f t="shared" ca="1" si="53"/>
        <v/>
      </c>
      <c r="AB84" s="344"/>
      <c r="AC84" s="363" t="e">
        <f t="shared" ca="1" si="54"/>
        <v>#N/A</v>
      </c>
      <c r="AD84" s="376" t="e">
        <f t="shared" ca="1" si="55"/>
        <v>#N/A</v>
      </c>
      <c r="AE84" s="377">
        <f t="shared" ca="1" si="34"/>
        <v>32.939292477032147</v>
      </c>
      <c r="AF84" s="344"/>
      <c r="AG84" s="359">
        <f t="shared" ca="1" si="56"/>
        <v>27.279172546638399</v>
      </c>
      <c r="AH84" s="357">
        <f t="shared" ca="1" si="57"/>
        <v>36.901822635885523</v>
      </c>
    </row>
    <row r="85" spans="1:34" x14ac:dyDescent="0.2">
      <c r="A85" s="402">
        <f t="shared" ca="1" si="35"/>
        <v>0.01</v>
      </c>
      <c r="B85" s="357">
        <f t="shared" ca="1" si="36"/>
        <v>0.8100000000000005</v>
      </c>
      <c r="C85" s="342"/>
      <c r="D85" s="359">
        <f t="shared" ca="1" si="37"/>
        <v>6.5492800906286321</v>
      </c>
      <c r="E85" s="360">
        <f t="shared" ca="1" si="38"/>
        <v>23.175324584642368</v>
      </c>
      <c r="F85" s="357">
        <f t="shared" ca="1" si="39"/>
        <v>24.082955369078636</v>
      </c>
      <c r="G85" s="359">
        <f t="shared" ca="1" si="40"/>
        <v>14.774078062752631</v>
      </c>
      <c r="H85" s="360">
        <f t="shared" ca="1" si="41"/>
        <v>74.311263104817783</v>
      </c>
      <c r="I85" s="357">
        <f t="shared" ca="1" si="42"/>
        <v>75.765673011184703</v>
      </c>
      <c r="J85" s="359">
        <f t="shared" ca="1" si="43"/>
        <v>6.4013703824296009</v>
      </c>
      <c r="K85" s="360">
        <f t="shared" ca="1" si="44"/>
        <v>33.681246341851093</v>
      </c>
      <c r="L85" s="357">
        <f t="shared" ca="1" si="29"/>
        <v>34.284163952377554</v>
      </c>
      <c r="M85" s="359">
        <f t="shared" ca="1" si="45"/>
        <v>1.37454194715499</v>
      </c>
      <c r="N85" s="357">
        <f t="shared" ca="1" si="46"/>
        <v>78.755452335675159</v>
      </c>
      <c r="O85" s="343"/>
      <c r="P85" s="363">
        <f t="shared" ca="1" si="47"/>
        <v>7</v>
      </c>
      <c r="Q85" s="357">
        <f t="shared" ca="1" si="48"/>
        <v>60.249999999999837</v>
      </c>
      <c r="R85" s="359">
        <f t="shared" ca="1" si="49"/>
        <v>3.1977674810446416E-2</v>
      </c>
      <c r="S85" s="360">
        <f t="shared" ca="1" si="50"/>
        <v>1.5662256318449854</v>
      </c>
      <c r="T85" s="357">
        <f t="shared" ca="1" si="30"/>
        <v>15.364673448399309</v>
      </c>
      <c r="U85" s="364">
        <f t="shared" ca="1" si="31"/>
        <v>0</v>
      </c>
      <c r="V85" s="359">
        <f t="shared" ca="1" si="32"/>
        <v>1.2208809840027479</v>
      </c>
      <c r="W85" s="357">
        <f t="shared" ca="1" si="33"/>
        <v>7.6267410460176039</v>
      </c>
      <c r="X85" s="343"/>
      <c r="Y85" s="367" t="str">
        <f t="shared" ca="1" si="51"/>
        <v/>
      </c>
      <c r="Z85" s="368" t="str">
        <f t="shared" ca="1" si="52"/>
        <v/>
      </c>
      <c r="AA85" s="369" t="str">
        <f t="shared" ca="1" si="53"/>
        <v/>
      </c>
      <c r="AB85" s="344"/>
      <c r="AC85" s="363" t="e">
        <f t="shared" ca="1" si="54"/>
        <v>#N/A</v>
      </c>
      <c r="AD85" s="376" t="e">
        <f t="shared" ca="1" si="55"/>
        <v>#N/A</v>
      </c>
      <c r="AE85" s="377">
        <f t="shared" ca="1" si="34"/>
        <v>33.681246341851093</v>
      </c>
      <c r="AF85" s="344"/>
      <c r="AG85" s="359">
        <f t="shared" ca="1" si="56"/>
        <v>24.007056279162558</v>
      </c>
      <c r="AH85" s="357">
        <f t="shared" ca="1" si="57"/>
        <v>33.629224012155213</v>
      </c>
    </row>
    <row r="86" spans="1:34" x14ac:dyDescent="0.2">
      <c r="A86" s="402">
        <f t="shared" ca="1" si="35"/>
        <v>0.01</v>
      </c>
      <c r="B86" s="357">
        <f t="shared" ca="1" si="36"/>
        <v>0.82000000000000051</v>
      </c>
      <c r="C86" s="342"/>
      <c r="D86" s="359">
        <f t="shared" ca="1" si="37"/>
        <v>6.1170816200757923</v>
      </c>
      <c r="E86" s="360">
        <f t="shared" ca="1" si="38"/>
        <v>20.957947737403799</v>
      </c>
      <c r="F86" s="357">
        <f t="shared" ca="1" si="39"/>
        <v>21.832413080335808</v>
      </c>
      <c r="G86" s="359">
        <f t="shared" ca="1" si="40"/>
        <v>14.835248878953388</v>
      </c>
      <c r="H86" s="360">
        <f t="shared" ca="1" si="41"/>
        <v>74.520842582191818</v>
      </c>
      <c r="I86" s="357">
        <f t="shared" ca="1" si="42"/>
        <v>75.983159900469403</v>
      </c>
      <c r="J86" s="359">
        <f t="shared" ca="1" si="43"/>
        <v>6.549417017138131</v>
      </c>
      <c r="K86" s="360">
        <f t="shared" ca="1" si="44"/>
        <v>34.425406870286139</v>
      </c>
      <c r="L86" s="357">
        <f t="shared" ca="1" si="29"/>
        <v>35.04288089539903</v>
      </c>
      <c r="M86" s="359">
        <f t="shared" ca="1" si="45"/>
        <v>1.3742901913081542</v>
      </c>
      <c r="N86" s="357">
        <f t="shared" ca="1" si="46"/>
        <v>78.741027788183729</v>
      </c>
      <c r="O86" s="343"/>
      <c r="P86" s="363">
        <f t="shared" ca="1" si="47"/>
        <v>7</v>
      </c>
      <c r="Q86" s="357">
        <f t="shared" ca="1" si="48"/>
        <v>56.749999999999829</v>
      </c>
      <c r="R86" s="359">
        <f t="shared" ca="1" si="49"/>
        <v>3.0120050547598896E-2</v>
      </c>
      <c r="S86" s="360">
        <f t="shared" ca="1" si="50"/>
        <v>1.5659244313395095</v>
      </c>
      <c r="T86" s="357">
        <f t="shared" ca="1" si="30"/>
        <v>15.36171867144059</v>
      </c>
      <c r="U86" s="364">
        <f t="shared" ca="1" si="31"/>
        <v>0</v>
      </c>
      <c r="V86" s="359">
        <f t="shared" ca="1" si="32"/>
        <v>1.2207901339759273</v>
      </c>
      <c r="W86" s="357">
        <f t="shared" ca="1" si="33"/>
        <v>7.6700185214425352</v>
      </c>
      <c r="X86" s="343"/>
      <c r="Y86" s="367" t="str">
        <f t="shared" ca="1" si="51"/>
        <v/>
      </c>
      <c r="Z86" s="368" t="str">
        <f t="shared" ca="1" si="52"/>
        <v/>
      </c>
      <c r="AA86" s="369" t="str">
        <f t="shared" ca="1" si="53"/>
        <v/>
      </c>
      <c r="AB86" s="344"/>
      <c r="AC86" s="363" t="e">
        <f t="shared" ca="1" si="54"/>
        <v>#N/A</v>
      </c>
      <c r="AD86" s="376" t="e">
        <f t="shared" ca="1" si="55"/>
        <v>#N/A</v>
      </c>
      <c r="AE86" s="377">
        <f t="shared" ca="1" si="34"/>
        <v>34.425406870286139</v>
      </c>
      <c r="AF86" s="344"/>
      <c r="AG86" s="359">
        <f t="shared" ca="1" si="56"/>
        <v>21.748448134014644</v>
      </c>
      <c r="AH86" s="357">
        <f t="shared" ca="1" si="57"/>
        <v>31.370133814159619</v>
      </c>
    </row>
    <row r="87" spans="1:34" x14ac:dyDescent="0.2">
      <c r="A87" s="402">
        <f t="shared" ca="1" si="35"/>
        <v>0.01</v>
      </c>
      <c r="B87" s="357">
        <f t="shared" ca="1" si="36"/>
        <v>0.83000000000000052</v>
      </c>
      <c r="C87" s="342"/>
      <c r="D87" s="359">
        <f t="shared" ca="1" si="37"/>
        <v>5.6840674213740394</v>
      </c>
      <c r="E87" s="360">
        <f t="shared" ca="1" si="38"/>
        <v>18.742368550804066</v>
      </c>
      <c r="F87" s="357">
        <f t="shared" ca="1" si="39"/>
        <v>19.585326174074687</v>
      </c>
      <c r="G87" s="359">
        <f t="shared" ca="1" si="40"/>
        <v>14.892089553167128</v>
      </c>
      <c r="H87" s="360">
        <f t="shared" ca="1" si="41"/>
        <v>74.708266267699855</v>
      </c>
      <c r="I87" s="357">
        <f t="shared" ca="1" si="42"/>
        <v>76.178076767434149</v>
      </c>
      <c r="J87" s="359">
        <f t="shared" ca="1" si="43"/>
        <v>6.6980537092987333</v>
      </c>
      <c r="K87" s="360">
        <f t="shared" ca="1" si="44"/>
        <v>35.171552414535597</v>
      </c>
      <c r="L87" s="357">
        <f t="shared" ca="1" si="29"/>
        <v>35.803659348467093</v>
      </c>
      <c r="M87" s="359">
        <f t="shared" ca="1" si="45"/>
        <v>1.3740387616563658</v>
      </c>
      <c r="N87" s="357">
        <f t="shared" ca="1" si="46"/>
        <v>78.726621930291813</v>
      </c>
      <c r="O87" s="343"/>
      <c r="P87" s="363">
        <f t="shared" ca="1" si="47"/>
        <v>7</v>
      </c>
      <c r="Q87" s="357">
        <f t="shared" ca="1" si="48"/>
        <v>53.249999999999822</v>
      </c>
      <c r="R87" s="359">
        <f t="shared" ca="1" si="49"/>
        <v>2.8262426284751375E-2</v>
      </c>
      <c r="S87" s="360">
        <f t="shared" ca="1" si="50"/>
        <v>1.565641807076662</v>
      </c>
      <c r="T87" s="357">
        <f t="shared" ca="1" si="30"/>
        <v>15.358946127422055</v>
      </c>
      <c r="U87" s="364">
        <f t="shared" ca="1" si="31"/>
        <v>0</v>
      </c>
      <c r="V87" s="359">
        <f t="shared" ca="1" si="32"/>
        <v>1.2206990483864748</v>
      </c>
      <c r="W87" s="357">
        <f t="shared" ca="1" si="33"/>
        <v>7.7088450246142042</v>
      </c>
      <c r="X87" s="343"/>
      <c r="Y87" s="367" t="str">
        <f t="shared" ca="1" si="51"/>
        <v/>
      </c>
      <c r="Z87" s="368" t="str">
        <f t="shared" ca="1" si="52"/>
        <v/>
      </c>
      <c r="AA87" s="369" t="str">
        <f t="shared" ca="1" si="53"/>
        <v/>
      </c>
      <c r="AB87" s="344"/>
      <c r="AC87" s="363" t="e">
        <f t="shared" ca="1" si="54"/>
        <v>#N/A</v>
      </c>
      <c r="AD87" s="376" t="e">
        <f t="shared" ca="1" si="55"/>
        <v>#N/A</v>
      </c>
      <c r="AE87" s="377">
        <f t="shared" ca="1" si="34"/>
        <v>35.171552414535597</v>
      </c>
      <c r="AF87" s="344"/>
      <c r="AG87" s="359">
        <f t="shared" ca="1" si="56"/>
        <v>19.49144590949787</v>
      </c>
      <c r="AH87" s="357">
        <f t="shared" ca="1" si="57"/>
        <v>29.112649695822444</v>
      </c>
    </row>
    <row r="88" spans="1:34" x14ac:dyDescent="0.2">
      <c r="A88" s="402">
        <f t="shared" ca="1" si="35"/>
        <v>0.01</v>
      </c>
      <c r="B88" s="357">
        <f t="shared" ca="1" si="36"/>
        <v>0.84000000000000052</v>
      </c>
      <c r="C88" s="342"/>
      <c r="D88" s="359">
        <f t="shared" ca="1" si="37"/>
        <v>5.2502636746989015</v>
      </c>
      <c r="E88" s="360">
        <f t="shared" ca="1" si="38"/>
        <v>16.52868774322674</v>
      </c>
      <c r="F88" s="357">
        <f t="shared" ca="1" si="39"/>
        <v>17.34251386526638</v>
      </c>
      <c r="G88" s="359">
        <f t="shared" ca="1" si="40"/>
        <v>14.944592189914118</v>
      </c>
      <c r="H88" s="360">
        <f t="shared" ca="1" si="41"/>
        <v>74.873553145132121</v>
      </c>
      <c r="I88" s="357">
        <f t="shared" ca="1" si="42"/>
        <v>76.350440707960331</v>
      </c>
      <c r="J88" s="359">
        <f t="shared" ca="1" si="43"/>
        <v>6.8472371180141396</v>
      </c>
      <c r="K88" s="360">
        <f t="shared" ca="1" si="44"/>
        <v>35.919461511599756</v>
      </c>
      <c r="L88" s="357">
        <f t="shared" ca="1" si="29"/>
        <v>36.566273688107827</v>
      </c>
      <c r="M88" s="359">
        <f t="shared" ca="1" si="45"/>
        <v>1.3737875827883581</v>
      </c>
      <c r="N88" s="357">
        <f t="shared" ca="1" si="46"/>
        <v>78.712230441252089</v>
      </c>
      <c r="O88" s="343"/>
      <c r="P88" s="363">
        <f t="shared" ca="1" si="47"/>
        <v>7</v>
      </c>
      <c r="Q88" s="357">
        <f t="shared" ca="1" si="48"/>
        <v>49.749999999999808</v>
      </c>
      <c r="R88" s="359">
        <f t="shared" ca="1" si="49"/>
        <v>2.6404802021903855E-2</v>
      </c>
      <c r="S88" s="360">
        <f t="shared" ca="1" si="50"/>
        <v>1.5653777590564431</v>
      </c>
      <c r="T88" s="357">
        <f t="shared" ca="1" si="30"/>
        <v>15.356355816343708</v>
      </c>
      <c r="U88" s="364">
        <f t="shared" ca="1" si="31"/>
        <v>0</v>
      </c>
      <c r="V88" s="359">
        <f t="shared" ca="1" si="32"/>
        <v>1.2206077543198122</v>
      </c>
      <c r="W88" s="357">
        <f t="shared" ca="1" si="33"/>
        <v>7.7431901053026619</v>
      </c>
      <c r="X88" s="343"/>
      <c r="Y88" s="367" t="str">
        <f t="shared" ca="1" si="51"/>
        <v/>
      </c>
      <c r="Z88" s="368" t="str">
        <f t="shared" ca="1" si="52"/>
        <v/>
      </c>
      <c r="AA88" s="369" t="str">
        <f t="shared" ca="1" si="53"/>
        <v/>
      </c>
      <c r="AB88" s="344"/>
      <c r="AC88" s="363" t="e">
        <f t="shared" ca="1" si="54"/>
        <v>#N/A</v>
      </c>
      <c r="AD88" s="376" t="e">
        <f t="shared" ca="1" si="55"/>
        <v>#N/A</v>
      </c>
      <c r="AE88" s="377">
        <f t="shared" ca="1" si="34"/>
        <v>35.919461511599756</v>
      </c>
      <c r="AF88" s="344"/>
      <c r="AG88" s="359">
        <f t="shared" ca="1" si="56"/>
        <v>17.236153202010435</v>
      </c>
      <c r="AH88" s="357">
        <f t="shared" ca="1" si="57"/>
        <v>26.856875110277915</v>
      </c>
    </row>
    <row r="89" spans="1:34" x14ac:dyDescent="0.2">
      <c r="A89" s="402">
        <f t="shared" ca="1" si="35"/>
        <v>0.01</v>
      </c>
      <c r="B89" s="357">
        <f t="shared" ca="1" si="36"/>
        <v>0.85000000000000053</v>
      </c>
      <c r="C89" s="342"/>
      <c r="D89" s="359">
        <f t="shared" ca="1" si="37"/>
        <v>4.8156954126165559</v>
      </c>
      <c r="E89" s="360">
        <f t="shared" ca="1" si="38"/>
        <v>14.317003388600783</v>
      </c>
      <c r="F89" s="357">
        <f t="shared" ca="1" si="39"/>
        <v>15.10521460742291</v>
      </c>
      <c r="G89" s="359">
        <f t="shared" ca="1" si="40"/>
        <v>14.992749144040284</v>
      </c>
      <c r="H89" s="360">
        <f t="shared" ca="1" si="41"/>
        <v>75.016723179018129</v>
      </c>
      <c r="I89" s="357">
        <f t="shared" ca="1" si="42"/>
        <v>76.500269825756547</v>
      </c>
      <c r="J89" s="359">
        <f t="shared" ca="1" si="43"/>
        <v>6.9969238246839112</v>
      </c>
      <c r="K89" s="360">
        <f t="shared" ca="1" si="44"/>
        <v>36.668912893220508</v>
      </c>
      <c r="L89" s="357">
        <f t="shared" ca="1" si="29"/>
        <v>37.330498466790161</v>
      </c>
      <c r="M89" s="359">
        <f t="shared" ca="1" si="45"/>
        <v>1.3735365799889199</v>
      </c>
      <c r="N89" s="357">
        <f t="shared" ca="1" si="46"/>
        <v>78.697849040198321</v>
      </c>
      <c r="O89" s="343"/>
      <c r="P89" s="363">
        <f t="shared" ca="1" si="47"/>
        <v>8</v>
      </c>
      <c r="Q89" s="357">
        <f t="shared" ca="1" si="48"/>
        <v>46.249999999999808</v>
      </c>
      <c r="R89" s="359">
        <f t="shared" ca="1" si="49"/>
        <v>2.4547177759056342E-2</v>
      </c>
      <c r="S89" s="360">
        <f t="shared" ca="1" si="50"/>
        <v>1.5651322872788525</v>
      </c>
      <c r="T89" s="357">
        <f t="shared" ca="1" si="30"/>
        <v>15.353947738205543</v>
      </c>
      <c r="U89" s="364">
        <f t="shared" ca="1" si="31"/>
        <v>0</v>
      </c>
      <c r="V89" s="359">
        <f t="shared" ca="1" si="32"/>
        <v>1.2205162788296322</v>
      </c>
      <c r="W89" s="357">
        <f t="shared" ca="1" si="33"/>
        <v>7.7730276219827621</v>
      </c>
      <c r="X89" s="343"/>
      <c r="Y89" s="367" t="str">
        <f t="shared" ca="1" si="51"/>
        <v/>
      </c>
      <c r="Z89" s="368" t="str">
        <f t="shared" ca="1" si="52"/>
        <v/>
      </c>
      <c r="AA89" s="369" t="str">
        <f t="shared" ca="1" si="53"/>
        <v/>
      </c>
      <c r="AB89" s="344"/>
      <c r="AC89" s="363" t="e">
        <f t="shared" ca="1" si="54"/>
        <v>#N/A</v>
      </c>
      <c r="AD89" s="376" t="e">
        <f t="shared" ca="1" si="55"/>
        <v>#N/A</v>
      </c>
      <c r="AE89" s="377">
        <f t="shared" ca="1" si="34"/>
        <v>36.668912893220508</v>
      </c>
      <c r="AF89" s="344"/>
      <c r="AG89" s="359">
        <f t="shared" ca="1" si="56"/>
        <v>14.982670794571654</v>
      </c>
      <c r="AH89" s="357">
        <f t="shared" ca="1" si="57"/>
        <v>24.602910698139961</v>
      </c>
    </row>
    <row r="90" spans="1:34" x14ac:dyDescent="0.2">
      <c r="A90" s="402">
        <f t="shared" ca="1" si="35"/>
        <v>0.01</v>
      </c>
      <c r="B90" s="357">
        <f t="shared" ca="1" si="36"/>
        <v>0.86000000000000054</v>
      </c>
      <c r="C90" s="342"/>
      <c r="D90" s="359">
        <f t="shared" ca="1" si="37"/>
        <v>4.3803865291947055</v>
      </c>
      <c r="E90" s="360">
        <f t="shared" ca="1" si="38"/>
        <v>12.10741091114839</v>
      </c>
      <c r="F90" s="357">
        <f t="shared" ca="1" si="39"/>
        <v>12.875448928738194</v>
      </c>
      <c r="G90" s="359">
        <f t="shared" ca="1" si="40"/>
        <v>15.036553009332231</v>
      </c>
      <c r="H90" s="360">
        <f t="shared" ca="1" si="41"/>
        <v>75.137797288129619</v>
      </c>
      <c r="I90" s="357">
        <f t="shared" ca="1" si="42"/>
        <v>76.62758320418645</v>
      </c>
      <c r="J90" s="359">
        <f t="shared" ca="1" si="43"/>
        <v>7.1470703354507741</v>
      </c>
      <c r="K90" s="360">
        <f t="shared" ca="1" si="44"/>
        <v>37.419685495556244</v>
      </c>
      <c r="L90" s="357">
        <f t="shared" ca="1" si="29"/>
        <v>38.096108422858926</v>
      </c>
      <c r="M90" s="359">
        <f t="shared" ca="1" si="45"/>
        <v>1.3732856791051058</v>
      </c>
      <c r="N90" s="357">
        <f t="shared" ca="1" si="46"/>
        <v>78.683473478479669</v>
      </c>
      <c r="O90" s="343"/>
      <c r="P90" s="363">
        <f t="shared" ca="1" si="47"/>
        <v>8</v>
      </c>
      <c r="Q90" s="357">
        <f t="shared" ca="1" si="48"/>
        <v>42.749999999999808</v>
      </c>
      <c r="R90" s="359">
        <f t="shared" ca="1" si="49"/>
        <v>2.2689553496208825E-2</v>
      </c>
      <c r="S90" s="360">
        <f t="shared" ca="1" si="50"/>
        <v>1.5649053917438904</v>
      </c>
      <c r="T90" s="357">
        <f t="shared" ca="1" si="30"/>
        <v>15.351721893007566</v>
      </c>
      <c r="U90" s="364">
        <f t="shared" ca="1" si="31"/>
        <v>0</v>
      </c>
      <c r="V90" s="359">
        <f t="shared" ca="1" si="32"/>
        <v>1.2204246489366857</v>
      </c>
      <c r="W90" s="357">
        <f t="shared" ca="1" si="33"/>
        <v>7.7983357249987053</v>
      </c>
      <c r="X90" s="343"/>
      <c r="Y90" s="367" t="str">
        <f t="shared" ca="1" si="51"/>
        <v/>
      </c>
      <c r="Z90" s="368" t="str">
        <f t="shared" ca="1" si="52"/>
        <v/>
      </c>
      <c r="AA90" s="369" t="str">
        <f t="shared" ca="1" si="53"/>
        <v/>
      </c>
      <c r="AB90" s="344"/>
      <c r="AC90" s="363" t="e">
        <f t="shared" ca="1" si="54"/>
        <v>#N/A</v>
      </c>
      <c r="AD90" s="376" t="e">
        <f t="shared" ca="1" si="55"/>
        <v>#N/A</v>
      </c>
      <c r="AE90" s="377">
        <f t="shared" ca="1" si="34"/>
        <v>37.419685495556244</v>
      </c>
      <c r="AF90" s="344"/>
      <c r="AG90" s="359">
        <f t="shared" ca="1" si="56"/>
        <v>12.731096652870669</v>
      </c>
      <c r="AH90" s="357">
        <f t="shared" ca="1" si="57"/>
        <v>22.350854283299263</v>
      </c>
    </row>
    <row r="91" spans="1:34" x14ac:dyDescent="0.2">
      <c r="A91" s="402">
        <f t="shared" ca="1" si="35"/>
        <v>0.01</v>
      </c>
      <c r="B91" s="357">
        <f t="shared" ca="1" si="36"/>
        <v>0.87000000000000055</v>
      </c>
      <c r="C91" s="342"/>
      <c r="D91" s="359">
        <f t="shared" ca="1" si="37"/>
        <v>3.9443597875753329</v>
      </c>
      <c r="E91" s="360">
        <f t="shared" ca="1" si="38"/>
        <v>9.9000030815804028</v>
      </c>
      <c r="F91" s="357">
        <f t="shared" ca="1" si="39"/>
        <v>10.656830445734924</v>
      </c>
      <c r="G91" s="359">
        <f t="shared" ca="1" si="40"/>
        <v>15.075996607207983</v>
      </c>
      <c r="H91" s="360">
        <f t="shared" ca="1" si="41"/>
        <v>75.23679731894542</v>
      </c>
      <c r="I91" s="357">
        <f t="shared" ca="1" si="42"/>
        <v>76.732400878068574</v>
      </c>
      <c r="J91" s="359">
        <f t="shared" ca="1" si="43"/>
        <v>7.2976330835334755</v>
      </c>
      <c r="K91" s="360">
        <f t="shared" ca="1" si="44"/>
        <v>38.17155846859162</v>
      </c>
      <c r="L91" s="357">
        <f t="shared" ca="1" si="29"/>
        <v>38.862878490186375</v>
      </c>
      <c r="M91" s="359">
        <f t="shared" ca="1" si="45"/>
        <v>1.3730348064153175</v>
      </c>
      <c r="N91" s="357">
        <f t="shared" ca="1" si="46"/>
        <v>78.669099532159706</v>
      </c>
      <c r="O91" s="343"/>
      <c r="P91" s="363">
        <f t="shared" ca="1" si="47"/>
        <v>8</v>
      </c>
      <c r="Q91" s="357">
        <f t="shared" ca="1" si="48"/>
        <v>39.249999999999801</v>
      </c>
      <c r="R91" s="359">
        <f t="shared" ca="1" si="49"/>
        <v>2.0831929233361308E-2</v>
      </c>
      <c r="S91" s="360">
        <f t="shared" ca="1" si="50"/>
        <v>1.5646970724515568</v>
      </c>
      <c r="T91" s="357">
        <f t="shared" ca="1" si="30"/>
        <v>15.349678280749773</v>
      </c>
      <c r="U91" s="364">
        <f t="shared" ca="1" si="31"/>
        <v>0</v>
      </c>
      <c r="V91" s="359">
        <f t="shared" ca="1" si="32"/>
        <v>1.2203328916276033</v>
      </c>
      <c r="W91" s="357">
        <f t="shared" ca="1" si="33"/>
        <v>7.8190968387678179</v>
      </c>
      <c r="X91" s="343"/>
      <c r="Y91" s="367" t="str">
        <f t="shared" ca="1" si="51"/>
        <v/>
      </c>
      <c r="Z91" s="368" t="str">
        <f t="shared" ca="1" si="52"/>
        <v/>
      </c>
      <c r="AA91" s="369" t="str">
        <f t="shared" ca="1" si="53"/>
        <v/>
      </c>
      <c r="AB91" s="344"/>
      <c r="AC91" s="363" t="e">
        <f t="shared" ca="1" si="54"/>
        <v>#N/A</v>
      </c>
      <c r="AD91" s="376" t="e">
        <f t="shared" ca="1" si="55"/>
        <v>#N/A</v>
      </c>
      <c r="AE91" s="377">
        <f t="shared" ca="1" si="34"/>
        <v>38.17155846859162</v>
      </c>
      <c r="AF91" s="344"/>
      <c r="AG91" s="359">
        <f t="shared" ca="1" si="56"/>
        <v>10.481525922450357</v>
      </c>
      <c r="AH91" s="357">
        <f t="shared" ca="1" si="57"/>
        <v>20.100800869859647</v>
      </c>
    </row>
    <row r="92" spans="1:34" x14ac:dyDescent="0.2">
      <c r="A92" s="402">
        <f t="shared" ca="1" si="35"/>
        <v>0.01</v>
      </c>
      <c r="B92" s="357">
        <f t="shared" ca="1" si="36"/>
        <v>0.88000000000000056</v>
      </c>
      <c r="C92" s="342"/>
      <c r="D92" s="359">
        <f t="shared" ca="1" si="37"/>
        <v>3.5076368260675568</v>
      </c>
      <c r="E92" s="360">
        <f t="shared" ca="1" si="38"/>
        <v>7.6948700147052929</v>
      </c>
      <c r="F92" s="357">
        <f t="shared" ca="1" si="39"/>
        <v>8.4566270254041545</v>
      </c>
      <c r="G92" s="359">
        <f t="shared" ca="1" si="40"/>
        <v>15.111072975468659</v>
      </c>
      <c r="H92" s="360">
        <f t="shared" ca="1" si="41"/>
        <v>75.313746019092477</v>
      </c>
      <c r="I92" s="357">
        <f t="shared" ca="1" si="42"/>
        <v>76.814743805459031</v>
      </c>
      <c r="J92" s="359">
        <f t="shared" ca="1" si="43"/>
        <v>7.4485684314468585</v>
      </c>
      <c r="K92" s="360">
        <f t="shared" ca="1" si="44"/>
        <v>38.924311185281809</v>
      </c>
      <c r="L92" s="357">
        <f t="shared" ca="1" si="29"/>
        <v>39.630583807541889</v>
      </c>
      <c r="M92" s="359">
        <f t="shared" ca="1" si="45"/>
        <v>1.3727838885006642</v>
      </c>
      <c r="N92" s="357">
        <f t="shared" ca="1" si="46"/>
        <v>78.654722994645851</v>
      </c>
      <c r="O92" s="343"/>
      <c r="P92" s="363">
        <f t="shared" ca="1" si="47"/>
        <v>8</v>
      </c>
      <c r="Q92" s="357">
        <f t="shared" ca="1" si="48"/>
        <v>35.749999999999801</v>
      </c>
      <c r="R92" s="359">
        <f t="shared" ca="1" si="49"/>
        <v>1.8974304970513792E-2</v>
      </c>
      <c r="S92" s="360">
        <f t="shared" ca="1" si="50"/>
        <v>1.5645073294018517</v>
      </c>
      <c r="T92" s="357">
        <f t="shared" ca="1" si="30"/>
        <v>15.347816901432166</v>
      </c>
      <c r="U92" s="364">
        <f t="shared" ca="1" si="31"/>
        <v>0</v>
      </c>
      <c r="V92" s="359">
        <f t="shared" ca="1" si="32"/>
        <v>1.220241033853763</v>
      </c>
      <c r="W92" s="357">
        <f t="shared" ca="1" si="33"/>
        <v>7.8352976430668102</v>
      </c>
      <c r="X92" s="343"/>
      <c r="Y92" s="367" t="str">
        <f t="shared" ca="1" si="51"/>
        <v/>
      </c>
      <c r="Z92" s="368" t="str">
        <f t="shared" ca="1" si="52"/>
        <v/>
      </c>
      <c r="AA92" s="369" t="str">
        <f t="shared" ca="1" si="53"/>
        <v/>
      </c>
      <c r="AB92" s="344"/>
      <c r="AC92" s="363" t="e">
        <f t="shared" ca="1" si="54"/>
        <v>#N/A</v>
      </c>
      <c r="AD92" s="376" t="e">
        <f t="shared" ca="1" si="55"/>
        <v>#N/A</v>
      </c>
      <c r="AE92" s="377">
        <f t="shared" ca="1" si="34"/>
        <v>38.924311185281809</v>
      </c>
      <c r="AF92" s="344"/>
      <c r="AG92" s="359">
        <f t="shared" ca="1" si="56"/>
        <v>8.2340509270016771</v>
      </c>
      <c r="AH92" s="357">
        <f t="shared" ca="1" si="57"/>
        <v>17.852842640187969</v>
      </c>
    </row>
    <row r="93" spans="1:34" x14ac:dyDescent="0.2">
      <c r="A93" s="402">
        <f t="shared" ca="1" si="35"/>
        <v>0.01</v>
      </c>
      <c r="B93" s="357">
        <f t="shared" ca="1" si="36"/>
        <v>0.89000000000000057</v>
      </c>
      <c r="C93" s="342"/>
      <c r="D93" s="359">
        <f t="shared" ca="1" si="37"/>
        <v>3.1331203075159406</v>
      </c>
      <c r="E93" s="360">
        <f t="shared" ca="1" si="38"/>
        <v>5.8055044364212769</v>
      </c>
      <c r="F93" s="357">
        <f t="shared" ca="1" si="39"/>
        <v>6.5969936048685023</v>
      </c>
      <c r="G93" s="359">
        <f t="shared" ca="1" si="40"/>
        <v>15.142404178543819</v>
      </c>
      <c r="H93" s="360">
        <f t="shared" ca="1" si="41"/>
        <v>75.371801063456687</v>
      </c>
      <c r="I93" s="357">
        <f t="shared" ca="1" si="42"/>
        <v>76.877830353461931</v>
      </c>
      <c r="J93" s="359">
        <f t="shared" ca="1" si="43"/>
        <v>7.5998358172169214</v>
      </c>
      <c r="K93" s="360">
        <f t="shared" ca="1" si="44"/>
        <v>39.677738920694551</v>
      </c>
      <c r="L93" s="357">
        <f t="shared" ca="1" si="29"/>
        <v>40.399015709636451</v>
      </c>
      <c r="M93" s="359">
        <f t="shared" ca="1" si="45"/>
        <v>1.3725328625559079</v>
      </c>
      <c r="N93" s="357">
        <f t="shared" ca="1" si="46"/>
        <v>78.640340267463017</v>
      </c>
      <c r="O93" s="343"/>
      <c r="P93" s="363">
        <f t="shared" ca="1" si="47"/>
        <v>9</v>
      </c>
      <c r="Q93" s="357">
        <f t="shared" ca="1" si="48"/>
        <v>32.749999999999858</v>
      </c>
      <c r="R93" s="359">
        <f t="shared" ca="1" si="49"/>
        <v>1.7382055602358809E-2</v>
      </c>
      <c r="S93" s="360">
        <f t="shared" ca="1" si="50"/>
        <v>1.5643335088458281</v>
      </c>
      <c r="T93" s="357">
        <f t="shared" ca="1" si="30"/>
        <v>15.346111721777575</v>
      </c>
      <c r="U93" s="364">
        <f t="shared" ca="1" si="31"/>
        <v>0</v>
      </c>
      <c r="V93" s="359">
        <f t="shared" ca="1" si="32"/>
        <v>1.2201491006181753</v>
      </c>
      <c r="W93" s="357">
        <f t="shared" ca="1" si="33"/>
        <v>7.8475816189622769</v>
      </c>
      <c r="X93" s="343"/>
      <c r="Y93" s="367" t="str">
        <f t="shared" ca="1" si="51"/>
        <v/>
      </c>
      <c r="Z93" s="368" t="str">
        <f t="shared" ca="1" si="52"/>
        <v/>
      </c>
      <c r="AA93" s="369" t="str">
        <f t="shared" ca="1" si="53"/>
        <v/>
      </c>
      <c r="AB93" s="344"/>
      <c r="AC93" s="363" t="e">
        <f t="shared" ca="1" si="54"/>
        <v>#N/A</v>
      </c>
      <c r="AD93" s="376" t="e">
        <f t="shared" ca="1" si="55"/>
        <v>#N/A</v>
      </c>
      <c r="AE93" s="377">
        <f t="shared" ca="1" si="34"/>
        <v>39.677738920694551</v>
      </c>
      <c r="AF93" s="344"/>
      <c r="AG93" s="359">
        <f t="shared" ca="1" si="56"/>
        <v>6.3084125812147125</v>
      </c>
      <c r="AH93" s="357">
        <f t="shared" ca="1" si="57"/>
        <v>15.926720367522666</v>
      </c>
    </row>
    <row r="94" spans="1:34" x14ac:dyDescent="0.2">
      <c r="A94" s="402">
        <f t="shared" ca="1" si="35"/>
        <v>0.01</v>
      </c>
      <c r="B94" s="357">
        <f t="shared" ca="1" si="36"/>
        <v>0.90000000000000058</v>
      </c>
      <c r="C94" s="342"/>
      <c r="D94" s="359">
        <f t="shared" ca="1" si="37"/>
        <v>2.821004939353331</v>
      </c>
      <c r="E94" s="360">
        <f t="shared" ca="1" si="38"/>
        <v>4.2316423033568249</v>
      </c>
      <c r="F94" s="357">
        <f t="shared" ca="1" si="39"/>
        <v>5.085751218002601</v>
      </c>
      <c r="G94" s="359">
        <f t="shared" ca="1" si="40"/>
        <v>15.170614227937351</v>
      </c>
      <c r="H94" s="360">
        <f t="shared" ca="1" si="41"/>
        <v>75.414117486490255</v>
      </c>
      <c r="I94" s="357">
        <f t="shared" ca="1" si="42"/>
        <v>76.924876680557958</v>
      </c>
      <c r="J94" s="359">
        <f t="shared" ca="1" si="43"/>
        <v>7.7514009092493268</v>
      </c>
      <c r="K94" s="360">
        <f t="shared" ca="1" si="44"/>
        <v>40.431668513444286</v>
      </c>
      <c r="L94" s="357">
        <f t="shared" ca="1" si="29"/>
        <v>41.167997702547467</v>
      </c>
      <c r="M94" s="359">
        <f t="shared" ca="1" si="45"/>
        <v>1.3722816762730132</v>
      </c>
      <c r="N94" s="357">
        <f t="shared" ca="1" si="46"/>
        <v>78.625948353581578</v>
      </c>
      <c r="O94" s="343"/>
      <c r="P94" s="363">
        <f t="shared" ca="1" si="47"/>
        <v>9</v>
      </c>
      <c r="Q94" s="357">
        <f t="shared" ca="1" si="48"/>
        <v>30.249999999999861</v>
      </c>
      <c r="R94" s="359">
        <f t="shared" ca="1" si="49"/>
        <v>1.6055181128896302E-2</v>
      </c>
      <c r="S94" s="360">
        <f t="shared" ca="1" si="50"/>
        <v>1.5641729570345391</v>
      </c>
      <c r="T94" s="357">
        <f t="shared" ca="1" si="30"/>
        <v>15.344536708508828</v>
      </c>
      <c r="U94" s="364">
        <f t="shared" ca="1" si="31"/>
        <v>0</v>
      </c>
      <c r="V94" s="359">
        <f t="shared" ca="1" si="32"/>
        <v>1.2200571130654052</v>
      </c>
      <c r="W94" s="357">
        <f t="shared" ca="1" si="33"/>
        <v>7.8565970478657139</v>
      </c>
      <c r="X94" s="343"/>
      <c r="Y94" s="367" t="str">
        <f t="shared" ca="1" si="51"/>
        <v/>
      </c>
      <c r="Z94" s="368" t="str">
        <f t="shared" ca="1" si="52"/>
        <v/>
      </c>
      <c r="AA94" s="369" t="str">
        <f t="shared" ca="1" si="53"/>
        <v/>
      </c>
      <c r="AB94" s="344"/>
      <c r="AC94" s="363" t="e">
        <f t="shared" ca="1" si="54"/>
        <v>#N/A</v>
      </c>
      <c r="AD94" s="376" t="e">
        <f t="shared" ca="1" si="55"/>
        <v>#N/A</v>
      </c>
      <c r="AE94" s="377">
        <f t="shared" ca="1" si="34"/>
        <v>40.431668513444286</v>
      </c>
      <c r="AF94" s="344"/>
      <c r="AG94" s="359">
        <f t="shared" ca="1" si="56"/>
        <v>4.7043900325861436</v>
      </c>
      <c r="AH94" s="357">
        <f t="shared" ca="1" si="57"/>
        <v>14.322213077708202</v>
      </c>
    </row>
    <row r="95" spans="1:34" x14ac:dyDescent="0.2">
      <c r="A95" s="402">
        <f t="shared" ca="1" si="35"/>
        <v>0.01</v>
      </c>
      <c r="B95" s="357">
        <f t="shared" ca="1" si="36"/>
        <v>0.91000000000000059</v>
      </c>
      <c r="C95" s="342"/>
      <c r="D95" s="359">
        <f t="shared" ca="1" si="37"/>
        <v>2.5084275264880689</v>
      </c>
      <c r="E95" s="360">
        <f t="shared" ca="1" si="38"/>
        <v>2.6595576162335579</v>
      </c>
      <c r="F95" s="357">
        <f t="shared" ca="1" si="39"/>
        <v>3.6558795617072746</v>
      </c>
      <c r="G95" s="359">
        <f t="shared" ca="1" si="40"/>
        <v>15.195698503202232</v>
      </c>
      <c r="H95" s="360">
        <f t="shared" ca="1" si="41"/>
        <v>75.440713062652591</v>
      </c>
      <c r="I95" s="357">
        <f t="shared" ca="1" si="42"/>
        <v>76.955899321635528</v>
      </c>
      <c r="J95" s="359">
        <f t="shared" ca="1" si="43"/>
        <v>7.9032324729050245</v>
      </c>
      <c r="K95" s="360">
        <f t="shared" ca="1" si="44"/>
        <v>41.185942666190002</v>
      </c>
      <c r="L95" s="357">
        <f t="shared" ca="1" si="29"/>
        <v>41.937369455218224</v>
      </c>
      <c r="M95" s="359">
        <f t="shared" ca="1" si="45"/>
        <v>1.3720302773283055</v>
      </c>
      <c r="N95" s="357">
        <f t="shared" ca="1" si="46"/>
        <v>78.611544255075785</v>
      </c>
      <c r="O95" s="343"/>
      <c r="P95" s="363">
        <f t="shared" ca="1" si="47"/>
        <v>9</v>
      </c>
      <c r="Q95" s="357">
        <f t="shared" ca="1" si="48"/>
        <v>27.749999999999861</v>
      </c>
      <c r="R95" s="359">
        <f t="shared" ca="1" si="49"/>
        <v>1.4728306655433792E-2</v>
      </c>
      <c r="S95" s="360">
        <f t="shared" ca="1" si="50"/>
        <v>1.5640256739679848</v>
      </c>
      <c r="T95" s="357">
        <f t="shared" ca="1" si="30"/>
        <v>15.343091861625931</v>
      </c>
      <c r="U95" s="364">
        <f t="shared" ca="1" si="31"/>
        <v>0</v>
      </c>
      <c r="V95" s="359">
        <f t="shared" ca="1" si="32"/>
        <v>1.219965090398301</v>
      </c>
      <c r="W95" s="357">
        <f t="shared" ca="1" si="33"/>
        <v>7.8623421585546707</v>
      </c>
      <c r="X95" s="343"/>
      <c r="Y95" s="367" t="str">
        <f t="shared" ca="1" si="51"/>
        <v/>
      </c>
      <c r="Z95" s="368" t="str">
        <f t="shared" ca="1" si="52"/>
        <v/>
      </c>
      <c r="AA95" s="369" t="str">
        <f t="shared" ca="1" si="53"/>
        <v/>
      </c>
      <c r="AB95" s="344"/>
      <c r="AC95" s="363" t="e">
        <f t="shared" ca="1" si="54"/>
        <v>#N/A</v>
      </c>
      <c r="AD95" s="376" t="e">
        <f t="shared" ca="1" si="55"/>
        <v>#N/A</v>
      </c>
      <c r="AE95" s="377">
        <f t="shared" ca="1" si="34"/>
        <v>41.185942666190002</v>
      </c>
      <c r="AF95" s="344"/>
      <c r="AG95" s="359">
        <f t="shared" ca="1" si="56"/>
        <v>3.1020209216159405</v>
      </c>
      <c r="AH95" s="357">
        <f t="shared" ca="1" si="57"/>
        <v>12.719358309294199</v>
      </c>
    </row>
    <row r="96" spans="1:34" x14ac:dyDescent="0.2">
      <c r="A96" s="402">
        <f t="shared" ca="1" si="35"/>
        <v>0.01</v>
      </c>
      <c r="B96" s="357">
        <f t="shared" ca="1" si="36"/>
        <v>0.9200000000000006</v>
      </c>
      <c r="C96" s="342"/>
      <c r="D96" s="359">
        <f t="shared" ca="1" si="37"/>
        <v>2.1953975352368724</v>
      </c>
      <c r="E96" s="360">
        <f t="shared" ca="1" si="38"/>
        <v>1.0892920252634344</v>
      </c>
      <c r="F96" s="357">
        <f t="shared" ca="1" si="39"/>
        <v>2.4507809885884639</v>
      </c>
      <c r="G96" s="359">
        <f t="shared" ca="1" si="40"/>
        <v>15.217652478554601</v>
      </c>
      <c r="H96" s="360">
        <f t="shared" ca="1" si="41"/>
        <v>75.451605982905221</v>
      </c>
      <c r="I96" s="357">
        <f t="shared" ca="1" si="42"/>
        <v>76.970915236585554</v>
      </c>
      <c r="J96" s="359">
        <f t="shared" ca="1" si="43"/>
        <v>8.0552992278138085</v>
      </c>
      <c r="K96" s="360">
        <f t="shared" ca="1" si="44"/>
        <v>41.94040426141779</v>
      </c>
      <c r="L96" s="357">
        <f t="shared" ca="1" si="29"/>
        <v>42.706970804082665</v>
      </c>
      <c r="M96" s="359">
        <f t="shared" ca="1" si="45"/>
        <v>1.3717786133186896</v>
      </c>
      <c r="N96" s="357">
        <f t="shared" ca="1" si="46"/>
        <v>78.597124969469448</v>
      </c>
      <c r="O96" s="343"/>
      <c r="P96" s="363">
        <f t="shared" ca="1" si="47"/>
        <v>9</v>
      </c>
      <c r="Q96" s="357">
        <f t="shared" ca="1" si="48"/>
        <v>25.249999999999861</v>
      </c>
      <c r="R96" s="359">
        <f t="shared" ca="1" si="49"/>
        <v>1.3401432181971281E-2</v>
      </c>
      <c r="S96" s="360">
        <f t="shared" ca="1" si="50"/>
        <v>1.5638916596461649</v>
      </c>
      <c r="T96" s="357">
        <f t="shared" ca="1" si="30"/>
        <v>15.341777181128879</v>
      </c>
      <c r="U96" s="364">
        <f t="shared" ca="1" si="31"/>
        <v>0</v>
      </c>
      <c r="V96" s="359">
        <f t="shared" ca="1" si="32"/>
        <v>1.219873051792</v>
      </c>
      <c r="W96" s="357">
        <f t="shared" ca="1" si="33"/>
        <v>7.8648173202818201</v>
      </c>
      <c r="X96" s="343"/>
      <c r="Y96" s="367" t="str">
        <f t="shared" ca="1" si="51"/>
        <v/>
      </c>
      <c r="Z96" s="368" t="str">
        <f t="shared" ca="1" si="52"/>
        <v/>
      </c>
      <c r="AA96" s="369" t="str">
        <f t="shared" ca="1" si="53"/>
        <v/>
      </c>
      <c r="AB96" s="344"/>
      <c r="AC96" s="363" t="e">
        <f t="shared" ca="1" si="54"/>
        <v>#N/A</v>
      </c>
      <c r="AD96" s="376" t="e">
        <f t="shared" ca="1" si="55"/>
        <v>#N/A</v>
      </c>
      <c r="AE96" s="377">
        <f t="shared" ca="1" si="34"/>
        <v>41.94040426141779</v>
      </c>
      <c r="AF96" s="344"/>
      <c r="AG96" s="359">
        <f t="shared" ca="1" si="56"/>
        <v>1.5013477482288966</v>
      </c>
      <c r="AH96" s="357">
        <f t="shared" ca="1" si="57"/>
        <v>11.118198459718878</v>
      </c>
    </row>
    <row r="97" spans="1:34" x14ac:dyDescent="0.2">
      <c r="A97" s="402">
        <f t="shared" ca="1" si="35"/>
        <v>0.01</v>
      </c>
      <c r="B97" s="357">
        <f t="shared" ca="1" si="36"/>
        <v>0.9300000000000006</v>
      </c>
      <c r="C97" s="342"/>
      <c r="D97" s="359">
        <f t="shared" ca="1" si="37"/>
        <v>1.897728336201026</v>
      </c>
      <c r="E97" s="360">
        <f t="shared" ca="1" si="38"/>
        <v>-0.4007530161160382</v>
      </c>
      <c r="F97" s="357">
        <f t="shared" ca="1" si="39"/>
        <v>1.9395813512060833</v>
      </c>
      <c r="G97" s="359">
        <f t="shared" ca="1" si="40"/>
        <v>15.236629761916612</v>
      </c>
      <c r="H97" s="360">
        <f t="shared" ca="1" si="41"/>
        <v>75.44759845274406</v>
      </c>
      <c r="I97" s="357">
        <f t="shared" ca="1" si="42"/>
        <v>76.970741186428953</v>
      </c>
      <c r="J97" s="359">
        <f t="shared" ca="1" si="43"/>
        <v>8.2075706390161649</v>
      </c>
      <c r="K97" s="360">
        <f t="shared" ca="1" si="44"/>
        <v>42.694900283596034</v>
      </c>
      <c r="L97" s="357">
        <f t="shared" ca="1" si="29"/>
        <v>43.476645754021192</v>
      </c>
      <c r="M97" s="359">
        <f t="shared" ca="1" si="45"/>
        <v>1.3715266343148174</v>
      </c>
      <c r="N97" s="357">
        <f t="shared" ca="1" si="46"/>
        <v>78.58268763602166</v>
      </c>
      <c r="O97" s="343"/>
      <c r="P97" s="363">
        <f t="shared" ca="1" si="47"/>
        <v>10</v>
      </c>
      <c r="Q97" s="357">
        <f t="shared" ca="1" si="48"/>
        <v>22.874999999999872</v>
      </c>
      <c r="R97" s="359">
        <f t="shared" ca="1" si="49"/>
        <v>1.2140901432181902E-2</v>
      </c>
      <c r="S97" s="360">
        <f t="shared" ca="1" si="50"/>
        <v>1.5637702506318432</v>
      </c>
      <c r="T97" s="357">
        <f t="shared" ca="1" si="30"/>
        <v>15.340586158698382</v>
      </c>
      <c r="U97" s="364">
        <f t="shared" ca="1" si="31"/>
        <v>0</v>
      </c>
      <c r="V97" s="359">
        <f t="shared" ca="1" si="32"/>
        <v>1.2197810159155127</v>
      </c>
      <c r="W97" s="357">
        <f t="shared" ca="1" si="33"/>
        <v>7.8641883768261618</v>
      </c>
      <c r="X97" s="343"/>
      <c r="Y97" s="367" t="str">
        <f t="shared" ca="1" si="51"/>
        <v/>
      </c>
      <c r="Z97" s="368" t="str">
        <f t="shared" ca="1" si="52"/>
        <v/>
      </c>
      <c r="AA97" s="369" t="str">
        <f t="shared" ca="1" si="53"/>
        <v/>
      </c>
      <c r="AB97" s="344"/>
      <c r="AC97" s="363" t="e">
        <f t="shared" ca="1" si="54"/>
        <v>#N/A</v>
      </c>
      <c r="AD97" s="376" t="e">
        <f t="shared" ca="1" si="55"/>
        <v>#N/A</v>
      </c>
      <c r="AE97" s="377">
        <f t="shared" ca="1" si="34"/>
        <v>42.694900283596034</v>
      </c>
      <c r="AF97" s="344"/>
      <c r="AG97" s="359">
        <f t="shared" ca="1" si="56"/>
        <v>-1.7649372431908006E-2</v>
      </c>
      <c r="AH97" s="357">
        <f t="shared" ca="1" si="57"/>
        <v>9.5987135409777569</v>
      </c>
    </row>
    <row r="98" spans="1:34" x14ac:dyDescent="0.2">
      <c r="A98" s="402">
        <f t="shared" ca="1" si="35"/>
        <v>0.01</v>
      </c>
      <c r="B98" s="357">
        <f t="shared" ca="1" si="36"/>
        <v>0.94000000000000061</v>
      </c>
      <c r="C98" s="342"/>
      <c r="D98" s="359">
        <f t="shared" ca="1" si="37"/>
        <v>1.6154703796253718</v>
      </c>
      <c r="E98" s="360">
        <f t="shared" ca="1" si="38"/>
        <v>-1.8106351523405841</v>
      </c>
      <c r="F98" s="357">
        <f t="shared" ca="1" si="39"/>
        <v>2.4265498557289837</v>
      </c>
      <c r="G98" s="359">
        <f t="shared" ca="1" si="40"/>
        <v>15.252784465712866</v>
      </c>
      <c r="H98" s="360">
        <f t="shared" ca="1" si="41"/>
        <v>75.42949210122066</v>
      </c>
      <c r="I98" s="357">
        <f t="shared" ca="1" si="42"/>
        <v>76.956193464890148</v>
      </c>
      <c r="J98" s="359">
        <f t="shared" ca="1" si="43"/>
        <v>8.3600177101543132</v>
      </c>
      <c r="K98" s="360">
        <f t="shared" ca="1" si="44"/>
        <v>43.449285736365859</v>
      </c>
      <c r="L98" s="357">
        <f t="shared" ca="1" si="29"/>
        <v>44.246246474864506</v>
      </c>
      <c r="M98" s="359">
        <f t="shared" ca="1" si="45"/>
        <v>1.371274292814836</v>
      </c>
      <c r="N98" s="357">
        <f t="shared" ca="1" si="46"/>
        <v>78.568229533076732</v>
      </c>
      <c r="O98" s="343"/>
      <c r="P98" s="363">
        <f t="shared" ca="1" si="47"/>
        <v>10</v>
      </c>
      <c r="Q98" s="357">
        <f t="shared" ca="1" si="48"/>
        <v>20.624999999999865</v>
      </c>
      <c r="R98" s="359">
        <f t="shared" ca="1" si="49"/>
        <v>1.0946714406065639E-2</v>
      </c>
      <c r="S98" s="360">
        <f t="shared" ca="1" si="50"/>
        <v>1.5636607834877825</v>
      </c>
      <c r="T98" s="357">
        <f t="shared" ca="1" si="30"/>
        <v>15.339512286015147</v>
      </c>
      <c r="U98" s="364">
        <f t="shared" ca="1" si="31"/>
        <v>0</v>
      </c>
      <c r="V98" s="359">
        <f t="shared" ca="1" si="32"/>
        <v>1.2196890004541359</v>
      </c>
      <c r="W98" s="357">
        <f t="shared" ca="1" si="33"/>
        <v>7.8606229240864751</v>
      </c>
      <c r="X98" s="343"/>
      <c r="Y98" s="367" t="str">
        <f t="shared" ca="1" si="51"/>
        <v/>
      </c>
      <c r="Z98" s="368" t="str">
        <f t="shared" ca="1" si="52"/>
        <v/>
      </c>
      <c r="AA98" s="369" t="str">
        <f t="shared" ca="1" si="53"/>
        <v/>
      </c>
      <c r="AB98" s="344"/>
      <c r="AC98" s="363" t="e">
        <f t="shared" ca="1" si="54"/>
        <v>#N/A</v>
      </c>
      <c r="AD98" s="376" t="e">
        <f t="shared" ca="1" si="55"/>
        <v>#N/A</v>
      </c>
      <c r="AE98" s="377">
        <f t="shared" ca="1" si="34"/>
        <v>43.449285736365859</v>
      </c>
      <c r="AF98" s="344"/>
      <c r="AG98" s="359">
        <f t="shared" ca="1" si="56"/>
        <v>-1.4550171679036268</v>
      </c>
      <c r="AH98" s="357">
        <f t="shared" ca="1" si="57"/>
        <v>8.1608567266810965</v>
      </c>
    </row>
    <row r="99" spans="1:34" x14ac:dyDescent="0.2">
      <c r="A99" s="402">
        <f t="shared" ca="1" si="35"/>
        <v>0.01</v>
      </c>
      <c r="B99" s="357">
        <f t="shared" ca="1" si="36"/>
        <v>0.95000000000000062</v>
      </c>
      <c r="C99" s="342"/>
      <c r="D99" s="359">
        <f t="shared" ca="1" si="37"/>
        <v>1.3328265861852333</v>
      </c>
      <c r="E99" s="360">
        <f t="shared" ca="1" si="38"/>
        <v>-3.2187816764899626</v>
      </c>
      <c r="F99" s="357">
        <f t="shared" ca="1" si="39"/>
        <v>3.4838171866143779</v>
      </c>
      <c r="G99" s="359">
        <f t="shared" ca="1" si="40"/>
        <v>15.266112731574719</v>
      </c>
      <c r="H99" s="360">
        <f t="shared" ca="1" si="41"/>
        <v>75.397304284455757</v>
      </c>
      <c r="I99" s="357">
        <f t="shared" ca="1" si="42"/>
        <v>76.927288339678</v>
      </c>
      <c r="J99" s="359">
        <f t="shared" ca="1" si="43"/>
        <v>8.5126121961407506</v>
      </c>
      <c r="K99" s="360">
        <f t="shared" ca="1" si="44"/>
        <v>44.203419718294242</v>
      </c>
      <c r="L99" s="357">
        <f t="shared" ca="1" si="29"/>
        <v>45.015629299095309</v>
      </c>
      <c r="M99" s="359">
        <f t="shared" ca="1" si="45"/>
        <v>1.3710215410809032</v>
      </c>
      <c r="N99" s="357">
        <f t="shared" ca="1" si="46"/>
        <v>78.55374792545777</v>
      </c>
      <c r="O99" s="343"/>
      <c r="P99" s="363">
        <f t="shared" ca="1" si="47"/>
        <v>10</v>
      </c>
      <c r="Q99" s="357">
        <f t="shared" ca="1" si="48"/>
        <v>18.374999999999858</v>
      </c>
      <c r="R99" s="359">
        <f t="shared" ca="1" si="49"/>
        <v>9.7525273799493762E-3</v>
      </c>
      <c r="S99" s="360">
        <f t="shared" ca="1" si="50"/>
        <v>1.5635632582139829</v>
      </c>
      <c r="T99" s="357">
        <f t="shared" ca="1" si="30"/>
        <v>15.338555563079174</v>
      </c>
      <c r="U99" s="364">
        <f t="shared" ca="1" si="31"/>
        <v>0</v>
      </c>
      <c r="V99" s="359">
        <f t="shared" ca="1" si="32"/>
        <v>1.2195970225884216</v>
      </c>
      <c r="W99" s="357">
        <f t="shared" ca="1" si="33"/>
        <v>7.8541267241357602</v>
      </c>
      <c r="X99" s="343"/>
      <c r="Y99" s="367" t="str">
        <f t="shared" ca="1" si="51"/>
        <v/>
      </c>
      <c r="Z99" s="368" t="str">
        <f t="shared" ca="1" si="52"/>
        <v/>
      </c>
      <c r="AA99" s="369" t="str">
        <f t="shared" ca="1" si="53"/>
        <v/>
      </c>
      <c r="AB99" s="344"/>
      <c r="AC99" s="363" t="e">
        <f t="shared" ca="1" si="54"/>
        <v>#N/A</v>
      </c>
      <c r="AD99" s="376" t="e">
        <f t="shared" ca="1" si="55"/>
        <v>#N/A</v>
      </c>
      <c r="AE99" s="377">
        <f t="shared" ca="1" si="34"/>
        <v>44.203419718294242</v>
      </c>
      <c r="AF99" s="344"/>
      <c r="AG99" s="359">
        <f t="shared" ca="1" si="56"/>
        <v>-2.8907582402005394</v>
      </c>
      <c r="AH99" s="357">
        <f t="shared" ca="1" si="57"/>
        <v>6.7246253201956661</v>
      </c>
    </row>
    <row r="100" spans="1:34" x14ac:dyDescent="0.2">
      <c r="A100" s="402">
        <f t="shared" ca="1" si="35"/>
        <v>0.01</v>
      </c>
      <c r="B100" s="357">
        <f t="shared" ca="1" si="36"/>
        <v>0.96000000000000063</v>
      </c>
      <c r="C100" s="342"/>
      <c r="D100" s="359">
        <f t="shared" ca="1" si="37"/>
        <v>1.0498027922849917</v>
      </c>
      <c r="E100" s="360">
        <f t="shared" ca="1" si="38"/>
        <v>-4.6251633647462151</v>
      </c>
      <c r="F100" s="357">
        <f t="shared" ca="1" si="39"/>
        <v>4.7428074020858038</v>
      </c>
      <c r="G100" s="359">
        <f t="shared" ca="1" si="40"/>
        <v>15.276610759497569</v>
      </c>
      <c r="H100" s="360">
        <f t="shared" ca="1" si="41"/>
        <v>75.351052650808299</v>
      </c>
      <c r="I100" s="357">
        <f t="shared" ca="1" si="42"/>
        <v>76.884042374748219</v>
      </c>
      <c r="J100" s="359">
        <f t="shared" ca="1" si="43"/>
        <v>8.6653258135961124</v>
      </c>
      <c r="K100" s="360">
        <f t="shared" ca="1" si="44"/>
        <v>44.957161502970564</v>
      </c>
      <c r="L100" s="357">
        <f t="shared" ca="1" si="29"/>
        <v>45.784650723358737</v>
      </c>
      <c r="M100" s="359">
        <f t="shared" ca="1" si="45"/>
        <v>1.3707683310864536</v>
      </c>
      <c r="N100" s="357">
        <f t="shared" ca="1" si="46"/>
        <v>78.53924006144527</v>
      </c>
      <c r="O100" s="343"/>
      <c r="P100" s="363">
        <f t="shared" ca="1" si="47"/>
        <v>10</v>
      </c>
      <c r="Q100" s="357">
        <f t="shared" ca="1" si="48"/>
        <v>16.124999999999854</v>
      </c>
      <c r="R100" s="359">
        <f t="shared" ca="1" si="49"/>
        <v>8.5583403538331149E-3</v>
      </c>
      <c r="S100" s="360">
        <f t="shared" ca="1" si="50"/>
        <v>1.5634776748104446</v>
      </c>
      <c r="T100" s="357">
        <f t="shared" ca="1" si="30"/>
        <v>15.337715989890462</v>
      </c>
      <c r="U100" s="364">
        <f t="shared" ca="1" si="31"/>
        <v>0</v>
      </c>
      <c r="V100" s="359">
        <f t="shared" ca="1" si="32"/>
        <v>1.2195050994724093</v>
      </c>
      <c r="W100" s="357">
        <f t="shared" ca="1" si="33"/>
        <v>7.8447072346552682</v>
      </c>
      <c r="X100" s="343"/>
      <c r="Y100" s="367" t="str">
        <f t="shared" ca="1" si="51"/>
        <v/>
      </c>
      <c r="Z100" s="368" t="str">
        <f t="shared" ca="1" si="52"/>
        <v/>
      </c>
      <c r="AA100" s="369" t="str">
        <f t="shared" ca="1" si="53"/>
        <v/>
      </c>
      <c r="AB100" s="344"/>
      <c r="AC100" s="363" t="e">
        <f t="shared" ca="1" si="54"/>
        <v>#N/A</v>
      </c>
      <c r="AD100" s="376" t="e">
        <f t="shared" ca="1" si="55"/>
        <v>#N/A</v>
      </c>
      <c r="AE100" s="377">
        <f t="shared" ca="1" si="34"/>
        <v>44.957161502970564</v>
      </c>
      <c r="AF100" s="344"/>
      <c r="AG100" s="359">
        <f t="shared" ca="1" si="56"/>
        <v>-4.3248429651528726</v>
      </c>
      <c r="AH100" s="357">
        <f t="shared" ca="1" si="57"/>
        <v>5.2900488501486604</v>
      </c>
    </row>
    <row r="101" spans="1:34" x14ac:dyDescent="0.2">
      <c r="A101" s="402">
        <f t="shared" ca="1" si="35"/>
        <v>0.01</v>
      </c>
      <c r="B101" s="357">
        <f t="shared" ca="1" si="36"/>
        <v>0.97000000000000064</v>
      </c>
      <c r="C101" s="342"/>
      <c r="D101" s="359">
        <f t="shared" ca="1" si="37"/>
        <v>0.82995197906925344</v>
      </c>
      <c r="E101" s="360">
        <f t="shared" ca="1" si="38"/>
        <v>-5.7163069513890887</v>
      </c>
      <c r="F101" s="357">
        <f t="shared" ca="1" si="39"/>
        <v>5.776243195197047</v>
      </c>
      <c r="G101" s="359">
        <f t="shared" ca="1" si="40"/>
        <v>15.284910279288262</v>
      </c>
      <c r="H101" s="360">
        <f t="shared" ca="1" si="41"/>
        <v>75.293889581294408</v>
      </c>
      <c r="I101" s="357">
        <f t="shared" ca="1" si="42"/>
        <v>76.829670639187611</v>
      </c>
      <c r="J101" s="359">
        <f t="shared" ca="1" si="43"/>
        <v>8.8181334187900422</v>
      </c>
      <c r="K101" s="360">
        <f t="shared" ca="1" si="44"/>
        <v>45.710386214131077</v>
      </c>
      <c r="L101" s="357">
        <f t="shared" ca="1" si="29"/>
        <v>46.553183401746075</v>
      </c>
      <c r="M101" s="359">
        <f t="shared" ca="1" si="45"/>
        <v>1.3705146250244</v>
      </c>
      <c r="N101" s="357">
        <f t="shared" ca="1" si="46"/>
        <v>78.524703774852725</v>
      </c>
      <c r="O101" s="343"/>
      <c r="P101" s="363">
        <f t="shared" ca="1" si="47"/>
        <v>11</v>
      </c>
      <c r="Q101" s="357">
        <f t="shared" ca="1" si="48"/>
        <v>14.374999999999917</v>
      </c>
      <c r="R101" s="359">
        <f t="shared" ca="1" si="49"/>
        <v>7.6295282224093904E-3</v>
      </c>
      <c r="S101" s="360">
        <f t="shared" ca="1" si="50"/>
        <v>1.5634013795282204</v>
      </c>
      <c r="T101" s="357">
        <f t="shared" ca="1" si="30"/>
        <v>15.336967533171844</v>
      </c>
      <c r="U101" s="364">
        <f t="shared" ca="1" si="31"/>
        <v>0</v>
      </c>
      <c r="V101" s="359">
        <f t="shared" ca="1" si="32"/>
        <v>1.2194132463221841</v>
      </c>
      <c r="W101" s="357">
        <f t="shared" ca="1" si="33"/>
        <v>7.8330257104516656</v>
      </c>
      <c r="X101" s="343"/>
      <c r="Y101" s="367" t="str">
        <f t="shared" ca="1" si="51"/>
        <v/>
      </c>
      <c r="Z101" s="368" t="str">
        <f t="shared" ca="1" si="52"/>
        <v/>
      </c>
      <c r="AA101" s="369" t="str">
        <f t="shared" ca="1" si="53"/>
        <v/>
      </c>
      <c r="AB101" s="344"/>
      <c r="AC101" s="363" t="e">
        <f t="shared" ca="1" si="54"/>
        <v>#N/A</v>
      </c>
      <c r="AD101" s="376" t="e">
        <f t="shared" ca="1" si="55"/>
        <v>#N/A</v>
      </c>
      <c r="AE101" s="377">
        <f t="shared" ca="1" si="34"/>
        <v>45.710386214131077</v>
      </c>
      <c r="AF101" s="344"/>
      <c r="AG101" s="359">
        <f t="shared" ca="1" si="56"/>
        <v>-5.4374208199319343</v>
      </c>
      <c r="AH101" s="357">
        <f t="shared" ca="1" si="57"/>
        <v>4.1769777427951746</v>
      </c>
    </row>
    <row r="102" spans="1:34" x14ac:dyDescent="0.2">
      <c r="A102" s="402">
        <f t="shared" ca="1" si="35"/>
        <v>0.01</v>
      </c>
      <c r="B102" s="357">
        <f t="shared" ca="1" si="36"/>
        <v>0.98000000000000065</v>
      </c>
      <c r="C102" s="342"/>
      <c r="D102" s="359">
        <f t="shared" ca="1" si="37"/>
        <v>0.67344248122373018</v>
      </c>
      <c r="E102" s="360">
        <f t="shared" ca="1" si="38"/>
        <v>-6.4926037644904273</v>
      </c>
      <c r="F102" s="357">
        <f t="shared" ca="1" si="39"/>
        <v>6.5274365885998495</v>
      </c>
      <c r="G102" s="359">
        <f t="shared" ca="1" si="40"/>
        <v>15.291644704100499</v>
      </c>
      <c r="H102" s="360">
        <f t="shared" ca="1" si="41"/>
        <v>75.228963543649499</v>
      </c>
      <c r="I102" s="357">
        <f t="shared" ca="1" si="42"/>
        <v>76.767384699546653</v>
      </c>
      <c r="J102" s="359">
        <f t="shared" ca="1" si="43"/>
        <v>8.9710161937069852</v>
      </c>
      <c r="K102" s="360">
        <f t="shared" ca="1" si="44"/>
        <v>46.463000479755799</v>
      </c>
      <c r="L102" s="357">
        <f t="shared" ca="1" si="29"/>
        <v>47.321132120116701</v>
      </c>
      <c r="M102" s="359">
        <f t="shared" ca="1" si="45"/>
        <v>1.3702603953805397</v>
      </c>
      <c r="N102" s="357">
        <f t="shared" ca="1" si="46"/>
        <v>78.510137489232406</v>
      </c>
      <c r="O102" s="343"/>
      <c r="P102" s="363">
        <f t="shared" ca="1" si="47"/>
        <v>11</v>
      </c>
      <c r="Q102" s="357">
        <f t="shared" ca="1" si="48"/>
        <v>13.124999999999917</v>
      </c>
      <c r="R102" s="359">
        <f t="shared" ca="1" si="49"/>
        <v>6.9660909856781349E-3</v>
      </c>
      <c r="S102" s="360">
        <f t="shared" ca="1" si="50"/>
        <v>1.5633317186183637</v>
      </c>
      <c r="T102" s="357">
        <f t="shared" ca="1" si="30"/>
        <v>15.33628415964615</v>
      </c>
      <c r="U102" s="364">
        <f t="shared" ca="1" si="31"/>
        <v>0</v>
      </c>
      <c r="V102" s="359">
        <f t="shared" ca="1" si="32"/>
        <v>1.2193214745078635</v>
      </c>
      <c r="W102" s="357">
        <f t="shared" ca="1" si="33"/>
        <v>7.8197418149017057</v>
      </c>
      <c r="X102" s="343"/>
      <c r="Y102" s="367" t="str">
        <f t="shared" ca="1" si="51"/>
        <v/>
      </c>
      <c r="Z102" s="368" t="str">
        <f t="shared" ca="1" si="52"/>
        <v/>
      </c>
      <c r="AA102" s="369" t="str">
        <f t="shared" ca="1" si="53"/>
        <v/>
      </c>
      <c r="AB102" s="344"/>
      <c r="AC102" s="363" t="e">
        <f t="shared" ca="1" si="54"/>
        <v>#N/A</v>
      </c>
      <c r="AD102" s="376" t="e">
        <f t="shared" ca="1" si="55"/>
        <v>#N/A</v>
      </c>
      <c r="AE102" s="377">
        <f t="shared" ca="1" si="34"/>
        <v>46.463000479755799</v>
      </c>
      <c r="AF102" s="344"/>
      <c r="AG102" s="359">
        <f t="shared" ca="1" si="56"/>
        <v>-6.2288420483060012</v>
      </c>
      <c r="AH102" s="357">
        <f t="shared" ca="1" si="57"/>
        <v>3.3850616772652544</v>
      </c>
    </row>
    <row r="103" spans="1:34" x14ac:dyDescent="0.2">
      <c r="A103" s="402">
        <f t="shared" ca="1" si="35"/>
        <v>0.01</v>
      </c>
      <c r="B103" s="357">
        <f t="shared" ca="1" si="36"/>
        <v>0.99000000000000066</v>
      </c>
      <c r="C103" s="342"/>
      <c r="D103" s="359">
        <f t="shared" ca="1" si="37"/>
        <v>0.51672840137430354</v>
      </c>
      <c r="E103" s="360">
        <f t="shared" ca="1" si="38"/>
        <v>-7.2678965950907912</v>
      </c>
      <c r="F103" s="357">
        <f t="shared" ca="1" si="39"/>
        <v>7.2862424580656908</v>
      </c>
      <c r="G103" s="359">
        <f t="shared" ca="1" si="40"/>
        <v>15.296811988114241</v>
      </c>
      <c r="H103" s="360">
        <f t="shared" ca="1" si="41"/>
        <v>75.156284577698585</v>
      </c>
      <c r="I103" s="357">
        <f t="shared" ca="1" si="42"/>
        <v>76.69719400684572</v>
      </c>
      <c r="J103" s="359">
        <f t="shared" ca="1" si="43"/>
        <v>9.1239584771680597</v>
      </c>
      <c r="K103" s="360">
        <f t="shared" ca="1" si="44"/>
        <v>47.214926720362541</v>
      </c>
      <c r="L103" s="357">
        <f t="shared" ca="1" si="29"/>
        <v>48.088417768754795</v>
      </c>
      <c r="M103" s="359">
        <f t="shared" ca="1" si="45"/>
        <v>1.3700056144085797</v>
      </c>
      <c r="N103" s="357">
        <f t="shared" ca="1" si="46"/>
        <v>78.495539614838862</v>
      </c>
      <c r="O103" s="343"/>
      <c r="P103" s="363">
        <f t="shared" ca="1" si="47"/>
        <v>11</v>
      </c>
      <c r="Q103" s="357">
        <f t="shared" ca="1" si="48"/>
        <v>11.874999999999917</v>
      </c>
      <c r="R103" s="359">
        <f t="shared" ca="1" si="49"/>
        <v>6.3026537489468803E-3</v>
      </c>
      <c r="S103" s="360">
        <f t="shared" ca="1" si="50"/>
        <v>1.5632686920808743</v>
      </c>
      <c r="T103" s="357">
        <f t="shared" ca="1" si="30"/>
        <v>15.335665869313377</v>
      </c>
      <c r="U103" s="364">
        <f t="shared" ca="1" si="31"/>
        <v>0</v>
      </c>
      <c r="V103" s="359">
        <f t="shared" ca="1" si="32"/>
        <v>1.2192297934706777</v>
      </c>
      <c r="W103" s="357">
        <f t="shared" ca="1" si="33"/>
        <v>7.8048618159463921</v>
      </c>
      <c r="X103" s="343"/>
      <c r="Y103" s="367" t="str">
        <f t="shared" ca="1" si="51"/>
        <v/>
      </c>
      <c r="Z103" s="368" t="str">
        <f t="shared" ca="1" si="52"/>
        <v/>
      </c>
      <c r="AA103" s="369" t="str">
        <f t="shared" ca="1" si="53"/>
        <v/>
      </c>
      <c r="AB103" s="344"/>
      <c r="AC103" s="363" t="e">
        <f t="shared" ca="1" si="54"/>
        <v>#N/A</v>
      </c>
      <c r="AD103" s="376" t="e">
        <f t="shared" ca="1" si="55"/>
        <v>#N/A</v>
      </c>
      <c r="AE103" s="377">
        <f t="shared" ca="1" si="34"/>
        <v>47.214926720362541</v>
      </c>
      <c r="AF103" s="344"/>
      <c r="AG103" s="359">
        <f t="shared" ca="1" si="56"/>
        <v>-7.019318203658278</v>
      </c>
      <c r="AH103" s="357">
        <f t="shared" ca="1" si="57"/>
        <v>2.5940890428121079</v>
      </c>
    </row>
    <row r="104" spans="1:34" x14ac:dyDescent="0.2">
      <c r="A104" s="402">
        <f t="shared" ca="1" si="35"/>
        <v>0.01</v>
      </c>
      <c r="B104" s="357">
        <f t="shared" ca="1" si="36"/>
        <v>1.0000000000000007</v>
      </c>
      <c r="C104" s="342"/>
      <c r="D104" s="359">
        <f t="shared" ca="1" si="37"/>
        <v>0.35981053803208368</v>
      </c>
      <c r="E104" s="360">
        <f t="shared" ca="1" si="38"/>
        <v>-8.0421791487398817</v>
      </c>
      <c r="F104" s="357">
        <f t="shared" ca="1" si="39"/>
        <v>8.0502241635687053</v>
      </c>
      <c r="G104" s="359">
        <f t="shared" ca="1" si="40"/>
        <v>15.300410093494563</v>
      </c>
      <c r="H104" s="360">
        <f t="shared" ca="1" si="41"/>
        <v>75.075862786211189</v>
      </c>
      <c r="I104" s="357">
        <f t="shared" ca="1" si="42"/>
        <v>76.619108074442636</v>
      </c>
      <c r="J104" s="359">
        <f t="shared" ca="1" si="43"/>
        <v>9.2769445875761036</v>
      </c>
      <c r="K104" s="360">
        <f t="shared" ca="1" si="44"/>
        <v>47.966087457182091</v>
      </c>
      <c r="L104" s="357">
        <f t="shared" ca="1" si="29"/>
        <v>48.854961332816536</v>
      </c>
      <c r="M104" s="359">
        <f t="shared" ca="1" si="45"/>
        <v>1.369750254112349</v>
      </c>
      <c r="N104" s="357">
        <f t="shared" ca="1" si="46"/>
        <v>78.48090854760963</v>
      </c>
      <c r="O104" s="343"/>
      <c r="P104" s="363">
        <f t="shared" ca="1" si="47"/>
        <v>11</v>
      </c>
      <c r="Q104" s="357">
        <f t="shared" ca="1" si="48"/>
        <v>10.624999999999917</v>
      </c>
      <c r="R104" s="359">
        <f t="shared" ca="1" si="49"/>
        <v>5.6392165122156248E-3</v>
      </c>
      <c r="S104" s="360">
        <f t="shared" ca="1" si="50"/>
        <v>1.5632122999157521</v>
      </c>
      <c r="T104" s="357">
        <f t="shared" ca="1" si="30"/>
        <v>15.335112662173529</v>
      </c>
      <c r="U104" s="364">
        <f t="shared" ca="1" si="31"/>
        <v>0</v>
      </c>
      <c r="V104" s="359">
        <f t="shared" ca="1" si="32"/>
        <v>1.2191382126367614</v>
      </c>
      <c r="W104" s="357">
        <f t="shared" ca="1" si="33"/>
        <v>7.7883924819628554</v>
      </c>
      <c r="X104" s="343"/>
      <c r="Y104" s="367" t="str">
        <f t="shared" ca="1" si="51"/>
        <v/>
      </c>
      <c r="Z104" s="368" t="str">
        <f t="shared" ca="1" si="52"/>
        <v/>
      </c>
      <c r="AA104" s="369" t="str">
        <f t="shared" ca="1" si="53"/>
        <v/>
      </c>
      <c r="AB104" s="344"/>
      <c r="AC104" s="363">
        <f t="shared" ca="1" si="54"/>
        <v>1.0000000000000007</v>
      </c>
      <c r="AD104" s="376">
        <f t="shared" ca="1" si="55"/>
        <v>9.2769445875761036</v>
      </c>
      <c r="AE104" s="377">
        <f t="shared" ca="1" si="34"/>
        <v>47.966087457182091</v>
      </c>
      <c r="AF104" s="344"/>
      <c r="AG104" s="359">
        <f t="shared" ca="1" si="56"/>
        <v>-7.8088430526213521</v>
      </c>
      <c r="AH104" s="357">
        <f t="shared" ca="1" si="57"/>
        <v>1.8040660147092709</v>
      </c>
    </row>
    <row r="105" spans="1:34" x14ac:dyDescent="0.2">
      <c r="A105" s="402">
        <f t="shared" ca="1" si="35"/>
        <v>0.01</v>
      </c>
      <c r="B105" s="357">
        <f t="shared" ca="1" si="36"/>
        <v>1.0100000000000007</v>
      </c>
      <c r="C105" s="342"/>
      <c r="D105" s="359">
        <f t="shared" ca="1" si="37"/>
        <v>0.20268954487625471</v>
      </c>
      <c r="E105" s="360">
        <f t="shared" ca="1" si="38"/>
        <v>-8.8154454510471396</v>
      </c>
      <c r="F105" s="357">
        <f t="shared" ca="1" si="39"/>
        <v>8.8177753176178086</v>
      </c>
      <c r="G105" s="359">
        <f t="shared" ca="1" si="40"/>
        <v>15.302436988943326</v>
      </c>
      <c r="H105" s="360">
        <f t="shared" ca="1" si="41"/>
        <v>74.987708331700716</v>
      </c>
      <c r="I105" s="357">
        <f t="shared" ca="1" si="42"/>
        <v>76.533136474606849</v>
      </c>
      <c r="J105" s="359">
        <f t="shared" ca="1" si="43"/>
        <v>9.4299588229882936</v>
      </c>
      <c r="K105" s="360">
        <f t="shared" ca="1" si="44"/>
        <v>48.716405312771649</v>
      </c>
      <c r="L105" s="357">
        <f t="shared" ca="1" si="29"/>
        <v>49.620683892924134</v>
      </c>
      <c r="M105" s="359">
        <f t="shared" ca="1" si="45"/>
        <v>1.3694942862276736</v>
      </c>
      <c r="N105" s="357">
        <f t="shared" ca="1" si="46"/>
        <v>78.466242668126839</v>
      </c>
      <c r="O105" s="343"/>
      <c r="P105" s="363">
        <f t="shared" ca="1" si="47"/>
        <v>12</v>
      </c>
      <c r="Q105" s="357">
        <f t="shared" ca="1" si="48"/>
        <v>9.3749999999999023</v>
      </c>
      <c r="R105" s="359">
        <f t="shared" ca="1" si="49"/>
        <v>4.9757792754843624E-3</v>
      </c>
      <c r="S105" s="360">
        <f t="shared" ca="1" si="50"/>
        <v>1.5631625421229973</v>
      </c>
      <c r="T105" s="357">
        <f t="shared" ca="1" si="30"/>
        <v>15.334624538226604</v>
      </c>
      <c r="U105" s="364">
        <f t="shared" ca="1" si="31"/>
        <v>0</v>
      </c>
      <c r="V105" s="359">
        <f t="shared" ca="1" si="32"/>
        <v>1.2190467414170885</v>
      </c>
      <c r="W105" s="357">
        <f t="shared" ca="1" si="33"/>
        <v>7.7703410787094613</v>
      </c>
      <c r="X105" s="343"/>
      <c r="Y105" s="367" t="str">
        <f t="shared" ca="1" si="51"/>
        <v/>
      </c>
      <c r="Z105" s="368" t="str">
        <f t="shared" ca="1" si="52"/>
        <v/>
      </c>
      <c r="AA105" s="369" t="str">
        <f t="shared" ca="1" si="53"/>
        <v/>
      </c>
      <c r="AB105" s="344"/>
      <c r="AC105" s="363" t="e">
        <f t="shared" ca="1" si="54"/>
        <v>#N/A</v>
      </c>
      <c r="AD105" s="376" t="e">
        <f t="shared" ca="1" si="55"/>
        <v>#N/A</v>
      </c>
      <c r="AE105" s="377">
        <f t="shared" ca="1" si="34"/>
        <v>48.716405312771649</v>
      </c>
      <c r="AF105" s="344"/>
      <c r="AG105" s="359">
        <f t="shared" ca="1" si="56"/>
        <v>-8.5974107044402075</v>
      </c>
      <c r="AH105" s="357">
        <f t="shared" ca="1" si="57"/>
        <v>1.0149984248485178</v>
      </c>
    </row>
    <row r="106" spans="1:34" x14ac:dyDescent="0.2">
      <c r="A106" s="402">
        <f t="shared" ca="1" si="35"/>
        <v>0.01</v>
      </c>
      <c r="B106" s="357">
        <f t="shared" ca="1" si="36"/>
        <v>1.0200000000000007</v>
      </c>
      <c r="C106" s="342"/>
      <c r="D106" s="359">
        <f t="shared" ca="1" si="37"/>
        <v>4.5365930006774927E-2</v>
      </c>
      <c r="E106" s="360">
        <f t="shared" ca="1" si="38"/>
        <v>-9.5876898457414086</v>
      </c>
      <c r="F106" s="357">
        <f t="shared" ca="1" si="39"/>
        <v>9.5877971737901451</v>
      </c>
      <c r="G106" s="359">
        <f t="shared" ca="1" si="40"/>
        <v>15.302890648243393</v>
      </c>
      <c r="H106" s="360">
        <f t="shared" ca="1" si="41"/>
        <v>74.891831433243297</v>
      </c>
      <c r="I106" s="357">
        <f t="shared" ca="1" si="42"/>
        <v>76.439288835110332</v>
      </c>
      <c r="J106" s="359">
        <f t="shared" ca="1" si="43"/>
        <v>9.5829854611742267</v>
      </c>
      <c r="K106" s="360">
        <f t="shared" ca="1" si="44"/>
        <v>49.465803011596371</v>
      </c>
      <c r="L106" s="357">
        <f t="shared" ca="1" si="29"/>
        <v>50.385506625726542</v>
      </c>
      <c r="M106" s="359">
        <f t="shared" ca="1" si="45"/>
        <v>1.3692376822038854</v>
      </c>
      <c r="N106" s="357">
        <f t="shared" ca="1" si="46"/>
        <v>78.451540340557699</v>
      </c>
      <c r="O106" s="343"/>
      <c r="P106" s="363">
        <f t="shared" ca="1" si="47"/>
        <v>12</v>
      </c>
      <c r="Q106" s="357">
        <f t="shared" ca="1" si="48"/>
        <v>8.1249999999999023</v>
      </c>
      <c r="R106" s="359">
        <f t="shared" ca="1" si="49"/>
        <v>4.3123420387531069E-3</v>
      </c>
      <c r="S106" s="360">
        <f t="shared" ca="1" si="50"/>
        <v>1.5631194187026098</v>
      </c>
      <c r="T106" s="357">
        <f t="shared" ca="1" si="30"/>
        <v>15.334201497472604</v>
      </c>
      <c r="U106" s="364">
        <f t="shared" ca="1" si="31"/>
        <v>0</v>
      </c>
      <c r="V106" s="359">
        <f t="shared" ca="1" si="32"/>
        <v>1.218955389207417</v>
      </c>
      <c r="W106" s="357">
        <f t="shared" ca="1" si="33"/>
        <v>7.7507153662655179</v>
      </c>
      <c r="X106" s="343"/>
      <c r="Y106" s="367" t="str">
        <f t="shared" ca="1" si="51"/>
        <v/>
      </c>
      <c r="Z106" s="368" t="str">
        <f t="shared" ca="1" si="52"/>
        <v/>
      </c>
      <c r="AA106" s="369" t="str">
        <f t="shared" ca="1" si="53"/>
        <v/>
      </c>
      <c r="AB106" s="344"/>
      <c r="AC106" s="363" t="e">
        <f t="shared" ca="1" si="54"/>
        <v>#N/A</v>
      </c>
      <c r="AD106" s="376" t="e">
        <f t="shared" ca="1" si="55"/>
        <v>#N/A</v>
      </c>
      <c r="AE106" s="377">
        <f t="shared" ca="1" si="34"/>
        <v>49.465803011596371</v>
      </c>
      <c r="AF106" s="344"/>
      <c r="AG106" s="359">
        <f t="shared" ca="1" si="56"/>
        <v>-9.385015609287187</v>
      </c>
      <c r="AH106" s="357">
        <f t="shared" ca="1" si="57"/>
        <v>0.22689176338478867</v>
      </c>
    </row>
    <row r="107" spans="1:34" x14ac:dyDescent="0.2">
      <c r="A107" s="402">
        <f t="shared" ca="1" si="35"/>
        <v>0.01</v>
      </c>
      <c r="B107" s="357">
        <f t="shared" ca="1" si="36"/>
        <v>1.0300000000000007</v>
      </c>
      <c r="C107" s="342"/>
      <c r="D107" s="359">
        <f t="shared" ca="1" si="37"/>
        <v>-0.11215994487520194</v>
      </c>
      <c r="E107" s="360">
        <f t="shared" ca="1" si="38"/>
        <v>-10.358906992687666</v>
      </c>
      <c r="F107" s="357">
        <f t="shared" ca="1" si="39"/>
        <v>10.359514174727879</v>
      </c>
      <c r="G107" s="359">
        <f t="shared" ca="1" si="40"/>
        <v>15.301769048794641</v>
      </c>
      <c r="H107" s="360">
        <f t="shared" ca="1" si="41"/>
        <v>74.788242363316414</v>
      </c>
      <c r="I107" s="357">
        <f t="shared" ca="1" si="42"/>
        <v>76.337574835835639</v>
      </c>
      <c r="J107" s="359">
        <f t="shared" ca="1" si="43"/>
        <v>9.7360087596594163</v>
      </c>
      <c r="K107" s="360">
        <f t="shared" ca="1" si="44"/>
        <v>50.214203380579171</v>
      </c>
      <c r="L107" s="357">
        <f t="shared" ca="1" si="29"/>
        <v>51.149350804426966</v>
      </c>
      <c r="M107" s="359">
        <f t="shared" ca="1" si="45"/>
        <v>1.3689804131849355</v>
      </c>
      <c r="N107" s="357">
        <f t="shared" ca="1" si="46"/>
        <v>78.436799911572393</v>
      </c>
      <c r="O107" s="343"/>
      <c r="P107" s="363">
        <f t="shared" ca="1" si="47"/>
        <v>12</v>
      </c>
      <c r="Q107" s="357">
        <f t="shared" ca="1" si="48"/>
        <v>6.8749999999999023</v>
      </c>
      <c r="R107" s="359">
        <f t="shared" ca="1" si="49"/>
        <v>3.6489048020218518E-3</v>
      </c>
      <c r="S107" s="360">
        <f t="shared" ca="1" si="50"/>
        <v>1.5630829296545896</v>
      </c>
      <c r="T107" s="357">
        <f t="shared" ca="1" si="30"/>
        <v>15.333843539911525</v>
      </c>
      <c r="U107" s="364">
        <f t="shared" ca="1" si="31"/>
        <v>0</v>
      </c>
      <c r="V107" s="359">
        <f t="shared" ca="1" si="32"/>
        <v>1.2188641653882344</v>
      </c>
      <c r="W107" s="357">
        <f t="shared" ca="1" si="33"/>
        <v>7.729523595967227</v>
      </c>
      <c r="X107" s="343"/>
      <c r="Y107" s="367" t="str">
        <f t="shared" ca="1" si="51"/>
        <v/>
      </c>
      <c r="Z107" s="368" t="str">
        <f t="shared" ca="1" si="52"/>
        <v/>
      </c>
      <c r="AA107" s="369" t="str">
        <f t="shared" ca="1" si="53"/>
        <v/>
      </c>
      <c r="AB107" s="344"/>
      <c r="AC107" s="363" t="e">
        <f t="shared" ca="1" si="54"/>
        <v>#N/A</v>
      </c>
      <c r="AD107" s="376" t="e">
        <f t="shared" ca="1" si="55"/>
        <v>#N/A</v>
      </c>
      <c r="AE107" s="377">
        <f t="shared" ca="1" si="34"/>
        <v>50.214203380579171</v>
      </c>
      <c r="AF107" s="344"/>
      <c r="AG107" s="359">
        <f t="shared" ca="1" si="56"/>
        <v>-10.171652556550448</v>
      </c>
      <c r="AH107" s="357">
        <f t="shared" ca="1" si="57"/>
        <v>-0.56024881959342454</v>
      </c>
    </row>
    <row r="108" spans="1:34" x14ac:dyDescent="0.2">
      <c r="A108" s="402">
        <f t="shared" ca="1" si="35"/>
        <v>0.01</v>
      </c>
      <c r="B108" s="357">
        <f t="shared" ca="1" si="36"/>
        <v>1.0400000000000007</v>
      </c>
      <c r="C108" s="342"/>
      <c r="D108" s="359">
        <f t="shared" ca="1" si="37"/>
        <v>-0.26988786536121834</v>
      </c>
      <c r="E108" s="360">
        <f t="shared" ca="1" si="38"/>
        <v>-11.12909186586128</v>
      </c>
      <c r="F108" s="357">
        <f t="shared" ca="1" si="39"/>
        <v>11.132363864815458</v>
      </c>
      <c r="G108" s="359">
        <f t="shared" ca="1" si="40"/>
        <v>15.299070170141029</v>
      </c>
      <c r="H108" s="360">
        <f t="shared" ca="1" si="41"/>
        <v>74.676951444657803</v>
      </c>
      <c r="I108" s="357">
        <f t="shared" ca="1" si="42"/>
        <v>76.228004205401305</v>
      </c>
      <c r="J108" s="359">
        <f t="shared" ca="1" si="43"/>
        <v>9.8890129557540938</v>
      </c>
      <c r="K108" s="360">
        <f t="shared" ca="1" si="44"/>
        <v>50.961529349619042</v>
      </c>
      <c r="L108" s="357">
        <f t="shared" ca="1" si="29"/>
        <v>51.912137799277303</v>
      </c>
      <c r="M108" s="359">
        <f t="shared" ca="1" si="45"/>
        <v>1.368722449990079</v>
      </c>
      <c r="N108" s="357">
        <f t="shared" ca="1" si="46"/>
        <v>78.422019709237418</v>
      </c>
      <c r="O108" s="343"/>
      <c r="P108" s="363">
        <f t="shared" ca="1" si="47"/>
        <v>12</v>
      </c>
      <c r="Q108" s="357">
        <f t="shared" ca="1" si="48"/>
        <v>5.6249999999999032</v>
      </c>
      <c r="R108" s="359">
        <f t="shared" ca="1" si="49"/>
        <v>2.9854675652905972E-3</v>
      </c>
      <c r="S108" s="360">
        <f t="shared" ca="1" si="50"/>
        <v>1.5630530749789366</v>
      </c>
      <c r="T108" s="357">
        <f t="shared" ca="1" si="30"/>
        <v>15.333550665543369</v>
      </c>
      <c r="U108" s="364">
        <f t="shared" ca="1" si="31"/>
        <v>0</v>
      </c>
      <c r="V108" s="359">
        <f t="shared" ca="1" si="32"/>
        <v>1.2187730793247091</v>
      </c>
      <c r="W108" s="357">
        <f t="shared" ca="1" si="33"/>
        <v>7.7067745073416463</v>
      </c>
      <c r="X108" s="343"/>
      <c r="Y108" s="367" t="str">
        <f t="shared" ca="1" si="51"/>
        <v/>
      </c>
      <c r="Z108" s="368" t="str">
        <f t="shared" ca="1" si="52"/>
        <v/>
      </c>
      <c r="AA108" s="369" t="str">
        <f t="shared" ca="1" si="53"/>
        <v/>
      </c>
      <c r="AB108" s="344"/>
      <c r="AC108" s="363" t="e">
        <f t="shared" ca="1" si="54"/>
        <v>#N/A</v>
      </c>
      <c r="AD108" s="376" t="e">
        <f t="shared" ca="1" si="55"/>
        <v>#N/A</v>
      </c>
      <c r="AE108" s="377">
        <f t="shared" ca="1" si="34"/>
        <v>50.961529349619042</v>
      </c>
      <c r="AF108" s="344"/>
      <c r="AG108" s="359">
        <f t="shared" ca="1" si="56"/>
        <v>-10.957316673096797</v>
      </c>
      <c r="AH108" s="357">
        <f t="shared" ca="1" si="57"/>
        <v>-1.3464185123692514</v>
      </c>
    </row>
    <row r="109" spans="1:34" x14ac:dyDescent="0.2">
      <c r="A109" s="402">
        <f t="shared" ca="1" si="35"/>
        <v>0.01</v>
      </c>
      <c r="B109" s="357">
        <f t="shared" ca="1" si="36"/>
        <v>1.0500000000000007</v>
      </c>
      <c r="C109" s="342"/>
      <c r="D109" s="359">
        <f t="shared" ca="1" si="37"/>
        <v>-0.42781776530600302</v>
      </c>
      <c r="E109" s="360">
        <f t="shared" ca="1" si="38"/>
        <v>-11.898239751280514</v>
      </c>
      <c r="F109" s="357">
        <f t="shared" ca="1" si="39"/>
        <v>11.905928658414815</v>
      </c>
      <c r="G109" s="359">
        <f t="shared" ca="1" si="40"/>
        <v>15.294791992487969</v>
      </c>
      <c r="H109" s="360">
        <f t="shared" ca="1" si="41"/>
        <v>74.557969047144994</v>
      </c>
      <c r="I109" s="357">
        <f t="shared" ca="1" si="42"/>
        <v>76.110586717804935</v>
      </c>
      <c r="J109" s="359">
        <f t="shared" ca="1" si="43"/>
        <v>10.041982266567238</v>
      </c>
      <c r="K109" s="360">
        <f t="shared" ca="1" si="44"/>
        <v>51.707703952078056</v>
      </c>
      <c r="L109" s="357">
        <f t="shared" ca="1" si="29"/>
        <v>52.673789078039562</v>
      </c>
      <c r="M109" s="359">
        <f t="shared" ca="1" si="45"/>
        <v>1.3684637630940986</v>
      </c>
      <c r="N109" s="357">
        <f t="shared" ca="1" si="46"/>
        <v>78.407198041882396</v>
      </c>
      <c r="O109" s="343"/>
      <c r="P109" s="363">
        <f t="shared" ca="1" si="47"/>
        <v>12</v>
      </c>
      <c r="Q109" s="357">
        <f t="shared" ca="1" si="48"/>
        <v>4.3749999999999032</v>
      </c>
      <c r="R109" s="359">
        <f t="shared" ca="1" si="49"/>
        <v>2.3220303285593417E-3</v>
      </c>
      <c r="S109" s="360">
        <f t="shared" ca="1" si="50"/>
        <v>1.5630298546756511</v>
      </c>
      <c r="T109" s="357">
        <f t="shared" ca="1" si="30"/>
        <v>15.333322874368138</v>
      </c>
      <c r="U109" s="364">
        <f t="shared" ca="1" si="31"/>
        <v>0</v>
      </c>
      <c r="V109" s="359">
        <f t="shared" ca="1" si="32"/>
        <v>1.2186821403666472</v>
      </c>
      <c r="W109" s="357">
        <f t="shared" ca="1" si="33"/>
        <v>7.6824773250402814</v>
      </c>
      <c r="X109" s="343"/>
      <c r="Y109" s="367" t="str">
        <f t="shared" ca="1" si="51"/>
        <v/>
      </c>
      <c r="Z109" s="368" t="str">
        <f t="shared" ca="1" si="52"/>
        <v/>
      </c>
      <c r="AA109" s="369" t="str">
        <f t="shared" ca="1" si="53"/>
        <v/>
      </c>
      <c r="AB109" s="344"/>
      <c r="AC109" s="363" t="e">
        <f t="shared" ca="1" si="54"/>
        <v>#N/A</v>
      </c>
      <c r="AD109" s="376" t="e">
        <f t="shared" ca="1" si="55"/>
        <v>#N/A</v>
      </c>
      <c r="AE109" s="377">
        <f t="shared" ca="1" si="34"/>
        <v>51.707703952078056</v>
      </c>
      <c r="AF109" s="344"/>
      <c r="AG109" s="359">
        <f t="shared" ca="1" si="56"/>
        <v>-11.742003421510274</v>
      </c>
      <c r="AH109" s="357">
        <f t="shared" ca="1" si="57"/>
        <v>-2.1316128398795873</v>
      </c>
    </row>
    <row r="110" spans="1:34" x14ac:dyDescent="0.2">
      <c r="A110" s="402">
        <f t="shared" ca="1" si="35"/>
        <v>0.01</v>
      </c>
      <c r="B110" s="357">
        <f t="shared" ca="1" si="36"/>
        <v>1.0600000000000007</v>
      </c>
      <c r="C110" s="342"/>
      <c r="D110" s="359">
        <f t="shared" ca="1" si="37"/>
        <v>-0.58594972787698196</v>
      </c>
      <c r="E110" s="360">
        <f t="shared" ca="1" si="38"/>
        <v>-12.666346244897742</v>
      </c>
      <c r="F110" s="357">
        <f t="shared" ca="1" si="39"/>
        <v>12.679892124116602</v>
      </c>
      <c r="G110" s="359">
        <f t="shared" ca="1" si="40"/>
        <v>15.288932495209199</v>
      </c>
      <c r="H110" s="360">
        <f t="shared" ca="1" si="41"/>
        <v>74.43130558469602</v>
      </c>
      <c r="I110" s="357">
        <f t="shared" ca="1" si="42"/>
        <v>75.985332189084133</v>
      </c>
      <c r="J110" s="359">
        <f t="shared" ca="1" si="43"/>
        <v>10.194900889005725</v>
      </c>
      <c r="K110" s="360">
        <f t="shared" ca="1" si="44"/>
        <v>52.452650325237258</v>
      </c>
      <c r="L110" s="357">
        <f t="shared" ca="1" si="29"/>
        <v>53.434226206414387</v>
      </c>
      <c r="M110" s="359">
        <f t="shared" ca="1" si="45"/>
        <v>1.3682043226070344</v>
      </c>
      <c r="N110" s="357">
        <f t="shared" ca="1" si="46"/>
        <v>78.392333196938793</v>
      </c>
      <c r="O110" s="343"/>
      <c r="P110" s="363">
        <f t="shared" ca="1" si="47"/>
        <v>12</v>
      </c>
      <c r="Q110" s="357">
        <f t="shared" ca="1" si="48"/>
        <v>3.1249999999999032</v>
      </c>
      <c r="R110" s="359">
        <f t="shared" ca="1" si="49"/>
        <v>1.6585930918280867E-3</v>
      </c>
      <c r="S110" s="360">
        <f t="shared" ca="1" si="50"/>
        <v>1.5630132687447329</v>
      </c>
      <c r="T110" s="357">
        <f t="shared" ca="1" si="30"/>
        <v>15.333160166385831</v>
      </c>
      <c r="U110" s="364">
        <f t="shared" ca="1" si="31"/>
        <v>0</v>
      </c>
      <c r="V110" s="359">
        <f t="shared" ca="1" si="32"/>
        <v>1.2185913578484502</v>
      </c>
      <c r="W110" s="357">
        <f t="shared" ca="1" si="33"/>
        <v>7.6566417557739817</v>
      </c>
      <c r="X110" s="343"/>
      <c r="Y110" s="367" t="str">
        <f t="shared" ca="1" si="51"/>
        <v/>
      </c>
      <c r="Z110" s="368" t="str">
        <f t="shared" ca="1" si="52"/>
        <v/>
      </c>
      <c r="AA110" s="369" t="str">
        <f t="shared" ca="1" si="53"/>
        <v/>
      </c>
      <c r="AB110" s="344"/>
      <c r="AC110" s="363" t="e">
        <f t="shared" ca="1" si="54"/>
        <v>#N/A</v>
      </c>
      <c r="AD110" s="376" t="e">
        <f t="shared" ca="1" si="55"/>
        <v>#N/A</v>
      </c>
      <c r="AE110" s="377">
        <f t="shared" ca="1" si="34"/>
        <v>52.452650325237258</v>
      </c>
      <c r="AF110" s="344"/>
      <c r="AG110" s="359">
        <f t="shared" ca="1" si="56"/>
        <v>-12.525708598307533</v>
      </c>
      <c r="AH110" s="357">
        <f t="shared" ca="1" si="57"/>
        <v>-2.9158276619753334</v>
      </c>
    </row>
    <row r="111" spans="1:34" x14ac:dyDescent="0.2">
      <c r="A111" s="402">
        <f t="shared" ca="1" si="35"/>
        <v>0.01</v>
      </c>
      <c r="B111" s="357">
        <f t="shared" ca="1" si="36"/>
        <v>1.0700000000000007</v>
      </c>
      <c r="C111" s="342"/>
      <c r="D111" s="359">
        <f t="shared" ca="1" si="37"/>
        <v>-0.74428398668544171</v>
      </c>
      <c r="E111" s="360">
        <f t="shared" ca="1" si="38"/>
        <v>-13.433407250449891</v>
      </c>
      <c r="F111" s="357">
        <f t="shared" ca="1" si="39"/>
        <v>13.454010146022489</v>
      </c>
      <c r="G111" s="359">
        <f t="shared" ca="1" si="40"/>
        <v>15.281489655342344</v>
      </c>
      <c r="H111" s="360">
        <f t="shared" ca="1" si="41"/>
        <v>74.296971512191519</v>
      </c>
      <c r="I111" s="357">
        <f t="shared" ca="1" si="42"/>
        <v>75.852250473995383</v>
      </c>
      <c r="J111" s="359">
        <f t="shared" ca="1" si="43"/>
        <v>10.347752999758482</v>
      </c>
      <c r="K111" s="360">
        <f t="shared" ca="1" si="44"/>
        <v>53.196291710721695</v>
      </c>
      <c r="L111" s="357">
        <f t="shared" ca="1" si="29"/>
        <v>54.193370848436878</v>
      </c>
      <c r="M111" s="359">
        <f t="shared" ca="1" si="45"/>
        <v>1.3679440982533824</v>
      </c>
      <c r="N111" s="357">
        <f t="shared" ca="1" si="46"/>
        <v>78.377423439748014</v>
      </c>
      <c r="O111" s="343"/>
      <c r="P111" s="363">
        <f t="shared" ca="1" si="47"/>
        <v>12</v>
      </c>
      <c r="Q111" s="357">
        <f t="shared" ca="1" si="48"/>
        <v>1.8749999999999023</v>
      </c>
      <c r="R111" s="359">
        <f t="shared" ca="1" si="49"/>
        <v>9.9515585509683097E-4</v>
      </c>
      <c r="S111" s="360">
        <f t="shared" ca="1" si="50"/>
        <v>1.5630033171861819</v>
      </c>
      <c r="T111" s="357">
        <f t="shared" ca="1" si="30"/>
        <v>15.333062541596446</v>
      </c>
      <c r="U111" s="364">
        <f t="shared" ca="1" si="31"/>
        <v>0</v>
      </c>
      <c r="V111" s="359">
        <f t="shared" ca="1" si="32"/>
        <v>1.2185007410890831</v>
      </c>
      <c r="W111" s="357">
        <f t="shared" ca="1" si="33"/>
        <v>7.6292779852507593</v>
      </c>
      <c r="X111" s="343"/>
      <c r="Y111" s="367" t="str">
        <f t="shared" ca="1" si="51"/>
        <v/>
      </c>
      <c r="Z111" s="368" t="str">
        <f t="shared" ca="1" si="52"/>
        <v/>
      </c>
      <c r="AA111" s="369" t="str">
        <f t="shared" ca="1" si="53"/>
        <v/>
      </c>
      <c r="AB111" s="344"/>
      <c r="AC111" s="363" t="e">
        <f t="shared" ca="1" si="54"/>
        <v>#N/A</v>
      </c>
      <c r="AD111" s="376" t="e">
        <f t="shared" ca="1" si="55"/>
        <v>#N/A</v>
      </c>
      <c r="AE111" s="377">
        <f t="shared" ca="1" si="34"/>
        <v>53.196291710721695</v>
      </c>
      <c r="AF111" s="344"/>
      <c r="AG111" s="359">
        <f t="shared" ca="1" si="56"/>
        <v>-13.308428332131172</v>
      </c>
      <c r="AH111" s="357">
        <f t="shared" ca="1" si="57"/>
        <v>-3.6990591716609784</v>
      </c>
    </row>
    <row r="112" spans="1:34" x14ac:dyDescent="0.2">
      <c r="A112" s="402">
        <f t="shared" ca="1" si="35"/>
        <v>0.01</v>
      </c>
      <c r="B112" s="357">
        <f t="shared" ca="1" si="36"/>
        <v>1.0800000000000007</v>
      </c>
      <c r="C112" s="342"/>
      <c r="D112" s="359">
        <f t="shared" ca="1" si="37"/>
        <v>-0.90282092700217675</v>
      </c>
      <c r="E112" s="360">
        <f t="shared" ca="1" si="38"/>
        <v>-14.199418977268444</v>
      </c>
      <c r="F112" s="357">
        <f t="shared" ca="1" si="39"/>
        <v>14.228091401106624</v>
      </c>
      <c r="G112" s="359">
        <f t="shared" ca="1" si="40"/>
        <v>15.272461446072322</v>
      </c>
      <c r="H112" s="360">
        <f t="shared" ca="1" si="41"/>
        <v>74.15497732241883</v>
      </c>
      <c r="I112" s="357">
        <f t="shared" ca="1" si="42"/>
        <v>75.711351462711434</v>
      </c>
      <c r="J112" s="359">
        <f t="shared" ca="1" si="43"/>
        <v>10.500522755265555</v>
      </c>
      <c r="K112" s="360">
        <f t="shared" ca="1" si="44"/>
        <v>53.93855145489475</v>
      </c>
      <c r="L112" s="357">
        <f t="shared" ca="1" si="29"/>
        <v>54.951144766839732</v>
      </c>
      <c r="M112" s="359">
        <f t="shared" ca="1" si="45"/>
        <v>1.367683059350725</v>
      </c>
      <c r="N112" s="357">
        <f t="shared" ca="1" si="46"/>
        <v>78.362467012337021</v>
      </c>
      <c r="O112" s="343"/>
      <c r="P112" s="363">
        <f t="shared" ca="1" si="47"/>
        <v>12</v>
      </c>
      <c r="Q112" s="357">
        <f t="shared" ca="1" si="48"/>
        <v>0.6249999999999023</v>
      </c>
      <c r="R112" s="359">
        <f t="shared" ca="1" si="49"/>
        <v>3.3171861836557576E-4</v>
      </c>
      <c r="S112" s="360">
        <f t="shared" ca="1" si="50"/>
        <v>1.5629999999999982</v>
      </c>
      <c r="T112" s="357">
        <f t="shared" ca="1" si="30"/>
        <v>15.333029999999983</v>
      </c>
      <c r="U112" s="364">
        <f t="shared" ca="1" si="31"/>
        <v>0</v>
      </c>
      <c r="V112" s="359">
        <f t="shared" ca="1" si="32"/>
        <v>1.2184102993920412</v>
      </c>
      <c r="W112" s="357">
        <f t="shared" ca="1" si="33"/>
        <v>7.6003966751181595</v>
      </c>
      <c r="X112" s="343"/>
      <c r="Y112" s="367" t="str">
        <f t="shared" ca="1" si="51"/>
        <v/>
      </c>
      <c r="Z112" s="368" t="str">
        <f t="shared" ca="1" si="52"/>
        <v/>
      </c>
      <c r="AA112" s="369" t="str">
        <f t="shared" ca="1" si="53"/>
        <v/>
      </c>
      <c r="AB112" s="344"/>
      <c r="AC112" s="363" t="e">
        <f t="shared" ca="1" si="54"/>
        <v>#N/A</v>
      </c>
      <c r="AD112" s="376" t="e">
        <f t="shared" ca="1" si="55"/>
        <v>#N/A</v>
      </c>
      <c r="AE112" s="377">
        <f t="shared" ca="1" si="34"/>
        <v>53.93855145489475</v>
      </c>
      <c r="AF112" s="344"/>
      <c r="AG112" s="359">
        <f t="shared" ca="1" si="56"/>
        <v>-14.090159081922096</v>
      </c>
      <c r="AH112" s="357">
        <f t="shared" ca="1" si="57"/>
        <v>-4.4813038933146929</v>
      </c>
    </row>
    <row r="113" spans="1:34" x14ac:dyDescent="0.2">
      <c r="A113" s="402">
        <f t="shared" ca="1" si="35"/>
        <v>0.01</v>
      </c>
      <c r="B113" s="357">
        <f t="shared" ca="1" si="36"/>
        <v>1.0900000000000007</v>
      </c>
      <c r="C113" s="342"/>
      <c r="D113" s="359">
        <f t="shared" ca="1" si="37"/>
        <v>-0.98090132290163579</v>
      </c>
      <c r="E113" s="360">
        <f t="shared" ca="1" si="38"/>
        <v>-14.572736878540816</v>
      </c>
      <c r="F113" s="357">
        <f t="shared" ca="1" si="39"/>
        <v>14.605712154374865</v>
      </c>
      <c r="G113" s="359">
        <f t="shared" ca="1" si="40"/>
        <v>15.262652432843305</v>
      </c>
      <c r="H113" s="360">
        <f t="shared" ca="1" si="41"/>
        <v>74.009249953633429</v>
      </c>
      <c r="I113" s="357">
        <f t="shared" ca="1" si="42"/>
        <v>75.566643686120969</v>
      </c>
      <c r="J113" s="359">
        <f t="shared" ca="1" si="43"/>
        <v>10.653198324660133</v>
      </c>
      <c r="K113" s="360">
        <f t="shared" ca="1" si="44"/>
        <v>54.679372591275012</v>
      </c>
      <c r="L113" s="357">
        <f t="shared" ca="1" si="29"/>
        <v>55.707489815284433</v>
      </c>
      <c r="M113" s="359">
        <f t="shared" ca="1" si="45"/>
        <v>1.3674211886453786</v>
      </c>
      <c r="N113" s="357">
        <f t="shared" ca="1" si="46"/>
        <v>78.347462926142569</v>
      </c>
      <c r="O113" s="343"/>
      <c r="P113" s="363">
        <f t="shared" ca="1" si="47"/>
        <v>13</v>
      </c>
      <c r="Q113" s="357">
        <f t="shared" ca="1" si="48"/>
        <v>0</v>
      </c>
      <c r="R113" s="359">
        <f t="shared" ca="1" si="49"/>
        <v>0</v>
      </c>
      <c r="S113" s="360">
        <f t="shared" ca="1" si="50"/>
        <v>1.5629999999999982</v>
      </c>
      <c r="T113" s="357">
        <f t="shared" ca="1" si="30"/>
        <v>15.333029999999983</v>
      </c>
      <c r="U113" s="364">
        <f t="shared" ca="1" si="31"/>
        <v>0</v>
      </c>
      <c r="V113" s="359">
        <f t="shared" ca="1" si="32"/>
        <v>1.2183200396595864</v>
      </c>
      <c r="W113" s="357">
        <f t="shared" ca="1" si="33"/>
        <v>7.5708101426536789</v>
      </c>
      <c r="X113" s="343"/>
      <c r="Y113" s="367" t="str">
        <f t="shared" ca="1" si="51"/>
        <v>Fin de propulsion</v>
      </c>
      <c r="Z113" s="368" t="str">
        <f t="shared" ca="1" si="52"/>
        <v/>
      </c>
      <c r="AA113" s="369" t="str">
        <f t="shared" ca="1" si="53"/>
        <v/>
      </c>
      <c r="AB113" s="344"/>
      <c r="AC113" s="363" t="e">
        <f t="shared" ca="1" si="54"/>
        <v>#N/A</v>
      </c>
      <c r="AD113" s="376" t="e">
        <f t="shared" ca="1" si="55"/>
        <v>#N/A</v>
      </c>
      <c r="AE113" s="377">
        <f t="shared" ca="1" si="34"/>
        <v>54.679372591275012</v>
      </c>
      <c r="AF113" s="344"/>
      <c r="AG113" s="359">
        <f t="shared" ca="1" si="56"/>
        <v>-14.471036762958743</v>
      </c>
      <c r="AH113" s="357">
        <f t="shared" ca="1" si="57"/>
        <v>-4.8626978087768196</v>
      </c>
    </row>
    <row r="114" spans="1:34" x14ac:dyDescent="0.2">
      <c r="A114" s="402">
        <f t="shared" ca="1" si="35"/>
        <v>0.01</v>
      </c>
      <c r="B114" s="357">
        <f t="shared" ca="1" si="36"/>
        <v>1.1000000000000008</v>
      </c>
      <c r="C114" s="342"/>
      <c r="D114" s="359">
        <f t="shared" ca="1" si="37"/>
        <v>-0.97832524049416447</v>
      </c>
      <c r="E114" s="360">
        <f t="shared" ca="1" si="38"/>
        <v>-14.553940647162644</v>
      </c>
      <c r="F114" s="357">
        <f t="shared" ca="1" si="39"/>
        <v>14.586785411368776</v>
      </c>
      <c r="G114" s="359">
        <f t="shared" ca="1" si="40"/>
        <v>15.252869180438363</v>
      </c>
      <c r="H114" s="360">
        <f t="shared" ca="1" si="41"/>
        <v>73.863710547161801</v>
      </c>
      <c r="I114" s="357">
        <f t="shared" ca="1" si="42"/>
        <v>75.422130399707413</v>
      </c>
      <c r="J114" s="359">
        <f t="shared" ca="1" si="43"/>
        <v>10.805775932726542</v>
      </c>
      <c r="K114" s="360">
        <f t="shared" ca="1" si="44"/>
        <v>55.41873739377899</v>
      </c>
      <c r="L114" s="357">
        <f t="shared" ca="1" si="29"/>
        <v>56.462387904063448</v>
      </c>
      <c r="M114" s="359">
        <f t="shared" ca="1" si="45"/>
        <v>1.3671584825811816</v>
      </c>
      <c r="N114" s="357">
        <f t="shared" ca="1" si="46"/>
        <v>78.332410977411584</v>
      </c>
      <c r="O114" s="343"/>
      <c r="P114" s="363">
        <f t="shared" ca="1" si="47"/>
        <v>13</v>
      </c>
      <c r="Q114" s="357">
        <f t="shared" ca="1" si="48"/>
        <v>0</v>
      </c>
      <c r="R114" s="359">
        <f t="shared" ca="1" si="49"/>
        <v>0</v>
      </c>
      <c r="S114" s="360">
        <f t="shared" ca="1" si="50"/>
        <v>1.5629999999999982</v>
      </c>
      <c r="T114" s="357">
        <f t="shared" ca="1" si="30"/>
        <v>15.333029999999983</v>
      </c>
      <c r="U114" s="364">
        <f t="shared" ca="1" si="31"/>
        <v>0</v>
      </c>
      <c r="V114" s="359">
        <f t="shared" ca="1" si="32"/>
        <v>1.2182299640115917</v>
      </c>
      <c r="W114" s="357">
        <f t="shared" ca="1" si="33"/>
        <v>7.541323465385191</v>
      </c>
      <c r="X114" s="343"/>
      <c r="Y114" s="367" t="str">
        <f t="shared" ca="1" si="51"/>
        <v/>
      </c>
      <c r="Z114" s="368" t="str">
        <f t="shared" ca="1" si="52"/>
        <v/>
      </c>
      <c r="AA114" s="369" t="str">
        <f t="shared" ca="1" si="53"/>
        <v/>
      </c>
      <c r="AB114" s="344"/>
      <c r="AC114" s="363" t="e">
        <f t="shared" ca="1" si="54"/>
        <v>#N/A</v>
      </c>
      <c r="AD114" s="376" t="e">
        <f t="shared" ca="1" si="55"/>
        <v>#N/A</v>
      </c>
      <c r="AE114" s="377">
        <f t="shared" ca="1" si="34"/>
        <v>55.41873739377899</v>
      </c>
      <c r="AF114" s="344"/>
      <c r="AG114" s="359">
        <f t="shared" ca="1" si="56"/>
        <v>-14.45158890229658</v>
      </c>
      <c r="AH114" s="357">
        <f t="shared" ca="1" si="57"/>
        <v>-4.8437684853830376</v>
      </c>
    </row>
    <row r="115" spans="1:34" x14ac:dyDescent="0.2">
      <c r="A115" s="402">
        <f t="shared" ca="1" si="35"/>
        <v>0.01</v>
      </c>
      <c r="B115" s="357">
        <f t="shared" ca="1" si="36"/>
        <v>1.1100000000000008</v>
      </c>
      <c r="C115" s="342"/>
      <c r="D115" s="359">
        <f t="shared" ca="1" si="37"/>
        <v>-0.97575624850039222</v>
      </c>
      <c r="E115" s="360">
        <f t="shared" ca="1" si="38"/>
        <v>-14.535207844583775</v>
      </c>
      <c r="F115" s="357">
        <f t="shared" ca="1" si="39"/>
        <v>14.567922547217819</v>
      </c>
      <c r="G115" s="359">
        <f t="shared" ca="1" si="40"/>
        <v>15.24311161795336</v>
      </c>
      <c r="H115" s="360">
        <f t="shared" ca="1" si="41"/>
        <v>73.718358468715962</v>
      </c>
      <c r="I115" s="357">
        <f t="shared" ca="1" si="42"/>
        <v>75.277810987830208</v>
      </c>
      <c r="J115" s="359">
        <f t="shared" ca="1" si="43"/>
        <v>10.9582558367185</v>
      </c>
      <c r="K115" s="360">
        <f t="shared" ca="1" si="44"/>
        <v>56.156647738858382</v>
      </c>
      <c r="L115" s="357">
        <f t="shared" ca="1" si="29"/>
        <v>57.215840955536109</v>
      </c>
      <c r="M115" s="359">
        <f t="shared" ca="1" si="45"/>
        <v>1.3668949375814674</v>
      </c>
      <c r="N115" s="357">
        <f t="shared" ca="1" si="46"/>
        <v>78.31731096121618</v>
      </c>
      <c r="O115" s="343"/>
      <c r="P115" s="363">
        <f t="shared" ca="1" si="47"/>
        <v>13</v>
      </c>
      <c r="Q115" s="357">
        <f t="shared" ca="1" si="48"/>
        <v>0</v>
      </c>
      <c r="R115" s="359">
        <f t="shared" ca="1" si="49"/>
        <v>0</v>
      </c>
      <c r="S115" s="360">
        <f t="shared" ca="1" si="50"/>
        <v>1.5629999999999982</v>
      </c>
      <c r="T115" s="357">
        <f t="shared" ca="1" si="30"/>
        <v>15.333029999999983</v>
      </c>
      <c r="U115" s="364">
        <f t="shared" ca="1" si="31"/>
        <v>0</v>
      </c>
      <c r="V115" s="359">
        <f t="shared" ca="1" si="32"/>
        <v>1.2181400721794964</v>
      </c>
      <c r="W115" s="357">
        <f t="shared" ca="1" si="33"/>
        <v>7.5119362611812281</v>
      </c>
      <c r="X115" s="343"/>
      <c r="Y115" s="367" t="str">
        <f t="shared" ca="1" si="51"/>
        <v/>
      </c>
      <c r="Z115" s="368" t="str">
        <f t="shared" ca="1" si="52"/>
        <v/>
      </c>
      <c r="AA115" s="369" t="str">
        <f t="shared" ca="1" si="53"/>
        <v/>
      </c>
      <c r="AB115" s="344"/>
      <c r="AC115" s="363" t="e">
        <f t="shared" ca="1" si="54"/>
        <v>#N/A</v>
      </c>
      <c r="AD115" s="376" t="e">
        <f t="shared" ca="1" si="55"/>
        <v>#N/A</v>
      </c>
      <c r="AE115" s="377">
        <f t="shared" ca="1" si="34"/>
        <v>56.156647738858382</v>
      </c>
      <c r="AF115" s="344"/>
      <c r="AG115" s="359">
        <f t="shared" ca="1" si="56"/>
        <v>-14.432202612374976</v>
      </c>
      <c r="AH115" s="357">
        <f t="shared" ca="1" si="57"/>
        <v>-4.8249030488708895</v>
      </c>
    </row>
    <row r="116" spans="1:34" x14ac:dyDescent="0.2">
      <c r="A116" s="402">
        <f t="shared" ca="1" si="35"/>
        <v>0.01</v>
      </c>
      <c r="B116" s="357">
        <f t="shared" ca="1" si="36"/>
        <v>1.1200000000000008</v>
      </c>
      <c r="C116" s="342"/>
      <c r="D116" s="359">
        <f t="shared" ca="1" si="37"/>
        <v>-0.9731943173168468</v>
      </c>
      <c r="E116" s="360">
        <f t="shared" ca="1" si="38"/>
        <v>-14.516538228007363</v>
      </c>
      <c r="F116" s="357">
        <f t="shared" ca="1" si="39"/>
        <v>14.549123317384348</v>
      </c>
      <c r="G116" s="359">
        <f t="shared" ca="1" si="40"/>
        <v>15.233379674780192</v>
      </c>
      <c r="H116" s="360">
        <f t="shared" ca="1" si="41"/>
        <v>73.573193086435893</v>
      </c>
      <c r="I116" s="357">
        <f t="shared" ca="1" si="42"/>
        <v>75.133684837428177</v>
      </c>
      <c r="J116" s="359">
        <f t="shared" ca="1" si="43"/>
        <v>11.110638293182168</v>
      </c>
      <c r="K116" s="360">
        <f t="shared" ca="1" si="44"/>
        <v>56.893105496634142</v>
      </c>
      <c r="L116" s="357">
        <f t="shared" ca="1" si="29"/>
        <v>57.967850885927</v>
      </c>
      <c r="M116" s="359">
        <f t="shared" ca="1" si="45"/>
        <v>1.3666305500489195</v>
      </c>
      <c r="N116" s="357">
        <f t="shared" ca="1" si="46"/>
        <v>78.302162671445316</v>
      </c>
      <c r="O116" s="343"/>
      <c r="P116" s="363">
        <f t="shared" ca="1" si="47"/>
        <v>13</v>
      </c>
      <c r="Q116" s="357">
        <f t="shared" ca="1" si="48"/>
        <v>0</v>
      </c>
      <c r="R116" s="359">
        <f t="shared" ca="1" si="49"/>
        <v>0</v>
      </c>
      <c r="S116" s="360">
        <f t="shared" ca="1" si="50"/>
        <v>1.5629999999999982</v>
      </c>
      <c r="T116" s="357">
        <f t="shared" ca="1" si="30"/>
        <v>15.333029999999983</v>
      </c>
      <c r="U116" s="364">
        <f t="shared" ca="1" si="31"/>
        <v>0</v>
      </c>
      <c r="V116" s="359">
        <f t="shared" ca="1" si="32"/>
        <v>1.2180503638956648</v>
      </c>
      <c r="W116" s="357">
        <f t="shared" ca="1" si="33"/>
        <v>7.4826481498844961</v>
      </c>
      <c r="X116" s="343"/>
      <c r="Y116" s="367" t="str">
        <f t="shared" ca="1" si="51"/>
        <v/>
      </c>
      <c r="Z116" s="368" t="str">
        <f t="shared" ca="1" si="52"/>
        <v/>
      </c>
      <c r="AA116" s="369" t="str">
        <f t="shared" ca="1" si="53"/>
        <v/>
      </c>
      <c r="AB116" s="344"/>
      <c r="AC116" s="363" t="e">
        <f t="shared" ca="1" si="54"/>
        <v>#N/A</v>
      </c>
      <c r="AD116" s="376" t="e">
        <f t="shared" ca="1" si="55"/>
        <v>#N/A</v>
      </c>
      <c r="AE116" s="377">
        <f t="shared" ca="1" si="34"/>
        <v>56.893105496634142</v>
      </c>
      <c r="AF116" s="344"/>
      <c r="AG116" s="359">
        <f t="shared" ca="1" si="56"/>
        <v>-14.41287763531389</v>
      </c>
      <c r="AH116" s="357">
        <f t="shared" ca="1" si="57"/>
        <v>-4.8061012547544699</v>
      </c>
    </row>
    <row r="117" spans="1:34" x14ac:dyDescent="0.2">
      <c r="A117" s="402">
        <f t="shared" ca="1" si="35"/>
        <v>0.01</v>
      </c>
      <c r="B117" s="357">
        <f t="shared" ca="1" si="36"/>
        <v>1.1300000000000008</v>
      </c>
      <c r="C117" s="342"/>
      <c r="D117" s="359">
        <f t="shared" ca="1" si="37"/>
        <v>-0.97063941748950899</v>
      </c>
      <c r="E117" s="360">
        <f t="shared" ca="1" si="38"/>
        <v>-14.497931555890386</v>
      </c>
      <c r="F117" s="357">
        <f t="shared" ca="1" si="39"/>
        <v>14.530387478593495</v>
      </c>
      <c r="G117" s="359">
        <f t="shared" ca="1" si="40"/>
        <v>15.223673280605297</v>
      </c>
      <c r="H117" s="360">
        <f t="shared" ca="1" si="41"/>
        <v>73.428213770876994</v>
      </c>
      <c r="I117" s="357">
        <f t="shared" ca="1" si="42"/>
        <v>74.989751338007693</v>
      </c>
      <c r="J117" s="359">
        <f t="shared" ca="1" si="43"/>
        <v>11.262923557959095</v>
      </c>
      <c r="K117" s="360">
        <f t="shared" ca="1" si="44"/>
        <v>57.62811253092071</v>
      </c>
      <c r="L117" s="357">
        <f t="shared" ca="1" si="29"/>
        <v>58.718419605340969</v>
      </c>
      <c r="M117" s="359">
        <f t="shared" ca="1" si="45"/>
        <v>1.3663653163654264</v>
      </c>
      <c r="N117" s="357">
        <f t="shared" ca="1" si="46"/>
        <v>78.286965900796446</v>
      </c>
      <c r="O117" s="343"/>
      <c r="P117" s="363">
        <f t="shared" ca="1" si="47"/>
        <v>13</v>
      </c>
      <c r="Q117" s="357">
        <f t="shared" ca="1" si="48"/>
        <v>0</v>
      </c>
      <c r="R117" s="359">
        <f t="shared" ca="1" si="49"/>
        <v>0</v>
      </c>
      <c r="S117" s="360">
        <f t="shared" ca="1" si="50"/>
        <v>1.5629999999999982</v>
      </c>
      <c r="T117" s="357">
        <f t="shared" ca="1" si="30"/>
        <v>15.333029999999983</v>
      </c>
      <c r="U117" s="364">
        <f t="shared" ca="1" si="31"/>
        <v>0</v>
      </c>
      <c r="V117" s="359">
        <f t="shared" ca="1" si="32"/>
        <v>1.2179608388933809</v>
      </c>
      <c r="W117" s="357">
        <f t="shared" ca="1" si="33"/>
        <v>7.4534587532999277</v>
      </c>
      <c r="X117" s="343"/>
      <c r="Y117" s="367" t="str">
        <f t="shared" ca="1" si="51"/>
        <v/>
      </c>
      <c r="Z117" s="368" t="str">
        <f t="shared" ca="1" si="52"/>
        <v/>
      </c>
      <c r="AA117" s="369" t="str">
        <f t="shared" ca="1" si="53"/>
        <v/>
      </c>
      <c r="AB117" s="344"/>
      <c r="AC117" s="363" t="e">
        <f t="shared" ca="1" si="54"/>
        <v>#N/A</v>
      </c>
      <c r="AD117" s="376" t="e">
        <f t="shared" ca="1" si="55"/>
        <v>#N/A</v>
      </c>
      <c r="AE117" s="377">
        <f t="shared" ca="1" si="34"/>
        <v>57.62811253092071</v>
      </c>
      <c r="AF117" s="344"/>
      <c r="AG117" s="359">
        <f t="shared" ca="1" si="56"/>
        <v>-14.39361371439956</v>
      </c>
      <c r="AH117" s="357">
        <f t="shared" ca="1" si="57"/>
        <v>-4.7873628598109432</v>
      </c>
    </row>
    <row r="118" spans="1:34" x14ac:dyDescent="0.2">
      <c r="A118" s="402">
        <f t="shared" ca="1" si="35"/>
        <v>0.01</v>
      </c>
      <c r="B118" s="357">
        <f t="shared" ca="1" si="36"/>
        <v>1.1400000000000008</v>
      </c>
      <c r="C118" s="342"/>
      <c r="D118" s="359">
        <f t="shared" ca="1" si="37"/>
        <v>-0.96809151971290008</v>
      </c>
      <c r="E118" s="360">
        <f t="shared" ca="1" si="38"/>
        <v>-14.479387587936049</v>
      </c>
      <c r="F118" s="357">
        <f t="shared" ca="1" si="39"/>
        <v>14.511714788825493</v>
      </c>
      <c r="G118" s="359">
        <f t="shared" ca="1" si="40"/>
        <v>15.213992365408169</v>
      </c>
      <c r="H118" s="360">
        <f t="shared" ca="1" si="41"/>
        <v>73.283419894997635</v>
      </c>
      <c r="I118" s="357">
        <f t="shared" ca="1" si="42"/>
        <v>74.84600988163119</v>
      </c>
      <c r="J118" s="359">
        <f t="shared" ca="1" si="43"/>
        <v>11.415111886189163</v>
      </c>
      <c r="K118" s="360">
        <f t="shared" ca="1" si="44"/>
        <v>58.361670699250084</v>
      </c>
      <c r="L118" s="357">
        <f t="shared" ca="1" si="29"/>
        <v>59.467549017778786</v>
      </c>
      <c r="M118" s="359">
        <f t="shared" ca="1" si="45"/>
        <v>1.3660992328919319</v>
      </c>
      <c r="N118" s="357">
        <f t="shared" ca="1" si="46"/>
        <v>78.271720440767027</v>
      </c>
      <c r="O118" s="343"/>
      <c r="P118" s="363">
        <f t="shared" ca="1" si="47"/>
        <v>13</v>
      </c>
      <c r="Q118" s="357">
        <f t="shared" ca="1" si="48"/>
        <v>0</v>
      </c>
      <c r="R118" s="359">
        <f t="shared" ca="1" si="49"/>
        <v>0</v>
      </c>
      <c r="S118" s="360">
        <f t="shared" ca="1" si="50"/>
        <v>1.5629999999999982</v>
      </c>
      <c r="T118" s="357">
        <f t="shared" ca="1" si="30"/>
        <v>15.333029999999983</v>
      </c>
      <c r="U118" s="364">
        <f t="shared" ca="1" si="31"/>
        <v>0</v>
      </c>
      <c r="V118" s="359">
        <f t="shared" ca="1" si="32"/>
        <v>1.2178714969068469</v>
      </c>
      <c r="W118" s="357">
        <f t="shared" ca="1" si="33"/>
        <v>7.4243676951829007</v>
      </c>
      <c r="X118" s="343"/>
      <c r="Y118" s="367" t="str">
        <f t="shared" ca="1" si="51"/>
        <v/>
      </c>
      <c r="Z118" s="368" t="str">
        <f t="shared" ca="1" si="52"/>
        <v/>
      </c>
      <c r="AA118" s="369" t="str">
        <f t="shared" ca="1" si="53"/>
        <v/>
      </c>
      <c r="AB118" s="344"/>
      <c r="AC118" s="363" t="e">
        <f t="shared" ca="1" si="54"/>
        <v>#N/A</v>
      </c>
      <c r="AD118" s="376" t="e">
        <f t="shared" ca="1" si="55"/>
        <v>#N/A</v>
      </c>
      <c r="AE118" s="377">
        <f t="shared" ca="1" si="34"/>
        <v>58.361670699250084</v>
      </c>
      <c r="AF118" s="344"/>
      <c r="AG118" s="359">
        <f t="shared" ca="1" si="56"/>
        <v>-14.374410594076034</v>
      </c>
      <c r="AH118" s="357">
        <f t="shared" ca="1" si="57"/>
        <v>-4.7686876220728962</v>
      </c>
    </row>
    <row r="119" spans="1:34" x14ac:dyDescent="0.2">
      <c r="A119" s="402">
        <f t="shared" ca="1" si="35"/>
        <v>0.01</v>
      </c>
      <c r="B119" s="357">
        <f t="shared" ca="1" si="36"/>
        <v>1.1500000000000008</v>
      </c>
      <c r="C119" s="342"/>
      <c r="D119" s="359">
        <f t="shared" ca="1" si="37"/>
        <v>-0.96555059482920469</v>
      </c>
      <c r="E119" s="360">
        <f t="shared" ca="1" si="38"/>
        <v>-14.4609060850863</v>
      </c>
      <c r="F119" s="357">
        <f t="shared" ca="1" si="39"/>
        <v>14.493105007308165</v>
      </c>
      <c r="G119" s="359">
        <f t="shared" ca="1" si="40"/>
        <v>15.204336859459877</v>
      </c>
      <c r="H119" s="360">
        <f t="shared" ca="1" si="41"/>
        <v>73.138810834146767</v>
      </c>
      <c r="I119" s="357">
        <f t="shared" ca="1" si="42"/>
        <v>74.702459862905684</v>
      </c>
      <c r="J119" s="359">
        <f t="shared" ca="1" si="43"/>
        <v>11.567203532313503</v>
      </c>
      <c r="K119" s="360">
        <f t="shared" ca="1" si="44"/>
        <v>59.093781852895809</v>
      </c>
      <c r="L119" s="357">
        <f t="shared" ca="1" si="29"/>
        <v>60.215241021153474</v>
      </c>
      <c r="M119" s="359">
        <f t="shared" ca="1" si="45"/>
        <v>1.3658322959682891</v>
      </c>
      <c r="N119" s="357">
        <f t="shared" ca="1" si="46"/>
        <v>78.256426081646097</v>
      </c>
      <c r="O119" s="343"/>
      <c r="P119" s="363">
        <f t="shared" ca="1" si="47"/>
        <v>13</v>
      </c>
      <c r="Q119" s="357">
        <f t="shared" ca="1" si="48"/>
        <v>0</v>
      </c>
      <c r="R119" s="359">
        <f t="shared" ca="1" si="49"/>
        <v>0</v>
      </c>
      <c r="S119" s="360">
        <f t="shared" ca="1" si="50"/>
        <v>1.5629999999999982</v>
      </c>
      <c r="T119" s="357">
        <f t="shared" ca="1" si="30"/>
        <v>15.333029999999983</v>
      </c>
      <c r="U119" s="364">
        <f t="shared" ca="1" si="31"/>
        <v>0</v>
      </c>
      <c r="V119" s="359">
        <f t="shared" ca="1" si="32"/>
        <v>1.2177823376711778</v>
      </c>
      <c r="W119" s="357">
        <f t="shared" ca="1" si="33"/>
        <v>7.3953746012274886</v>
      </c>
      <c r="X119" s="343"/>
      <c r="Y119" s="367" t="str">
        <f t="shared" ca="1" si="51"/>
        <v/>
      </c>
      <c r="Z119" s="368" t="str">
        <f t="shared" ca="1" si="52"/>
        <v/>
      </c>
      <c r="AA119" s="369" t="str">
        <f t="shared" ca="1" si="53"/>
        <v/>
      </c>
      <c r="AB119" s="344"/>
      <c r="AC119" s="363" t="e">
        <f t="shared" ca="1" si="54"/>
        <v>#N/A</v>
      </c>
      <c r="AD119" s="376" t="e">
        <f t="shared" ca="1" si="55"/>
        <v>#N/A</v>
      </c>
      <c r="AE119" s="377">
        <f t="shared" ca="1" si="34"/>
        <v>59.093781852895809</v>
      </c>
      <c r="AF119" s="344"/>
      <c r="AG119" s="359">
        <f t="shared" ca="1" si="56"/>
        <v>-14.355268019936783</v>
      </c>
      <c r="AH119" s="357">
        <f t="shared" ca="1" si="57"/>
        <v>-4.7500753008207992</v>
      </c>
    </row>
    <row r="120" spans="1:34" x14ac:dyDescent="0.2">
      <c r="A120" s="402">
        <f t="shared" ca="1" si="35"/>
        <v>0.01</v>
      </c>
      <c r="B120" s="357">
        <f t="shared" ca="1" si="36"/>
        <v>1.1600000000000008</v>
      </c>
      <c r="C120" s="342"/>
      <c r="D120" s="359">
        <f t="shared" ca="1" si="37"/>
        <v>-0.96301661382737569</v>
      </c>
      <c r="E120" s="360">
        <f t="shared" ca="1" si="38"/>
        <v>-14.442486809514369</v>
      </c>
      <c r="F120" s="357">
        <f t="shared" ca="1" si="39"/>
        <v>14.47455789450939</v>
      </c>
      <c r="G120" s="359">
        <f t="shared" ca="1" si="40"/>
        <v>15.194706693321603</v>
      </c>
      <c r="H120" s="360">
        <f t="shared" ca="1" si="41"/>
        <v>72.994385966051624</v>
      </c>
      <c r="I120" s="357">
        <f t="shared" ca="1" si="42"/>
        <v>74.559100678971348</v>
      </c>
      <c r="J120" s="359">
        <f t="shared" ca="1" si="43"/>
        <v>11.71919875007741</v>
      </c>
      <c r="K120" s="360">
        <f t="shared" ca="1" si="44"/>
        <v>59.824447836896802</v>
      </c>
      <c r="L120" s="357">
        <f t="shared" ca="1" si="29"/>
        <v>60.961497507307037</v>
      </c>
      <c r="M120" s="359">
        <f t="shared" ca="1" si="45"/>
        <v>1.3655645019131093</v>
      </c>
      <c r="N120" s="357">
        <f t="shared" ca="1" si="46"/>
        <v>78.241082612505593</v>
      </c>
      <c r="O120" s="343"/>
      <c r="P120" s="363">
        <f t="shared" ca="1" si="47"/>
        <v>13</v>
      </c>
      <c r="Q120" s="357">
        <f t="shared" ca="1" si="48"/>
        <v>0</v>
      </c>
      <c r="R120" s="359">
        <f t="shared" ca="1" si="49"/>
        <v>0</v>
      </c>
      <c r="S120" s="360">
        <f t="shared" ca="1" si="50"/>
        <v>1.5629999999999982</v>
      </c>
      <c r="T120" s="357">
        <f t="shared" ca="1" si="30"/>
        <v>15.333029999999983</v>
      </c>
      <c r="U120" s="364">
        <f t="shared" ca="1" si="31"/>
        <v>0</v>
      </c>
      <c r="V120" s="359">
        <f t="shared" ca="1" si="32"/>
        <v>1.2176933609223981</v>
      </c>
      <c r="W120" s="357">
        <f t="shared" ca="1" si="33"/>
        <v>7.3664790990548106</v>
      </c>
      <c r="X120" s="343"/>
      <c r="Y120" s="367" t="str">
        <f t="shared" ca="1" si="51"/>
        <v/>
      </c>
      <c r="Z120" s="368" t="str">
        <f t="shared" ca="1" si="52"/>
        <v/>
      </c>
      <c r="AA120" s="369" t="str">
        <f t="shared" ca="1" si="53"/>
        <v/>
      </c>
      <c r="AB120" s="344"/>
      <c r="AC120" s="363" t="e">
        <f t="shared" ca="1" si="54"/>
        <v>#N/A</v>
      </c>
      <c r="AD120" s="376" t="e">
        <f t="shared" ca="1" si="55"/>
        <v>#N/A</v>
      </c>
      <c r="AE120" s="377">
        <f t="shared" ca="1" si="34"/>
        <v>59.824447836896802</v>
      </c>
      <c r="AF120" s="344"/>
      <c r="AG120" s="359">
        <f t="shared" ca="1" si="56"/>
        <v>-14.336185738716352</v>
      </c>
      <c r="AH120" s="357">
        <f t="shared" ca="1" si="57"/>
        <v>-4.731525656575494</v>
      </c>
    </row>
    <row r="121" spans="1:34" x14ac:dyDescent="0.2">
      <c r="A121" s="402">
        <f t="shared" ca="1" si="35"/>
        <v>0.01</v>
      </c>
      <c r="B121" s="357">
        <f t="shared" ca="1" si="36"/>
        <v>1.1700000000000008</v>
      </c>
      <c r="C121" s="342"/>
      <c r="D121" s="359">
        <f t="shared" ca="1" si="37"/>
        <v>-0.96048954784225671</v>
      </c>
      <c r="E121" s="360">
        <f t="shared" ca="1" si="38"/>
        <v>-14.424129524617351</v>
      </c>
      <c r="F121" s="357">
        <f t="shared" ca="1" si="39"/>
        <v>14.45607321212964</v>
      </c>
      <c r="G121" s="359">
        <f t="shared" ca="1" si="40"/>
        <v>15.185101797843179</v>
      </c>
      <c r="H121" s="360">
        <f t="shared" ca="1" si="41"/>
        <v>72.850144670805449</v>
      </c>
      <c r="I121" s="357">
        <f t="shared" ca="1" si="42"/>
        <v>74.415931729490183</v>
      </c>
      <c r="J121" s="359">
        <f t="shared" ca="1" si="43"/>
        <v>11.871097792533234</v>
      </c>
      <c r="K121" s="360">
        <f t="shared" ca="1" si="44"/>
        <v>60.553670490081089</v>
      </c>
      <c r="L121" s="357">
        <f t="shared" ca="1" si="29"/>
        <v>61.706320362027782</v>
      </c>
      <c r="M121" s="359">
        <f t="shared" ca="1" si="45"/>
        <v>1.365295847023611</v>
      </c>
      <c r="N121" s="357">
        <f t="shared" ca="1" si="46"/>
        <v>78.225689821191779</v>
      </c>
      <c r="O121" s="343"/>
      <c r="P121" s="363">
        <f t="shared" ca="1" si="47"/>
        <v>13</v>
      </c>
      <c r="Q121" s="357">
        <f t="shared" ca="1" si="48"/>
        <v>0</v>
      </c>
      <c r="R121" s="359">
        <f t="shared" ca="1" si="49"/>
        <v>0</v>
      </c>
      <c r="S121" s="360">
        <f t="shared" ca="1" si="50"/>
        <v>1.5629999999999982</v>
      </c>
      <c r="T121" s="357">
        <f t="shared" ca="1" si="30"/>
        <v>15.333029999999983</v>
      </c>
      <c r="U121" s="364">
        <f t="shared" ca="1" si="31"/>
        <v>0</v>
      </c>
      <c r="V121" s="359">
        <f t="shared" ca="1" si="32"/>
        <v>1.2176045663974402</v>
      </c>
      <c r="W121" s="357">
        <f t="shared" ca="1" si="33"/>
        <v>7.3376808182014814</v>
      </c>
      <c r="X121" s="343"/>
      <c r="Y121" s="367" t="str">
        <f t="shared" ca="1" si="51"/>
        <v/>
      </c>
      <c r="Z121" s="368" t="str">
        <f t="shared" ca="1" si="52"/>
        <v/>
      </c>
      <c r="AA121" s="369" t="str">
        <f t="shared" ca="1" si="53"/>
        <v/>
      </c>
      <c r="AB121" s="344"/>
      <c r="AC121" s="363" t="e">
        <f t="shared" ca="1" si="54"/>
        <v>#N/A</v>
      </c>
      <c r="AD121" s="376" t="e">
        <f t="shared" ca="1" si="55"/>
        <v>#N/A</v>
      </c>
      <c r="AE121" s="377">
        <f t="shared" ca="1" si="34"/>
        <v>60.553670490081089</v>
      </c>
      <c r="AF121" s="344"/>
      <c r="AG121" s="359">
        <f t="shared" ca="1" si="56"/>
        <v>-14.317163498282033</v>
      </c>
      <c r="AH121" s="357">
        <f t="shared" ca="1" si="57"/>
        <v>-4.7130384510907355</v>
      </c>
    </row>
    <row r="122" spans="1:34" x14ac:dyDescent="0.2">
      <c r="A122" s="402">
        <f t="shared" ca="1" si="35"/>
        <v>0.01</v>
      </c>
      <c r="B122" s="357">
        <f t="shared" ca="1" si="36"/>
        <v>1.1800000000000008</v>
      </c>
      <c r="C122" s="342"/>
      <c r="D122" s="359">
        <f t="shared" ca="1" si="37"/>
        <v>-0.95796936815371236</v>
      </c>
      <c r="E122" s="360">
        <f t="shared" ca="1" si="38"/>
        <v>-14.405833995008873</v>
      </c>
      <c r="F122" s="357">
        <f t="shared" ca="1" si="39"/>
        <v>14.437650723094603</v>
      </c>
      <c r="G122" s="359">
        <f t="shared" ca="1" si="40"/>
        <v>15.175522104161642</v>
      </c>
      <c r="H122" s="360">
        <f t="shared" ca="1" si="41"/>
        <v>72.706086330855356</v>
      </c>
      <c r="I122" s="357">
        <f t="shared" ca="1" si="42"/>
        <v>74.272952416634752</v>
      </c>
      <c r="J122" s="359">
        <f t="shared" ca="1" si="43"/>
        <v>12.022900912043259</v>
      </c>
      <c r="K122" s="360">
        <f t="shared" ca="1" si="44"/>
        <v>61.28145164508939</v>
      </c>
      <c r="L122" s="357">
        <f t="shared" ca="1" si="29"/>
        <v>62.449711465067949</v>
      </c>
      <c r="M122" s="359">
        <f t="shared" ca="1" si="45"/>
        <v>1.3650263275754675</v>
      </c>
      <c r="N122" s="357">
        <f t="shared" ca="1" si="46"/>
        <v>78.210247494316476</v>
      </c>
      <c r="O122" s="343"/>
      <c r="P122" s="363">
        <f t="shared" ca="1" si="47"/>
        <v>13</v>
      </c>
      <c r="Q122" s="357">
        <f t="shared" ca="1" si="48"/>
        <v>0</v>
      </c>
      <c r="R122" s="359">
        <f t="shared" ca="1" si="49"/>
        <v>0</v>
      </c>
      <c r="S122" s="360">
        <f t="shared" ca="1" si="50"/>
        <v>1.5629999999999982</v>
      </c>
      <c r="T122" s="357">
        <f t="shared" ca="1" si="30"/>
        <v>15.333029999999983</v>
      </c>
      <c r="U122" s="364">
        <f t="shared" ca="1" si="31"/>
        <v>0</v>
      </c>
      <c r="V122" s="359">
        <f t="shared" ca="1" si="32"/>
        <v>1.2175159538341378</v>
      </c>
      <c r="W122" s="357">
        <f t="shared" ca="1" si="33"/>
        <v>7.3089793901080924</v>
      </c>
      <c r="X122" s="343"/>
      <c r="Y122" s="367" t="str">
        <f t="shared" ca="1" si="51"/>
        <v/>
      </c>
      <c r="Z122" s="368" t="str">
        <f t="shared" ca="1" si="52"/>
        <v/>
      </c>
      <c r="AA122" s="369" t="str">
        <f t="shared" ca="1" si="53"/>
        <v/>
      </c>
      <c r="AB122" s="344"/>
      <c r="AC122" s="363" t="e">
        <f t="shared" ca="1" si="54"/>
        <v>#N/A</v>
      </c>
      <c r="AD122" s="376" t="e">
        <f t="shared" ca="1" si="55"/>
        <v>#N/A</v>
      </c>
      <c r="AE122" s="377">
        <f t="shared" ca="1" si="34"/>
        <v>61.28145164508939</v>
      </c>
      <c r="AF122" s="344"/>
      <c r="AG122" s="359">
        <f t="shared" ca="1" si="56"/>
        <v>-14.298201047625621</v>
      </c>
      <c r="AH122" s="357">
        <f t="shared" ca="1" si="57"/>
        <v>-4.6946134473458025</v>
      </c>
    </row>
    <row r="123" spans="1:34" x14ac:dyDescent="0.2">
      <c r="A123" s="402">
        <f t="shared" ca="1" si="35"/>
        <v>0.01</v>
      </c>
      <c r="B123" s="357">
        <f t="shared" ca="1" si="36"/>
        <v>1.1900000000000008</v>
      </c>
      <c r="C123" s="342"/>
      <c r="D123" s="359">
        <f t="shared" ca="1" si="37"/>
        <v>-0.95545604618575886</v>
      </c>
      <c r="E123" s="360">
        <f t="shared" ca="1" si="38"/>
        <v>-14.387599986511779</v>
      </c>
      <c r="F123" s="357">
        <f t="shared" ca="1" si="39"/>
        <v>14.419290191547802</v>
      </c>
      <c r="G123" s="359">
        <f t="shared" ca="1" si="40"/>
        <v>15.165967543699784</v>
      </c>
      <c r="H123" s="360">
        <f t="shared" ca="1" si="41"/>
        <v>72.56221033099024</v>
      </c>
      <c r="I123" s="357">
        <f t="shared" ca="1" si="42"/>
        <v>74.130162145077108</v>
      </c>
      <c r="J123" s="359">
        <f t="shared" ca="1" si="43"/>
        <v>12.174608360282566</v>
      </c>
      <c r="K123" s="360">
        <f t="shared" ca="1" si="44"/>
        <v>62.007793128398617</v>
      </c>
      <c r="L123" s="357">
        <f t="shared" ca="1" si="29"/>
        <v>63.191672690161802</v>
      </c>
      <c r="M123" s="359">
        <f t="shared" ca="1" si="45"/>
        <v>1.3647559398226536</v>
      </c>
      <c r="N123" s="357">
        <f t="shared" ca="1" si="46"/>
        <v>78.194755417248203</v>
      </c>
      <c r="O123" s="343"/>
      <c r="P123" s="363">
        <f t="shared" ca="1" si="47"/>
        <v>13</v>
      </c>
      <c r="Q123" s="357">
        <f t="shared" ca="1" si="48"/>
        <v>0</v>
      </c>
      <c r="R123" s="359">
        <f t="shared" ca="1" si="49"/>
        <v>0</v>
      </c>
      <c r="S123" s="360">
        <f t="shared" ca="1" si="50"/>
        <v>1.5629999999999982</v>
      </c>
      <c r="T123" s="357">
        <f t="shared" ca="1" si="30"/>
        <v>15.333029999999983</v>
      </c>
      <c r="U123" s="364">
        <f t="shared" ca="1" si="31"/>
        <v>0</v>
      </c>
      <c r="V123" s="359">
        <f t="shared" ca="1" si="32"/>
        <v>1.2174275229712248</v>
      </c>
      <c r="W123" s="357">
        <f t="shared" ca="1" si="33"/>
        <v>7.2803744481078505</v>
      </c>
      <c r="X123" s="343"/>
      <c r="Y123" s="367" t="str">
        <f t="shared" ca="1" si="51"/>
        <v/>
      </c>
      <c r="Z123" s="368" t="str">
        <f t="shared" ca="1" si="52"/>
        <v/>
      </c>
      <c r="AA123" s="369" t="str">
        <f t="shared" ca="1" si="53"/>
        <v/>
      </c>
      <c r="AB123" s="344"/>
      <c r="AC123" s="363" t="e">
        <f t="shared" ca="1" si="54"/>
        <v>#N/A</v>
      </c>
      <c r="AD123" s="376" t="e">
        <f t="shared" ca="1" si="55"/>
        <v>#N/A</v>
      </c>
      <c r="AE123" s="377">
        <f t="shared" ca="1" si="34"/>
        <v>62.007793128398617</v>
      </c>
      <c r="AF123" s="344"/>
      <c r="AG123" s="359">
        <f t="shared" ca="1" si="56"/>
        <v>-14.279298136855173</v>
      </c>
      <c r="AH123" s="357">
        <f t="shared" ca="1" si="57"/>
        <v>-4.6762504095381328</v>
      </c>
    </row>
    <row r="124" spans="1:34" x14ac:dyDescent="0.2">
      <c r="A124" s="402">
        <f t="shared" ca="1" si="35"/>
        <v>0.01</v>
      </c>
      <c r="B124" s="357">
        <f t="shared" ca="1" si="36"/>
        <v>1.2000000000000008</v>
      </c>
      <c r="C124" s="342"/>
      <c r="D124" s="359">
        <f t="shared" ca="1" si="37"/>
        <v>-0.95294955350570665</v>
      </c>
      <c r="E124" s="360">
        <f t="shared" ca="1" si="38"/>
        <v>-14.369427266150893</v>
      </c>
      <c r="F124" s="357">
        <f t="shared" ca="1" si="39"/>
        <v>14.400991382843317</v>
      </c>
      <c r="G124" s="359">
        <f t="shared" ca="1" si="40"/>
        <v>15.156438048164727</v>
      </c>
      <c r="H124" s="360">
        <f t="shared" ca="1" si="41"/>
        <v>72.418516058328734</v>
      </c>
      <c r="I124" s="357">
        <f t="shared" ca="1" si="42"/>
        <v>73.987560321977583</v>
      </c>
      <c r="J124" s="359">
        <f t="shared" ca="1" si="43"/>
        <v>12.326220388241888</v>
      </c>
      <c r="K124" s="360">
        <f t="shared" ca="1" si="44"/>
        <v>62.732696760345213</v>
      </c>
      <c r="L124" s="357">
        <f t="shared" ca="1" si="29"/>
        <v>63.932205905043951</v>
      </c>
      <c r="M124" s="359">
        <f t="shared" ca="1" si="45"/>
        <v>1.364484679997291</v>
      </c>
      <c r="N124" s="357">
        <f t="shared" ca="1" si="46"/>
        <v>78.179213374103469</v>
      </c>
      <c r="O124" s="343"/>
      <c r="P124" s="363">
        <f t="shared" ca="1" si="47"/>
        <v>13</v>
      </c>
      <c r="Q124" s="357">
        <f t="shared" ca="1" si="48"/>
        <v>0</v>
      </c>
      <c r="R124" s="359">
        <f t="shared" ca="1" si="49"/>
        <v>0</v>
      </c>
      <c r="S124" s="360">
        <f t="shared" ca="1" si="50"/>
        <v>1.5629999999999982</v>
      </c>
      <c r="T124" s="357">
        <f t="shared" ca="1" si="30"/>
        <v>15.333029999999983</v>
      </c>
      <c r="U124" s="364">
        <f t="shared" ca="1" si="31"/>
        <v>0</v>
      </c>
      <c r="V124" s="359">
        <f t="shared" ca="1" si="32"/>
        <v>1.2173392735483306</v>
      </c>
      <c r="W124" s="357">
        <f t="shared" ca="1" si="33"/>
        <v>7.2518656274152136</v>
      </c>
      <c r="X124" s="343"/>
      <c r="Y124" s="367" t="str">
        <f t="shared" ca="1" si="51"/>
        <v/>
      </c>
      <c r="Z124" s="368" t="str">
        <f t="shared" ca="1" si="52"/>
        <v/>
      </c>
      <c r="AA124" s="369" t="str">
        <f t="shared" ca="1" si="53"/>
        <v/>
      </c>
      <c r="AB124" s="344"/>
      <c r="AC124" s="363" t="e">
        <f t="shared" ca="1" si="54"/>
        <v>#N/A</v>
      </c>
      <c r="AD124" s="376" t="e">
        <f t="shared" ca="1" si="55"/>
        <v>#N/A</v>
      </c>
      <c r="AE124" s="377">
        <f t="shared" ca="1" si="34"/>
        <v>62.732696760345213</v>
      </c>
      <c r="AF124" s="344"/>
      <c r="AG124" s="359">
        <f t="shared" ca="1" si="56"/>
        <v>-14.260454517186846</v>
      </c>
      <c r="AH124" s="357">
        <f t="shared" ca="1" si="57"/>
        <v>-4.6579491030760458</v>
      </c>
    </row>
    <row r="125" spans="1:34" x14ac:dyDescent="0.2">
      <c r="A125" s="402">
        <f t="shared" ca="1" si="35"/>
        <v>0.01</v>
      </c>
      <c r="B125" s="357">
        <f t="shared" ca="1" si="36"/>
        <v>1.2100000000000009</v>
      </c>
      <c r="C125" s="342"/>
      <c r="D125" s="359">
        <f t="shared" ca="1" si="37"/>
        <v>-0.95044986182330038</v>
      </c>
      <c r="E125" s="360">
        <f t="shared" ca="1" si="38"/>
        <v>-14.351315602145821</v>
      </c>
      <c r="F125" s="357">
        <f t="shared" ca="1" si="39"/>
        <v>14.382754063538528</v>
      </c>
      <c r="G125" s="359">
        <f t="shared" ca="1" si="40"/>
        <v>15.146933549546494</v>
      </c>
      <c r="H125" s="360">
        <f t="shared" ca="1" si="41"/>
        <v>72.275002902307278</v>
      </c>
      <c r="I125" s="357">
        <f t="shared" ca="1" si="42"/>
        <v>73.845146356973942</v>
      </c>
      <c r="J125" s="359">
        <f t="shared" ca="1" si="43"/>
        <v>12.477737246230443</v>
      </c>
      <c r="K125" s="360">
        <f t="shared" ca="1" si="44"/>
        <v>63.456164355148395</v>
      </c>
      <c r="L125" s="357">
        <f t="shared" ca="1" si="29"/>
        <v>64.671312971468055</v>
      </c>
      <c r="M125" s="359">
        <f t="shared" ca="1" si="45"/>
        <v>1.3642125443094906</v>
      </c>
      <c r="N125" s="357">
        <f t="shared" ca="1" si="46"/>
        <v>78.163621147737615</v>
      </c>
      <c r="O125" s="343"/>
      <c r="P125" s="363">
        <f t="shared" ca="1" si="47"/>
        <v>13</v>
      </c>
      <c r="Q125" s="357">
        <f t="shared" ca="1" si="48"/>
        <v>0</v>
      </c>
      <c r="R125" s="359">
        <f t="shared" ca="1" si="49"/>
        <v>0</v>
      </c>
      <c r="S125" s="360">
        <f t="shared" ca="1" si="50"/>
        <v>1.5629999999999982</v>
      </c>
      <c r="T125" s="357">
        <f t="shared" ca="1" si="30"/>
        <v>15.333029999999983</v>
      </c>
      <c r="U125" s="364">
        <f t="shared" ca="1" si="31"/>
        <v>0</v>
      </c>
      <c r="V125" s="359">
        <f t="shared" ca="1" si="32"/>
        <v>1.2172512053059772</v>
      </c>
      <c r="W125" s="357">
        <f t="shared" ca="1" si="33"/>
        <v>7.2234525651146866</v>
      </c>
      <c r="X125" s="343"/>
      <c r="Y125" s="367" t="str">
        <f t="shared" ca="1" si="51"/>
        <v/>
      </c>
      <c r="Z125" s="368" t="str">
        <f t="shared" ca="1" si="52"/>
        <v/>
      </c>
      <c r="AA125" s="369" t="str">
        <f t="shared" ca="1" si="53"/>
        <v/>
      </c>
      <c r="AB125" s="344"/>
      <c r="AC125" s="363" t="e">
        <f t="shared" ca="1" si="54"/>
        <v>#N/A</v>
      </c>
      <c r="AD125" s="376" t="e">
        <f t="shared" ca="1" si="55"/>
        <v>#N/A</v>
      </c>
      <c r="AE125" s="377">
        <f t="shared" ca="1" si="34"/>
        <v>63.456164355148395</v>
      </c>
      <c r="AF125" s="344"/>
      <c r="AG125" s="359">
        <f t="shared" ca="1" si="56"/>
        <v>-14.241669940936745</v>
      </c>
      <c r="AH125" s="357">
        <f t="shared" ca="1" si="57"/>
        <v>-4.6397092945714791</v>
      </c>
    </row>
    <row r="126" spans="1:34" x14ac:dyDescent="0.2">
      <c r="A126" s="402">
        <f t="shared" ca="1" si="35"/>
        <v>0.01</v>
      </c>
      <c r="B126" s="357">
        <f t="shared" ca="1" si="36"/>
        <v>1.2200000000000009</v>
      </c>
      <c r="C126" s="342"/>
      <c r="D126" s="359">
        <f t="shared" ca="1" si="37"/>
        <v>-0.94795694298988042</v>
      </c>
      <c r="E126" s="360">
        <f t="shared" ca="1" si="38"/>
        <v>-14.333264763903799</v>
      </c>
      <c r="F126" s="357">
        <f t="shared" ca="1" si="39"/>
        <v>14.364578001386917</v>
      </c>
      <c r="G126" s="359">
        <f t="shared" ca="1" si="40"/>
        <v>15.137453980116595</v>
      </c>
      <c r="H126" s="360">
        <f t="shared" ca="1" si="41"/>
        <v>72.131670254668236</v>
      </c>
      <c r="I126" s="357">
        <f t="shared" ca="1" si="42"/>
        <v>73.702919662170359</v>
      </c>
      <c r="J126" s="359">
        <f t="shared" ca="1" si="43"/>
        <v>12.629159183878759</v>
      </c>
      <c r="K126" s="360">
        <f t="shared" ca="1" si="44"/>
        <v>64.178197720933269</v>
      </c>
      <c r="L126" s="357">
        <f t="shared" ca="1" si="29"/>
        <v>65.408995745225695</v>
      </c>
      <c r="M126" s="359">
        <f t="shared" ca="1" si="45"/>
        <v>1.3639395289471963</v>
      </c>
      <c r="N126" s="357">
        <f t="shared" ca="1" si="46"/>
        <v>78.147978519735929</v>
      </c>
      <c r="O126" s="343"/>
      <c r="P126" s="363">
        <f t="shared" ca="1" si="47"/>
        <v>13</v>
      </c>
      <c r="Q126" s="357">
        <f t="shared" ca="1" si="48"/>
        <v>0</v>
      </c>
      <c r="R126" s="359">
        <f t="shared" ca="1" si="49"/>
        <v>0</v>
      </c>
      <c r="S126" s="360">
        <f t="shared" ca="1" si="50"/>
        <v>1.5629999999999982</v>
      </c>
      <c r="T126" s="357">
        <f t="shared" ca="1" si="30"/>
        <v>15.333029999999983</v>
      </c>
      <c r="U126" s="364">
        <f t="shared" ca="1" si="31"/>
        <v>0</v>
      </c>
      <c r="V126" s="359">
        <f t="shared" ca="1" si="32"/>
        <v>1.2171633179855759</v>
      </c>
      <c r="W126" s="357">
        <f t="shared" ca="1" si="33"/>
        <v>7.195134900149637</v>
      </c>
      <c r="X126" s="343"/>
      <c r="Y126" s="367" t="str">
        <f t="shared" ca="1" si="51"/>
        <v/>
      </c>
      <c r="Z126" s="368" t="str">
        <f t="shared" ca="1" si="52"/>
        <v/>
      </c>
      <c r="AA126" s="369" t="str">
        <f t="shared" ca="1" si="53"/>
        <v/>
      </c>
      <c r="AB126" s="344"/>
      <c r="AC126" s="363" t="e">
        <f t="shared" ca="1" si="54"/>
        <v>#N/A</v>
      </c>
      <c r="AD126" s="376" t="e">
        <f t="shared" ca="1" si="55"/>
        <v>#N/A</v>
      </c>
      <c r="AE126" s="377">
        <f t="shared" ca="1" si="34"/>
        <v>64.178197720933269</v>
      </c>
      <c r="AF126" s="344"/>
      <c r="AG126" s="359">
        <f t="shared" ca="1" si="56"/>
        <v>-14.222944161512853</v>
      </c>
      <c r="AH126" s="357">
        <f t="shared" ca="1" si="57"/>
        <v>-4.6215307518328181</v>
      </c>
    </row>
    <row r="127" spans="1:34" x14ac:dyDescent="0.2">
      <c r="A127" s="402">
        <f t="shared" ca="1" si="35"/>
        <v>0.01</v>
      </c>
      <c r="B127" s="357">
        <f t="shared" ca="1" si="36"/>
        <v>1.2300000000000009</v>
      </c>
      <c r="C127" s="342"/>
      <c r="D127" s="359">
        <f t="shared" ca="1" si="37"/>
        <v>-0.94547076899753546</v>
      </c>
      <c r="E127" s="360">
        <f t="shared" ca="1" si="38"/>
        <v>-14.315274522012619</v>
      </c>
      <c r="F127" s="357">
        <f t="shared" ca="1" si="39"/>
        <v>14.346462965330947</v>
      </c>
      <c r="G127" s="359">
        <f t="shared" ca="1" si="40"/>
        <v>15.127999272426619</v>
      </c>
      <c r="H127" s="360">
        <f t="shared" ca="1" si="41"/>
        <v>71.988517509448116</v>
      </c>
      <c r="I127" s="357">
        <f t="shared" ca="1" si="42"/>
        <v>73.56087965212663</v>
      </c>
      <c r="J127" s="359">
        <f t="shared" ca="1" si="43"/>
        <v>12.780486450141474</v>
      </c>
      <c r="K127" s="360">
        <f t="shared" ca="1" si="44"/>
        <v>64.898798659753851</v>
      </c>
      <c r="L127" s="357">
        <f t="shared" ca="1" si="29"/>
        <v>66.145256076165566</v>
      </c>
      <c r="M127" s="359">
        <f t="shared" ca="1" si="45"/>
        <v>1.3636656300760261</v>
      </c>
      <c r="N127" s="357">
        <f t="shared" ca="1" si="46"/>
        <v>78.132285270404481</v>
      </c>
      <c r="O127" s="343"/>
      <c r="P127" s="363">
        <f t="shared" ca="1" si="47"/>
        <v>13</v>
      </c>
      <c r="Q127" s="357">
        <f t="shared" ca="1" si="48"/>
        <v>0</v>
      </c>
      <c r="R127" s="359">
        <f t="shared" ca="1" si="49"/>
        <v>0</v>
      </c>
      <c r="S127" s="360">
        <f t="shared" ca="1" si="50"/>
        <v>1.5629999999999982</v>
      </c>
      <c r="T127" s="357">
        <f t="shared" ca="1" si="30"/>
        <v>15.333029999999983</v>
      </c>
      <c r="U127" s="364">
        <f t="shared" ca="1" si="31"/>
        <v>0</v>
      </c>
      <c r="V127" s="359">
        <f t="shared" ca="1" si="32"/>
        <v>1.2170756113294221</v>
      </c>
      <c r="W127" s="357">
        <f t="shared" ca="1" si="33"/>
        <v>7.1669122733112074</v>
      </c>
      <c r="X127" s="343"/>
      <c r="Y127" s="367" t="str">
        <f t="shared" ca="1" si="51"/>
        <v/>
      </c>
      <c r="Z127" s="368" t="str">
        <f t="shared" ca="1" si="52"/>
        <v/>
      </c>
      <c r="AA127" s="369" t="str">
        <f t="shared" ca="1" si="53"/>
        <v/>
      </c>
      <c r="AB127" s="344"/>
      <c r="AC127" s="363" t="e">
        <f t="shared" ca="1" si="54"/>
        <v>#N/A</v>
      </c>
      <c r="AD127" s="376" t="e">
        <f t="shared" ca="1" si="55"/>
        <v>#N/A</v>
      </c>
      <c r="AE127" s="377">
        <f t="shared" ca="1" si="34"/>
        <v>64.898798659753851</v>
      </c>
      <c r="AF127" s="344"/>
      <c r="AG127" s="359">
        <f t="shared" ca="1" si="56"/>
        <v>-14.20427693340697</v>
      </c>
      <c r="AH127" s="357">
        <f t="shared" ca="1" si="57"/>
        <v>-4.6034132438577382</v>
      </c>
    </row>
    <row r="128" spans="1:34" x14ac:dyDescent="0.2">
      <c r="A128" s="402">
        <f t="shared" ca="1" si="35"/>
        <v>0.01</v>
      </c>
      <c r="B128" s="357">
        <f t="shared" ca="1" si="36"/>
        <v>1.2400000000000009</v>
      </c>
      <c r="C128" s="342"/>
      <c r="D128" s="359">
        <f t="shared" ca="1" si="37"/>
        <v>-0.9429913119782638</v>
      </c>
      <c r="E128" s="360">
        <f t="shared" ca="1" si="38"/>
        <v>-14.297344648233556</v>
      </c>
      <c r="F128" s="357">
        <f t="shared" ca="1" si="39"/>
        <v>14.328408725494928</v>
      </c>
      <c r="G128" s="359">
        <f t="shared" ca="1" si="40"/>
        <v>15.118569359306836</v>
      </c>
      <c r="H128" s="360">
        <f t="shared" ca="1" si="41"/>
        <v>71.845544062965786</v>
      </c>
      <c r="I128" s="357">
        <f t="shared" ca="1" si="42"/>
        <v>73.419025743847413</v>
      </c>
      <c r="J128" s="359">
        <f t="shared" ca="1" si="43"/>
        <v>12.931719293300141</v>
      </c>
      <c r="K128" s="360">
        <f t="shared" ca="1" si="44"/>
        <v>65.617968967615923</v>
      </c>
      <c r="L128" s="357">
        <f t="shared" ca="1" si="29"/>
        <v>66.880095808212758</v>
      </c>
      <c r="M128" s="359">
        <f t="shared" ca="1" si="45"/>
        <v>1.3633908438391107</v>
      </c>
      <c r="N128" s="357">
        <f t="shared" ca="1" si="46"/>
        <v>78.11654117876094</v>
      </c>
      <c r="O128" s="343"/>
      <c r="P128" s="363">
        <f t="shared" ca="1" si="47"/>
        <v>13</v>
      </c>
      <c r="Q128" s="357">
        <f t="shared" ca="1" si="48"/>
        <v>0</v>
      </c>
      <c r="R128" s="359">
        <f t="shared" ca="1" si="49"/>
        <v>0</v>
      </c>
      <c r="S128" s="360">
        <f t="shared" ca="1" si="50"/>
        <v>1.5629999999999982</v>
      </c>
      <c r="T128" s="357">
        <f t="shared" ca="1" si="30"/>
        <v>15.333029999999983</v>
      </c>
      <c r="U128" s="364">
        <f t="shared" ca="1" si="31"/>
        <v>0</v>
      </c>
      <c r="V128" s="359">
        <f t="shared" ca="1" si="32"/>
        <v>1.2169880850806942</v>
      </c>
      <c r="W128" s="357">
        <f t="shared" ca="1" si="33"/>
        <v>7.1387843272273273</v>
      </c>
      <c r="X128" s="343"/>
      <c r="Y128" s="367" t="str">
        <f t="shared" ca="1" si="51"/>
        <v/>
      </c>
      <c r="Z128" s="368" t="str">
        <f t="shared" ca="1" si="52"/>
        <v/>
      </c>
      <c r="AA128" s="369" t="str">
        <f t="shared" ca="1" si="53"/>
        <v/>
      </c>
      <c r="AB128" s="344"/>
      <c r="AC128" s="363" t="e">
        <f t="shared" ca="1" si="54"/>
        <v>#N/A</v>
      </c>
      <c r="AD128" s="376" t="e">
        <f t="shared" ca="1" si="55"/>
        <v>#N/A</v>
      </c>
      <c r="AE128" s="377">
        <f t="shared" ca="1" si="34"/>
        <v>65.617968967615923</v>
      </c>
      <c r="AF128" s="344"/>
      <c r="AG128" s="359">
        <f t="shared" ca="1" si="56"/>
        <v>-14.185668012186689</v>
      </c>
      <c r="AH128" s="357">
        <f t="shared" ca="1" si="57"/>
        <v>-4.5853565408261137</v>
      </c>
    </row>
    <row r="129" spans="1:34" x14ac:dyDescent="0.2">
      <c r="A129" s="402">
        <f t="shared" ca="1" si="35"/>
        <v>0.01</v>
      </c>
      <c r="B129" s="357">
        <f t="shared" ca="1" si="36"/>
        <v>1.2500000000000009</v>
      </c>
      <c r="C129" s="342"/>
      <c r="D129" s="359">
        <f t="shared" ca="1" si="37"/>
        <v>-0.94051854420315284</v>
      </c>
      <c r="E129" s="360">
        <f t="shared" ca="1" si="38"/>
        <v>-14.279474915494394</v>
      </c>
      <c r="F129" s="357">
        <f t="shared" ca="1" si="39"/>
        <v>14.310415053178005</v>
      </c>
      <c r="G129" s="359">
        <f t="shared" ca="1" si="40"/>
        <v>15.109164173864805</v>
      </c>
      <c r="H129" s="360">
        <f t="shared" ca="1" si="41"/>
        <v>71.702749313810841</v>
      </c>
      <c r="I129" s="357">
        <f t="shared" ca="1" si="42"/>
        <v>73.277357356771546</v>
      </c>
      <c r="J129" s="359">
        <f t="shared" ca="1" si="43"/>
        <v>13.082857960965999</v>
      </c>
      <c r="K129" s="360">
        <f t="shared" ca="1" si="44"/>
        <v>66.335710434499802</v>
      </c>
      <c r="L129" s="357">
        <f t="shared" ca="1" si="29"/>
        <v>67.613516779388249</v>
      </c>
      <c r="M129" s="359">
        <f t="shared" ca="1" si="45"/>
        <v>1.3631151663569328</v>
      </c>
      <c r="N129" s="357">
        <f t="shared" ca="1" si="46"/>
        <v>78.100746022525357</v>
      </c>
      <c r="O129" s="343"/>
      <c r="P129" s="363">
        <f t="shared" ca="1" si="47"/>
        <v>13</v>
      </c>
      <c r="Q129" s="357">
        <f t="shared" ca="1" si="48"/>
        <v>0</v>
      </c>
      <c r="R129" s="359">
        <f t="shared" ca="1" si="49"/>
        <v>0</v>
      </c>
      <c r="S129" s="360">
        <f t="shared" ca="1" si="50"/>
        <v>1.5629999999999982</v>
      </c>
      <c r="T129" s="357">
        <f t="shared" ca="1" si="30"/>
        <v>15.333029999999983</v>
      </c>
      <c r="U129" s="364">
        <f t="shared" ca="1" si="31"/>
        <v>0</v>
      </c>
      <c r="V129" s="359">
        <f t="shared" ca="1" si="32"/>
        <v>1.2169007389834501</v>
      </c>
      <c r="W129" s="357">
        <f t="shared" ca="1" si="33"/>
        <v>7.1107507063517765</v>
      </c>
      <c r="X129" s="343"/>
      <c r="Y129" s="367" t="str">
        <f t="shared" ca="1" si="51"/>
        <v/>
      </c>
      <c r="Z129" s="368" t="str">
        <f t="shared" ca="1" si="52"/>
        <v/>
      </c>
      <c r="AA129" s="369" t="str">
        <f t="shared" ca="1" si="53"/>
        <v/>
      </c>
      <c r="AB129" s="344"/>
      <c r="AC129" s="363" t="e">
        <f t="shared" ca="1" si="54"/>
        <v>#N/A</v>
      </c>
      <c r="AD129" s="376" t="e">
        <f t="shared" ca="1" si="55"/>
        <v>#N/A</v>
      </c>
      <c r="AE129" s="377">
        <f t="shared" ca="1" si="34"/>
        <v>66.335710434499802</v>
      </c>
      <c r="AF129" s="344"/>
      <c r="AG129" s="359">
        <f t="shared" ca="1" si="56"/>
        <v>-14.167117154487457</v>
      </c>
      <c r="AH129" s="357">
        <f t="shared" ca="1" si="57"/>
        <v>-4.5673604140929847</v>
      </c>
    </row>
    <row r="130" spans="1:34" x14ac:dyDescent="0.2">
      <c r="A130" s="402">
        <f t="shared" ca="1" si="35"/>
        <v>0.01</v>
      </c>
      <c r="B130" s="357">
        <f t="shared" ca="1" si="36"/>
        <v>1.2600000000000009</v>
      </c>
      <c r="C130" s="342"/>
      <c r="D130" s="359">
        <f t="shared" ca="1" si="37"/>
        <v>-0.93805243808154826</v>
      </c>
      <c r="E130" s="360">
        <f t="shared" ca="1" si="38"/>
        <v>-14.26166509788248</v>
      </c>
      <c r="F130" s="357">
        <f t="shared" ca="1" si="39"/>
        <v>14.292481720847153</v>
      </c>
      <c r="G130" s="359">
        <f t="shared" ca="1" si="40"/>
        <v>15.099783649483989</v>
      </c>
      <c r="H130" s="360">
        <f t="shared" ca="1" si="41"/>
        <v>71.560132662832018</v>
      </c>
      <c r="I130" s="357">
        <f t="shared" ca="1" si="42"/>
        <v>73.135873912761454</v>
      </c>
      <c r="J130" s="359">
        <f t="shared" ca="1" si="43"/>
        <v>13.233902700082742</v>
      </c>
      <c r="K130" s="360">
        <f t="shared" ca="1" si="44"/>
        <v>67.052024844383013</v>
      </c>
      <c r="L130" s="357">
        <f t="shared" ca="1" si="29"/>
        <v>68.345520821828657</v>
      </c>
      <c r="M130" s="359">
        <f t="shared" ca="1" si="45"/>
        <v>1.3628385937271641</v>
      </c>
      <c r="N130" s="357">
        <f t="shared" ca="1" si="46"/>
        <v>78.084899578110765</v>
      </c>
      <c r="O130" s="343"/>
      <c r="P130" s="363">
        <f t="shared" ca="1" si="47"/>
        <v>13</v>
      </c>
      <c r="Q130" s="357">
        <f t="shared" ca="1" si="48"/>
        <v>0</v>
      </c>
      <c r="R130" s="359">
        <f t="shared" ca="1" si="49"/>
        <v>0</v>
      </c>
      <c r="S130" s="360">
        <f t="shared" ca="1" si="50"/>
        <v>1.5629999999999982</v>
      </c>
      <c r="T130" s="357">
        <f t="shared" ca="1" si="30"/>
        <v>15.333029999999983</v>
      </c>
      <c r="U130" s="364">
        <f t="shared" ca="1" si="31"/>
        <v>0</v>
      </c>
      <c r="V130" s="359">
        <f t="shared" ca="1" si="32"/>
        <v>1.2168135727826215</v>
      </c>
      <c r="W130" s="357">
        <f t="shared" ca="1" si="33"/>
        <v>7.0828110569533278</v>
      </c>
      <c r="X130" s="343"/>
      <c r="Y130" s="367" t="str">
        <f t="shared" ca="1" si="51"/>
        <v/>
      </c>
      <c r="Z130" s="368" t="str">
        <f t="shared" ca="1" si="52"/>
        <v/>
      </c>
      <c r="AA130" s="369" t="str">
        <f t="shared" ca="1" si="53"/>
        <v/>
      </c>
      <c r="AB130" s="344"/>
      <c r="AC130" s="363" t="e">
        <f t="shared" ca="1" si="54"/>
        <v>#N/A</v>
      </c>
      <c r="AD130" s="376" t="e">
        <f t="shared" ca="1" si="55"/>
        <v>#N/A</v>
      </c>
      <c r="AE130" s="377">
        <f t="shared" ca="1" si="34"/>
        <v>67.052024844383013</v>
      </c>
      <c r="AF130" s="344"/>
      <c r="AG130" s="359">
        <f t="shared" ca="1" si="56"/>
        <v>-14.148624118004623</v>
      </c>
      <c r="AH130" s="357">
        <f t="shared" ca="1" si="57"/>
        <v>-4.5494246361815645</v>
      </c>
    </row>
    <row r="131" spans="1:34" x14ac:dyDescent="0.2">
      <c r="A131" s="402">
        <f t="shared" ca="1" si="35"/>
        <v>0.01</v>
      </c>
      <c r="B131" s="357">
        <f t="shared" ca="1" si="36"/>
        <v>1.2700000000000009</v>
      </c>
      <c r="C131" s="342"/>
      <c r="D131" s="359">
        <f t="shared" ca="1" si="37"/>
        <v>-0.93559296616023679</v>
      </c>
      <c r="E131" s="360">
        <f t="shared" ca="1" si="38"/>
        <v>-14.24391497063781</v>
      </c>
      <c r="F131" s="357">
        <f t="shared" ca="1" si="39"/>
        <v>14.274608502130222</v>
      </c>
      <c r="G131" s="359">
        <f t="shared" ca="1" si="40"/>
        <v>15.090427719822387</v>
      </c>
      <c r="H131" s="360">
        <f t="shared" ca="1" si="41"/>
        <v>71.417693513125641</v>
      </c>
      <c r="I131" s="357">
        <f t="shared" ca="1" si="42"/>
        <v>72.994574836092667</v>
      </c>
      <c r="J131" s="359">
        <f t="shared" ca="1" si="43"/>
        <v>13.384853756929274</v>
      </c>
      <c r="K131" s="360">
        <f t="shared" ca="1" si="44"/>
        <v>67.766913975262796</v>
      </c>
      <c r="L131" s="357">
        <f t="shared" ca="1" si="29"/>
        <v>69.076109761805867</v>
      </c>
      <c r="M131" s="359">
        <f t="shared" ca="1" si="45"/>
        <v>1.3625611220245002</v>
      </c>
      <c r="N131" s="357">
        <f t="shared" ca="1" si="46"/>
        <v>78.069001620613818</v>
      </c>
      <c r="O131" s="343"/>
      <c r="P131" s="363">
        <f t="shared" ca="1" si="47"/>
        <v>13</v>
      </c>
      <c r="Q131" s="357">
        <f t="shared" ca="1" si="48"/>
        <v>0</v>
      </c>
      <c r="R131" s="359">
        <f t="shared" ca="1" si="49"/>
        <v>0</v>
      </c>
      <c r="S131" s="360">
        <f t="shared" ca="1" si="50"/>
        <v>1.5629999999999982</v>
      </c>
      <c r="T131" s="357">
        <f t="shared" ca="1" si="30"/>
        <v>15.333029999999983</v>
      </c>
      <c r="U131" s="364">
        <f t="shared" ca="1" si="31"/>
        <v>0</v>
      </c>
      <c r="V131" s="359">
        <f t="shared" ca="1" si="32"/>
        <v>1.2167265862240124</v>
      </c>
      <c r="W131" s="357">
        <f t="shared" ca="1" si="33"/>
        <v>7.0549650271049877</v>
      </c>
      <c r="X131" s="343"/>
      <c r="Y131" s="367" t="str">
        <f t="shared" ca="1" si="51"/>
        <v/>
      </c>
      <c r="Z131" s="368" t="str">
        <f t="shared" ca="1" si="52"/>
        <v/>
      </c>
      <c r="AA131" s="369" t="str">
        <f t="shared" ca="1" si="53"/>
        <v/>
      </c>
      <c r="AB131" s="344"/>
      <c r="AC131" s="363" t="e">
        <f t="shared" ca="1" si="54"/>
        <v>#N/A</v>
      </c>
      <c r="AD131" s="376" t="e">
        <f t="shared" ca="1" si="55"/>
        <v>#N/A</v>
      </c>
      <c r="AE131" s="377">
        <f t="shared" ca="1" si="34"/>
        <v>67.766913975262796</v>
      </c>
      <c r="AF131" s="344"/>
      <c r="AG131" s="359">
        <f t="shared" ca="1" si="56"/>
        <v>-14.130188661485558</v>
      </c>
      <c r="AH131" s="357">
        <f t="shared" ca="1" si="57"/>
        <v>-4.5315489807762868</v>
      </c>
    </row>
    <row r="132" spans="1:34" x14ac:dyDescent="0.2">
      <c r="A132" s="402">
        <f t="shared" ca="1" si="35"/>
        <v>0.01</v>
      </c>
      <c r="B132" s="357">
        <f t="shared" ca="1" si="36"/>
        <v>1.2800000000000009</v>
      </c>
      <c r="C132" s="342"/>
      <c r="D132" s="359">
        <f t="shared" ca="1" si="37"/>
        <v>-0.93314010112264067</v>
      </c>
      <c r="E132" s="360">
        <f t="shared" ca="1" si="38"/>
        <v>-14.226224310146208</v>
      </c>
      <c r="F132" s="357">
        <f t="shared" ca="1" si="39"/>
        <v>14.25679517180906</v>
      </c>
      <c r="G132" s="359">
        <f t="shared" ca="1" si="40"/>
        <v>15.081096318811161</v>
      </c>
      <c r="H132" s="360">
        <f t="shared" ca="1" si="41"/>
        <v>71.275431270024185</v>
      </c>
      <c r="I132" s="357">
        <f t="shared" ca="1" si="42"/>
        <v>72.853459553443315</v>
      </c>
      <c r="J132" s="359">
        <f t="shared" ca="1" si="43"/>
        <v>13.535711377122443</v>
      </c>
      <c r="K132" s="360">
        <f t="shared" ca="1" si="44"/>
        <v>68.480379599178548</v>
      </c>
      <c r="L132" s="357">
        <f t="shared" ref="L132:L195" ca="1" si="58">SQRT(pos_x^2+pos_z^2)</f>
        <v>69.805285419747065</v>
      </c>
      <c r="M132" s="359">
        <f t="shared" ca="1" si="45"/>
        <v>1.3622827473004957</v>
      </c>
      <c r="N132" s="357">
        <f t="shared" ca="1" si="46"/>
        <v>78.053051923805242</v>
      </c>
      <c r="O132" s="343"/>
      <c r="P132" s="363">
        <f t="shared" ca="1" si="47"/>
        <v>13</v>
      </c>
      <c r="Q132" s="357">
        <f t="shared" ca="1" si="48"/>
        <v>0</v>
      </c>
      <c r="R132" s="359">
        <f t="shared" ca="1" si="49"/>
        <v>0</v>
      </c>
      <c r="S132" s="360">
        <f t="shared" ca="1" si="50"/>
        <v>1.5629999999999982</v>
      </c>
      <c r="T132" s="357">
        <f t="shared" ref="T132:T195" ca="1" si="59">m*g</f>
        <v>15.333029999999983</v>
      </c>
      <c r="U132" s="364">
        <f t="shared" ref="U132:U195" ca="1" si="60">IF(pos_xz&lt;L_rampe,Poids*COS(Beta),0)</f>
        <v>0</v>
      </c>
      <c r="V132" s="359">
        <f t="shared" ref="V132:V195" ca="1" si="61">Rho_moyen*(20000-Alt_rampe-pos_z)/(20000+Alt_rampe+pos_z)</f>
        <v>1.2166397790542953</v>
      </c>
      <c r="W132" s="357">
        <f t="shared" ref="W132:W195" ca="1" si="62">1/2*Rho*Sref*Cx*vit_xz^2</f>
        <v>7.027212266673283</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68.480379599178548</v>
      </c>
      <c r="AF132" s="344"/>
      <c r="AG132" s="359">
        <f t="shared" ca="1" si="56"/>
        <v>-14.111810544721816</v>
      </c>
      <c r="AH132" s="357">
        <f t="shared" ca="1" si="57"/>
        <v>-4.5137332227159286</v>
      </c>
    </row>
    <row r="133" spans="1:34" x14ac:dyDescent="0.2">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-0.93069381578800292</v>
      </c>
      <c r="E133" s="360">
        <f t="shared" ref="E133:E196" ca="1" si="67">IF(AND(L132&lt;L_rampe,Poussee&lt;Poids*SIN(M132)),0,(-W132+Poussee)/m*SIN(M132)+U132/m*COS(M132)-Poids/m)</f>
        <v>-14.208592893932503</v>
      </c>
      <c r="F133" s="357">
        <f t="shared" ref="F133:F196" ca="1" si="68">SQRT(acc_x^2+acc_z^2)</f>
        <v>14.239041505812645</v>
      </c>
      <c r="G133" s="359">
        <f t="shared" ref="G133:G196" ca="1" si="69">G132+acc_x*pas</f>
        <v>15.07178938065328</v>
      </c>
      <c r="H133" s="360">
        <f t="shared" ref="H133:H196" ca="1" si="70">H132+acc_z*pas</f>
        <v>71.133345341084862</v>
      </c>
      <c r="I133" s="357">
        <f t="shared" ref="I133:I196" ca="1" si="71">SQRT(vit_x^2+vit_z^2)</f>
        <v>72.712527493883826</v>
      </c>
      <c r="J133" s="359">
        <f t="shared" ref="J133:J196" ca="1" si="72">J132+0.5*(vit_x+G132)*pas*(K132&gt;=0)</f>
        <v>13.686475805619764</v>
      </c>
      <c r="K133" s="360">
        <f t="shared" ref="K133:K196" ca="1" si="73">K132+0.5*(vit_z+H132)*pas</f>
        <v>69.192423482234091</v>
      </c>
      <c r="L133" s="357">
        <f t="shared" ca="1" si="58"/>
        <v>70.533049610254579</v>
      </c>
      <c r="M133" s="359">
        <f t="shared" ref="M133:M196" ca="1" si="74">IF(AND(L132&gt;L_rampe,G133&gt;0),ATAN2(G133,H133),$M$4)</f>
        <v>1.3620034655833961</v>
      </c>
      <c r="N133" s="357">
        <f t="shared" ref="N133:N196" ca="1" si="75">DEGREES(Beta)</f>
        <v>78.037050260120267</v>
      </c>
      <c r="O133" s="343"/>
      <c r="P133" s="363">
        <f t="shared" ref="P133:P196" ca="1" si="76">MATCH(t-pas/2-T_ini,CdP_t)</f>
        <v>13</v>
      </c>
      <c r="Q133" s="357">
        <f t="shared" ref="Q133:Q196" ca="1" si="77">(INDEX(CdP,2,i_P+1)-INDEX(CdP,2,i_P+0))/(INDEX(CdP,1,i_P+1)-INDEX(CdP,1,i_P+0))*(t-pas/2-T_ini-INDEX(CdP,1,i_P+0))+INDEX(CdP,2,i_P+0)</f>
        <v>0</v>
      </c>
      <c r="R133" s="359">
        <f t="shared" ref="R133:R196" ca="1" si="78">Poussee/(g*ISP)</f>
        <v>0</v>
      </c>
      <c r="S133" s="360">
        <f t="shared" ref="S133:S196" ca="1" si="79">S132-Débit*pas</f>
        <v>1.5629999999999982</v>
      </c>
      <c r="T133" s="357">
        <f t="shared" ca="1" si="59"/>
        <v>15.333029999999983</v>
      </c>
      <c r="U133" s="364">
        <f t="shared" ca="1" si="60"/>
        <v>0</v>
      </c>
      <c r="V133" s="359">
        <f t="shared" ca="1" si="61"/>
        <v>1.2165531510210088</v>
      </c>
      <c r="W133" s="357">
        <f t="shared" ca="1" si="62"/>
        <v>6.9995524273076484</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69.192423482234091</v>
      </c>
      <c r="AF133" s="344"/>
      <c r="AG133" s="359">
        <f t="shared" ref="AG133:AG196" ca="1" si="85">IF(AND(L132&lt;L_rampe,Poussee&lt;Poids*SIN(M132)),0,(-W132+Poussee)/m-Poids*SIN(M132)/m)</f>
        <v>-14.093489528541307</v>
      </c>
      <c r="AH133" s="357">
        <f t="shared" ref="AH133:AH196" ca="1" si="86">IF(AND(L132&lt;L_rampe,Poussee&lt;Poids*SIN(M132)), g*SIN(M132), (-W132+Poussee)/m)</f>
        <v>-4.4959771379867508</v>
      </c>
    </row>
    <row r="134" spans="1:34" x14ac:dyDescent="0.2">
      <c r="A134" s="402">
        <f t="shared" ca="1" si="64"/>
        <v>0.01</v>
      </c>
      <c r="B134" s="357">
        <f t="shared" ca="1" si="65"/>
        <v>1.3000000000000009</v>
      </c>
      <c r="C134" s="342"/>
      <c r="D134" s="359">
        <f t="shared" ca="1" si="66"/>
        <v>-0.92825408311059499</v>
      </c>
      <c r="E134" s="360">
        <f t="shared" ca="1" si="67"/>
        <v>-14.191020500653785</v>
      </c>
      <c r="F134" s="357">
        <f t="shared" ca="1" si="68"/>
        <v>14.221347281210296</v>
      </c>
      <c r="G134" s="359">
        <f t="shared" ca="1" si="69"/>
        <v>15.062506839822174</v>
      </c>
      <c r="H134" s="360">
        <f t="shared" ca="1" si="70"/>
        <v>70.991435136078323</v>
      </c>
      <c r="I134" s="357">
        <f t="shared" ca="1" si="71"/>
        <v>72.571778088866651</v>
      </c>
      <c r="J134" s="359">
        <f t="shared" ca="1" si="72"/>
        <v>13.837147286722141</v>
      </c>
      <c r="K134" s="360">
        <f t="shared" ca="1" si="73"/>
        <v>69.90304738461991</v>
      </c>
      <c r="L134" s="357">
        <f t="shared" ca="1" si="58"/>
        <v>71.259404142126101</v>
      </c>
      <c r="M134" s="359">
        <f t="shared" ca="1" si="74"/>
        <v>1.36172327287797</v>
      </c>
      <c r="N134" s="357">
        <f t="shared" ca="1" si="75"/>
        <v>78.020996400648997</v>
      </c>
      <c r="O134" s="343"/>
      <c r="P134" s="363">
        <f t="shared" ca="1" si="76"/>
        <v>13</v>
      </c>
      <c r="Q134" s="357">
        <f t="shared" ca="1" si="77"/>
        <v>0</v>
      </c>
      <c r="R134" s="359">
        <f t="shared" ca="1" si="78"/>
        <v>0</v>
      </c>
      <c r="S134" s="360">
        <f t="shared" ca="1" si="79"/>
        <v>1.5629999999999982</v>
      </c>
      <c r="T134" s="357">
        <f t="shared" ca="1" si="59"/>
        <v>15.333029999999983</v>
      </c>
      <c r="U134" s="364">
        <f t="shared" ca="1" si="60"/>
        <v>0</v>
      </c>
      <c r="V134" s="359">
        <f t="shared" ca="1" si="61"/>
        <v>1.2164667018725515</v>
      </c>
      <c r="W134" s="357">
        <f t="shared" ca="1" si="62"/>
        <v>6.9719851624298723</v>
      </c>
      <c r="X134" s="343"/>
      <c r="Y134" s="367" t="str">
        <f t="shared" ca="1" si="80"/>
        <v/>
      </c>
      <c r="Z134" s="368" t="str">
        <f t="shared" ca="1" si="81"/>
        <v/>
      </c>
      <c r="AA134" s="369" t="str">
        <f t="shared" ca="1" si="82"/>
        <v/>
      </c>
      <c r="AB134" s="344"/>
      <c r="AC134" s="363" t="e">
        <f t="shared" ca="1" si="83"/>
        <v>#N/A</v>
      </c>
      <c r="AD134" s="376" t="e">
        <f t="shared" ca="1" si="84"/>
        <v>#N/A</v>
      </c>
      <c r="AE134" s="377">
        <f t="shared" ca="1" si="63"/>
        <v>69.90304738461991</v>
      </c>
      <c r="AF134" s="344"/>
      <c r="AG134" s="359">
        <f t="shared" ca="1" si="85"/>
        <v>-14.075225374800532</v>
      </c>
      <c r="AH134" s="357">
        <f t="shared" ca="1" si="86"/>
        <v>-4.4782805037157107</v>
      </c>
    </row>
    <row r="135" spans="1:34" x14ac:dyDescent="0.2">
      <c r="A135" s="402">
        <f t="shared" ca="1" si="64"/>
        <v>0.01</v>
      </c>
      <c r="B135" s="357">
        <f t="shared" ca="1" si="65"/>
        <v>1.3100000000000009</v>
      </c>
      <c r="C135" s="342"/>
      <c r="D135" s="359">
        <f t="shared" ca="1" si="66"/>
        <v>-0.9258208761789174</v>
      </c>
      <c r="E135" s="360">
        <f t="shared" ca="1" si="67"/>
        <v>-14.173506910092712</v>
      </c>
      <c r="F135" s="357">
        <f t="shared" ca="1" si="68"/>
        <v>14.203712276204927</v>
      </c>
      <c r="G135" s="359">
        <f t="shared" ca="1" si="69"/>
        <v>15.053248631060384</v>
      </c>
      <c r="H135" s="360">
        <f t="shared" ca="1" si="70"/>
        <v>70.849700066977391</v>
      </c>
      <c r="I135" s="357">
        <f t="shared" ca="1" si="71"/>
        <v>72.431210772215991</v>
      </c>
      <c r="J135" s="359">
        <f t="shared" ca="1" si="72"/>
        <v>13.987726064076554</v>
      </c>
      <c r="K135" s="360">
        <f t="shared" ca="1" si="73"/>
        <v>70.612253060635183</v>
      </c>
      <c r="L135" s="357">
        <f t="shared" ca="1" si="58"/>
        <v>71.984350818374608</v>
      </c>
      <c r="M135" s="359">
        <f t="shared" ca="1" si="74"/>
        <v>1.3614421651653383</v>
      </c>
      <c r="N135" s="357">
        <f t="shared" ca="1" si="75"/>
        <v>78.004890115126628</v>
      </c>
      <c r="O135" s="343"/>
      <c r="P135" s="363">
        <f t="shared" ca="1" si="76"/>
        <v>13</v>
      </c>
      <c r="Q135" s="357">
        <f t="shared" ca="1" si="77"/>
        <v>0</v>
      </c>
      <c r="R135" s="359">
        <f t="shared" ca="1" si="78"/>
        <v>0</v>
      </c>
      <c r="S135" s="360">
        <f t="shared" ca="1" si="79"/>
        <v>1.5629999999999982</v>
      </c>
      <c r="T135" s="357">
        <f t="shared" ca="1" si="59"/>
        <v>15.333029999999983</v>
      </c>
      <c r="U135" s="364">
        <f t="shared" ca="1" si="60"/>
        <v>0</v>
      </c>
      <c r="V135" s="359">
        <f t="shared" ca="1" si="61"/>
        <v>1.216380431358183</v>
      </c>
      <c r="W135" s="357">
        <f t="shared" ca="1" si="62"/>
        <v>6.9445101272236238</v>
      </c>
      <c r="X135" s="343"/>
      <c r="Y135" s="367" t="str">
        <f t="shared" ca="1" si="80"/>
        <v/>
      </c>
      <c r="Z135" s="368" t="str">
        <f t="shared" ca="1" si="81"/>
        <v/>
      </c>
      <c r="AA135" s="369" t="str">
        <f t="shared" ca="1" si="82"/>
        <v/>
      </c>
      <c r="AB135" s="344"/>
      <c r="AC135" s="363" t="e">
        <f t="shared" ca="1" si="83"/>
        <v>#N/A</v>
      </c>
      <c r="AD135" s="376" t="e">
        <f t="shared" ca="1" si="84"/>
        <v>#N/A</v>
      </c>
      <c r="AE135" s="377">
        <f t="shared" ca="1" si="63"/>
        <v>70.612253060635183</v>
      </c>
      <c r="AF135" s="344"/>
      <c r="AG135" s="359">
        <f t="shared" ca="1" si="85"/>
        <v>-14.057017846376864</v>
      </c>
      <c r="AH135" s="357">
        <f t="shared" ca="1" si="86"/>
        <v>-4.4606430981637111</v>
      </c>
    </row>
    <row r="136" spans="1:34" x14ac:dyDescent="0.2">
      <c r="A136" s="402">
        <f t="shared" ca="1" si="64"/>
        <v>0.01</v>
      </c>
      <c r="B136" s="357">
        <f t="shared" ca="1" si="65"/>
        <v>1.320000000000001</v>
      </c>
      <c r="C136" s="342"/>
      <c r="D136" s="359">
        <f t="shared" ca="1" si="66"/>
        <v>-0.92339416821491271</v>
      </c>
      <c r="E136" s="360">
        <f t="shared" ca="1" si="67"/>
        <v>-14.156051903150832</v>
      </c>
      <c r="F136" s="357">
        <f t="shared" ca="1" si="68"/>
        <v>14.186136270126324</v>
      </c>
      <c r="G136" s="359">
        <f t="shared" ca="1" si="69"/>
        <v>15.044014689378235</v>
      </c>
      <c r="H136" s="360">
        <f t="shared" ca="1" si="70"/>
        <v>70.708139547945876</v>
      </c>
      <c r="I136" s="357">
        <f t="shared" ca="1" si="71"/>
        <v>72.290824980117748</v>
      </c>
      <c r="J136" s="359">
        <f t="shared" ca="1" si="72"/>
        <v>14.138212380678747</v>
      </c>
      <c r="K136" s="360">
        <f t="shared" ca="1" si="73"/>
        <v>71.320042258709805</v>
      </c>
      <c r="L136" s="357">
        <f t="shared" ca="1" si="58"/>
        <v>72.707891436248715</v>
      </c>
      <c r="M136" s="359">
        <f t="shared" ca="1" si="74"/>
        <v>1.3611601384028029</v>
      </c>
      <c r="N136" s="357">
        <f t="shared" ca="1" si="75"/>
        <v>77.988731171923618</v>
      </c>
      <c r="O136" s="343"/>
      <c r="P136" s="363">
        <f t="shared" ca="1" si="76"/>
        <v>13</v>
      </c>
      <c r="Q136" s="357">
        <f t="shared" ca="1" si="77"/>
        <v>0</v>
      </c>
      <c r="R136" s="359">
        <f t="shared" ca="1" si="78"/>
        <v>0</v>
      </c>
      <c r="S136" s="360">
        <f t="shared" ca="1" si="79"/>
        <v>1.5629999999999982</v>
      </c>
      <c r="T136" s="357">
        <f t="shared" ca="1" si="59"/>
        <v>15.333029999999983</v>
      </c>
      <c r="U136" s="364">
        <f t="shared" ca="1" si="60"/>
        <v>0</v>
      </c>
      <c r="V136" s="359">
        <f t="shared" ca="1" si="61"/>
        <v>1.2162943392280154</v>
      </c>
      <c r="W136" s="357">
        <f t="shared" ca="1" si="62"/>
        <v>6.9171269786240464</v>
      </c>
      <c r="X136" s="343"/>
      <c r="Y136" s="367" t="str">
        <f t="shared" ca="1" si="80"/>
        <v/>
      </c>
      <c r="Z136" s="368" t="str">
        <f t="shared" ca="1" si="81"/>
        <v/>
      </c>
      <c r="AA136" s="369" t="str">
        <f t="shared" ca="1" si="82"/>
        <v/>
      </c>
      <c r="AB136" s="344"/>
      <c r="AC136" s="363" t="e">
        <f t="shared" ca="1" si="83"/>
        <v>#N/A</v>
      </c>
      <c r="AD136" s="376" t="e">
        <f t="shared" ca="1" si="84"/>
        <v>#N/A</v>
      </c>
      <c r="AE136" s="377">
        <f t="shared" ca="1" si="63"/>
        <v>71.320042258709805</v>
      </c>
      <c r="AF136" s="344"/>
      <c r="AG136" s="359">
        <f t="shared" ca="1" si="85"/>
        <v>-14.038866707160821</v>
      </c>
      <c r="AH136" s="357">
        <f t="shared" ca="1" si="86"/>
        <v>-4.4430647007188941</v>
      </c>
    </row>
    <row r="137" spans="1:34" x14ac:dyDescent="0.2">
      <c r="A137" s="402">
        <f t="shared" ca="1" si="64"/>
        <v>0.01</v>
      </c>
      <c r="B137" s="357">
        <f t="shared" ca="1" si="65"/>
        <v>1.330000000000001</v>
      </c>
      <c r="C137" s="342"/>
      <c r="D137" s="359">
        <f t="shared" ca="1" si="66"/>
        <v>-0.9209739325731835</v>
      </c>
      <c r="E137" s="360">
        <f t="shared" ca="1" si="67"/>
        <v>-14.138655261841983</v>
      </c>
      <c r="F137" s="357">
        <f t="shared" ca="1" si="68"/>
        <v>14.168619043424496</v>
      </c>
      <c r="G137" s="359">
        <f t="shared" ca="1" si="69"/>
        <v>15.034804950052504</v>
      </c>
      <c r="H137" s="360">
        <f t="shared" ca="1" si="70"/>
        <v>70.566752995327462</v>
      </c>
      <c r="I137" s="357">
        <f t="shared" ca="1" si="71"/>
        <v>72.15062015110945</v>
      </c>
      <c r="J137" s="359">
        <f t="shared" ca="1" si="72"/>
        <v>14.2886064788759</v>
      </c>
      <c r="K137" s="360">
        <f t="shared" ca="1" si="73"/>
        <v>72.026416721426173</v>
      </c>
      <c r="L137" s="357">
        <f t="shared" ca="1" si="58"/>
        <v>73.430027787252769</v>
      </c>
      <c r="M137" s="359">
        <f t="shared" ca="1" si="74"/>
        <v>1.3608771885236739</v>
      </c>
      <c r="N137" s="357">
        <f t="shared" ca="1" si="75"/>
        <v>77.972519338035781</v>
      </c>
      <c r="O137" s="343"/>
      <c r="P137" s="363">
        <f t="shared" ca="1" si="76"/>
        <v>13</v>
      </c>
      <c r="Q137" s="357">
        <f t="shared" ca="1" si="77"/>
        <v>0</v>
      </c>
      <c r="R137" s="359">
        <f t="shared" ca="1" si="78"/>
        <v>0</v>
      </c>
      <c r="S137" s="360">
        <f t="shared" ca="1" si="79"/>
        <v>1.5629999999999982</v>
      </c>
      <c r="T137" s="357">
        <f t="shared" ca="1" si="59"/>
        <v>15.333029999999983</v>
      </c>
      <c r="U137" s="364">
        <f t="shared" ca="1" si="60"/>
        <v>0</v>
      </c>
      <c r="V137" s="359">
        <f t="shared" ca="1" si="61"/>
        <v>1.2162084252330156</v>
      </c>
      <c r="W137" s="357">
        <f t="shared" ca="1" si="62"/>
        <v>6.8898353753074506</v>
      </c>
      <c r="X137" s="343"/>
      <c r="Y137" s="367" t="str">
        <f t="shared" ca="1" si="80"/>
        <v/>
      </c>
      <c r="Z137" s="368" t="str">
        <f t="shared" ca="1" si="81"/>
        <v/>
      </c>
      <c r="AA137" s="369" t="str">
        <f t="shared" ca="1" si="82"/>
        <v/>
      </c>
      <c r="AB137" s="344"/>
      <c r="AC137" s="363" t="e">
        <f t="shared" ca="1" si="83"/>
        <v>#N/A</v>
      </c>
      <c r="AD137" s="376" t="e">
        <f t="shared" ca="1" si="84"/>
        <v>#N/A</v>
      </c>
      <c r="AE137" s="377">
        <f t="shared" ca="1" si="63"/>
        <v>72.026416721426173</v>
      </c>
      <c r="AF137" s="344"/>
      <c r="AG137" s="359">
        <f t="shared" ca="1" si="85"/>
        <v>-14.020771722048435</v>
      </c>
      <c r="AH137" s="357">
        <f t="shared" ca="1" si="86"/>
        <v>-4.4255450918899903</v>
      </c>
    </row>
    <row r="138" spans="1:34" x14ac:dyDescent="0.2">
      <c r="A138" s="402">
        <f t="shared" ca="1" si="64"/>
        <v>0.01</v>
      </c>
      <c r="B138" s="357">
        <f t="shared" ca="1" si="65"/>
        <v>1.340000000000001</v>
      </c>
      <c r="C138" s="342"/>
      <c r="D138" s="359">
        <f t="shared" ca="1" si="66"/>
        <v>-0.91856014274021436</v>
      </c>
      <c r="E138" s="360">
        <f t="shared" ca="1" si="67"/>
        <v>-14.12131676928573</v>
      </c>
      <c r="F138" s="357">
        <f t="shared" ca="1" si="68"/>
        <v>14.151160377663073</v>
      </c>
      <c r="G138" s="359">
        <f t="shared" ca="1" si="69"/>
        <v>15.025619348625101</v>
      </c>
      <c r="H138" s="360">
        <f t="shared" ca="1" si="70"/>
        <v>70.425539827634609</v>
      </c>
      <c r="I138" s="357">
        <f t="shared" ca="1" si="71"/>
        <v>72.010595726070235</v>
      </c>
      <c r="J138" s="359">
        <f t="shared" ca="1" si="72"/>
        <v>14.438908600369288</v>
      </c>
      <c r="K138" s="360">
        <f t="shared" ca="1" si="73"/>
        <v>72.73137818554099</v>
      </c>
      <c r="L138" s="357">
        <f t="shared" ca="1" si="58"/>
        <v>74.150761657167124</v>
      </c>
      <c r="M138" s="359">
        <f t="shared" ca="1" si="74"/>
        <v>1.3605933114370943</v>
      </c>
      <c r="N138" s="357">
        <f t="shared" ca="1" si="75"/>
        <v>77.956254379074309</v>
      </c>
      <c r="O138" s="343"/>
      <c r="P138" s="363">
        <f t="shared" ca="1" si="76"/>
        <v>13</v>
      </c>
      <c r="Q138" s="357">
        <f t="shared" ca="1" si="77"/>
        <v>0</v>
      </c>
      <c r="R138" s="359">
        <f t="shared" ca="1" si="78"/>
        <v>0</v>
      </c>
      <c r="S138" s="360">
        <f t="shared" ca="1" si="79"/>
        <v>1.5629999999999982</v>
      </c>
      <c r="T138" s="357">
        <f t="shared" ca="1" si="59"/>
        <v>15.333029999999983</v>
      </c>
      <c r="U138" s="364">
        <f t="shared" ca="1" si="60"/>
        <v>0</v>
      </c>
      <c r="V138" s="359">
        <f t="shared" ca="1" si="61"/>
        <v>1.2161226891249974</v>
      </c>
      <c r="W138" s="357">
        <f t="shared" ca="1" si="62"/>
        <v>6.8626349776810196</v>
      </c>
      <c r="X138" s="343"/>
      <c r="Y138" s="367" t="str">
        <f t="shared" ca="1" si="80"/>
        <v/>
      </c>
      <c r="Z138" s="368" t="str">
        <f t="shared" ca="1" si="81"/>
        <v/>
      </c>
      <c r="AA138" s="369" t="str">
        <f t="shared" ca="1" si="82"/>
        <v/>
      </c>
      <c r="AB138" s="344"/>
      <c r="AC138" s="363" t="e">
        <f t="shared" ca="1" si="83"/>
        <v>#N/A</v>
      </c>
      <c r="AD138" s="376" t="e">
        <f t="shared" ca="1" si="84"/>
        <v>#N/A</v>
      </c>
      <c r="AE138" s="377">
        <f t="shared" ca="1" si="63"/>
        <v>72.73137818554099</v>
      </c>
      <c r="AF138" s="344"/>
      <c r="AG138" s="359">
        <f t="shared" ca="1" si="85"/>
        <v>-14.00273265693362</v>
      </c>
      <c r="AH138" s="357">
        <f t="shared" ca="1" si="86"/>
        <v>-4.4080840532997181</v>
      </c>
    </row>
    <row r="139" spans="1:34" x14ac:dyDescent="0.2">
      <c r="A139" s="402">
        <f t="shared" ca="1" si="64"/>
        <v>0.01</v>
      </c>
      <c r="B139" s="357">
        <f t="shared" ca="1" si="65"/>
        <v>1.350000000000001</v>
      </c>
      <c r="C139" s="342"/>
      <c r="D139" s="359">
        <f t="shared" ca="1" si="66"/>
        <v>-0.9161527723335996</v>
      </c>
      <c r="E139" s="360">
        <f t="shared" ca="1" si="67"/>
        <v>-14.104036209700842</v>
      </c>
      <c r="F139" s="357">
        <f t="shared" ca="1" si="68"/>
        <v>14.133760055512724</v>
      </c>
      <c r="G139" s="359">
        <f t="shared" ca="1" si="69"/>
        <v>15.016457820901765</v>
      </c>
      <c r="H139" s="360">
        <f t="shared" ca="1" si="70"/>
        <v>70.284499465537607</v>
      </c>
      <c r="I139" s="357">
        <f t="shared" ca="1" si="71"/>
        <v>71.870751148211042</v>
      </c>
      <c r="J139" s="359">
        <f t="shared" ca="1" si="72"/>
        <v>14.589118986216922</v>
      </c>
      <c r="K139" s="360">
        <f t="shared" ca="1" si="73"/>
        <v>73.434928382006845</v>
      </c>
      <c r="L139" s="357">
        <f t="shared" ca="1" si="58"/>
        <v>74.870094826068367</v>
      </c>
      <c r="M139" s="359">
        <f t="shared" ca="1" si="74"/>
        <v>1.3603085030278652</v>
      </c>
      <c r="N139" s="357">
        <f t="shared" ca="1" si="75"/>
        <v>77.939936059255643</v>
      </c>
      <c r="O139" s="343"/>
      <c r="P139" s="363">
        <f t="shared" ca="1" si="76"/>
        <v>13</v>
      </c>
      <c r="Q139" s="357">
        <f t="shared" ca="1" si="77"/>
        <v>0</v>
      </c>
      <c r="R139" s="359">
        <f t="shared" ca="1" si="78"/>
        <v>0</v>
      </c>
      <c r="S139" s="360">
        <f t="shared" ca="1" si="79"/>
        <v>1.5629999999999982</v>
      </c>
      <c r="T139" s="357">
        <f t="shared" ca="1" si="59"/>
        <v>15.333029999999983</v>
      </c>
      <c r="U139" s="364">
        <f t="shared" ca="1" si="60"/>
        <v>0</v>
      </c>
      <c r="V139" s="359">
        <f t="shared" ca="1" si="61"/>
        <v>1.2160371306566204</v>
      </c>
      <c r="W139" s="357">
        <f t="shared" ca="1" si="62"/>
        <v>6.8355254478726621</v>
      </c>
      <c r="X139" s="343"/>
      <c r="Y139" s="367" t="str">
        <f t="shared" ca="1" si="80"/>
        <v/>
      </c>
      <c r="Z139" s="368" t="str">
        <f t="shared" ca="1" si="81"/>
        <v/>
      </c>
      <c r="AA139" s="369" t="str">
        <f t="shared" ca="1" si="82"/>
        <v/>
      </c>
      <c r="AB139" s="344"/>
      <c r="AC139" s="363" t="e">
        <f t="shared" ca="1" si="83"/>
        <v>#N/A</v>
      </c>
      <c r="AD139" s="376" t="e">
        <f t="shared" ca="1" si="84"/>
        <v>#N/A</v>
      </c>
      <c r="AE139" s="377">
        <f t="shared" ca="1" si="63"/>
        <v>73.434928382006845</v>
      </c>
      <c r="AF139" s="344"/>
      <c r="AG139" s="359">
        <f t="shared" ca="1" si="85"/>
        <v>-13.984749278700576</v>
      </c>
      <c r="AH139" s="357">
        <f t="shared" ca="1" si="86"/>
        <v>-4.3906813676782006</v>
      </c>
    </row>
    <row r="140" spans="1:34" x14ac:dyDescent="0.2">
      <c r="A140" s="402">
        <f t="shared" ca="1" si="64"/>
        <v>0.01</v>
      </c>
      <c r="B140" s="357">
        <f t="shared" ca="1" si="65"/>
        <v>1.360000000000001</v>
      </c>
      <c r="C140" s="342"/>
      <c r="D140" s="359">
        <f t="shared" ca="1" si="66"/>
        <v>-0.91375179510127658</v>
      </c>
      <c r="E140" s="360">
        <f t="shared" ca="1" si="67"/>
        <v>-14.086813368398822</v>
      </c>
      <c r="F140" s="357">
        <f t="shared" ca="1" si="68"/>
        <v>14.116417860744651</v>
      </c>
      <c r="G140" s="359">
        <f t="shared" ca="1" si="69"/>
        <v>15.007320302950752</v>
      </c>
      <c r="H140" s="360">
        <f t="shared" ca="1" si="70"/>
        <v>70.143631331853612</v>
      </c>
      <c r="I140" s="357">
        <f t="shared" ca="1" si="71"/>
        <v>71.731085863064649</v>
      </c>
      <c r="J140" s="359">
        <f t="shared" ca="1" si="72"/>
        <v>14.739237876836185</v>
      </c>
      <c r="K140" s="360">
        <f t="shared" ca="1" si="73"/>
        <v>74.137069035993804</v>
      </c>
      <c r="L140" s="357">
        <f t="shared" ca="1" si="58"/>
        <v>75.58802906834967</v>
      </c>
      <c r="M140" s="359">
        <f t="shared" ca="1" si="74"/>
        <v>1.360022759156267</v>
      </c>
      <c r="N140" s="357">
        <f t="shared" ca="1" si="75"/>
        <v>77.923564141391338</v>
      </c>
      <c r="O140" s="343"/>
      <c r="P140" s="363">
        <f t="shared" ca="1" si="76"/>
        <v>13</v>
      </c>
      <c r="Q140" s="357">
        <f t="shared" ca="1" si="77"/>
        <v>0</v>
      </c>
      <c r="R140" s="359">
        <f t="shared" ca="1" si="78"/>
        <v>0</v>
      </c>
      <c r="S140" s="360">
        <f t="shared" ca="1" si="79"/>
        <v>1.5629999999999982</v>
      </c>
      <c r="T140" s="357">
        <f t="shared" ca="1" si="59"/>
        <v>15.333029999999983</v>
      </c>
      <c r="U140" s="364">
        <f t="shared" ca="1" si="60"/>
        <v>0</v>
      </c>
      <c r="V140" s="359">
        <f t="shared" ca="1" si="61"/>
        <v>1.2159517495813879</v>
      </c>
      <c r="W140" s="357">
        <f t="shared" ca="1" si="62"/>
        <v>6.808506449720876</v>
      </c>
      <c r="X140" s="343"/>
      <c r="Y140" s="367" t="str">
        <f t="shared" ca="1" si="80"/>
        <v/>
      </c>
      <c r="Z140" s="368" t="str">
        <f t="shared" ca="1" si="81"/>
        <v/>
      </c>
      <c r="AA140" s="369" t="str">
        <f t="shared" ca="1" si="82"/>
        <v/>
      </c>
      <c r="AB140" s="344"/>
      <c r="AC140" s="363" t="e">
        <f t="shared" ca="1" si="83"/>
        <v>#N/A</v>
      </c>
      <c r="AD140" s="376" t="e">
        <f t="shared" ca="1" si="84"/>
        <v>#N/A</v>
      </c>
      <c r="AE140" s="377">
        <f t="shared" ca="1" si="63"/>
        <v>74.137069035993804</v>
      </c>
      <c r="AF140" s="344"/>
      <c r="AG140" s="359">
        <f t="shared" ca="1" si="85"/>
        <v>-13.966821355216247</v>
      </c>
      <c r="AH140" s="357">
        <f t="shared" ca="1" si="86"/>
        <v>-4.3733368188564752</v>
      </c>
    </row>
    <row r="141" spans="1:34" x14ac:dyDescent="0.2">
      <c r="A141" s="402">
        <f t="shared" ca="1" si="64"/>
        <v>0.01</v>
      </c>
      <c r="B141" s="357">
        <f t="shared" ca="1" si="65"/>
        <v>1.370000000000001</v>
      </c>
      <c r="C141" s="342"/>
      <c r="D141" s="359">
        <f t="shared" ca="1" si="66"/>
        <v>-0.91135718492076701</v>
      </c>
      <c r="E141" s="360">
        <f t="shared" ca="1" si="67"/>
        <v>-14.069648031777469</v>
      </c>
      <c r="F141" s="357">
        <f t="shared" ca="1" si="68"/>
        <v>14.0991335782241</v>
      </c>
      <c r="G141" s="359">
        <f t="shared" ca="1" si="69"/>
        <v>14.998206731101545</v>
      </c>
      <c r="H141" s="360">
        <f t="shared" ca="1" si="70"/>
        <v>70.002934851535841</v>
      </c>
      <c r="I141" s="357">
        <f t="shared" ca="1" si="71"/>
        <v>71.591599318476128</v>
      </c>
      <c r="J141" s="359">
        <f t="shared" ca="1" si="72"/>
        <v>14.889265512006446</v>
      </c>
      <c r="K141" s="360">
        <f t="shared" ca="1" si="73"/>
        <v>74.837801866910752</v>
      </c>
      <c r="L141" s="357">
        <f t="shared" ca="1" si="58"/>
        <v>76.304566152740918</v>
      </c>
      <c r="M141" s="359">
        <f t="shared" ca="1" si="74"/>
        <v>1.3597360756578813</v>
      </c>
      <c r="N141" s="357">
        <f t="shared" ca="1" si="75"/>
        <v>77.90713838687779</v>
      </c>
      <c r="O141" s="343"/>
      <c r="P141" s="363">
        <f t="shared" ca="1" si="76"/>
        <v>13</v>
      </c>
      <c r="Q141" s="357">
        <f t="shared" ca="1" si="77"/>
        <v>0</v>
      </c>
      <c r="R141" s="359">
        <f t="shared" ca="1" si="78"/>
        <v>0</v>
      </c>
      <c r="S141" s="360">
        <f t="shared" ca="1" si="79"/>
        <v>1.5629999999999982</v>
      </c>
      <c r="T141" s="357">
        <f t="shared" ca="1" si="59"/>
        <v>15.333029999999983</v>
      </c>
      <c r="U141" s="364">
        <f t="shared" ca="1" si="60"/>
        <v>0</v>
      </c>
      <c r="V141" s="359">
        <f t="shared" ca="1" si="61"/>
        <v>1.2158665456536404</v>
      </c>
      <c r="W141" s="357">
        <f t="shared" ca="1" si="62"/>
        <v>6.781577648764725</v>
      </c>
      <c r="X141" s="343"/>
      <c r="Y141" s="367" t="str">
        <f t="shared" ca="1" si="80"/>
        <v/>
      </c>
      <c r="Z141" s="368" t="str">
        <f t="shared" ca="1" si="81"/>
        <v/>
      </c>
      <c r="AA141" s="369" t="str">
        <f t="shared" ca="1" si="82"/>
        <v/>
      </c>
      <c r="AB141" s="344"/>
      <c r="AC141" s="363" t="e">
        <f t="shared" ca="1" si="83"/>
        <v>#N/A</v>
      </c>
      <c r="AD141" s="376" t="e">
        <f t="shared" ca="1" si="84"/>
        <v>#N/A</v>
      </c>
      <c r="AE141" s="377">
        <f t="shared" ca="1" si="63"/>
        <v>74.837801866910752</v>
      </c>
      <c r="AF141" s="344"/>
      <c r="AG141" s="359">
        <f t="shared" ca="1" si="85"/>
        <v>-13.948948655322798</v>
      </c>
      <c r="AH141" s="357">
        <f t="shared" ca="1" si="86"/>
        <v>-4.3560501917600023</v>
      </c>
    </row>
    <row r="142" spans="1:34" x14ac:dyDescent="0.2">
      <c r="A142" s="402">
        <f t="shared" ca="1" si="64"/>
        <v>0.01</v>
      </c>
      <c r="B142" s="357">
        <f t="shared" ca="1" si="65"/>
        <v>1.380000000000001</v>
      </c>
      <c r="C142" s="342"/>
      <c r="D142" s="359">
        <f t="shared" ca="1" si="66"/>
        <v>-0.90896891579842032</v>
      </c>
      <c r="E142" s="360">
        <f t="shared" ca="1" si="67"/>
        <v>-14.05253998731451</v>
      </c>
      <c r="F142" s="357">
        <f t="shared" ca="1" si="68"/>
        <v>14.081906993903953</v>
      </c>
      <c r="G142" s="359">
        <f t="shared" ca="1" si="69"/>
        <v>14.989117041943562</v>
      </c>
      <c r="H142" s="360">
        <f t="shared" ca="1" si="70"/>
        <v>69.8624094516627</v>
      </c>
      <c r="I142" s="357">
        <f t="shared" ca="1" si="71"/>
        <v>71.452290964592962</v>
      </c>
      <c r="J142" s="359">
        <f t="shared" ca="1" si="72"/>
        <v>15.039202130871672</v>
      </c>
      <c r="K142" s="360">
        <f t="shared" ca="1" si="73"/>
        <v>75.537128588426739</v>
      </c>
      <c r="L142" s="357">
        <f t="shared" ca="1" si="58"/>
        <v>77.019707842329098</v>
      </c>
      <c r="M142" s="359">
        <f t="shared" ca="1" si="74"/>
        <v>1.3594484483434095</v>
      </c>
      <c r="N142" s="357">
        <f t="shared" ca="1" si="75"/>
        <v>77.890658555685874</v>
      </c>
      <c r="O142" s="343"/>
      <c r="P142" s="363">
        <f t="shared" ca="1" si="76"/>
        <v>13</v>
      </c>
      <c r="Q142" s="357">
        <f t="shared" ca="1" si="77"/>
        <v>0</v>
      </c>
      <c r="R142" s="359">
        <f t="shared" ca="1" si="78"/>
        <v>0</v>
      </c>
      <c r="S142" s="360">
        <f t="shared" ca="1" si="79"/>
        <v>1.5629999999999982</v>
      </c>
      <c r="T142" s="357">
        <f t="shared" ca="1" si="59"/>
        <v>15.333029999999983</v>
      </c>
      <c r="U142" s="364">
        <f t="shared" ca="1" si="60"/>
        <v>0</v>
      </c>
      <c r="V142" s="359">
        <f t="shared" ca="1" si="61"/>
        <v>1.2157815186285548</v>
      </c>
      <c r="W142" s="357">
        <f t="shared" ca="1" si="62"/>
        <v>6.7547387122338307</v>
      </c>
      <c r="X142" s="343"/>
      <c r="Y142" s="367" t="str">
        <f t="shared" ca="1" si="80"/>
        <v/>
      </c>
      <c r="Z142" s="368" t="str">
        <f t="shared" ca="1" si="81"/>
        <v/>
      </c>
      <c r="AA142" s="369" t="str">
        <f t="shared" ca="1" si="82"/>
        <v/>
      </c>
      <c r="AB142" s="344"/>
      <c r="AC142" s="363" t="e">
        <f t="shared" ca="1" si="83"/>
        <v>#N/A</v>
      </c>
      <c r="AD142" s="376" t="e">
        <f t="shared" ca="1" si="84"/>
        <v>#N/A</v>
      </c>
      <c r="AE142" s="377">
        <f t="shared" ca="1" si="63"/>
        <v>75.537128588426739</v>
      </c>
      <c r="AF142" s="344"/>
      <c r="AG142" s="359">
        <f t="shared" ca="1" si="85"/>
        <v>-13.931130948830148</v>
      </c>
      <c r="AH142" s="357">
        <f t="shared" ca="1" si="86"/>
        <v>-4.3388212724022601</v>
      </c>
    </row>
    <row r="143" spans="1:34" x14ac:dyDescent="0.2">
      <c r="A143" s="402">
        <f t="shared" ca="1" si="64"/>
        <v>0.01</v>
      </c>
      <c r="B143" s="357">
        <f t="shared" ca="1" si="65"/>
        <v>1.390000000000001</v>
      </c>
      <c r="C143" s="342"/>
      <c r="D143" s="359">
        <f t="shared" ca="1" si="66"/>
        <v>-0.90658696186866194</v>
      </c>
      <c r="E143" s="360">
        <f t="shared" ca="1" si="67"/>
        <v>-14.035489023561247</v>
      </c>
      <c r="F143" s="357">
        <f t="shared" ca="1" si="68"/>
        <v>14.064737894818322</v>
      </c>
      <c r="G143" s="359">
        <f t="shared" ca="1" si="69"/>
        <v>14.980051172324876</v>
      </c>
      <c r="H143" s="360">
        <f t="shared" ca="1" si="70"/>
        <v>69.722054561427086</v>
      </c>
      <c r="I143" s="357">
        <f t="shared" ca="1" si="71"/>
        <v>71.313160253855585</v>
      </c>
      <c r="J143" s="359">
        <f t="shared" ca="1" si="72"/>
        <v>15.189047971943014</v>
      </c>
      <c r="K143" s="360">
        <f t="shared" ca="1" si="73"/>
        <v>76.235050908492184</v>
      </c>
      <c r="L143" s="357">
        <f t="shared" ca="1" si="58"/>
        <v>77.733455894578498</v>
      </c>
      <c r="M143" s="359">
        <f t="shared" ca="1" si="74"/>
        <v>1.3591598729984911</v>
      </c>
      <c r="N143" s="357">
        <f t="shared" ca="1" si="75"/>
        <v>77.874124406350518</v>
      </c>
      <c r="O143" s="343"/>
      <c r="P143" s="363">
        <f t="shared" ca="1" si="76"/>
        <v>13</v>
      </c>
      <c r="Q143" s="357">
        <f t="shared" ca="1" si="77"/>
        <v>0</v>
      </c>
      <c r="R143" s="359">
        <f t="shared" ca="1" si="78"/>
        <v>0</v>
      </c>
      <c r="S143" s="360">
        <f t="shared" ca="1" si="79"/>
        <v>1.5629999999999982</v>
      </c>
      <c r="T143" s="357">
        <f t="shared" ca="1" si="59"/>
        <v>15.333029999999983</v>
      </c>
      <c r="U143" s="364">
        <f t="shared" ca="1" si="60"/>
        <v>0</v>
      </c>
      <c r="V143" s="359">
        <f t="shared" ca="1" si="61"/>
        <v>1.2156966682621424</v>
      </c>
      <c r="W143" s="357">
        <f t="shared" ca="1" si="62"/>
        <v>6.7279893090385192</v>
      </c>
      <c r="X143" s="343"/>
      <c r="Y143" s="367" t="str">
        <f t="shared" ca="1" si="80"/>
        <v/>
      </c>
      <c r="Z143" s="368" t="str">
        <f t="shared" ca="1" si="81"/>
        <v/>
      </c>
      <c r="AA143" s="369" t="str">
        <f t="shared" ca="1" si="82"/>
        <v/>
      </c>
      <c r="AB143" s="344"/>
      <c r="AC143" s="363" t="e">
        <f t="shared" ca="1" si="83"/>
        <v>#N/A</v>
      </c>
      <c r="AD143" s="376" t="e">
        <f t="shared" ca="1" si="84"/>
        <v>#N/A</v>
      </c>
      <c r="AE143" s="377">
        <f t="shared" ca="1" si="63"/>
        <v>76.235050908492184</v>
      </c>
      <c r="AF143" s="344"/>
      <c r="AG143" s="359">
        <f t="shared" ca="1" si="85"/>
        <v>-13.913368006508483</v>
      </c>
      <c r="AH143" s="357">
        <f t="shared" ca="1" si="86"/>
        <v>-4.3216498478783354</v>
      </c>
    </row>
    <row r="144" spans="1:34" x14ac:dyDescent="0.2">
      <c r="A144" s="402">
        <f t="shared" ca="1" si="64"/>
        <v>0.01</v>
      </c>
      <c r="B144" s="357">
        <f t="shared" ca="1" si="65"/>
        <v>1.400000000000001</v>
      </c>
      <c r="C144" s="342"/>
      <c r="D144" s="359">
        <f t="shared" ca="1" si="66"/>
        <v>-0.90421129739325368</v>
      </c>
      <c r="E144" s="360">
        <f t="shared" ca="1" si="67"/>
        <v>-14.018494930136276</v>
      </c>
      <c r="F144" s="357">
        <f t="shared" ca="1" si="68"/>
        <v>14.047626069076228</v>
      </c>
      <c r="G144" s="359">
        <f t="shared" ca="1" si="69"/>
        <v>14.971009059350942</v>
      </c>
      <c r="H144" s="360">
        <f t="shared" ca="1" si="70"/>
        <v>69.581869612125729</v>
      </c>
      <c r="I144" s="357">
        <f t="shared" ca="1" si="71"/>
        <v>71.174206640987819</v>
      </c>
      <c r="J144" s="359">
        <f t="shared" ca="1" si="72"/>
        <v>15.338803273101393</v>
      </c>
      <c r="K144" s="360">
        <f t="shared" ca="1" si="73"/>
        <v>76.931570529359945</v>
      </c>
      <c r="L144" s="357">
        <f t="shared" ca="1" si="58"/>
        <v>78.445812061350921</v>
      </c>
      <c r="M144" s="359">
        <f t="shared" ca="1" si="74"/>
        <v>1.3588703453835196</v>
      </c>
      <c r="N144" s="357">
        <f t="shared" ca="1" si="75"/>
        <v>77.857535695960166</v>
      </c>
      <c r="O144" s="343"/>
      <c r="P144" s="363">
        <f t="shared" ca="1" si="76"/>
        <v>13</v>
      </c>
      <c r="Q144" s="357">
        <f t="shared" ca="1" si="77"/>
        <v>0</v>
      </c>
      <c r="R144" s="359">
        <f t="shared" ca="1" si="78"/>
        <v>0</v>
      </c>
      <c r="S144" s="360">
        <f t="shared" ca="1" si="79"/>
        <v>1.5629999999999982</v>
      </c>
      <c r="T144" s="357">
        <f t="shared" ca="1" si="59"/>
        <v>15.333029999999983</v>
      </c>
      <c r="U144" s="364">
        <f t="shared" ca="1" si="60"/>
        <v>0</v>
      </c>
      <c r="V144" s="359">
        <f t="shared" ca="1" si="61"/>
        <v>1.2156119943112422</v>
      </c>
      <c r="W144" s="357">
        <f t="shared" ca="1" si="62"/>
        <v>6.7013291097599446</v>
      </c>
      <c r="X144" s="343"/>
      <c r="Y144" s="367" t="str">
        <f t="shared" ca="1" si="80"/>
        <v/>
      </c>
      <c r="Z144" s="368" t="str">
        <f t="shared" ca="1" si="81"/>
        <v/>
      </c>
      <c r="AA144" s="369" t="str">
        <f t="shared" ca="1" si="82"/>
        <v/>
      </c>
      <c r="AB144" s="344"/>
      <c r="AC144" s="363" t="e">
        <f t="shared" ca="1" si="83"/>
        <v>#N/A</v>
      </c>
      <c r="AD144" s="376" t="e">
        <f t="shared" ca="1" si="84"/>
        <v>#N/A</v>
      </c>
      <c r="AE144" s="377">
        <f t="shared" ca="1" si="63"/>
        <v>76.931570529359945</v>
      </c>
      <c r="AF144" s="344"/>
      <c r="AG144" s="359">
        <f t="shared" ca="1" si="85"/>
        <v>-13.895659600080895</v>
      </c>
      <c r="AH144" s="357">
        <f t="shared" ca="1" si="86"/>
        <v>-4.3045357063586227</v>
      </c>
    </row>
    <row r="145" spans="1:34" x14ac:dyDescent="0.2">
      <c r="A145" s="402">
        <f t="shared" ca="1" si="64"/>
        <v>0.01</v>
      </c>
      <c r="B145" s="357">
        <f t="shared" ca="1" si="65"/>
        <v>1.410000000000001</v>
      </c>
      <c r="C145" s="342"/>
      <c r="D145" s="359">
        <f t="shared" ca="1" si="66"/>
        <v>-0.9018418967605496</v>
      </c>
      <c r="E145" s="360">
        <f t="shared" ca="1" si="67"/>
        <v>-14.001557497719215</v>
      </c>
      <c r="F145" s="357">
        <f t="shared" ca="1" si="68"/>
        <v>14.030571305855291</v>
      </c>
      <c r="G145" s="359">
        <f t="shared" ca="1" si="69"/>
        <v>14.961990640383338</v>
      </c>
      <c r="H145" s="360">
        <f t="shared" ca="1" si="70"/>
        <v>69.441854037148531</v>
      </c>
      <c r="I145" s="357">
        <f t="shared" ca="1" si="71"/>
        <v>71.035429582987391</v>
      </c>
      <c r="J145" s="359">
        <f t="shared" ca="1" si="72"/>
        <v>15.488468271600064</v>
      </c>
      <c r="K145" s="360">
        <f t="shared" ca="1" si="73"/>
        <v>77.626689147606314</v>
      </c>
      <c r="L145" s="357">
        <f t="shared" ca="1" si="58"/>
        <v>79.156778088925918</v>
      </c>
      <c r="M145" s="359">
        <f t="shared" ca="1" si="74"/>
        <v>1.3585798612334572</v>
      </c>
      <c r="N145" s="357">
        <f t="shared" ca="1" si="75"/>
        <v>77.840892180146142</v>
      </c>
      <c r="O145" s="343"/>
      <c r="P145" s="363">
        <f t="shared" ca="1" si="76"/>
        <v>13</v>
      </c>
      <c r="Q145" s="357">
        <f t="shared" ca="1" si="77"/>
        <v>0</v>
      </c>
      <c r="R145" s="359">
        <f t="shared" ca="1" si="78"/>
        <v>0</v>
      </c>
      <c r="S145" s="360">
        <f t="shared" ca="1" si="79"/>
        <v>1.5629999999999982</v>
      </c>
      <c r="T145" s="357">
        <f t="shared" ca="1" si="59"/>
        <v>15.333029999999983</v>
      </c>
      <c r="U145" s="364">
        <f t="shared" ca="1" si="60"/>
        <v>0</v>
      </c>
      <c r="V145" s="359">
        <f t="shared" ca="1" si="61"/>
        <v>1.2155274965335203</v>
      </c>
      <c r="W145" s="357">
        <f t="shared" ca="1" si="62"/>
        <v>6.6747577866403365</v>
      </c>
      <c r="X145" s="343"/>
      <c r="Y145" s="367" t="str">
        <f t="shared" ca="1" si="80"/>
        <v/>
      </c>
      <c r="Z145" s="368" t="str">
        <f t="shared" ca="1" si="81"/>
        <v/>
      </c>
      <c r="AA145" s="369" t="str">
        <f t="shared" ca="1" si="82"/>
        <v/>
      </c>
      <c r="AB145" s="344"/>
      <c r="AC145" s="363" t="e">
        <f t="shared" ca="1" si="83"/>
        <v>#N/A</v>
      </c>
      <c r="AD145" s="376" t="e">
        <f t="shared" ca="1" si="84"/>
        <v>#N/A</v>
      </c>
      <c r="AE145" s="377">
        <f t="shared" ca="1" si="63"/>
        <v>77.626689147606314</v>
      </c>
      <c r="AF145" s="344"/>
      <c r="AG145" s="359">
        <f t="shared" ca="1" si="85"/>
        <v>-13.878005502215956</v>
      </c>
      <c r="AH145" s="357">
        <f t="shared" ca="1" si="86"/>
        <v>-4.2874786370825033</v>
      </c>
    </row>
    <row r="146" spans="1:34" x14ac:dyDescent="0.2">
      <c r="A146" s="402">
        <f t="shared" ca="1" si="64"/>
        <v>0.01</v>
      </c>
      <c r="B146" s="357">
        <f t="shared" ca="1" si="65"/>
        <v>1.420000000000001</v>
      </c>
      <c r="C146" s="342"/>
      <c r="D146" s="359">
        <f t="shared" ca="1" si="66"/>
        <v>-0.89947873448476501</v>
      </c>
      <c r="E146" s="360">
        <f t="shared" ca="1" si="67"/>
        <v>-13.984676518044516</v>
      </c>
      <c r="F146" s="357">
        <f t="shared" ca="1" si="68"/>
        <v>14.013573395395481</v>
      </c>
      <c r="G146" s="359">
        <f t="shared" ca="1" si="69"/>
        <v>14.952995853038489</v>
      </c>
      <c r="H146" s="360">
        <f t="shared" ca="1" si="70"/>
        <v>69.30200727196808</v>
      </c>
      <c r="I146" s="357">
        <f t="shared" ca="1" si="71"/>
        <v>70.896828539116626</v>
      </c>
      <c r="J146" s="359">
        <f t="shared" ca="1" si="72"/>
        <v>15.638043204067174</v>
      </c>
      <c r="K146" s="360">
        <f t="shared" ca="1" si="73"/>
        <v>78.320408454151902</v>
      </c>
      <c r="L146" s="357">
        <f t="shared" ca="1" si="58"/>
        <v>79.866355718020969</v>
      </c>
      <c r="M146" s="359">
        <f t="shared" ca="1" si="74"/>
        <v>1.3582884162576481</v>
      </c>
      <c r="N146" s="357">
        <f t="shared" ca="1" si="75"/>
        <v>77.824193613071984</v>
      </c>
      <c r="O146" s="343"/>
      <c r="P146" s="363">
        <f t="shared" ca="1" si="76"/>
        <v>13</v>
      </c>
      <c r="Q146" s="357">
        <f t="shared" ca="1" si="77"/>
        <v>0</v>
      </c>
      <c r="R146" s="359">
        <f t="shared" ca="1" si="78"/>
        <v>0</v>
      </c>
      <c r="S146" s="360">
        <f t="shared" ca="1" si="79"/>
        <v>1.5629999999999982</v>
      </c>
      <c r="T146" s="357">
        <f t="shared" ca="1" si="59"/>
        <v>15.333029999999983</v>
      </c>
      <c r="U146" s="364">
        <f t="shared" ca="1" si="60"/>
        <v>0</v>
      </c>
      <c r="V146" s="359">
        <f t="shared" ca="1" si="61"/>
        <v>1.2154431746874668</v>
      </c>
      <c r="W146" s="357">
        <f t="shared" ca="1" si="62"/>
        <v>6.648275013573314</v>
      </c>
      <c r="X146" s="343"/>
      <c r="Y146" s="367" t="str">
        <f t="shared" ca="1" si="80"/>
        <v/>
      </c>
      <c r="Z146" s="368" t="str">
        <f t="shared" ca="1" si="81"/>
        <v/>
      </c>
      <c r="AA146" s="369" t="str">
        <f t="shared" ca="1" si="82"/>
        <v/>
      </c>
      <c r="AB146" s="344"/>
      <c r="AC146" s="363" t="e">
        <f t="shared" ca="1" si="83"/>
        <v>#N/A</v>
      </c>
      <c r="AD146" s="376" t="e">
        <f t="shared" ca="1" si="84"/>
        <v>#N/A</v>
      </c>
      <c r="AE146" s="377">
        <f t="shared" ca="1" si="63"/>
        <v>78.320408454151902</v>
      </c>
      <c r="AF146" s="344"/>
      <c r="AG146" s="359">
        <f t="shared" ca="1" si="85"/>
        <v>-13.860405486520381</v>
      </c>
      <c r="AH146" s="357">
        <f t="shared" ca="1" si="86"/>
        <v>-4.2704784303521075</v>
      </c>
    </row>
    <row r="147" spans="1:34" x14ac:dyDescent="0.2">
      <c r="A147" s="402">
        <f t="shared" ca="1" si="64"/>
        <v>0.01</v>
      </c>
      <c r="B147" s="357">
        <f t="shared" ca="1" si="65"/>
        <v>1.430000000000001</v>
      </c>
      <c r="C147" s="342"/>
      <c r="D147" s="359">
        <f t="shared" ca="1" si="66"/>
        <v>-0.89712178520524732</v>
      </c>
      <c r="E147" s="360">
        <f t="shared" ca="1" si="67"/>
        <v>-13.967851783895295</v>
      </c>
      <c r="F147" s="357">
        <f t="shared" ca="1" si="68"/>
        <v>13.996632128992918</v>
      </c>
      <c r="G147" s="359">
        <f t="shared" ca="1" si="69"/>
        <v>14.944024635186437</v>
      </c>
      <c r="H147" s="360">
        <f t="shared" ca="1" si="70"/>
        <v>69.162328754129121</v>
      </c>
      <c r="I147" s="357">
        <f t="shared" ca="1" si="71"/>
        <v>70.758402970893101</v>
      </c>
      <c r="J147" s="359">
        <f t="shared" ca="1" si="72"/>
        <v>15.787528306508298</v>
      </c>
      <c r="K147" s="360">
        <f t="shared" ca="1" si="73"/>
        <v>79.012730134282393</v>
      </c>
      <c r="L147" s="357">
        <f t="shared" ca="1" si="58"/>
        <v>80.574546683811619</v>
      </c>
      <c r="M147" s="359">
        <f t="shared" ca="1" si="74"/>
        <v>1.3579960061396297</v>
      </c>
      <c r="N147" s="357">
        <f t="shared" ca="1" si="75"/>
        <v>77.807439747422606</v>
      </c>
      <c r="O147" s="343"/>
      <c r="P147" s="363">
        <f t="shared" ca="1" si="76"/>
        <v>13</v>
      </c>
      <c r="Q147" s="357">
        <f t="shared" ca="1" si="77"/>
        <v>0</v>
      </c>
      <c r="R147" s="359">
        <f t="shared" ca="1" si="78"/>
        <v>0</v>
      </c>
      <c r="S147" s="360">
        <f t="shared" ca="1" si="79"/>
        <v>1.5629999999999982</v>
      </c>
      <c r="T147" s="357">
        <f t="shared" ca="1" si="59"/>
        <v>15.333029999999983</v>
      </c>
      <c r="U147" s="364">
        <f t="shared" ca="1" si="60"/>
        <v>0</v>
      </c>
      <c r="V147" s="359">
        <f t="shared" ca="1" si="61"/>
        <v>1.2153590285323905</v>
      </c>
      <c r="W147" s="357">
        <f t="shared" ca="1" si="62"/>
        <v>6.6218804660942361</v>
      </c>
      <c r="X147" s="343"/>
      <c r="Y147" s="367" t="str">
        <f t="shared" ca="1" si="80"/>
        <v/>
      </c>
      <c r="Z147" s="368" t="str">
        <f t="shared" ca="1" si="81"/>
        <v/>
      </c>
      <c r="AA147" s="369" t="str">
        <f t="shared" ca="1" si="82"/>
        <v/>
      </c>
      <c r="AB147" s="344"/>
      <c r="AC147" s="363" t="e">
        <f t="shared" ca="1" si="83"/>
        <v>#N/A</v>
      </c>
      <c r="AD147" s="376" t="e">
        <f t="shared" ca="1" si="84"/>
        <v>#N/A</v>
      </c>
      <c r="AE147" s="377">
        <f t="shared" ca="1" si="63"/>
        <v>79.012730134282393</v>
      </c>
      <c r="AF147" s="344"/>
      <c r="AG147" s="359">
        <f t="shared" ca="1" si="85"/>
        <v>-13.842859327531732</v>
      </c>
      <c r="AH147" s="357">
        <f t="shared" ca="1" si="86"/>
        <v>-4.2535348775261177</v>
      </c>
    </row>
    <row r="148" spans="1:34" x14ac:dyDescent="0.2">
      <c r="A148" s="402">
        <f t="shared" ca="1" si="64"/>
        <v>0.01</v>
      </c>
      <c r="B148" s="357">
        <f t="shared" ca="1" si="65"/>
        <v>1.4400000000000011</v>
      </c>
      <c r="C148" s="342"/>
      <c r="D148" s="359">
        <f t="shared" ca="1" si="66"/>
        <v>-0.89477102368575012</v>
      </c>
      <c r="E148" s="360">
        <f t="shared" ca="1" si="67"/>
        <v>-13.9510830890972</v>
      </c>
      <c r="F148" s="357">
        <f t="shared" ca="1" si="68"/>
        <v>13.979747298993695</v>
      </c>
      <c r="G148" s="359">
        <f t="shared" ca="1" si="69"/>
        <v>14.935076924949581</v>
      </c>
      <c r="H148" s="360">
        <f t="shared" ca="1" si="70"/>
        <v>69.022817923238151</v>
      </c>
      <c r="I148" s="357">
        <f t="shared" ca="1" si="71"/>
        <v>70.620152342080416</v>
      </c>
      <c r="J148" s="359">
        <f t="shared" ca="1" si="72"/>
        <v>15.936923814308978</v>
      </c>
      <c r="K148" s="360">
        <f t="shared" ca="1" si="73"/>
        <v>79.703655867669227</v>
      </c>
      <c r="L148" s="357">
        <f t="shared" ca="1" si="58"/>
        <v>81.281352715951598</v>
      </c>
      <c r="M148" s="359">
        <f t="shared" ca="1" si="74"/>
        <v>1.3577026265369423</v>
      </c>
      <c r="N148" s="357">
        <f t="shared" ca="1" si="75"/>
        <v>77.790630334393398</v>
      </c>
      <c r="O148" s="343"/>
      <c r="P148" s="363">
        <f t="shared" ca="1" si="76"/>
        <v>13</v>
      </c>
      <c r="Q148" s="357">
        <f t="shared" ca="1" si="77"/>
        <v>0</v>
      </c>
      <c r="R148" s="359">
        <f t="shared" ca="1" si="78"/>
        <v>0</v>
      </c>
      <c r="S148" s="360">
        <f t="shared" ca="1" si="79"/>
        <v>1.5629999999999982</v>
      </c>
      <c r="T148" s="357">
        <f t="shared" ca="1" si="59"/>
        <v>15.333029999999983</v>
      </c>
      <c r="U148" s="364">
        <f t="shared" ca="1" si="60"/>
        <v>0</v>
      </c>
      <c r="V148" s="359">
        <f t="shared" ca="1" si="61"/>
        <v>1.2152750578284193</v>
      </c>
      <c r="W148" s="357">
        <f t="shared" ca="1" si="62"/>
        <v>6.5955738213706478</v>
      </c>
      <c r="X148" s="343"/>
      <c r="Y148" s="367" t="str">
        <f t="shared" ca="1" si="80"/>
        <v/>
      </c>
      <c r="Z148" s="368" t="str">
        <f t="shared" ca="1" si="81"/>
        <v/>
      </c>
      <c r="AA148" s="369" t="str">
        <f t="shared" ca="1" si="82"/>
        <v/>
      </c>
      <c r="AB148" s="344"/>
      <c r="AC148" s="363" t="e">
        <f t="shared" ca="1" si="83"/>
        <v>#N/A</v>
      </c>
      <c r="AD148" s="376" t="e">
        <f t="shared" ca="1" si="84"/>
        <v>#N/A</v>
      </c>
      <c r="AE148" s="377">
        <f t="shared" ca="1" si="63"/>
        <v>79.703655867669227</v>
      </c>
      <c r="AF148" s="344"/>
      <c r="AG148" s="359">
        <f t="shared" ca="1" si="85"/>
        <v>-13.825366800711091</v>
      </c>
      <c r="AH148" s="357">
        <f t="shared" ca="1" si="86"/>
        <v>-4.2366477710135921</v>
      </c>
    </row>
    <row r="149" spans="1:34" x14ac:dyDescent="0.2">
      <c r="A149" s="402">
        <f t="shared" ca="1" si="64"/>
        <v>0.01</v>
      </c>
      <c r="B149" s="357">
        <f t="shared" ca="1" si="65"/>
        <v>1.4500000000000011</v>
      </c>
      <c r="C149" s="342"/>
      <c r="D149" s="359">
        <f t="shared" ca="1" si="66"/>
        <v>-0.89242642481371837</v>
      </c>
      <c r="E149" s="360">
        <f t="shared" ca="1" si="67"/>
        <v>-13.934370228512343</v>
      </c>
      <c r="F149" s="357">
        <f t="shared" ca="1" si="68"/>
        <v>13.962918698787762</v>
      </c>
      <c r="G149" s="359">
        <f t="shared" ca="1" si="69"/>
        <v>14.926152660701444</v>
      </c>
      <c r="H149" s="360">
        <f t="shared" ca="1" si="70"/>
        <v>68.883474220953033</v>
      </c>
      <c r="I149" s="357">
        <f t="shared" ca="1" si="71"/>
        <v>70.482076118679032</v>
      </c>
      <c r="J149" s="359">
        <f t="shared" ca="1" si="72"/>
        <v>16.086229962237233</v>
      </c>
      <c r="K149" s="360">
        <f t="shared" ca="1" si="73"/>
        <v>80.393187328390184</v>
      </c>
      <c r="L149" s="357">
        <f t="shared" ca="1" si="58"/>
        <v>81.986775538592894</v>
      </c>
      <c r="M149" s="359">
        <f t="shared" ca="1" si="74"/>
        <v>1.3574082730809365</v>
      </c>
      <c r="N149" s="357">
        <f t="shared" ca="1" si="75"/>
        <v>77.773765123679169</v>
      </c>
      <c r="O149" s="343"/>
      <c r="P149" s="363">
        <f t="shared" ca="1" si="76"/>
        <v>13</v>
      </c>
      <c r="Q149" s="357">
        <f t="shared" ca="1" si="77"/>
        <v>0</v>
      </c>
      <c r="R149" s="359">
        <f t="shared" ca="1" si="78"/>
        <v>0</v>
      </c>
      <c r="S149" s="360">
        <f t="shared" ca="1" si="79"/>
        <v>1.5629999999999982</v>
      </c>
      <c r="T149" s="357">
        <f t="shared" ca="1" si="59"/>
        <v>15.333029999999983</v>
      </c>
      <c r="U149" s="364">
        <f t="shared" ca="1" si="60"/>
        <v>0</v>
      </c>
      <c r="V149" s="359">
        <f t="shared" ca="1" si="61"/>
        <v>1.215191262336494</v>
      </c>
      <c r="W149" s="357">
        <f t="shared" ca="1" si="62"/>
        <v>6.5693547581927811</v>
      </c>
      <c r="X149" s="343"/>
      <c r="Y149" s="367" t="str">
        <f t="shared" ca="1" si="80"/>
        <v/>
      </c>
      <c r="Z149" s="368" t="str">
        <f t="shared" ca="1" si="81"/>
        <v/>
      </c>
      <c r="AA149" s="369" t="str">
        <f t="shared" ca="1" si="82"/>
        <v/>
      </c>
      <c r="AB149" s="344"/>
      <c r="AC149" s="363" t="e">
        <f t="shared" ca="1" si="83"/>
        <v>#N/A</v>
      </c>
      <c r="AD149" s="376" t="e">
        <f t="shared" ca="1" si="84"/>
        <v>#N/A</v>
      </c>
      <c r="AE149" s="377">
        <f t="shared" ca="1" si="63"/>
        <v>80.393187328390184</v>
      </c>
      <c r="AF149" s="344"/>
      <c r="AG149" s="359">
        <f t="shared" ca="1" si="85"/>
        <v>-13.807927682435839</v>
      </c>
      <c r="AH149" s="357">
        <f t="shared" ca="1" si="86"/>
        <v>-4.2198169042678542</v>
      </c>
    </row>
    <row r="150" spans="1:34" x14ac:dyDescent="0.2">
      <c r="A150" s="402">
        <f t="shared" ca="1" si="64"/>
        <v>0.01</v>
      </c>
      <c r="B150" s="357">
        <f t="shared" ca="1" si="65"/>
        <v>1.4600000000000011</v>
      </c>
      <c r="C150" s="342"/>
      <c r="D150" s="359">
        <f t="shared" ca="1" si="66"/>
        <v>-0.89008796359957632</v>
      </c>
      <c r="E150" s="360">
        <f t="shared" ca="1" si="67"/>
        <v>-13.917712998033256</v>
      </c>
      <c r="F150" s="357">
        <f t="shared" ca="1" si="68"/>
        <v>13.94614612280284</v>
      </c>
      <c r="G150" s="359">
        <f t="shared" ca="1" si="69"/>
        <v>14.917251781065447</v>
      </c>
      <c r="H150" s="360">
        <f t="shared" ca="1" si="70"/>
        <v>68.744297090972694</v>
      </c>
      <c r="I150" s="357">
        <f t="shared" ca="1" si="71"/>
        <v>70.344173768917187</v>
      </c>
      <c r="J150" s="359">
        <f t="shared" ca="1" si="72"/>
        <v>16.235446984446067</v>
      </c>
      <c r="K150" s="360">
        <f t="shared" ca="1" si="73"/>
        <v>81.081326184949816</v>
      </c>
      <c r="L150" s="357">
        <f t="shared" ca="1" si="58"/>
        <v>82.690816870405797</v>
      </c>
      <c r="M150" s="359">
        <f t="shared" ca="1" si="74"/>
        <v>1.3571129413765812</v>
      </c>
      <c r="N150" s="357">
        <f t="shared" ca="1" si="75"/>
        <v>77.756843863463217</v>
      </c>
      <c r="O150" s="343"/>
      <c r="P150" s="363">
        <f t="shared" ca="1" si="76"/>
        <v>13</v>
      </c>
      <c r="Q150" s="357">
        <f t="shared" ca="1" si="77"/>
        <v>0</v>
      </c>
      <c r="R150" s="359">
        <f t="shared" ca="1" si="78"/>
        <v>0</v>
      </c>
      <c r="S150" s="360">
        <f t="shared" ca="1" si="79"/>
        <v>1.5629999999999982</v>
      </c>
      <c r="T150" s="357">
        <f t="shared" ca="1" si="59"/>
        <v>15.333029999999983</v>
      </c>
      <c r="U150" s="364">
        <f t="shared" ca="1" si="60"/>
        <v>0</v>
      </c>
      <c r="V150" s="359">
        <f t="shared" ca="1" si="61"/>
        <v>1.2151076418183668</v>
      </c>
      <c r="W150" s="357">
        <f t="shared" ca="1" si="62"/>
        <v>6.5432229569641107</v>
      </c>
      <c r="X150" s="343"/>
      <c r="Y150" s="367" t="str">
        <f t="shared" ca="1" si="80"/>
        <v/>
      </c>
      <c r="Z150" s="368" t="str">
        <f t="shared" ca="1" si="81"/>
        <v/>
      </c>
      <c r="AA150" s="369" t="str">
        <f t="shared" ca="1" si="82"/>
        <v/>
      </c>
      <c r="AB150" s="344"/>
      <c r="AC150" s="363" t="e">
        <f t="shared" ca="1" si="83"/>
        <v>#N/A</v>
      </c>
      <c r="AD150" s="376" t="e">
        <f t="shared" ca="1" si="84"/>
        <v>#N/A</v>
      </c>
      <c r="AE150" s="377">
        <f t="shared" ca="1" si="63"/>
        <v>81.081326184949816</v>
      </c>
      <c r="AF150" s="344"/>
      <c r="AG150" s="359">
        <f t="shared" ca="1" si="85"/>
        <v>-13.790541749992421</v>
      </c>
      <c r="AH150" s="357">
        <f t="shared" ca="1" si="86"/>
        <v>-4.2030420717804153</v>
      </c>
    </row>
    <row r="151" spans="1:34" x14ac:dyDescent="0.2">
      <c r="A151" s="402">
        <f t="shared" ca="1" si="64"/>
        <v>0.01</v>
      </c>
      <c r="B151" s="357">
        <f t="shared" ca="1" si="65"/>
        <v>1.4700000000000011</v>
      </c>
      <c r="C151" s="342"/>
      <c r="D151" s="359">
        <f t="shared" ca="1" si="66"/>
        <v>-0.88775561517601198</v>
      </c>
      <c r="E151" s="360">
        <f t="shared" ca="1" si="67"/>
        <v>-13.901111194576899</v>
      </c>
      <c r="F151" s="357">
        <f t="shared" ca="1" si="68"/>
        <v>13.92942936649839</v>
      </c>
      <c r="G151" s="359">
        <f t="shared" ca="1" si="69"/>
        <v>14.908374224913688</v>
      </c>
      <c r="H151" s="360">
        <f t="shared" ca="1" si="70"/>
        <v>68.605285979026931</v>
      </c>
      <c r="I151" s="357">
        <f t="shared" ca="1" si="71"/>
        <v>70.206444763241933</v>
      </c>
      <c r="J151" s="359">
        <f t="shared" ca="1" si="72"/>
        <v>16.384575114475965</v>
      </c>
      <c r="K151" s="360">
        <f t="shared" ca="1" si="73"/>
        <v>81.768074100299813</v>
      </c>
      <c r="L151" s="357">
        <f t="shared" ca="1" si="58"/>
        <v>83.393478424598811</v>
      </c>
      <c r="M151" s="359">
        <f t="shared" ca="1" si="74"/>
        <v>1.3568166270022668</v>
      </c>
      <c r="N151" s="357">
        <f t="shared" ca="1" si="75"/>
        <v>77.739866300405936</v>
      </c>
      <c r="O151" s="343"/>
      <c r="P151" s="363">
        <f t="shared" ca="1" si="76"/>
        <v>13</v>
      </c>
      <c r="Q151" s="357">
        <f t="shared" ca="1" si="77"/>
        <v>0</v>
      </c>
      <c r="R151" s="359">
        <f t="shared" ca="1" si="78"/>
        <v>0</v>
      </c>
      <c r="S151" s="360">
        <f t="shared" ca="1" si="79"/>
        <v>1.5629999999999982</v>
      </c>
      <c r="T151" s="357">
        <f t="shared" ca="1" si="59"/>
        <v>15.333029999999983</v>
      </c>
      <c r="U151" s="364">
        <f t="shared" ca="1" si="60"/>
        <v>0</v>
      </c>
      <c r="V151" s="359">
        <f t="shared" ca="1" si="61"/>
        <v>1.2150241960365979</v>
      </c>
      <c r="W151" s="357">
        <f t="shared" ca="1" si="62"/>
        <v>6.5171780996920141</v>
      </c>
      <c r="X151" s="343"/>
      <c r="Y151" s="367" t="str">
        <f t="shared" ca="1" si="80"/>
        <v/>
      </c>
      <c r="Z151" s="368" t="str">
        <f t="shared" ca="1" si="81"/>
        <v/>
      </c>
      <c r="AA151" s="369" t="str">
        <f t="shared" ca="1" si="82"/>
        <v/>
      </c>
      <c r="AB151" s="344"/>
      <c r="AC151" s="363" t="e">
        <f t="shared" ca="1" si="83"/>
        <v>#N/A</v>
      </c>
      <c r="AD151" s="376" t="e">
        <f t="shared" ca="1" si="84"/>
        <v>#N/A</v>
      </c>
      <c r="AE151" s="377">
        <f t="shared" ca="1" si="63"/>
        <v>81.768074100299813</v>
      </c>
      <c r="AF151" s="344"/>
      <c r="AG151" s="359">
        <f t="shared" ca="1" si="85"/>
        <v>-13.773208781569142</v>
      </c>
      <c r="AH151" s="357">
        <f t="shared" ca="1" si="86"/>
        <v>-4.1863230690749313</v>
      </c>
    </row>
    <row r="152" spans="1:34" x14ac:dyDescent="0.2">
      <c r="A152" s="402">
        <f t="shared" ca="1" si="64"/>
        <v>0.01</v>
      </c>
      <c r="B152" s="357">
        <f t="shared" ca="1" si="65"/>
        <v>1.4800000000000011</v>
      </c>
      <c r="C152" s="342"/>
      <c r="D152" s="359">
        <f t="shared" ca="1" si="66"/>
        <v>-0.8854293547972848</v>
      </c>
      <c r="E152" s="360">
        <f t="shared" ca="1" si="67"/>
        <v>-13.884564616078702</v>
      </c>
      <c r="F152" s="357">
        <f t="shared" ca="1" si="68"/>
        <v>13.912768226359608</v>
      </c>
      <c r="G152" s="359">
        <f t="shared" ca="1" si="69"/>
        <v>14.899519931365715</v>
      </c>
      <c r="H152" s="360">
        <f t="shared" ca="1" si="70"/>
        <v>68.466440332866142</v>
      </c>
      <c r="I152" s="357">
        <f t="shared" ca="1" si="71"/>
        <v>70.068888574310094</v>
      </c>
      <c r="J152" s="359">
        <f t="shared" ca="1" si="72"/>
        <v>16.533614585257361</v>
      </c>
      <c r="K152" s="360">
        <f t="shared" ca="1" si="73"/>
        <v>82.45343273185928</v>
      </c>
      <c r="L152" s="357">
        <f t="shared" ca="1" si="58"/>
        <v>84.094761908938651</v>
      </c>
      <c r="M152" s="359">
        <f t="shared" ca="1" si="74"/>
        <v>1.3565193255096086</v>
      </c>
      <c r="N152" s="357">
        <f t="shared" ca="1" si="75"/>
        <v>77.722832179633684</v>
      </c>
      <c r="O152" s="343"/>
      <c r="P152" s="363">
        <f t="shared" ca="1" si="76"/>
        <v>13</v>
      </c>
      <c r="Q152" s="357">
        <f t="shared" ca="1" si="77"/>
        <v>0</v>
      </c>
      <c r="R152" s="359">
        <f t="shared" ca="1" si="78"/>
        <v>0</v>
      </c>
      <c r="S152" s="360">
        <f t="shared" ca="1" si="79"/>
        <v>1.5629999999999982</v>
      </c>
      <c r="T152" s="357">
        <f t="shared" ca="1" si="59"/>
        <v>15.333029999999983</v>
      </c>
      <c r="U152" s="364">
        <f t="shared" ca="1" si="60"/>
        <v>0</v>
      </c>
      <c r="V152" s="359">
        <f t="shared" ca="1" si="61"/>
        <v>1.2149409247545522</v>
      </c>
      <c r="W152" s="357">
        <f t="shared" ca="1" si="62"/>
        <v>6.4912198699784254</v>
      </c>
      <c r="X152" s="343"/>
      <c r="Y152" s="367" t="str">
        <f t="shared" ca="1" si="80"/>
        <v/>
      </c>
      <c r="Z152" s="368" t="str">
        <f t="shared" ca="1" si="81"/>
        <v/>
      </c>
      <c r="AA152" s="369" t="str">
        <f t="shared" ca="1" si="82"/>
        <v/>
      </c>
      <c r="AB152" s="344"/>
      <c r="AC152" s="363" t="e">
        <f t="shared" ca="1" si="83"/>
        <v>#N/A</v>
      </c>
      <c r="AD152" s="376" t="e">
        <f t="shared" ca="1" si="84"/>
        <v>#N/A</v>
      </c>
      <c r="AE152" s="377">
        <f t="shared" ca="1" si="63"/>
        <v>82.45343273185928</v>
      </c>
      <c r="AF152" s="344"/>
      <c r="AG152" s="359">
        <f t="shared" ca="1" si="85"/>
        <v>-13.755928556249025</v>
      </c>
      <c r="AH152" s="357">
        <f t="shared" ca="1" si="86"/>
        <v>-4.1696596927012299</v>
      </c>
    </row>
    <row r="153" spans="1:34" x14ac:dyDescent="0.2">
      <c r="A153" s="402">
        <f t="shared" ca="1" si="64"/>
        <v>0.01</v>
      </c>
      <c r="B153" s="357">
        <f t="shared" ca="1" si="65"/>
        <v>1.4900000000000011</v>
      </c>
      <c r="C153" s="342"/>
      <c r="D153" s="359">
        <f t="shared" ca="1" si="66"/>
        <v>-0.88310915783851729</v>
      </c>
      <c r="E153" s="360">
        <f t="shared" ca="1" si="67"/>
        <v>-13.868073061486641</v>
      </c>
      <c r="F153" s="357">
        <f t="shared" ca="1" si="68"/>
        <v>13.89616249989146</v>
      </c>
      <c r="G153" s="359">
        <f t="shared" ca="1" si="69"/>
        <v>14.89068883978733</v>
      </c>
      <c r="H153" s="360">
        <f t="shared" ca="1" si="70"/>
        <v>68.327759602251277</v>
      </c>
      <c r="I153" s="357">
        <f t="shared" ca="1" si="71"/>
        <v>69.931504676979515</v>
      </c>
      <c r="J153" s="359">
        <f t="shared" ca="1" si="72"/>
        <v>16.682565629113125</v>
      </c>
      <c r="K153" s="360">
        <f t="shared" ca="1" si="73"/>
        <v>83.137403731534874</v>
      </c>
      <c r="L153" s="357">
        <f t="shared" ca="1" si="58"/>
        <v>84.794669025770105</v>
      </c>
      <c r="M153" s="359">
        <f t="shared" ca="1" si="74"/>
        <v>1.3562210324232491</v>
      </c>
      <c r="N153" s="357">
        <f t="shared" ca="1" si="75"/>
        <v>77.705741244727349</v>
      </c>
      <c r="O153" s="343"/>
      <c r="P153" s="363">
        <f t="shared" ca="1" si="76"/>
        <v>13</v>
      </c>
      <c r="Q153" s="357">
        <f t="shared" ca="1" si="77"/>
        <v>0</v>
      </c>
      <c r="R153" s="359">
        <f t="shared" ca="1" si="78"/>
        <v>0</v>
      </c>
      <c r="S153" s="360">
        <f t="shared" ca="1" si="79"/>
        <v>1.5629999999999982</v>
      </c>
      <c r="T153" s="357">
        <f t="shared" ca="1" si="59"/>
        <v>15.333029999999983</v>
      </c>
      <c r="U153" s="364">
        <f t="shared" ca="1" si="60"/>
        <v>0</v>
      </c>
      <c r="V153" s="359">
        <f t="shared" ca="1" si="61"/>
        <v>1.2148578277363966</v>
      </c>
      <c r="W153" s="357">
        <f t="shared" ca="1" si="62"/>
        <v>6.4653479530106495</v>
      </c>
      <c r="X153" s="343"/>
      <c r="Y153" s="367" t="str">
        <f t="shared" ca="1" si="80"/>
        <v/>
      </c>
      <c r="Z153" s="368" t="str">
        <f t="shared" ca="1" si="81"/>
        <v/>
      </c>
      <c r="AA153" s="369" t="str">
        <f t="shared" ca="1" si="82"/>
        <v/>
      </c>
      <c r="AB153" s="344"/>
      <c r="AC153" s="363" t="e">
        <f t="shared" ca="1" si="83"/>
        <v>#N/A</v>
      </c>
      <c r="AD153" s="376" t="e">
        <f t="shared" ca="1" si="84"/>
        <v>#N/A</v>
      </c>
      <c r="AE153" s="377">
        <f t="shared" ca="1" si="63"/>
        <v>83.137403731534874</v>
      </c>
      <c r="AF153" s="344"/>
      <c r="AG153" s="359">
        <f t="shared" ca="1" si="85"/>
        <v>-13.738700854002641</v>
      </c>
      <c r="AH153" s="357">
        <f t="shared" ca="1" si="86"/>
        <v>-4.1530517402293237</v>
      </c>
    </row>
    <row r="154" spans="1:34" x14ac:dyDescent="0.2">
      <c r="A154" s="402">
        <f t="shared" ca="1" si="64"/>
        <v>0.01</v>
      </c>
      <c r="B154" s="357">
        <f t="shared" ca="1" si="65"/>
        <v>1.5000000000000011</v>
      </c>
      <c r="C154" s="342"/>
      <c r="D154" s="359">
        <f t="shared" ca="1" si="66"/>
        <v>-0.88079499979500875</v>
      </c>
      <c r="E154" s="360">
        <f t="shared" ca="1" si="67"/>
        <v>-13.851636330755394</v>
      </c>
      <c r="F154" s="357">
        <f t="shared" ca="1" si="68"/>
        <v>13.879611985612806</v>
      </c>
      <c r="G154" s="359">
        <f t="shared" ca="1" si="69"/>
        <v>14.881880889789381</v>
      </c>
      <c r="H154" s="360">
        <f t="shared" ca="1" si="70"/>
        <v>68.189243238943718</v>
      </c>
      <c r="I154" s="357">
        <f t="shared" ca="1" si="71"/>
        <v>69.794292548300177</v>
      </c>
      <c r="J154" s="359">
        <f t="shared" ca="1" si="72"/>
        <v>16.831428477761008</v>
      </c>
      <c r="K154" s="360">
        <f t="shared" ca="1" si="73"/>
        <v>83.819988745740844</v>
      </c>
      <c r="L154" s="357">
        <f t="shared" ca="1" si="58"/>
        <v>85.493201472035807</v>
      </c>
      <c r="M154" s="359">
        <f t="shared" ca="1" si="74"/>
        <v>1.3559217432406554</v>
      </c>
      <c r="N154" s="357">
        <f t="shared" ca="1" si="75"/>
        <v>77.688593237710819</v>
      </c>
      <c r="O154" s="343"/>
      <c r="P154" s="363">
        <f t="shared" ca="1" si="76"/>
        <v>13</v>
      </c>
      <c r="Q154" s="357">
        <f t="shared" ca="1" si="77"/>
        <v>0</v>
      </c>
      <c r="R154" s="359">
        <f t="shared" ca="1" si="78"/>
        <v>0</v>
      </c>
      <c r="S154" s="360">
        <f t="shared" ca="1" si="79"/>
        <v>1.5629999999999982</v>
      </c>
      <c r="T154" s="357">
        <f t="shared" ca="1" si="59"/>
        <v>15.333029999999983</v>
      </c>
      <c r="U154" s="364">
        <f t="shared" ca="1" si="60"/>
        <v>0</v>
      </c>
      <c r="V154" s="359">
        <f t="shared" ca="1" si="61"/>
        <v>1.2147749047470979</v>
      </c>
      <c r="W154" s="357">
        <f t="shared" ca="1" si="62"/>
        <v>6.4395620355521501</v>
      </c>
      <c r="X154" s="343"/>
      <c r="Y154" s="367" t="str">
        <f t="shared" ca="1" si="80"/>
        <v/>
      </c>
      <c r="Z154" s="368" t="str">
        <f t="shared" ca="1" si="81"/>
        <v/>
      </c>
      <c r="AA154" s="369" t="str">
        <f t="shared" ca="1" si="82"/>
        <v/>
      </c>
      <c r="AB154" s="344"/>
      <c r="AC154" s="363" t="e">
        <f t="shared" ca="1" si="83"/>
        <v>#N/A</v>
      </c>
      <c r="AD154" s="376" t="e">
        <f t="shared" ca="1" si="84"/>
        <v>#N/A</v>
      </c>
      <c r="AE154" s="377">
        <f t="shared" ca="1" si="63"/>
        <v>83.819988745740844</v>
      </c>
      <c r="AF154" s="344"/>
      <c r="AG154" s="359">
        <f t="shared" ca="1" si="85"/>
        <v>-13.721525455681046</v>
      </c>
      <c r="AH154" s="357">
        <f t="shared" ca="1" si="86"/>
        <v>-4.1364990102435426</v>
      </c>
    </row>
    <row r="155" spans="1:34" x14ac:dyDescent="0.2">
      <c r="A155" s="402">
        <f t="shared" ca="1" si="64"/>
        <v>0.01</v>
      </c>
      <c r="B155" s="357">
        <f t="shared" ca="1" si="65"/>
        <v>1.5100000000000011</v>
      </c>
      <c r="C155" s="342"/>
      <c r="D155" s="359">
        <f t="shared" ca="1" si="66"/>
        <v>-0.87848685628154799</v>
      </c>
      <c r="E155" s="360">
        <f t="shared" ca="1" si="67"/>
        <v>-13.83525422484048</v>
      </c>
      <c r="F155" s="357">
        <f t="shared" ca="1" si="68"/>
        <v>13.863116483050474</v>
      </c>
      <c r="G155" s="359">
        <f t="shared" ca="1" si="69"/>
        <v>14.873096021226566</v>
      </c>
      <c r="H155" s="360">
        <f t="shared" ca="1" si="70"/>
        <v>68.050890696695319</v>
      </c>
      <c r="I155" s="357">
        <f t="shared" ca="1" si="71"/>
        <v>69.657251667505506</v>
      </c>
      <c r="J155" s="359">
        <f t="shared" ca="1" si="72"/>
        <v>16.98020336231609</v>
      </c>
      <c r="K155" s="360">
        <f t="shared" ca="1" si="73"/>
        <v>84.501189415419034</v>
      </c>
      <c r="L155" s="357">
        <f t="shared" ca="1" si="58"/>
        <v>86.190360939296085</v>
      </c>
      <c r="M155" s="359">
        <f t="shared" ca="1" si="74"/>
        <v>1.3556214534319191</v>
      </c>
      <c r="N155" s="357">
        <f t="shared" ca="1" si="75"/>
        <v>77.671387899039431</v>
      </c>
      <c r="O155" s="343"/>
      <c r="P155" s="363">
        <f t="shared" ca="1" si="76"/>
        <v>13</v>
      </c>
      <c r="Q155" s="357">
        <f t="shared" ca="1" si="77"/>
        <v>0</v>
      </c>
      <c r="R155" s="359">
        <f t="shared" ca="1" si="78"/>
        <v>0</v>
      </c>
      <c r="S155" s="360">
        <f t="shared" ca="1" si="79"/>
        <v>1.5629999999999982</v>
      </c>
      <c r="T155" s="357">
        <f t="shared" ca="1" si="59"/>
        <v>15.333029999999983</v>
      </c>
      <c r="U155" s="364">
        <f t="shared" ca="1" si="60"/>
        <v>0</v>
      </c>
      <c r="V155" s="359">
        <f t="shared" ca="1" si="61"/>
        <v>1.2146921555524177</v>
      </c>
      <c r="W155" s="357">
        <f t="shared" ca="1" si="62"/>
        <v>6.4138618059334442</v>
      </c>
      <c r="X155" s="343"/>
      <c r="Y155" s="367" t="str">
        <f t="shared" ca="1" si="80"/>
        <v/>
      </c>
      <c r="Z155" s="368" t="str">
        <f t="shared" ca="1" si="81"/>
        <v/>
      </c>
      <c r="AA155" s="369" t="str">
        <f t="shared" ca="1" si="82"/>
        <v/>
      </c>
      <c r="AB155" s="344"/>
      <c r="AC155" s="363" t="e">
        <f t="shared" ca="1" si="83"/>
        <v>#N/A</v>
      </c>
      <c r="AD155" s="376" t="e">
        <f t="shared" ca="1" si="84"/>
        <v>#N/A</v>
      </c>
      <c r="AE155" s="377">
        <f t="shared" ca="1" si="63"/>
        <v>84.501189415419034</v>
      </c>
      <c r="AF155" s="344"/>
      <c r="AG155" s="359">
        <f t="shared" ca="1" si="85"/>
        <v>-13.704402143008664</v>
      </c>
      <c r="AH155" s="357">
        <f t="shared" ca="1" si="86"/>
        <v>-4.1200013023366333</v>
      </c>
    </row>
    <row r="156" spans="1:34" x14ac:dyDescent="0.2">
      <c r="A156" s="402">
        <f t="shared" ca="1" si="64"/>
        <v>0.01</v>
      </c>
      <c r="B156" s="357">
        <f t="shared" ca="1" si="65"/>
        <v>1.5200000000000011</v>
      </c>
      <c r="C156" s="342"/>
      <c r="D156" s="359">
        <f t="shared" ca="1" si="66"/>
        <v>-0.87618470303172336</v>
      </c>
      <c r="E156" s="360">
        <f t="shared" ca="1" si="67"/>
        <v>-13.818926545692472</v>
      </c>
      <c r="F156" s="357">
        <f t="shared" ca="1" si="68"/>
        <v>13.846675792733462</v>
      </c>
      <c r="G156" s="359">
        <f t="shared" ca="1" si="69"/>
        <v>14.864334174196248</v>
      </c>
      <c r="H156" s="360">
        <f t="shared" ca="1" si="70"/>
        <v>67.912701431238389</v>
      </c>
      <c r="I156" s="357">
        <f t="shared" ca="1" si="71"/>
        <v>69.520381516003695</v>
      </c>
      <c r="J156" s="359">
        <f t="shared" ca="1" si="72"/>
        <v>17.128890513293204</v>
      </c>
      <c r="K156" s="360">
        <f t="shared" ca="1" si="73"/>
        <v>85.181007376058702</v>
      </c>
      <c r="L156" s="357">
        <f t="shared" ca="1" si="58"/>
        <v>86.886149113748573</v>
      </c>
      <c r="M156" s="359">
        <f t="shared" ca="1" si="74"/>
        <v>1.3553201584395509</v>
      </c>
      <c r="N156" s="357">
        <f t="shared" ca="1" si="75"/>
        <v>77.654124967588302</v>
      </c>
      <c r="O156" s="343"/>
      <c r="P156" s="363">
        <f t="shared" ca="1" si="76"/>
        <v>13</v>
      </c>
      <c r="Q156" s="357">
        <f t="shared" ca="1" si="77"/>
        <v>0</v>
      </c>
      <c r="R156" s="359">
        <f t="shared" ca="1" si="78"/>
        <v>0</v>
      </c>
      <c r="S156" s="360">
        <f t="shared" ca="1" si="79"/>
        <v>1.5629999999999982</v>
      </c>
      <c r="T156" s="357">
        <f t="shared" ca="1" si="59"/>
        <v>15.333029999999983</v>
      </c>
      <c r="U156" s="364">
        <f t="shared" ca="1" si="60"/>
        <v>0</v>
      </c>
      <c r="V156" s="359">
        <f t="shared" ca="1" si="61"/>
        <v>1.2146095799189114</v>
      </c>
      <c r="W156" s="357">
        <f t="shared" ca="1" si="62"/>
        <v>6.3882469540430655</v>
      </c>
      <c r="X156" s="343"/>
      <c r="Y156" s="367" t="str">
        <f t="shared" ca="1" si="80"/>
        <v/>
      </c>
      <c r="Z156" s="368" t="str">
        <f t="shared" ca="1" si="81"/>
        <v/>
      </c>
      <c r="AA156" s="369" t="str">
        <f t="shared" ca="1" si="82"/>
        <v/>
      </c>
      <c r="AB156" s="344"/>
      <c r="AC156" s="363" t="e">
        <f t="shared" ca="1" si="83"/>
        <v>#N/A</v>
      </c>
      <c r="AD156" s="376" t="e">
        <f t="shared" ca="1" si="84"/>
        <v>#N/A</v>
      </c>
      <c r="AE156" s="377">
        <f t="shared" ca="1" si="63"/>
        <v>85.181007376058702</v>
      </c>
      <c r="AF156" s="344"/>
      <c r="AG156" s="359">
        <f t="shared" ca="1" si="85"/>
        <v>-13.687330698576261</v>
      </c>
      <c r="AH156" s="357">
        <f t="shared" ca="1" si="86"/>
        <v>-4.1035584171039359</v>
      </c>
    </row>
    <row r="157" spans="1:34" x14ac:dyDescent="0.2">
      <c r="A157" s="402">
        <f t="shared" ca="1" si="64"/>
        <v>0.01</v>
      </c>
      <c r="B157" s="357">
        <f t="shared" ca="1" si="65"/>
        <v>1.5300000000000011</v>
      </c>
      <c r="C157" s="342"/>
      <c r="D157" s="359">
        <f t="shared" ca="1" si="66"/>
        <v>-0.87388851589725181</v>
      </c>
      <c r="E157" s="360">
        <f t="shared" ca="1" si="67"/>
        <v>-13.802653096251261</v>
      </c>
      <c r="F157" s="357">
        <f t="shared" ca="1" si="68"/>
        <v>13.830289716187133</v>
      </c>
      <c r="G157" s="359">
        <f t="shared" ca="1" si="69"/>
        <v>14.855595289037275</v>
      </c>
      <c r="H157" s="360">
        <f t="shared" ca="1" si="70"/>
        <v>67.774674900275883</v>
      </c>
      <c r="I157" s="357">
        <f t="shared" ca="1" si="71"/>
        <v>69.383681577369131</v>
      </c>
      <c r="J157" s="359">
        <f t="shared" ca="1" si="72"/>
        <v>17.277490160609371</v>
      </c>
      <c r="K157" s="360">
        <f t="shared" ca="1" si="73"/>
        <v>85.859444257716277</v>
      </c>
      <c r="L157" s="357">
        <f t="shared" ca="1" si="58"/>
        <v>87.580567676247924</v>
      </c>
      <c r="M157" s="359">
        <f t="shared" ca="1" si="74"/>
        <v>1.3550178536782755</v>
      </c>
      <c r="N157" s="357">
        <f t="shared" ca="1" si="75"/>
        <v>77.636804180640524</v>
      </c>
      <c r="O157" s="343"/>
      <c r="P157" s="363">
        <f t="shared" ca="1" si="76"/>
        <v>13</v>
      </c>
      <c r="Q157" s="357">
        <f t="shared" ca="1" si="77"/>
        <v>0</v>
      </c>
      <c r="R157" s="359">
        <f t="shared" ca="1" si="78"/>
        <v>0</v>
      </c>
      <c r="S157" s="360">
        <f t="shared" ca="1" si="79"/>
        <v>1.5629999999999982</v>
      </c>
      <c r="T157" s="357">
        <f t="shared" ca="1" si="59"/>
        <v>15.333029999999983</v>
      </c>
      <c r="U157" s="364">
        <f t="shared" ca="1" si="60"/>
        <v>0</v>
      </c>
      <c r="V157" s="359">
        <f t="shared" ca="1" si="61"/>
        <v>1.2145271776139239</v>
      </c>
      <c r="W157" s="357">
        <f t="shared" ca="1" si="62"/>
        <v>6.3627171713185593</v>
      </c>
      <c r="X157" s="343"/>
      <c r="Y157" s="367" t="str">
        <f t="shared" ca="1" si="80"/>
        <v/>
      </c>
      <c r="Z157" s="368" t="str">
        <f t="shared" ca="1" si="81"/>
        <v/>
      </c>
      <c r="AA157" s="369" t="str">
        <f t="shared" ca="1" si="82"/>
        <v/>
      </c>
      <c r="AB157" s="344"/>
      <c r="AC157" s="363" t="e">
        <f t="shared" ca="1" si="83"/>
        <v>#N/A</v>
      </c>
      <c r="AD157" s="376" t="e">
        <f t="shared" ca="1" si="84"/>
        <v>#N/A</v>
      </c>
      <c r="AE157" s="377">
        <f t="shared" ca="1" si="63"/>
        <v>85.859444257716277</v>
      </c>
      <c r="AF157" s="344"/>
      <c r="AG157" s="359">
        <f t="shared" ca="1" si="85"/>
        <v>-13.670310905833906</v>
      </c>
      <c r="AH157" s="357">
        <f t="shared" ca="1" si="86"/>
        <v>-4.0871701561376028</v>
      </c>
    </row>
    <row r="158" spans="1:34" x14ac:dyDescent="0.2">
      <c r="A158" s="402">
        <f t="shared" ca="1" si="64"/>
        <v>0.01</v>
      </c>
      <c r="B158" s="357">
        <f t="shared" ca="1" si="65"/>
        <v>1.5400000000000011</v>
      </c>
      <c r="C158" s="342"/>
      <c r="D158" s="359">
        <f t="shared" ca="1" si="66"/>
        <v>-0.87159827084729935</v>
      </c>
      <c r="E158" s="360">
        <f t="shared" ca="1" si="67"/>
        <v>-13.786433680440318</v>
      </c>
      <c r="F158" s="357">
        <f t="shared" ca="1" si="68"/>
        <v>13.81395805592746</v>
      </c>
      <c r="G158" s="359">
        <f t="shared" ca="1" si="69"/>
        <v>14.846879306328802</v>
      </c>
      <c r="H158" s="360">
        <f t="shared" ca="1" si="70"/>
        <v>67.636810563471485</v>
      </c>
      <c r="I158" s="357">
        <f t="shared" ca="1" si="71"/>
        <v>69.247151337333889</v>
      </c>
      <c r="J158" s="359">
        <f t="shared" ca="1" si="72"/>
        <v>17.426002533586203</v>
      </c>
      <c r="K158" s="360">
        <f t="shared" ca="1" si="73"/>
        <v>86.53650168503502</v>
      </c>
      <c r="L158" s="357">
        <f t="shared" ca="1" si="58"/>
        <v>88.273618302325303</v>
      </c>
      <c r="M158" s="359">
        <f t="shared" ca="1" si="74"/>
        <v>1.3547145345348235</v>
      </c>
      <c r="N158" s="357">
        <f t="shared" ca="1" si="75"/>
        <v>77.619425273875194</v>
      </c>
      <c r="O158" s="343"/>
      <c r="P158" s="363">
        <f t="shared" ca="1" si="76"/>
        <v>13</v>
      </c>
      <c r="Q158" s="357">
        <f t="shared" ca="1" si="77"/>
        <v>0</v>
      </c>
      <c r="R158" s="359">
        <f t="shared" ca="1" si="78"/>
        <v>0</v>
      </c>
      <c r="S158" s="360">
        <f t="shared" ca="1" si="79"/>
        <v>1.5629999999999982</v>
      </c>
      <c r="T158" s="357">
        <f t="shared" ca="1" si="59"/>
        <v>15.333029999999983</v>
      </c>
      <c r="U158" s="364">
        <f t="shared" ca="1" si="60"/>
        <v>0</v>
      </c>
      <c r="V158" s="359">
        <f t="shared" ca="1" si="61"/>
        <v>1.2144449484055877</v>
      </c>
      <c r="W158" s="357">
        <f t="shared" ca="1" si="62"/>
        <v>6.3372721507375784</v>
      </c>
      <c r="X158" s="343"/>
      <c r="Y158" s="367" t="str">
        <f t="shared" ca="1" si="80"/>
        <v/>
      </c>
      <c r="Z158" s="368" t="str">
        <f t="shared" ca="1" si="81"/>
        <v/>
      </c>
      <c r="AA158" s="369" t="str">
        <f t="shared" ca="1" si="82"/>
        <v/>
      </c>
      <c r="AB158" s="344"/>
      <c r="AC158" s="363" t="e">
        <f t="shared" ca="1" si="83"/>
        <v>#N/A</v>
      </c>
      <c r="AD158" s="376" t="e">
        <f t="shared" ca="1" si="84"/>
        <v>#N/A</v>
      </c>
      <c r="AE158" s="377">
        <f t="shared" ca="1" si="63"/>
        <v>86.53650168503502</v>
      </c>
      <c r="AF158" s="344"/>
      <c r="AG158" s="359">
        <f t="shared" ca="1" si="85"/>
        <v>-13.653342549083987</v>
      </c>
      <c r="AH158" s="357">
        <f t="shared" ca="1" si="86"/>
        <v>-4.0708363220208357</v>
      </c>
    </row>
    <row r="159" spans="1:34" x14ac:dyDescent="0.2">
      <c r="A159" s="402">
        <f t="shared" ca="1" si="64"/>
        <v>0.01</v>
      </c>
      <c r="B159" s="357">
        <f t="shared" ca="1" si="65"/>
        <v>1.5500000000000012</v>
      </c>
      <c r="C159" s="342"/>
      <c r="D159" s="359">
        <f t="shared" ca="1" si="66"/>
        <v>-0.86931394396781891</v>
      </c>
      <c r="E159" s="360">
        <f t="shared" ca="1" si="67"/>
        <v>-13.77026810316104</v>
      </c>
      <c r="F159" s="357">
        <f t="shared" ca="1" si="68"/>
        <v>13.797680615455311</v>
      </c>
      <c r="G159" s="359">
        <f t="shared" ca="1" si="69"/>
        <v>14.838186166889123</v>
      </c>
      <c r="H159" s="360">
        <f t="shared" ca="1" si="70"/>
        <v>67.499107882439873</v>
      </c>
      <c r="I159" s="357">
        <f t="shared" ca="1" si="71"/>
        <v>69.110790283779252</v>
      </c>
      <c r="J159" s="359">
        <f t="shared" ca="1" si="72"/>
        <v>17.574427860952294</v>
      </c>
      <c r="K159" s="360">
        <f t="shared" ca="1" si="73"/>
        <v>87.212181277264577</v>
      </c>
      <c r="L159" s="357">
        <f t="shared" ca="1" si="58"/>
        <v>88.965302662208003</v>
      </c>
      <c r="M159" s="359">
        <f t="shared" ca="1" si="74"/>
        <v>1.3544101963677218</v>
      </c>
      <c r="N159" s="357">
        <f t="shared" ca="1" si="75"/>
        <v>77.601987981355521</v>
      </c>
      <c r="O159" s="343"/>
      <c r="P159" s="363">
        <f t="shared" ca="1" si="76"/>
        <v>13</v>
      </c>
      <c r="Q159" s="357">
        <f t="shared" ca="1" si="77"/>
        <v>0</v>
      </c>
      <c r="R159" s="359">
        <f t="shared" ca="1" si="78"/>
        <v>0</v>
      </c>
      <c r="S159" s="360">
        <f t="shared" ca="1" si="79"/>
        <v>1.5629999999999982</v>
      </c>
      <c r="T159" s="357">
        <f t="shared" ca="1" si="59"/>
        <v>15.333029999999983</v>
      </c>
      <c r="U159" s="364">
        <f t="shared" ca="1" si="60"/>
        <v>0</v>
      </c>
      <c r="V159" s="359">
        <f t="shared" ca="1" si="61"/>
        <v>1.2143628920628196</v>
      </c>
      <c r="W159" s="357">
        <f t="shared" ca="1" si="62"/>
        <v>6.3119115868089972</v>
      </c>
      <c r="X159" s="343"/>
      <c r="Y159" s="367" t="str">
        <f t="shared" ca="1" si="80"/>
        <v/>
      </c>
      <c r="Z159" s="368" t="str">
        <f t="shared" ca="1" si="81"/>
        <v/>
      </c>
      <c r="AA159" s="369" t="str">
        <f t="shared" ca="1" si="82"/>
        <v/>
      </c>
      <c r="AB159" s="344"/>
      <c r="AC159" s="363" t="e">
        <f t="shared" ca="1" si="83"/>
        <v>#N/A</v>
      </c>
      <c r="AD159" s="376" t="e">
        <f t="shared" ca="1" si="84"/>
        <v>#N/A</v>
      </c>
      <c r="AE159" s="377">
        <f t="shared" ca="1" si="63"/>
        <v>87.212181277264577</v>
      </c>
      <c r="AF159" s="344"/>
      <c r="AG159" s="359">
        <f t="shared" ca="1" si="85"/>
        <v>-13.636425413474232</v>
      </c>
      <c r="AH159" s="357">
        <f t="shared" ca="1" si="86"/>
        <v>-4.0545567183221918</v>
      </c>
    </row>
    <row r="160" spans="1:34" x14ac:dyDescent="0.2">
      <c r="A160" s="402">
        <f t="shared" ca="1" si="64"/>
        <v>0.01</v>
      </c>
      <c r="B160" s="357">
        <f t="shared" ca="1" si="65"/>
        <v>1.5600000000000012</v>
      </c>
      <c r="C160" s="342"/>
      <c r="D160" s="359">
        <f t="shared" ca="1" si="66"/>
        <v>-0.86703551146088109</v>
      </c>
      <c r="E160" s="360">
        <f t="shared" ca="1" si="67"/>
        <v>-13.7541561702871</v>
      </c>
      <c r="F160" s="357">
        <f t="shared" ca="1" si="68"/>
        <v>13.781457199250772</v>
      </c>
      <c r="G160" s="359">
        <f t="shared" ca="1" si="69"/>
        <v>14.829515811774515</v>
      </c>
      <c r="H160" s="360">
        <f t="shared" ca="1" si="70"/>
        <v>67.361566320736998</v>
      </c>
      <c r="I160" s="357">
        <f t="shared" ca="1" si="71"/>
        <v>68.974597906727368</v>
      </c>
      <c r="J160" s="359">
        <f t="shared" ca="1" si="72"/>
        <v>17.722766370845612</v>
      </c>
      <c r="K160" s="360">
        <f t="shared" ca="1" si="73"/>
        <v>87.886484648280458</v>
      </c>
      <c r="L160" s="357">
        <f t="shared" ca="1" si="58"/>
        <v>89.655622420838796</v>
      </c>
      <c r="M160" s="359">
        <f t="shared" ca="1" si="74"/>
        <v>1.3541048345070832</v>
      </c>
      <c r="N160" s="357">
        <f t="shared" ca="1" si="75"/>
        <v>77.584492035516661</v>
      </c>
      <c r="O160" s="343"/>
      <c r="P160" s="363">
        <f t="shared" ca="1" si="76"/>
        <v>13</v>
      </c>
      <c r="Q160" s="357">
        <f t="shared" ca="1" si="77"/>
        <v>0</v>
      </c>
      <c r="R160" s="359">
        <f t="shared" ca="1" si="78"/>
        <v>0</v>
      </c>
      <c r="S160" s="360">
        <f t="shared" ca="1" si="79"/>
        <v>1.5629999999999982</v>
      </c>
      <c r="T160" s="357">
        <f t="shared" ca="1" si="59"/>
        <v>15.333029999999983</v>
      </c>
      <c r="U160" s="364">
        <f t="shared" ca="1" si="60"/>
        <v>0</v>
      </c>
      <c r="V160" s="359">
        <f t="shared" ca="1" si="61"/>
        <v>1.2142810083553173</v>
      </c>
      <c r="W160" s="357">
        <f t="shared" ca="1" si="62"/>
        <v>6.2866351755641308</v>
      </c>
      <c r="X160" s="343"/>
      <c r="Y160" s="367" t="str">
        <f t="shared" ca="1" si="80"/>
        <v/>
      </c>
      <c r="Z160" s="368" t="str">
        <f t="shared" ca="1" si="81"/>
        <v/>
      </c>
      <c r="AA160" s="369" t="str">
        <f t="shared" ca="1" si="82"/>
        <v/>
      </c>
      <c r="AB160" s="344"/>
      <c r="AC160" s="363" t="e">
        <f t="shared" ca="1" si="83"/>
        <v>#N/A</v>
      </c>
      <c r="AD160" s="376" t="e">
        <f t="shared" ca="1" si="84"/>
        <v>#N/A</v>
      </c>
      <c r="AE160" s="377">
        <f t="shared" ca="1" si="63"/>
        <v>87.886484648280458</v>
      </c>
      <c r="AF160" s="344"/>
      <c r="AG160" s="359">
        <f t="shared" ca="1" si="85"/>
        <v>-13.619559284990771</v>
      </c>
      <c r="AH160" s="357">
        <f t="shared" ca="1" si="86"/>
        <v>-4.0383311495898946</v>
      </c>
    </row>
    <row r="161" spans="1:34" x14ac:dyDescent="0.2">
      <c r="A161" s="402">
        <f t="shared" ca="1" si="64"/>
        <v>0.01</v>
      </c>
      <c r="B161" s="357">
        <f t="shared" ca="1" si="65"/>
        <v>1.5700000000000012</v>
      </c>
      <c r="C161" s="342"/>
      <c r="D161" s="359">
        <f t="shared" ca="1" si="66"/>
        <v>-0.86476294964401612</v>
      </c>
      <c r="E161" s="360">
        <f t="shared" ca="1" si="67"/>
        <v>-13.738097688658867</v>
      </c>
      <c r="F161" s="357">
        <f t="shared" ca="1" si="68"/>
        <v>13.765287612767526</v>
      </c>
      <c r="G161" s="359">
        <f t="shared" ca="1" si="69"/>
        <v>14.820868182278074</v>
      </c>
      <c r="H161" s="360">
        <f t="shared" ca="1" si="70"/>
        <v>67.224185343850408</v>
      </c>
      <c r="I161" s="357">
        <f t="shared" ca="1" si="71"/>
        <v>68.838573698332937</v>
      </c>
      <c r="J161" s="359">
        <f t="shared" ca="1" si="72"/>
        <v>17.871018290815876</v>
      </c>
      <c r="K161" s="360">
        <f t="shared" ca="1" si="73"/>
        <v>88.559413406603397</v>
      </c>
      <c r="L161" s="357">
        <f t="shared" ca="1" si="58"/>
        <v>90.344579237895402</v>
      </c>
      <c r="M161" s="359">
        <f t="shared" ca="1" si="74"/>
        <v>1.3537984442543918</v>
      </c>
      <c r="N161" s="357">
        <f t="shared" ca="1" si="75"/>
        <v>77.566937167153498</v>
      </c>
      <c r="O161" s="343"/>
      <c r="P161" s="363">
        <f t="shared" ca="1" si="76"/>
        <v>13</v>
      </c>
      <c r="Q161" s="357">
        <f t="shared" ca="1" si="77"/>
        <v>0</v>
      </c>
      <c r="R161" s="359">
        <f t="shared" ca="1" si="78"/>
        <v>0</v>
      </c>
      <c r="S161" s="360">
        <f t="shared" ca="1" si="79"/>
        <v>1.5629999999999982</v>
      </c>
      <c r="T161" s="357">
        <f t="shared" ca="1" si="59"/>
        <v>15.333029999999983</v>
      </c>
      <c r="U161" s="364">
        <f t="shared" ca="1" si="60"/>
        <v>0</v>
      </c>
      <c r="V161" s="359">
        <f t="shared" ca="1" si="61"/>
        <v>1.2141992970535567</v>
      </c>
      <c r="W161" s="357">
        <f t="shared" ca="1" si="62"/>
        <v>6.2614426145479731</v>
      </c>
      <c r="X161" s="343"/>
      <c r="Y161" s="367" t="str">
        <f t="shared" ca="1" si="80"/>
        <v/>
      </c>
      <c r="Z161" s="368" t="str">
        <f t="shared" ca="1" si="81"/>
        <v/>
      </c>
      <c r="AA161" s="369" t="str">
        <f t="shared" ca="1" si="82"/>
        <v/>
      </c>
      <c r="AB161" s="344"/>
      <c r="AC161" s="363" t="e">
        <f t="shared" ca="1" si="83"/>
        <v>#N/A</v>
      </c>
      <c r="AD161" s="376" t="e">
        <f t="shared" ca="1" si="84"/>
        <v>#N/A</v>
      </c>
      <c r="AE161" s="377">
        <f t="shared" ca="1" si="63"/>
        <v>88.559413406603397</v>
      </c>
      <c r="AF161" s="344"/>
      <c r="AG161" s="359">
        <f t="shared" ca="1" si="85"/>
        <v>-13.602743950451213</v>
      </c>
      <c r="AH161" s="357">
        <f t="shared" ca="1" si="86"/>
        <v>-4.0221594213462177</v>
      </c>
    </row>
    <row r="162" spans="1:34" x14ac:dyDescent="0.2">
      <c r="A162" s="402">
        <f t="shared" ca="1" si="64"/>
        <v>0.01</v>
      </c>
      <c r="B162" s="357">
        <f t="shared" ca="1" si="65"/>
        <v>1.5800000000000012</v>
      </c>
      <c r="C162" s="342"/>
      <c r="D162" s="359">
        <f t="shared" ca="1" si="66"/>
        <v>-0.86249623494956318</v>
      </c>
      <c r="E162" s="360">
        <f t="shared" ca="1" si="67"/>
        <v>-13.722092466077823</v>
      </c>
      <c r="F162" s="357">
        <f t="shared" ca="1" si="68"/>
        <v>13.749171662427228</v>
      </c>
      <c r="G162" s="359">
        <f t="shared" ca="1" si="69"/>
        <v>14.812243219928579</v>
      </c>
      <c r="H162" s="360">
        <f t="shared" ca="1" si="70"/>
        <v>67.086964419189627</v>
      </c>
      <c r="I162" s="357">
        <f t="shared" ca="1" si="71"/>
        <v>68.702717152874925</v>
      </c>
      <c r="J162" s="359">
        <f t="shared" ca="1" si="72"/>
        <v>18.019183847826909</v>
      </c>
      <c r="K162" s="360">
        <f t="shared" ca="1" si="73"/>
        <v>89.230969155418592</v>
      </c>
      <c r="L162" s="357">
        <f t="shared" ca="1" si="58"/>
        <v>91.032174767809707</v>
      </c>
      <c r="M162" s="359">
        <f t="shared" ca="1" si="74"/>
        <v>1.3534910208822892</v>
      </c>
      <c r="N162" s="357">
        <f t="shared" ca="1" si="75"/>
        <v>77.549323105408348</v>
      </c>
      <c r="O162" s="343"/>
      <c r="P162" s="363">
        <f t="shared" ca="1" si="76"/>
        <v>13</v>
      </c>
      <c r="Q162" s="357">
        <f t="shared" ca="1" si="77"/>
        <v>0</v>
      </c>
      <c r="R162" s="359">
        <f t="shared" ca="1" si="78"/>
        <v>0</v>
      </c>
      <c r="S162" s="360">
        <f t="shared" ca="1" si="79"/>
        <v>1.5629999999999982</v>
      </c>
      <c r="T162" s="357">
        <f t="shared" ca="1" si="59"/>
        <v>15.333029999999983</v>
      </c>
      <c r="U162" s="364">
        <f t="shared" ca="1" si="60"/>
        <v>0</v>
      </c>
      <c r="V162" s="359">
        <f t="shared" ca="1" si="61"/>
        <v>1.2141177579287914</v>
      </c>
      <c r="W162" s="357">
        <f t="shared" ca="1" si="62"/>
        <v>6.2363336028105261</v>
      </c>
      <c r="X162" s="343"/>
      <c r="Y162" s="367" t="str">
        <f t="shared" ca="1" si="80"/>
        <v/>
      </c>
      <c r="Z162" s="368" t="str">
        <f t="shared" ca="1" si="81"/>
        <v/>
      </c>
      <c r="AA162" s="369" t="str">
        <f t="shared" ca="1" si="82"/>
        <v/>
      </c>
      <c r="AB162" s="344"/>
      <c r="AC162" s="363" t="e">
        <f t="shared" ca="1" si="83"/>
        <v>#N/A</v>
      </c>
      <c r="AD162" s="376" t="e">
        <f t="shared" ca="1" si="84"/>
        <v>#N/A</v>
      </c>
      <c r="AE162" s="377">
        <f t="shared" ca="1" si="63"/>
        <v>89.230969155418592</v>
      </c>
      <c r="AF162" s="344"/>
      <c r="AG162" s="359">
        <f t="shared" ca="1" si="85"/>
        <v>-13.585979197497757</v>
      </c>
      <c r="AH162" s="357">
        <f t="shared" ca="1" si="86"/>
        <v>-4.0060413400818815</v>
      </c>
    </row>
    <row r="163" spans="1:34" x14ac:dyDescent="0.2">
      <c r="A163" s="402">
        <f t="shared" ca="1" si="64"/>
        <v>0.01</v>
      </c>
      <c r="B163" s="357">
        <f t="shared" ca="1" si="65"/>
        <v>1.5900000000000012</v>
      </c>
      <c r="C163" s="342"/>
      <c r="D163" s="359">
        <f t="shared" ca="1" si="66"/>
        <v>-0.86023534392401479</v>
      </c>
      <c r="E163" s="360">
        <f t="shared" ca="1" si="67"/>
        <v>-13.706140311301072</v>
      </c>
      <c r="F163" s="357">
        <f t="shared" ca="1" si="68"/>
        <v>13.733109155613972</v>
      </c>
      <c r="G163" s="359">
        <f t="shared" ca="1" si="69"/>
        <v>14.803640866489339</v>
      </c>
      <c r="H163" s="360">
        <f t="shared" ca="1" si="70"/>
        <v>66.949903016076618</v>
      </c>
      <c r="I163" s="357">
        <f t="shared" ca="1" si="71"/>
        <v>68.567027766748495</v>
      </c>
      <c r="J163" s="359">
        <f t="shared" ca="1" si="72"/>
        <v>18.167263268258999</v>
      </c>
      <c r="K163" s="360">
        <f t="shared" ca="1" si="73"/>
        <v>89.901153492594929</v>
      </c>
      <c r="L163" s="357">
        <f t="shared" ca="1" si="58"/>
        <v>91.718410659787097</v>
      </c>
      <c r="M163" s="359">
        <f t="shared" ca="1" si="74"/>
        <v>1.353182559634357</v>
      </c>
      <c r="N163" s="357">
        <f t="shared" ca="1" si="75"/>
        <v>77.531649577758486</v>
      </c>
      <c r="O163" s="343"/>
      <c r="P163" s="363">
        <f t="shared" ca="1" si="76"/>
        <v>13</v>
      </c>
      <c r="Q163" s="357">
        <f t="shared" ca="1" si="77"/>
        <v>0</v>
      </c>
      <c r="R163" s="359">
        <f t="shared" ca="1" si="78"/>
        <v>0</v>
      </c>
      <c r="S163" s="360">
        <f t="shared" ca="1" si="79"/>
        <v>1.5629999999999982</v>
      </c>
      <c r="T163" s="357">
        <f t="shared" ca="1" si="59"/>
        <v>15.333029999999983</v>
      </c>
      <c r="U163" s="364">
        <f t="shared" ca="1" si="60"/>
        <v>0</v>
      </c>
      <c r="V163" s="359">
        <f t="shared" ca="1" si="61"/>
        <v>1.2140363907530443</v>
      </c>
      <c r="W163" s="357">
        <f t="shared" ca="1" si="62"/>
        <v>6.2113078408981695</v>
      </c>
      <c r="X163" s="343"/>
      <c r="Y163" s="367" t="str">
        <f t="shared" ca="1" si="80"/>
        <v/>
      </c>
      <c r="Z163" s="368" t="str">
        <f t="shared" ca="1" si="81"/>
        <v/>
      </c>
      <c r="AA163" s="369" t="str">
        <f t="shared" ca="1" si="82"/>
        <v/>
      </c>
      <c r="AB163" s="344"/>
      <c r="AC163" s="363" t="e">
        <f t="shared" ca="1" si="83"/>
        <v>#N/A</v>
      </c>
      <c r="AD163" s="376" t="e">
        <f t="shared" ca="1" si="84"/>
        <v>#N/A</v>
      </c>
      <c r="AE163" s="377">
        <f t="shared" ca="1" si="63"/>
        <v>89.901153492594929</v>
      </c>
      <c r="AF163" s="344"/>
      <c r="AG163" s="359">
        <f t="shared" ca="1" si="85"/>
        <v>-13.569264814590325</v>
      </c>
      <c r="AH163" s="357">
        <f t="shared" ca="1" si="86"/>
        <v>-3.9899767132505013</v>
      </c>
    </row>
    <row r="164" spans="1:34" x14ac:dyDescent="0.2">
      <c r="A164" s="402">
        <f t="shared" ca="1" si="64"/>
        <v>0.01</v>
      </c>
      <c r="B164" s="357">
        <f t="shared" ca="1" si="65"/>
        <v>1.6000000000000012</v>
      </c>
      <c r="C164" s="342"/>
      <c r="D164" s="359">
        <f t="shared" ca="1" si="66"/>
        <v>-0.85798025322737548</v>
      </c>
      <c r="E164" s="360">
        <f t="shared" ca="1" si="67"/>
        <v>-13.690241034035829</v>
      </c>
      <c r="F164" s="357">
        <f t="shared" ca="1" si="68"/>
        <v>13.717099900668746</v>
      </c>
      <c r="G164" s="359">
        <f t="shared" ca="1" si="69"/>
        <v>14.795061063957064</v>
      </c>
      <c r="H164" s="360">
        <f t="shared" ca="1" si="70"/>
        <v>66.813000605736264</v>
      </c>
      <c r="I164" s="357">
        <f t="shared" ca="1" si="71"/>
        <v>68.431505038456763</v>
      </c>
      <c r="J164" s="359">
        <f t="shared" ca="1" si="72"/>
        <v>18.31525677791123</v>
      </c>
      <c r="K164" s="360">
        <f t="shared" ca="1" si="73"/>
        <v>90.569968010703988</v>
      </c>
      <c r="L164" s="357">
        <f t="shared" ca="1" si="58"/>
        <v>92.403288557825505</v>
      </c>
      <c r="M164" s="359">
        <f t="shared" ca="1" si="74"/>
        <v>1.3528730557248971</v>
      </c>
      <c r="N164" s="357">
        <f t="shared" ca="1" si="75"/>
        <v>77.513916310003637</v>
      </c>
      <c r="O164" s="343"/>
      <c r="P164" s="363">
        <f t="shared" ca="1" si="76"/>
        <v>13</v>
      </c>
      <c r="Q164" s="357">
        <f t="shared" ca="1" si="77"/>
        <v>0</v>
      </c>
      <c r="R164" s="359">
        <f t="shared" ca="1" si="78"/>
        <v>0</v>
      </c>
      <c r="S164" s="360">
        <f t="shared" ca="1" si="79"/>
        <v>1.5629999999999982</v>
      </c>
      <c r="T164" s="357">
        <f t="shared" ca="1" si="59"/>
        <v>15.333029999999983</v>
      </c>
      <c r="U164" s="364">
        <f t="shared" ca="1" si="60"/>
        <v>0</v>
      </c>
      <c r="V164" s="359">
        <f t="shared" ca="1" si="61"/>
        <v>1.2139551952991112</v>
      </c>
      <c r="W164" s="357">
        <f t="shared" ca="1" si="62"/>
        <v>6.1863650308450975</v>
      </c>
      <c r="X164" s="343"/>
      <c r="Y164" s="367" t="str">
        <f t="shared" ca="1" si="80"/>
        <v/>
      </c>
      <c r="Z164" s="368" t="str">
        <f t="shared" ca="1" si="81"/>
        <v/>
      </c>
      <c r="AA164" s="369" t="str">
        <f t="shared" ca="1" si="82"/>
        <v/>
      </c>
      <c r="AB164" s="344"/>
      <c r="AC164" s="363" t="e">
        <f t="shared" ca="1" si="83"/>
        <v>#N/A</v>
      </c>
      <c r="AD164" s="376" t="e">
        <f t="shared" ca="1" si="84"/>
        <v>#N/A</v>
      </c>
      <c r="AE164" s="377">
        <f t="shared" ca="1" si="63"/>
        <v>90.569968010703988</v>
      </c>
      <c r="AF164" s="344"/>
      <c r="AG164" s="359">
        <f t="shared" ca="1" si="85"/>
        <v>-13.552600590999706</v>
      </c>
      <c r="AH164" s="357">
        <f t="shared" ca="1" si="86"/>
        <v>-3.9739653492630689</v>
      </c>
    </row>
    <row r="165" spans="1:34" x14ac:dyDescent="0.2">
      <c r="A165" s="402">
        <f t="shared" ca="1" si="64"/>
        <v>0.01</v>
      </c>
      <c r="B165" s="357">
        <f t="shared" ca="1" si="65"/>
        <v>1.6100000000000012</v>
      </c>
      <c r="C165" s="342"/>
      <c r="D165" s="359">
        <f t="shared" ca="1" si="66"/>
        <v>-0.85573093963252078</v>
      </c>
      <c r="E165" s="360">
        <f t="shared" ca="1" si="67"/>
        <v>-13.674394444933993</v>
      </c>
      <c r="F165" s="357">
        <f t="shared" ca="1" si="68"/>
        <v>13.701143706883961</v>
      </c>
      <c r="G165" s="359">
        <f t="shared" ca="1" si="69"/>
        <v>14.786503754560739</v>
      </c>
      <c r="H165" s="360">
        <f t="shared" ca="1" si="70"/>
        <v>66.676256661286928</v>
      </c>
      <c r="I165" s="357">
        <f t="shared" ca="1" si="71"/>
        <v>68.296148468602894</v>
      </c>
      <c r="J165" s="359">
        <f t="shared" ca="1" si="72"/>
        <v>18.463164602003818</v>
      </c>
      <c r="K165" s="360">
        <f t="shared" ca="1" si="73"/>
        <v>91.237414297039109</v>
      </c>
      <c r="L165" s="357">
        <f t="shared" ca="1" si="58"/>
        <v>93.086810100734709</v>
      </c>
      <c r="M165" s="359">
        <f t="shared" ca="1" si="74"/>
        <v>1.3525625043387117</v>
      </c>
      <c r="N165" s="357">
        <f t="shared" ca="1" si="75"/>
        <v>77.496123026253287</v>
      </c>
      <c r="O165" s="343"/>
      <c r="P165" s="363">
        <f t="shared" ca="1" si="76"/>
        <v>13</v>
      </c>
      <c r="Q165" s="357">
        <f t="shared" ca="1" si="77"/>
        <v>0</v>
      </c>
      <c r="R165" s="359">
        <f t="shared" ca="1" si="78"/>
        <v>0</v>
      </c>
      <c r="S165" s="360">
        <f t="shared" ca="1" si="79"/>
        <v>1.5629999999999982</v>
      </c>
      <c r="T165" s="357">
        <f t="shared" ca="1" si="59"/>
        <v>15.333029999999983</v>
      </c>
      <c r="U165" s="364">
        <f t="shared" ca="1" si="60"/>
        <v>0</v>
      </c>
      <c r="V165" s="359">
        <f t="shared" ca="1" si="61"/>
        <v>1.2138741713405525</v>
      </c>
      <c r="W165" s="357">
        <f t="shared" ca="1" si="62"/>
        <v>6.1615048761648064</v>
      </c>
      <c r="X165" s="343"/>
      <c r="Y165" s="367" t="str">
        <f t="shared" ca="1" si="80"/>
        <v/>
      </c>
      <c r="Z165" s="368" t="str">
        <f t="shared" ca="1" si="81"/>
        <v/>
      </c>
      <c r="AA165" s="369" t="str">
        <f t="shared" ca="1" si="82"/>
        <v/>
      </c>
      <c r="AB165" s="344"/>
      <c r="AC165" s="363" t="e">
        <f t="shared" ca="1" si="83"/>
        <v>#N/A</v>
      </c>
      <c r="AD165" s="376" t="e">
        <f t="shared" ca="1" si="84"/>
        <v>#N/A</v>
      </c>
      <c r="AE165" s="377">
        <f t="shared" ca="1" si="63"/>
        <v>91.237414297039109</v>
      </c>
      <c r="AF165" s="344"/>
      <c r="AG165" s="359">
        <f t="shared" ca="1" si="85"/>
        <v>-13.535986316800747</v>
      </c>
      <c r="AH165" s="357">
        <f t="shared" ca="1" si="86"/>
        <v>-3.9580070574824728</v>
      </c>
    </row>
    <row r="166" spans="1:34" x14ac:dyDescent="0.2">
      <c r="A166" s="402">
        <f t="shared" ca="1" si="64"/>
        <v>0.01</v>
      </c>
      <c r="B166" s="357">
        <f t="shared" ca="1" si="65"/>
        <v>1.6200000000000012</v>
      </c>
      <c r="C166" s="342"/>
      <c r="D166" s="359">
        <f t="shared" ca="1" si="66"/>
        <v>-0.85348738002456093</v>
      </c>
      <c r="E166" s="360">
        <f t="shared" ca="1" si="67"/>
        <v>-13.658600355586728</v>
      </c>
      <c r="F166" s="357">
        <f t="shared" ca="1" si="68"/>
        <v>13.685240384498004</v>
      </c>
      <c r="G166" s="359">
        <f t="shared" ca="1" si="69"/>
        <v>14.777968880760493</v>
      </c>
      <c r="H166" s="360">
        <f t="shared" ca="1" si="70"/>
        <v>66.539670657731065</v>
      </c>
      <c r="I166" s="357">
        <f t="shared" ca="1" si="71"/>
        <v>68.16095755988205</v>
      </c>
      <c r="J166" s="359">
        <f t="shared" ca="1" si="72"/>
        <v>18.610986965180423</v>
      </c>
      <c r="K166" s="360">
        <f t="shared" ca="1" si="73"/>
        <v>91.903493933634195</v>
      </c>
      <c r="L166" s="357">
        <f t="shared" ca="1" si="58"/>
        <v>93.768976922155076</v>
      </c>
      <c r="M166" s="359">
        <f t="shared" ca="1" si="74"/>
        <v>1.3522509006308809</v>
      </c>
      <c r="N166" s="357">
        <f t="shared" ca="1" si="75"/>
        <v>77.478269448913949</v>
      </c>
      <c r="O166" s="343"/>
      <c r="P166" s="363">
        <f t="shared" ca="1" si="76"/>
        <v>13</v>
      </c>
      <c r="Q166" s="357">
        <f t="shared" ca="1" si="77"/>
        <v>0</v>
      </c>
      <c r="R166" s="359">
        <f t="shared" ca="1" si="78"/>
        <v>0</v>
      </c>
      <c r="S166" s="360">
        <f t="shared" ca="1" si="79"/>
        <v>1.5629999999999982</v>
      </c>
      <c r="T166" s="357">
        <f t="shared" ca="1" si="59"/>
        <v>15.333029999999983</v>
      </c>
      <c r="U166" s="364">
        <f t="shared" ca="1" si="60"/>
        <v>0</v>
      </c>
      <c r="V166" s="359">
        <f t="shared" ca="1" si="61"/>
        <v>1.2137933186516954</v>
      </c>
      <c r="W166" s="357">
        <f t="shared" ca="1" si="62"/>
        <v>6.1367270818416602</v>
      </c>
      <c r="X166" s="343"/>
      <c r="Y166" s="367" t="str">
        <f t="shared" ca="1" si="80"/>
        <v/>
      </c>
      <c r="Z166" s="368" t="str">
        <f t="shared" ca="1" si="81"/>
        <v/>
      </c>
      <c r="AA166" s="369" t="str">
        <f t="shared" ca="1" si="82"/>
        <v/>
      </c>
      <c r="AB166" s="344"/>
      <c r="AC166" s="363" t="e">
        <f t="shared" ca="1" si="83"/>
        <v>#N/A</v>
      </c>
      <c r="AD166" s="376" t="e">
        <f t="shared" ca="1" si="84"/>
        <v>#N/A</v>
      </c>
      <c r="AE166" s="377">
        <f t="shared" ca="1" si="63"/>
        <v>91.903493933634195</v>
      </c>
      <c r="AF166" s="344"/>
      <c r="AG166" s="359">
        <f t="shared" ca="1" si="85"/>
        <v>-13.519421782865541</v>
      </c>
      <c r="AH166" s="357">
        <f t="shared" ca="1" si="86"/>
        <v>-3.9421016482180509</v>
      </c>
    </row>
    <row r="167" spans="1:34" x14ac:dyDescent="0.2">
      <c r="A167" s="402">
        <f t="shared" ca="1" si="64"/>
        <v>0.01</v>
      </c>
      <c r="B167" s="357">
        <f t="shared" ca="1" si="65"/>
        <v>1.6300000000000012</v>
      </c>
      <c r="C167" s="342"/>
      <c r="D167" s="359">
        <f t="shared" ca="1" si="66"/>
        <v>-0.85124955140020697</v>
      </c>
      <c r="E167" s="360">
        <f t="shared" ca="1" si="67"/>
        <v>-13.642858578519096</v>
      </c>
      <c r="F167" s="357">
        <f t="shared" ca="1" si="68"/>
        <v>13.669389744689818</v>
      </c>
      <c r="G167" s="359">
        <f t="shared" ca="1" si="69"/>
        <v>14.769456385246491</v>
      </c>
      <c r="H167" s="360">
        <f t="shared" ca="1" si="70"/>
        <v>66.403242071945868</v>
      </c>
      <c r="I167" s="357">
        <f t="shared" ca="1" si="71"/>
        <v>68.025931817073555</v>
      </c>
      <c r="J167" s="359">
        <f t="shared" ca="1" si="72"/>
        <v>18.758724091510459</v>
      </c>
      <c r="K167" s="360">
        <f t="shared" ca="1" si="73"/>
        <v>92.568208497282583</v>
      </c>
      <c r="L167" s="357">
        <f t="shared" ca="1" si="58"/>
        <v>94.449790650576844</v>
      </c>
      <c r="M167" s="359">
        <f t="shared" ca="1" si="74"/>
        <v>1.3519382397265358</v>
      </c>
      <c r="N167" s="357">
        <f t="shared" ca="1" si="75"/>
        <v>77.460355298676234</v>
      </c>
      <c r="O167" s="343"/>
      <c r="P167" s="363">
        <f t="shared" ca="1" si="76"/>
        <v>13</v>
      </c>
      <c r="Q167" s="357">
        <f t="shared" ca="1" si="77"/>
        <v>0</v>
      </c>
      <c r="R167" s="359">
        <f t="shared" ca="1" si="78"/>
        <v>0</v>
      </c>
      <c r="S167" s="360">
        <f t="shared" ca="1" si="79"/>
        <v>1.5629999999999982</v>
      </c>
      <c r="T167" s="357">
        <f t="shared" ca="1" si="59"/>
        <v>15.333029999999983</v>
      </c>
      <c r="U167" s="364">
        <f t="shared" ca="1" si="60"/>
        <v>0</v>
      </c>
      <c r="V167" s="359">
        <f t="shared" ca="1" si="61"/>
        <v>1.2137126370076259</v>
      </c>
      <c r="W167" s="357">
        <f t="shared" ca="1" si="62"/>
        <v>6.1120313543224887</v>
      </c>
      <c r="X167" s="343"/>
      <c r="Y167" s="367" t="str">
        <f t="shared" ca="1" si="80"/>
        <v/>
      </c>
      <c r="Z167" s="368" t="str">
        <f t="shared" ca="1" si="81"/>
        <v/>
      </c>
      <c r="AA167" s="369" t="str">
        <f t="shared" ca="1" si="82"/>
        <v/>
      </c>
      <c r="AB167" s="344"/>
      <c r="AC167" s="363" t="e">
        <f t="shared" ca="1" si="83"/>
        <v>#N/A</v>
      </c>
      <c r="AD167" s="376" t="e">
        <f t="shared" ca="1" si="84"/>
        <v>#N/A</v>
      </c>
      <c r="AE167" s="377">
        <f t="shared" ca="1" si="63"/>
        <v>92.568208497282583</v>
      </c>
      <c r="AF167" s="344"/>
      <c r="AG167" s="359">
        <f t="shared" ca="1" si="85"/>
        <v>-13.502906780856675</v>
      </c>
      <c r="AH167" s="357">
        <f t="shared" ca="1" si="86"/>
        <v>-3.9262489327201968</v>
      </c>
    </row>
    <row r="168" spans="1:34" x14ac:dyDescent="0.2">
      <c r="A168" s="402">
        <f t="shared" ca="1" si="64"/>
        <v>0.01</v>
      </c>
      <c r="B168" s="357">
        <f t="shared" ca="1" si="65"/>
        <v>1.6400000000000012</v>
      </c>
      <c r="C168" s="342"/>
      <c r="D168" s="359">
        <f t="shared" ca="1" si="66"/>
        <v>-0.84901743086715054</v>
      </c>
      <c r="E168" s="360">
        <f t="shared" ca="1" si="67"/>
        <v>-13.627168927184726</v>
      </c>
      <c r="F168" s="357">
        <f t="shared" ca="1" si="68"/>
        <v>13.653591599573542</v>
      </c>
      <c r="G168" s="359">
        <f t="shared" ca="1" si="69"/>
        <v>14.76096621093782</v>
      </c>
      <c r="H168" s="360">
        <f t="shared" ca="1" si="70"/>
        <v>66.266970382674018</v>
      </c>
      <c r="I168" s="357">
        <f t="shared" ca="1" si="71"/>
        <v>67.891070747033027</v>
      </c>
      <c r="J168" s="359">
        <f t="shared" ca="1" si="72"/>
        <v>18.90637620449138</v>
      </c>
      <c r="K168" s="360">
        <f t="shared" ca="1" si="73"/>
        <v>93.231559559555677</v>
      </c>
      <c r="L168" s="357">
        <f t="shared" ca="1" si="58"/>
        <v>95.129252909358726</v>
      </c>
      <c r="M168" s="359">
        <f t="shared" ca="1" si="74"/>
        <v>1.3516245167206344</v>
      </c>
      <c r="N168" s="357">
        <f t="shared" ca="1" si="75"/>
        <v>77.442380294501916</v>
      </c>
      <c r="O168" s="343"/>
      <c r="P168" s="363">
        <f t="shared" ca="1" si="76"/>
        <v>13</v>
      </c>
      <c r="Q168" s="357">
        <f t="shared" ca="1" si="77"/>
        <v>0</v>
      </c>
      <c r="R168" s="359">
        <f t="shared" ca="1" si="78"/>
        <v>0</v>
      </c>
      <c r="S168" s="360">
        <f t="shared" ca="1" si="79"/>
        <v>1.5629999999999982</v>
      </c>
      <c r="T168" s="357">
        <f t="shared" ca="1" si="59"/>
        <v>15.333029999999983</v>
      </c>
      <c r="U168" s="364">
        <f t="shared" ca="1" si="60"/>
        <v>0</v>
      </c>
      <c r="V168" s="359">
        <f t="shared" ca="1" si="61"/>
        <v>1.2136321261841905</v>
      </c>
      <c r="W168" s="357">
        <f t="shared" ca="1" si="62"/>
        <v>6.0874174015082572</v>
      </c>
      <c r="X168" s="343"/>
      <c r="Y168" s="367" t="str">
        <f t="shared" ca="1" si="80"/>
        <v/>
      </c>
      <c r="Z168" s="368" t="str">
        <f t="shared" ca="1" si="81"/>
        <v/>
      </c>
      <c r="AA168" s="369" t="str">
        <f t="shared" ca="1" si="82"/>
        <v/>
      </c>
      <c r="AB168" s="344"/>
      <c r="AC168" s="363" t="e">
        <f t="shared" ca="1" si="83"/>
        <v>#N/A</v>
      </c>
      <c r="AD168" s="376" t="e">
        <f t="shared" ca="1" si="84"/>
        <v>#N/A</v>
      </c>
      <c r="AE168" s="377">
        <f t="shared" ca="1" si="63"/>
        <v>93.231559559555677</v>
      </c>
      <c r="AF168" s="344"/>
      <c r="AG168" s="359">
        <f t="shared" ca="1" si="85"/>
        <v>-13.48644110322045</v>
      </c>
      <c r="AH168" s="357">
        <f t="shared" ca="1" si="86"/>
        <v>-3.9104487231749814</v>
      </c>
    </row>
    <row r="169" spans="1:34" x14ac:dyDescent="0.2">
      <c r="A169" s="402">
        <f t="shared" ca="1" si="64"/>
        <v>0.01</v>
      </c>
      <c r="B169" s="357">
        <f t="shared" ca="1" si="65"/>
        <v>1.6500000000000012</v>
      </c>
      <c r="C169" s="342"/>
      <c r="D169" s="359">
        <f t="shared" ca="1" si="66"/>
        <v>-0.84679099564343174</v>
      </c>
      <c r="E169" s="360">
        <f t="shared" ca="1" si="67"/>
        <v>-13.611531215960502</v>
      </c>
      <c r="F169" s="357">
        <f t="shared" ca="1" si="68"/>
        <v>13.637845762193162</v>
      </c>
      <c r="G169" s="359">
        <f t="shared" ca="1" si="69"/>
        <v>14.752498300981385</v>
      </c>
      <c r="H169" s="360">
        <f t="shared" ca="1" si="70"/>
        <v>66.130855070514414</v>
      </c>
      <c r="I169" s="357">
        <f t="shared" ca="1" si="71"/>
        <v>67.756373858684626</v>
      </c>
      <c r="J169" s="359">
        <f t="shared" ca="1" si="72"/>
        <v>19.053943527050976</v>
      </c>
      <c r="K169" s="360">
        <f t="shared" ca="1" si="73"/>
        <v>93.893548686821617</v>
      </c>
      <c r="L169" s="357">
        <f t="shared" ca="1" si="58"/>
        <v>95.807365316746868</v>
      </c>
      <c r="M169" s="359">
        <f t="shared" ca="1" si="74"/>
        <v>1.3513097266777303</v>
      </c>
      <c r="N169" s="357">
        <f t="shared" ca="1" si="75"/>
        <v>77.424344153610775</v>
      </c>
      <c r="O169" s="343"/>
      <c r="P169" s="363">
        <f t="shared" ca="1" si="76"/>
        <v>13</v>
      </c>
      <c r="Q169" s="357">
        <f t="shared" ca="1" si="77"/>
        <v>0</v>
      </c>
      <c r="R169" s="359">
        <f t="shared" ca="1" si="78"/>
        <v>0</v>
      </c>
      <c r="S169" s="360">
        <f t="shared" ca="1" si="79"/>
        <v>1.5629999999999982</v>
      </c>
      <c r="T169" s="357">
        <f t="shared" ca="1" si="59"/>
        <v>15.333029999999983</v>
      </c>
      <c r="U169" s="364">
        <f t="shared" ca="1" si="60"/>
        <v>0</v>
      </c>
      <c r="V169" s="359">
        <f t="shared" ca="1" si="61"/>
        <v>1.213551785957991</v>
      </c>
      <c r="W169" s="357">
        <f t="shared" ca="1" si="62"/>
        <v>6.0628849327457894</v>
      </c>
      <c r="X169" s="343"/>
      <c r="Y169" s="367" t="str">
        <f t="shared" ca="1" si="80"/>
        <v/>
      </c>
      <c r="Z169" s="368" t="str">
        <f t="shared" ca="1" si="81"/>
        <v/>
      </c>
      <c r="AA169" s="369" t="str">
        <f t="shared" ca="1" si="82"/>
        <v/>
      </c>
      <c r="AB169" s="344"/>
      <c r="AC169" s="363" t="e">
        <f t="shared" ca="1" si="83"/>
        <v>#N/A</v>
      </c>
      <c r="AD169" s="376" t="e">
        <f t="shared" ca="1" si="84"/>
        <v>#N/A</v>
      </c>
      <c r="AE169" s="377">
        <f t="shared" ca="1" si="63"/>
        <v>93.893548686821617</v>
      </c>
      <c r="AF169" s="344"/>
      <c r="AG169" s="359">
        <f t="shared" ca="1" si="85"/>
        <v>-13.470024543180177</v>
      </c>
      <c r="AH169" s="357">
        <f t="shared" ca="1" si="86"/>
        <v>-3.8947008326988257</v>
      </c>
    </row>
    <row r="170" spans="1:34" x14ac:dyDescent="0.2">
      <c r="A170" s="402">
        <f t="shared" ca="1" si="64"/>
        <v>0.01</v>
      </c>
      <c r="B170" s="357">
        <f t="shared" ca="1" si="65"/>
        <v>1.6600000000000013</v>
      </c>
      <c r="C170" s="342"/>
      <c r="D170" s="359">
        <f t="shared" ca="1" si="66"/>
        <v>-0.84457022305683005</v>
      </c>
      <c r="E170" s="360">
        <f t="shared" ca="1" si="67"/>
        <v>-13.595945260141315</v>
      </c>
      <c r="F170" s="357">
        <f t="shared" ca="1" si="68"/>
        <v>13.622152046517224</v>
      </c>
      <c r="G170" s="359">
        <f t="shared" ca="1" si="69"/>
        <v>14.744052598750816</v>
      </c>
      <c r="H170" s="360">
        <f t="shared" ca="1" si="70"/>
        <v>65.994895617913002</v>
      </c>
      <c r="I170" s="357">
        <f t="shared" ca="1" si="71"/>
        <v>67.62184066301333</v>
      </c>
      <c r="J170" s="359">
        <f t="shared" ca="1" si="72"/>
        <v>19.201426281549637</v>
      </c>
      <c r="K170" s="360">
        <f t="shared" ca="1" si="73"/>
        <v>94.554177440263757</v>
      </c>
      <c r="L170" s="357">
        <f t="shared" ca="1" si="58"/>
        <v>96.484129485893533</v>
      </c>
      <c r="M170" s="359">
        <f t="shared" ca="1" si="74"/>
        <v>1.350993864631743</v>
      </c>
      <c r="N170" s="357">
        <f t="shared" ca="1" si="75"/>
        <v>77.406246591467337</v>
      </c>
      <c r="O170" s="343"/>
      <c r="P170" s="363">
        <f t="shared" ca="1" si="76"/>
        <v>13</v>
      </c>
      <c r="Q170" s="357">
        <f t="shared" ca="1" si="77"/>
        <v>0</v>
      </c>
      <c r="R170" s="359">
        <f t="shared" ca="1" si="78"/>
        <v>0</v>
      </c>
      <c r="S170" s="360">
        <f t="shared" ca="1" si="79"/>
        <v>1.5629999999999982</v>
      </c>
      <c r="T170" s="357">
        <f t="shared" ca="1" si="59"/>
        <v>15.333029999999983</v>
      </c>
      <c r="U170" s="364">
        <f t="shared" ca="1" si="60"/>
        <v>0</v>
      </c>
      <c r="V170" s="359">
        <f t="shared" ca="1" si="61"/>
        <v>1.2134716161063819</v>
      </c>
      <c r="W170" s="357">
        <f t="shared" ca="1" si="62"/>
        <v>6.0384336588195344</v>
      </c>
      <c r="X170" s="343"/>
      <c r="Y170" s="367" t="str">
        <f t="shared" ca="1" si="80"/>
        <v/>
      </c>
      <c r="Z170" s="368" t="str">
        <f t="shared" ca="1" si="81"/>
        <v/>
      </c>
      <c r="AA170" s="369" t="str">
        <f t="shared" ca="1" si="82"/>
        <v/>
      </c>
      <c r="AB170" s="344"/>
      <c r="AC170" s="363" t="e">
        <f t="shared" ca="1" si="83"/>
        <v>#N/A</v>
      </c>
      <c r="AD170" s="376" t="e">
        <f t="shared" ca="1" si="84"/>
        <v>#N/A</v>
      </c>
      <c r="AE170" s="377">
        <f t="shared" ca="1" si="63"/>
        <v>94.554177440263757</v>
      </c>
      <c r="AF170" s="344"/>
      <c r="AG170" s="359">
        <f t="shared" ca="1" si="85"/>
        <v>-13.453656894729441</v>
      </c>
      <c r="AH170" s="357">
        <f t="shared" ca="1" si="86"/>
        <v>-3.879005075333203</v>
      </c>
    </row>
    <row r="171" spans="1:34" x14ac:dyDescent="0.2">
      <c r="A171" s="402">
        <f t="shared" ca="1" si="64"/>
        <v>0.01</v>
      </c>
      <c r="B171" s="357">
        <f t="shared" ca="1" si="65"/>
        <v>1.6700000000000013</v>
      </c>
      <c r="C171" s="342"/>
      <c r="D171" s="359">
        <f t="shared" ca="1" si="66"/>
        <v>-0.84235509054424429</v>
      </c>
      <c r="E171" s="360">
        <f t="shared" ca="1" si="67"/>
        <v>-13.580410875934817</v>
      </c>
      <c r="F171" s="357">
        <f t="shared" ca="1" si="68"/>
        <v>13.606510267433544</v>
      </c>
      <c r="G171" s="359">
        <f t="shared" ca="1" si="69"/>
        <v>14.735629047845373</v>
      </c>
      <c r="H171" s="360">
        <f t="shared" ca="1" si="70"/>
        <v>65.859091509153657</v>
      </c>
      <c r="I171" s="357">
        <f t="shared" ca="1" si="71"/>
        <v>67.487470673057373</v>
      </c>
      <c r="J171" s="359">
        <f t="shared" ca="1" si="72"/>
        <v>19.348824689782617</v>
      </c>
      <c r="K171" s="360">
        <f t="shared" ca="1" si="73"/>
        <v>95.213447375899094</v>
      </c>
      <c r="L171" s="357">
        <f t="shared" ca="1" si="58"/>
        <v>97.159547024875778</v>
      </c>
      <c r="M171" s="359">
        <f t="shared" ca="1" si="74"/>
        <v>1.3506769255857243</v>
      </c>
      <c r="N171" s="357">
        <f t="shared" ca="1" si="75"/>
        <v>77.388087321767557</v>
      </c>
      <c r="O171" s="343"/>
      <c r="P171" s="363">
        <f t="shared" ca="1" si="76"/>
        <v>13</v>
      </c>
      <c r="Q171" s="357">
        <f t="shared" ca="1" si="77"/>
        <v>0</v>
      </c>
      <c r="R171" s="359">
        <f t="shared" ca="1" si="78"/>
        <v>0</v>
      </c>
      <c r="S171" s="360">
        <f t="shared" ca="1" si="79"/>
        <v>1.5629999999999982</v>
      </c>
      <c r="T171" s="357">
        <f t="shared" ca="1" si="59"/>
        <v>15.333029999999983</v>
      </c>
      <c r="U171" s="364">
        <f t="shared" ca="1" si="60"/>
        <v>0</v>
      </c>
      <c r="V171" s="359">
        <f t="shared" ca="1" si="61"/>
        <v>1.2133916164074676</v>
      </c>
      <c r="W171" s="357">
        <f t="shared" ca="1" si="62"/>
        <v>6.0140632919434234</v>
      </c>
      <c r="X171" s="343"/>
      <c r="Y171" s="367" t="str">
        <f t="shared" ca="1" si="80"/>
        <v/>
      </c>
      <c r="Z171" s="368" t="str">
        <f t="shared" ca="1" si="81"/>
        <v/>
      </c>
      <c r="AA171" s="369" t="str">
        <f t="shared" ca="1" si="82"/>
        <v/>
      </c>
      <c r="AB171" s="344"/>
      <c r="AC171" s="363" t="e">
        <f t="shared" ca="1" si="83"/>
        <v>#N/A</v>
      </c>
      <c r="AD171" s="376" t="e">
        <f t="shared" ca="1" si="84"/>
        <v>#N/A</v>
      </c>
      <c r="AE171" s="377">
        <f t="shared" ca="1" si="63"/>
        <v>95.213447375899094</v>
      </c>
      <c r="AF171" s="344"/>
      <c r="AG171" s="359">
        <f t="shared" ca="1" si="85"/>
        <v>-13.43733795262543</v>
      </c>
      <c r="AH171" s="357">
        <f t="shared" ca="1" si="86"/>
        <v>-3.8633612660393739</v>
      </c>
    </row>
    <row r="172" spans="1:34" x14ac:dyDescent="0.2">
      <c r="A172" s="402">
        <f t="shared" ca="1" si="64"/>
        <v>0.01</v>
      </c>
      <c r="B172" s="357">
        <f t="shared" ca="1" si="65"/>
        <v>1.6800000000000013</v>
      </c>
      <c r="C172" s="342"/>
      <c r="D172" s="359">
        <f t="shared" ca="1" si="66"/>
        <v>-0.84014557565108783</v>
      </c>
      <c r="E172" s="360">
        <f t="shared" ca="1" si="67"/>
        <v>-13.564927880456249</v>
      </c>
      <c r="F172" s="357">
        <f t="shared" ca="1" si="68"/>
        <v>13.590920240744016</v>
      </c>
      <c r="G172" s="359">
        <f t="shared" ca="1" si="69"/>
        <v>14.727227592088862</v>
      </c>
      <c r="H172" s="360">
        <f t="shared" ca="1" si="70"/>
        <v>65.723442230349093</v>
      </c>
      <c r="I172" s="357">
        <f t="shared" ca="1" si="71"/>
        <v>67.353263403900613</v>
      </c>
      <c r="J172" s="359">
        <f t="shared" ca="1" si="72"/>
        <v>19.496138972982287</v>
      </c>
      <c r="K172" s="360">
        <f t="shared" ca="1" si="73"/>
        <v>95.871360044596614</v>
      </c>
      <c r="L172" s="357">
        <f t="shared" ca="1" si="58"/>
        <v>97.833619536714039</v>
      </c>
      <c r="M172" s="359">
        <f t="shared" ca="1" si="74"/>
        <v>1.350358904511624</v>
      </c>
      <c r="N172" s="357">
        <f t="shared" ca="1" si="75"/>
        <v>77.369866056425394</v>
      </c>
      <c r="O172" s="343"/>
      <c r="P172" s="363">
        <f t="shared" ca="1" si="76"/>
        <v>13</v>
      </c>
      <c r="Q172" s="357">
        <f t="shared" ca="1" si="77"/>
        <v>0</v>
      </c>
      <c r="R172" s="359">
        <f t="shared" ca="1" si="78"/>
        <v>0</v>
      </c>
      <c r="S172" s="360">
        <f t="shared" ca="1" si="79"/>
        <v>1.5629999999999982</v>
      </c>
      <c r="T172" s="357">
        <f t="shared" ca="1" si="59"/>
        <v>15.333029999999983</v>
      </c>
      <c r="U172" s="364">
        <f t="shared" ca="1" si="60"/>
        <v>0</v>
      </c>
      <c r="V172" s="359">
        <f t="shared" ca="1" si="61"/>
        <v>1.2133117866401024</v>
      </c>
      <c r="W172" s="357">
        <f t="shared" ca="1" si="62"/>
        <v>5.9897735457527475</v>
      </c>
      <c r="X172" s="343"/>
      <c r="Y172" s="367" t="str">
        <f t="shared" ca="1" si="80"/>
        <v/>
      </c>
      <c r="Z172" s="368" t="str">
        <f t="shared" ca="1" si="81"/>
        <v/>
      </c>
      <c r="AA172" s="369" t="str">
        <f t="shared" ca="1" si="82"/>
        <v/>
      </c>
      <c r="AB172" s="344"/>
      <c r="AC172" s="363" t="e">
        <f t="shared" ca="1" si="83"/>
        <v>#N/A</v>
      </c>
      <c r="AD172" s="376" t="e">
        <f t="shared" ca="1" si="84"/>
        <v>#N/A</v>
      </c>
      <c r="AE172" s="377">
        <f t="shared" ca="1" si="63"/>
        <v>95.871360044596614</v>
      </c>
      <c r="AF172" s="344"/>
      <c r="AG172" s="359">
        <f t="shared" ca="1" si="85"/>
        <v>-13.421067512382258</v>
      </c>
      <c r="AH172" s="357">
        <f t="shared" ca="1" si="86"/>
        <v>-3.8477692206931735</v>
      </c>
    </row>
    <row r="173" spans="1:34" x14ac:dyDescent="0.2">
      <c r="A173" s="402">
        <f t="shared" ca="1" si="64"/>
        <v>0.01</v>
      </c>
      <c r="B173" s="357">
        <f t="shared" ca="1" si="65"/>
        <v>1.6900000000000013</v>
      </c>
      <c r="C173" s="342"/>
      <c r="D173" s="359">
        <f t="shared" ca="1" si="66"/>
        <v>-0.83794165603068005</v>
      </c>
      <c r="E173" s="360">
        <f t="shared" ca="1" si="67"/>
        <v>-13.549496091723272</v>
      </c>
      <c r="F173" s="357">
        <f t="shared" ca="1" si="68"/>
        <v>13.575381783159385</v>
      </c>
      <c r="G173" s="359">
        <f t="shared" ca="1" si="69"/>
        <v>14.718848175528557</v>
      </c>
      <c r="H173" s="360">
        <f t="shared" ca="1" si="70"/>
        <v>65.587947269431865</v>
      </c>
      <c r="I173" s="357">
        <f t="shared" ca="1" si="71"/>
        <v>67.219218372665082</v>
      </c>
      <c r="J173" s="359">
        <f t="shared" ca="1" si="72"/>
        <v>19.643369351820375</v>
      </c>
      <c r="K173" s="360">
        <f t="shared" ca="1" si="73"/>
        <v>96.527916992095513</v>
      </c>
      <c r="L173" s="357">
        <f t="shared" ca="1" si="58"/>
        <v>98.506348619390607</v>
      </c>
      <c r="M173" s="359">
        <f t="shared" ca="1" si="74"/>
        <v>1.3500397963500517</v>
      </c>
      <c r="N173" s="357">
        <f t="shared" ca="1" si="75"/>
        <v>77.351582505559122</v>
      </c>
      <c r="O173" s="343"/>
      <c r="P173" s="363">
        <f t="shared" ca="1" si="76"/>
        <v>13</v>
      </c>
      <c r="Q173" s="357">
        <f t="shared" ca="1" si="77"/>
        <v>0</v>
      </c>
      <c r="R173" s="359">
        <f t="shared" ca="1" si="78"/>
        <v>0</v>
      </c>
      <c r="S173" s="360">
        <f t="shared" ca="1" si="79"/>
        <v>1.5629999999999982</v>
      </c>
      <c r="T173" s="357">
        <f t="shared" ca="1" si="59"/>
        <v>15.333029999999983</v>
      </c>
      <c r="U173" s="364">
        <f t="shared" ca="1" si="60"/>
        <v>0</v>
      </c>
      <c r="V173" s="359">
        <f t="shared" ca="1" si="61"/>
        <v>1.2132321265838828</v>
      </c>
      <c r="W173" s="357">
        <f t="shared" ca="1" si="62"/>
        <v>5.9655641352960957</v>
      </c>
      <c r="X173" s="343"/>
      <c r="Y173" s="367" t="str">
        <f t="shared" ca="1" si="80"/>
        <v/>
      </c>
      <c r="Z173" s="368" t="str">
        <f t="shared" ca="1" si="81"/>
        <v/>
      </c>
      <c r="AA173" s="369" t="str">
        <f t="shared" ca="1" si="82"/>
        <v/>
      </c>
      <c r="AB173" s="344"/>
      <c r="AC173" s="363" t="e">
        <f t="shared" ca="1" si="83"/>
        <v>#N/A</v>
      </c>
      <c r="AD173" s="376" t="e">
        <f t="shared" ca="1" si="84"/>
        <v>#N/A</v>
      </c>
      <c r="AE173" s="377">
        <f t="shared" ca="1" si="63"/>
        <v>96.527916992095513</v>
      </c>
      <c r="AF173" s="344"/>
      <c r="AG173" s="359">
        <f t="shared" ca="1" si="85"/>
        <v>-13.404845370264329</v>
      </c>
      <c r="AH173" s="357">
        <f t="shared" ca="1" si="86"/>
        <v>-3.8322287560798172</v>
      </c>
    </row>
    <row r="174" spans="1:34" x14ac:dyDescent="0.2">
      <c r="A174" s="402">
        <f t="shared" ca="1" si="64"/>
        <v>0.01</v>
      </c>
      <c r="B174" s="357">
        <f t="shared" ca="1" si="65"/>
        <v>1.7000000000000013</v>
      </c>
      <c r="C174" s="342"/>
      <c r="D174" s="359">
        <f t="shared" ca="1" si="66"/>
        <v>-0.8357433094436475</v>
      </c>
      <c r="E174" s="360">
        <f t="shared" ca="1" si="67"/>
        <v>-13.534115328650845</v>
      </c>
      <c r="F174" s="357">
        <f t="shared" ca="1" si="68"/>
        <v>13.559894712294103</v>
      </c>
      <c r="G174" s="359">
        <f t="shared" ca="1" si="69"/>
        <v>14.71049074243412</v>
      </c>
      <c r="H174" s="360">
        <f t="shared" ca="1" si="70"/>
        <v>65.452606116145361</v>
      </c>
      <c r="I174" s="357">
        <f t="shared" ca="1" si="71"/>
        <v>67.085335098503535</v>
      </c>
      <c r="J174" s="359">
        <f t="shared" ca="1" si="72"/>
        <v>19.79051604641019</v>
      </c>
      <c r="K174" s="360">
        <f t="shared" ca="1" si="73"/>
        <v>97.183119759023398</v>
      </c>
      <c r="L174" s="357">
        <f t="shared" ca="1" si="58"/>
        <v>99.177735865868129</v>
      </c>
      <c r="M174" s="359">
        <f t="shared" ca="1" si="74"/>
        <v>1.3497195960100379</v>
      </c>
      <c r="N174" s="357">
        <f t="shared" ca="1" si="75"/>
        <v>77.333236377477675</v>
      </c>
      <c r="O174" s="343"/>
      <c r="P174" s="363">
        <f t="shared" ca="1" si="76"/>
        <v>13</v>
      </c>
      <c r="Q174" s="357">
        <f t="shared" ca="1" si="77"/>
        <v>0</v>
      </c>
      <c r="R174" s="359">
        <f t="shared" ca="1" si="78"/>
        <v>0</v>
      </c>
      <c r="S174" s="360">
        <f t="shared" ca="1" si="79"/>
        <v>1.5629999999999982</v>
      </c>
      <c r="T174" s="357">
        <f t="shared" ca="1" si="59"/>
        <v>15.333029999999983</v>
      </c>
      <c r="U174" s="364">
        <f t="shared" ca="1" si="60"/>
        <v>0</v>
      </c>
      <c r="V174" s="359">
        <f t="shared" ca="1" si="61"/>
        <v>1.2131526360191489</v>
      </c>
      <c r="W174" s="357">
        <f t="shared" ca="1" si="62"/>
        <v>5.9414347770273643</v>
      </c>
      <c r="X174" s="343"/>
      <c r="Y174" s="367" t="str">
        <f t="shared" ca="1" si="80"/>
        <v/>
      </c>
      <c r="Z174" s="368" t="str">
        <f t="shared" ca="1" si="81"/>
        <v/>
      </c>
      <c r="AA174" s="369" t="str">
        <f t="shared" ca="1" si="82"/>
        <v/>
      </c>
      <c r="AB174" s="344"/>
      <c r="AC174" s="363" t="e">
        <f t="shared" ca="1" si="83"/>
        <v>#N/A</v>
      </c>
      <c r="AD174" s="376" t="e">
        <f t="shared" ca="1" si="84"/>
        <v>#N/A</v>
      </c>
      <c r="AE174" s="377">
        <f t="shared" ca="1" si="63"/>
        <v>97.183119759023398</v>
      </c>
      <c r="AF174" s="344"/>
      <c r="AG174" s="359">
        <f t="shared" ca="1" si="85"/>
        <v>-13.388671323279686</v>
      </c>
      <c r="AH174" s="357">
        <f t="shared" ca="1" si="86"/>
        <v>-3.8167396898887413</v>
      </c>
    </row>
    <row r="175" spans="1:34" x14ac:dyDescent="0.2">
      <c r="A175" s="402">
        <f t="shared" ca="1" si="64"/>
        <v>0.01</v>
      </c>
      <c r="B175" s="357">
        <f t="shared" ca="1" si="65"/>
        <v>1.7100000000000013</v>
      </c>
      <c r="C175" s="342"/>
      <c r="D175" s="359">
        <f t="shared" ca="1" si="66"/>
        <v>-0.83355051375732692</v>
      </c>
      <c r="E175" s="360">
        <f t="shared" ca="1" si="67"/>
        <v>-13.518785411046137</v>
      </c>
      <c r="F175" s="357">
        <f t="shared" ca="1" si="68"/>
        <v>13.544458846661204</v>
      </c>
      <c r="G175" s="359">
        <f t="shared" ca="1" si="69"/>
        <v>14.702155237296546</v>
      </c>
      <c r="H175" s="360">
        <f t="shared" ca="1" si="70"/>
        <v>65.317418262034906</v>
      </c>
      <c r="I175" s="357">
        <f t="shared" ca="1" si="71"/>
        <v>66.951613102592063</v>
      </c>
      <c r="J175" s="359">
        <f t="shared" ca="1" si="72"/>
        <v>19.937579276308842</v>
      </c>
      <c r="K175" s="360">
        <f t="shared" ca="1" si="73"/>
        <v>97.836969880914296</v>
      </c>
      <c r="L175" s="357">
        <f t="shared" ca="1" si="58"/>
        <v>99.847782864107856</v>
      </c>
      <c r="M175" s="359">
        <f t="shared" ca="1" si="74"/>
        <v>1.3493982983687924</v>
      </c>
      <c r="N175" s="357">
        <f t="shared" ca="1" si="75"/>
        <v>77.314827378666806</v>
      </c>
      <c r="O175" s="343"/>
      <c r="P175" s="363">
        <f t="shared" ca="1" si="76"/>
        <v>13</v>
      </c>
      <c r="Q175" s="357">
        <f t="shared" ca="1" si="77"/>
        <v>0</v>
      </c>
      <c r="R175" s="359">
        <f t="shared" ca="1" si="78"/>
        <v>0</v>
      </c>
      <c r="S175" s="360">
        <f t="shared" ca="1" si="79"/>
        <v>1.5629999999999982</v>
      </c>
      <c r="T175" s="357">
        <f t="shared" ca="1" si="59"/>
        <v>15.333029999999983</v>
      </c>
      <c r="U175" s="364">
        <f t="shared" ca="1" si="60"/>
        <v>0</v>
      </c>
      <c r="V175" s="359">
        <f t="shared" ca="1" si="61"/>
        <v>1.2130733147269797</v>
      </c>
      <c r="W175" s="357">
        <f t="shared" ca="1" si="62"/>
        <v>5.9173851887978071</v>
      </c>
      <c r="X175" s="343"/>
      <c r="Y175" s="367" t="str">
        <f t="shared" ca="1" si="80"/>
        <v/>
      </c>
      <c r="Z175" s="368" t="str">
        <f t="shared" ca="1" si="81"/>
        <v/>
      </c>
      <c r="AA175" s="369" t="str">
        <f t="shared" ca="1" si="82"/>
        <v/>
      </c>
      <c r="AB175" s="344"/>
      <c r="AC175" s="363" t="e">
        <f t="shared" ca="1" si="83"/>
        <v>#N/A</v>
      </c>
      <c r="AD175" s="376" t="e">
        <f t="shared" ca="1" si="84"/>
        <v>#N/A</v>
      </c>
      <c r="AE175" s="377">
        <f t="shared" ca="1" si="63"/>
        <v>97.836969880914296</v>
      </c>
      <c r="AF175" s="344"/>
      <c r="AG175" s="359">
        <f t="shared" ca="1" si="85"/>
        <v>-13.372545169173421</v>
      </c>
      <c r="AH175" s="357">
        <f t="shared" ca="1" si="86"/>
        <v>-3.8013018407084909</v>
      </c>
    </row>
    <row r="176" spans="1:34" x14ac:dyDescent="0.2">
      <c r="A176" s="402">
        <f t="shared" ca="1" si="64"/>
        <v>0.01</v>
      </c>
      <c r="B176" s="357">
        <f t="shared" ca="1" si="65"/>
        <v>1.7200000000000013</v>
      </c>
      <c r="C176" s="342"/>
      <c r="D176" s="359">
        <f t="shared" ca="1" si="66"/>
        <v>-0.83136324694517338</v>
      </c>
      <c r="E176" s="360">
        <f t="shared" ca="1" si="67"/>
        <v>-13.503506159603479</v>
      </c>
      <c r="F176" s="357">
        <f t="shared" ca="1" si="68"/>
        <v>13.529074005667214</v>
      </c>
      <c r="G176" s="359">
        <f t="shared" ca="1" si="69"/>
        <v>14.693841604827094</v>
      </c>
      <c r="H176" s="360">
        <f t="shared" ca="1" si="70"/>
        <v>65.182383200438878</v>
      </c>
      <c r="I176" s="357">
        <f t="shared" ca="1" si="71"/>
        <v>66.818051908122882</v>
      </c>
      <c r="J176" s="359">
        <f t="shared" ca="1" si="72"/>
        <v>20.084559260519459</v>
      </c>
      <c r="K176" s="360">
        <f t="shared" ca="1" si="73"/>
        <v>98.489468888226668</v>
      </c>
      <c r="L176" s="357">
        <f t="shared" ca="1" si="58"/>
        <v>100.51649119708809</v>
      </c>
      <c r="M176" s="359">
        <f t="shared" ca="1" si="74"/>
        <v>1.3490758982714603</v>
      </c>
      <c r="N176" s="357">
        <f t="shared" ca="1" si="75"/>
        <v>77.296355213775072</v>
      </c>
      <c r="O176" s="343"/>
      <c r="P176" s="363">
        <f t="shared" ca="1" si="76"/>
        <v>13</v>
      </c>
      <c r="Q176" s="357">
        <f t="shared" ca="1" si="77"/>
        <v>0</v>
      </c>
      <c r="R176" s="359">
        <f t="shared" ca="1" si="78"/>
        <v>0</v>
      </c>
      <c r="S176" s="360">
        <f t="shared" ca="1" si="79"/>
        <v>1.5629999999999982</v>
      </c>
      <c r="T176" s="357">
        <f t="shared" ca="1" si="59"/>
        <v>15.333029999999983</v>
      </c>
      <c r="U176" s="364">
        <f t="shared" ca="1" si="60"/>
        <v>0</v>
      </c>
      <c r="V176" s="359">
        <f t="shared" ca="1" si="61"/>
        <v>1.2129941624891922</v>
      </c>
      <c r="W176" s="357">
        <f t="shared" ca="1" si="62"/>
        <v>5.8934150898481494</v>
      </c>
      <c r="X176" s="343"/>
      <c r="Y176" s="367" t="str">
        <f t="shared" ca="1" si="80"/>
        <v/>
      </c>
      <c r="Z176" s="368" t="str">
        <f t="shared" ca="1" si="81"/>
        <v/>
      </c>
      <c r="AA176" s="369" t="str">
        <f t="shared" ca="1" si="82"/>
        <v/>
      </c>
      <c r="AB176" s="344"/>
      <c r="AC176" s="363" t="e">
        <f t="shared" ca="1" si="83"/>
        <v>#N/A</v>
      </c>
      <c r="AD176" s="376" t="e">
        <f t="shared" ca="1" si="84"/>
        <v>#N/A</v>
      </c>
      <c r="AE176" s="377">
        <f t="shared" ca="1" si="63"/>
        <v>98.489468888226668</v>
      </c>
      <c r="AF176" s="344"/>
      <c r="AG176" s="359">
        <f t="shared" ca="1" si="85"/>
        <v>-13.356466706421074</v>
      </c>
      <c r="AH176" s="357">
        <f t="shared" ca="1" si="86"/>
        <v>-3.785915028021634</v>
      </c>
    </row>
    <row r="177" spans="1:34" x14ac:dyDescent="0.2">
      <c r="A177" s="402">
        <f t="shared" ca="1" si="64"/>
        <v>0.01</v>
      </c>
      <c r="B177" s="357">
        <f t="shared" ca="1" si="65"/>
        <v>1.7300000000000013</v>
      </c>
      <c r="C177" s="342"/>
      <c r="D177" s="359">
        <f t="shared" ca="1" si="66"/>
        <v>-0.82918148708617445</v>
      </c>
      <c r="E177" s="360">
        <f t="shared" ca="1" si="67"/>
        <v>-13.488277395899342</v>
      </c>
      <c r="F177" s="357">
        <f t="shared" ca="1" si="68"/>
        <v>13.513740009607094</v>
      </c>
      <c r="G177" s="359">
        <f t="shared" ca="1" si="69"/>
        <v>14.685549789956232</v>
      </c>
      <c r="H177" s="360">
        <f t="shared" ca="1" si="70"/>
        <v>65.047500426479886</v>
      </c>
      <c r="I177" s="357">
        <f t="shared" ca="1" si="71"/>
        <v>66.684651040297013</v>
      </c>
      <c r="J177" s="359">
        <f t="shared" ca="1" si="72"/>
        <v>20.231456217493374</v>
      </c>
      <c r="K177" s="360">
        <f t="shared" ca="1" si="73"/>
        <v>99.140618306361262</v>
      </c>
      <c r="L177" s="357">
        <f t="shared" ca="1" si="58"/>
        <v>101.1838624428222</v>
      </c>
      <c r="M177" s="359">
        <f t="shared" ca="1" si="74"/>
        <v>1.3487523905308767</v>
      </c>
      <c r="N177" s="357">
        <f t="shared" ca="1" si="75"/>
        <v>77.277819585599815</v>
      </c>
      <c r="O177" s="343"/>
      <c r="P177" s="363">
        <f t="shared" ca="1" si="76"/>
        <v>13</v>
      </c>
      <c r="Q177" s="357">
        <f t="shared" ca="1" si="77"/>
        <v>0</v>
      </c>
      <c r="R177" s="359">
        <f t="shared" ca="1" si="78"/>
        <v>0</v>
      </c>
      <c r="S177" s="360">
        <f t="shared" ca="1" si="79"/>
        <v>1.5629999999999982</v>
      </c>
      <c r="T177" s="357">
        <f t="shared" ca="1" si="59"/>
        <v>15.333029999999983</v>
      </c>
      <c r="U177" s="364">
        <f t="shared" ca="1" si="60"/>
        <v>0</v>
      </c>
      <c r="V177" s="359">
        <f t="shared" ca="1" si="61"/>
        <v>1.2129151790883357</v>
      </c>
      <c r="W177" s="357">
        <f t="shared" ca="1" si="62"/>
        <v>5.8695242008007318</v>
      </c>
      <c r="X177" s="343"/>
      <c r="Y177" s="367" t="str">
        <f t="shared" ca="1" si="80"/>
        <v/>
      </c>
      <c r="Z177" s="368" t="str">
        <f t="shared" ca="1" si="81"/>
        <v/>
      </c>
      <c r="AA177" s="369" t="str">
        <f t="shared" ca="1" si="82"/>
        <v/>
      </c>
      <c r="AB177" s="344"/>
      <c r="AC177" s="363" t="e">
        <f t="shared" ca="1" si="83"/>
        <v>#N/A</v>
      </c>
      <c r="AD177" s="376" t="e">
        <f t="shared" ca="1" si="84"/>
        <v>#N/A</v>
      </c>
      <c r="AE177" s="377">
        <f t="shared" ca="1" si="63"/>
        <v>99.140618306361262</v>
      </c>
      <c r="AF177" s="344"/>
      <c r="AG177" s="359">
        <f t="shared" ca="1" si="85"/>
        <v>-13.340435734222073</v>
      </c>
      <c r="AH177" s="357">
        <f t="shared" ca="1" si="86"/>
        <v>-3.7705790721997161</v>
      </c>
    </row>
    <row r="178" spans="1:34" x14ac:dyDescent="0.2">
      <c r="A178" s="402">
        <f t="shared" ca="1" si="64"/>
        <v>0.01</v>
      </c>
      <c r="B178" s="357">
        <f t="shared" ca="1" si="65"/>
        <v>1.7400000000000013</v>
      </c>
      <c r="C178" s="342"/>
      <c r="D178" s="359">
        <f t="shared" ca="1" si="66"/>
        <v>-0.8270052123642615</v>
      </c>
      <c r="E178" s="360">
        <f t="shared" ca="1" si="67"/>
        <v>-13.473098942387345</v>
      </c>
      <c r="F178" s="357">
        <f t="shared" ca="1" si="68"/>
        <v>13.498456679659222</v>
      </c>
      <c r="G178" s="359">
        <f t="shared" ca="1" si="69"/>
        <v>14.67727973783259</v>
      </c>
      <c r="H178" s="360">
        <f t="shared" ca="1" si="70"/>
        <v>64.912769437056014</v>
      </c>
      <c r="I178" s="357">
        <f t="shared" ca="1" si="71"/>
        <v>66.551410026317129</v>
      </c>
      <c r="J178" s="359">
        <f t="shared" ca="1" si="72"/>
        <v>20.37827036513232</v>
      </c>
      <c r="K178" s="360">
        <f t="shared" ca="1" si="73"/>
        <v>99.790419655678946</v>
      </c>
      <c r="L178" s="357">
        <f t="shared" ca="1" si="58"/>
        <v>101.84989817437692</v>
      </c>
      <c r="M178" s="359">
        <f t="shared" ca="1" si="74"/>
        <v>1.3484277699273182</v>
      </c>
      <c r="N178" s="357">
        <f t="shared" ca="1" si="75"/>
        <v>77.259220195072913</v>
      </c>
      <c r="O178" s="343"/>
      <c r="P178" s="363">
        <f t="shared" ca="1" si="76"/>
        <v>13</v>
      </c>
      <c r="Q178" s="357">
        <f t="shared" ca="1" si="77"/>
        <v>0</v>
      </c>
      <c r="R178" s="359">
        <f t="shared" ca="1" si="78"/>
        <v>0</v>
      </c>
      <c r="S178" s="360">
        <f t="shared" ca="1" si="79"/>
        <v>1.5629999999999982</v>
      </c>
      <c r="T178" s="357">
        <f t="shared" ca="1" si="59"/>
        <v>15.333029999999983</v>
      </c>
      <c r="U178" s="364">
        <f t="shared" ca="1" si="60"/>
        <v>0</v>
      </c>
      <c r="V178" s="359">
        <f t="shared" ca="1" si="61"/>
        <v>1.2128363643076934</v>
      </c>
      <c r="W178" s="357">
        <f t="shared" ca="1" si="62"/>
        <v>5.845712243651743</v>
      </c>
      <c r="X178" s="343"/>
      <c r="Y178" s="367" t="str">
        <f t="shared" ca="1" si="80"/>
        <v/>
      </c>
      <c r="Z178" s="368" t="str">
        <f t="shared" ca="1" si="81"/>
        <v/>
      </c>
      <c r="AA178" s="369" t="str">
        <f t="shared" ca="1" si="82"/>
        <v/>
      </c>
      <c r="AB178" s="344"/>
      <c r="AC178" s="363" t="e">
        <f t="shared" ca="1" si="83"/>
        <v>#N/A</v>
      </c>
      <c r="AD178" s="376" t="e">
        <f t="shared" ca="1" si="84"/>
        <v>#N/A</v>
      </c>
      <c r="AE178" s="377">
        <f t="shared" ca="1" si="63"/>
        <v>99.790419655678946</v>
      </c>
      <c r="AF178" s="344"/>
      <c r="AG178" s="359">
        <f t="shared" ca="1" si="85"/>
        <v>-13.324452052493154</v>
      </c>
      <c r="AH178" s="357">
        <f t="shared" ca="1" si="86"/>
        <v>-3.7552937944982334</v>
      </c>
    </row>
    <row r="179" spans="1:34" x14ac:dyDescent="0.2">
      <c r="A179" s="402">
        <f t="shared" ca="1" si="64"/>
        <v>0.01</v>
      </c>
      <c r="B179" s="357">
        <f t="shared" ca="1" si="65"/>
        <v>1.7500000000000013</v>
      </c>
      <c r="C179" s="342"/>
      <c r="D179" s="359">
        <f t="shared" ca="1" si="66"/>
        <v>-0.8248344010677332</v>
      </c>
      <c r="E179" s="360">
        <f t="shared" ca="1" si="67"/>
        <v>-13.457970622393319</v>
      </c>
      <c r="F179" s="357">
        <f t="shared" ca="1" si="68"/>
        <v>13.483223837880404</v>
      </c>
      <c r="G179" s="359">
        <f t="shared" ca="1" si="69"/>
        <v>14.669031393821912</v>
      </c>
      <c r="H179" s="360">
        <f t="shared" ca="1" si="70"/>
        <v>64.778189730832082</v>
      </c>
      <c r="I179" s="357">
        <f t="shared" ca="1" si="71"/>
        <v>66.418328395380527</v>
      </c>
      <c r="J179" s="359">
        <f t="shared" ca="1" si="72"/>
        <v>20.525001920790594</v>
      </c>
      <c r="K179" s="360">
        <f t="shared" ca="1" si="73"/>
        <v>100.43887445151839</v>
      </c>
      <c r="L179" s="357">
        <f t="shared" ca="1" si="58"/>
        <v>102.51459995989025</v>
      </c>
      <c r="M179" s="359">
        <f t="shared" ca="1" si="74"/>
        <v>1.3481020312082517</v>
      </c>
      <c r="N179" s="357">
        <f t="shared" ca="1" si="75"/>
        <v>77.240556741246408</v>
      </c>
      <c r="O179" s="343"/>
      <c r="P179" s="363">
        <f t="shared" ca="1" si="76"/>
        <v>13</v>
      </c>
      <c r="Q179" s="357">
        <f t="shared" ca="1" si="77"/>
        <v>0</v>
      </c>
      <c r="R179" s="359">
        <f t="shared" ca="1" si="78"/>
        <v>0</v>
      </c>
      <c r="S179" s="360">
        <f t="shared" ca="1" si="79"/>
        <v>1.5629999999999982</v>
      </c>
      <c r="T179" s="357">
        <f t="shared" ca="1" si="59"/>
        <v>15.333029999999983</v>
      </c>
      <c r="U179" s="364">
        <f t="shared" ca="1" si="60"/>
        <v>0</v>
      </c>
      <c r="V179" s="359">
        <f t="shared" ca="1" si="61"/>
        <v>1.2127577179312738</v>
      </c>
      <c r="W179" s="357">
        <f t="shared" ca="1" si="62"/>
        <v>5.8219789417634615</v>
      </c>
      <c r="X179" s="343"/>
      <c r="Y179" s="367" t="str">
        <f t="shared" ca="1" si="80"/>
        <v/>
      </c>
      <c r="Z179" s="368" t="str">
        <f t="shared" ca="1" si="81"/>
        <v/>
      </c>
      <c r="AA179" s="369" t="str">
        <f t="shared" ca="1" si="82"/>
        <v/>
      </c>
      <c r="AB179" s="344"/>
      <c r="AC179" s="363" t="e">
        <f t="shared" ca="1" si="83"/>
        <v>#N/A</v>
      </c>
      <c r="AD179" s="376" t="e">
        <f t="shared" ca="1" si="84"/>
        <v>#N/A</v>
      </c>
      <c r="AE179" s="377">
        <f t="shared" ca="1" si="63"/>
        <v>100.43887445151839</v>
      </c>
      <c r="AF179" s="344"/>
      <c r="AG179" s="359">
        <f t="shared" ca="1" si="85"/>
        <v>-13.308515461861852</v>
      </c>
      <c r="AH179" s="357">
        <f t="shared" ca="1" si="86"/>
        <v>-3.7400590170516632</v>
      </c>
    </row>
    <row r="180" spans="1:34" x14ac:dyDescent="0.2">
      <c r="A180" s="402">
        <f t="shared" ca="1" si="64"/>
        <v>0.01</v>
      </c>
      <c r="B180" s="357">
        <f t="shared" ca="1" si="65"/>
        <v>1.7600000000000013</v>
      </c>
      <c r="C180" s="342"/>
      <c r="D180" s="359">
        <f t="shared" ca="1" si="66"/>
        <v>-0.82266903158868132</v>
      </c>
      <c r="E180" s="360">
        <f t="shared" ca="1" si="67"/>
        <v>-13.442892260110359</v>
      </c>
      <c r="F180" s="357">
        <f t="shared" ca="1" si="68"/>
        <v>13.468041307200911</v>
      </c>
      <c r="G180" s="359">
        <f t="shared" ca="1" si="69"/>
        <v>14.660804703506026</v>
      </c>
      <c r="H180" s="360">
        <f t="shared" ca="1" si="70"/>
        <v>64.643760808230979</v>
      </c>
      <c r="I180" s="357">
        <f t="shared" ca="1" si="71"/>
        <v>66.285405678672021</v>
      </c>
      <c r="J180" s="359">
        <f t="shared" ca="1" si="72"/>
        <v>20.671651101277234</v>
      </c>
      <c r="K180" s="360">
        <f t="shared" ca="1" si="73"/>
        <v>101.0859842042137</v>
      </c>
      <c r="L180" s="357">
        <f t="shared" ca="1" si="58"/>
        <v>103.17796936258961</v>
      </c>
      <c r="M180" s="359">
        <f t="shared" ca="1" si="74"/>
        <v>1.3477751690880833</v>
      </c>
      <c r="N180" s="357">
        <f t="shared" ca="1" si="75"/>
        <v>77.22182892127806</v>
      </c>
      <c r="O180" s="343"/>
      <c r="P180" s="363">
        <f t="shared" ca="1" si="76"/>
        <v>13</v>
      </c>
      <c r="Q180" s="357">
        <f t="shared" ca="1" si="77"/>
        <v>0</v>
      </c>
      <c r="R180" s="359">
        <f t="shared" ca="1" si="78"/>
        <v>0</v>
      </c>
      <c r="S180" s="360">
        <f t="shared" ca="1" si="79"/>
        <v>1.5629999999999982</v>
      </c>
      <c r="T180" s="357">
        <f t="shared" ca="1" si="59"/>
        <v>15.333029999999983</v>
      </c>
      <c r="U180" s="364">
        <f t="shared" ca="1" si="60"/>
        <v>0</v>
      </c>
      <c r="V180" s="359">
        <f t="shared" ca="1" si="61"/>
        <v>1.2126792397438158</v>
      </c>
      <c r="W180" s="357">
        <f t="shared" ca="1" si="62"/>
        <v>5.7983240198566106</v>
      </c>
      <c r="X180" s="343"/>
      <c r="Y180" s="367" t="str">
        <f t="shared" ca="1" si="80"/>
        <v/>
      </c>
      <c r="Z180" s="368" t="str">
        <f t="shared" ca="1" si="81"/>
        <v/>
      </c>
      <c r="AA180" s="369" t="str">
        <f t="shared" ca="1" si="82"/>
        <v/>
      </c>
      <c r="AB180" s="344"/>
      <c r="AC180" s="363" t="e">
        <f t="shared" ca="1" si="83"/>
        <v>#N/A</v>
      </c>
      <c r="AD180" s="376" t="e">
        <f t="shared" ca="1" si="84"/>
        <v>#N/A</v>
      </c>
      <c r="AE180" s="377">
        <f t="shared" ca="1" si="63"/>
        <v>101.0859842042137</v>
      </c>
      <c r="AF180" s="344"/>
      <c r="AG180" s="359">
        <f t="shared" ca="1" si="85"/>
        <v>-13.292625763659951</v>
      </c>
      <c r="AH180" s="357">
        <f t="shared" ca="1" si="86"/>
        <v>-3.7248745628685018</v>
      </c>
    </row>
    <row r="181" spans="1:34" x14ac:dyDescent="0.2">
      <c r="A181" s="402">
        <f t="shared" ca="1" si="64"/>
        <v>0.01</v>
      </c>
      <c r="B181" s="357">
        <f t="shared" ca="1" si="65"/>
        <v>1.7700000000000014</v>
      </c>
      <c r="C181" s="342"/>
      <c r="D181" s="359">
        <f t="shared" ca="1" si="66"/>
        <v>-0.82050908242241805</v>
      </c>
      <c r="E181" s="360">
        <f t="shared" ca="1" si="67"/>
        <v>-13.427863680593981</v>
      </c>
      <c r="F181" s="357">
        <f t="shared" ca="1" si="68"/>
        <v>13.452908911419589</v>
      </c>
      <c r="G181" s="359">
        <f t="shared" ca="1" si="69"/>
        <v>14.652599612681801</v>
      </c>
      <c r="H181" s="360">
        <f t="shared" ca="1" si="70"/>
        <v>64.509482171425034</v>
      </c>
      <c r="I181" s="357">
        <f t="shared" ca="1" si="71"/>
        <v>66.152641409356946</v>
      </c>
      <c r="J181" s="359">
        <f t="shared" ca="1" si="72"/>
        <v>20.818218122858173</v>
      </c>
      <c r="K181" s="360">
        <f t="shared" ca="1" si="73"/>
        <v>101.73175041911198</v>
      </c>
      <c r="L181" s="357">
        <f t="shared" ca="1" si="58"/>
        <v>103.84000794080956</v>
      </c>
      <c r="M181" s="359">
        <f t="shared" ca="1" si="74"/>
        <v>1.3474471782479023</v>
      </c>
      <c r="N181" s="357">
        <f t="shared" ca="1" si="75"/>
        <v>77.203036430416745</v>
      </c>
      <c r="O181" s="343"/>
      <c r="P181" s="363">
        <f t="shared" ca="1" si="76"/>
        <v>13</v>
      </c>
      <c r="Q181" s="357">
        <f t="shared" ca="1" si="77"/>
        <v>0</v>
      </c>
      <c r="R181" s="359">
        <f t="shared" ca="1" si="78"/>
        <v>0</v>
      </c>
      <c r="S181" s="360">
        <f t="shared" ca="1" si="79"/>
        <v>1.5629999999999982</v>
      </c>
      <c r="T181" s="357">
        <f t="shared" ca="1" si="59"/>
        <v>15.333029999999983</v>
      </c>
      <c r="U181" s="364">
        <f t="shared" ca="1" si="60"/>
        <v>0</v>
      </c>
      <c r="V181" s="359">
        <f t="shared" ca="1" si="61"/>
        <v>1.2126009295307791</v>
      </c>
      <c r="W181" s="357">
        <f t="shared" ca="1" si="62"/>
        <v>5.7747472040026775</v>
      </c>
      <c r="X181" s="343"/>
      <c r="Y181" s="367" t="str">
        <f t="shared" ca="1" si="80"/>
        <v/>
      </c>
      <c r="Z181" s="368" t="str">
        <f t="shared" ca="1" si="81"/>
        <v/>
      </c>
      <c r="AA181" s="369" t="str">
        <f t="shared" ca="1" si="82"/>
        <v/>
      </c>
      <c r="AB181" s="344"/>
      <c r="AC181" s="363" t="e">
        <f t="shared" ca="1" si="83"/>
        <v>#N/A</v>
      </c>
      <c r="AD181" s="376" t="e">
        <f t="shared" ca="1" si="84"/>
        <v>#N/A</v>
      </c>
      <c r="AE181" s="377">
        <f t="shared" ca="1" si="63"/>
        <v>101.73175041911198</v>
      </c>
      <c r="AF181" s="344"/>
      <c r="AG181" s="359">
        <f t="shared" ca="1" si="85"/>
        <v>-13.276782759917005</v>
      </c>
      <c r="AH181" s="357">
        <f t="shared" ca="1" si="86"/>
        <v>-3.7097402558263708</v>
      </c>
    </row>
    <row r="182" spans="1:34" x14ac:dyDescent="0.2">
      <c r="A182" s="402">
        <f t="shared" ca="1" si="64"/>
        <v>0.01</v>
      </c>
      <c r="B182" s="357">
        <f t="shared" ca="1" si="65"/>
        <v>1.7800000000000014</v>
      </c>
      <c r="C182" s="342"/>
      <c r="D182" s="359">
        <f t="shared" ca="1" si="66"/>
        <v>-0.81835453216690468</v>
      </c>
      <c r="E182" s="360">
        <f t="shared" ca="1" si="67"/>
        <v>-13.412884709757222</v>
      </c>
      <c r="F182" s="357">
        <f t="shared" ca="1" si="68"/>
        <v>13.437826475198927</v>
      </c>
      <c r="G182" s="359">
        <f t="shared" ca="1" si="69"/>
        <v>14.644416067360131</v>
      </c>
      <c r="H182" s="360">
        <f t="shared" ca="1" si="70"/>
        <v>64.375353324327463</v>
      </c>
      <c r="I182" s="357">
        <f t="shared" ca="1" si="71"/>
        <v>66.020035122574384</v>
      </c>
      <c r="J182" s="359">
        <f t="shared" ca="1" si="72"/>
        <v>20.964703201258384</v>
      </c>
      <c r="K182" s="360">
        <f t="shared" ca="1" si="73"/>
        <v>102.37617459659074</v>
      </c>
      <c r="L182" s="357">
        <f t="shared" ca="1" si="58"/>
        <v>104.50071724800976</v>
      </c>
      <c r="M182" s="359">
        <f t="shared" ca="1" si="74"/>
        <v>1.3471180533352236</v>
      </c>
      <c r="N182" s="357">
        <f t="shared" ca="1" si="75"/>
        <v>77.184178961987641</v>
      </c>
      <c r="O182" s="343"/>
      <c r="P182" s="363">
        <f t="shared" ca="1" si="76"/>
        <v>13</v>
      </c>
      <c r="Q182" s="357">
        <f t="shared" ca="1" si="77"/>
        <v>0</v>
      </c>
      <c r="R182" s="359">
        <f t="shared" ca="1" si="78"/>
        <v>0</v>
      </c>
      <c r="S182" s="360">
        <f t="shared" ca="1" si="79"/>
        <v>1.5629999999999982</v>
      </c>
      <c r="T182" s="357">
        <f t="shared" ca="1" si="59"/>
        <v>15.333029999999983</v>
      </c>
      <c r="U182" s="364">
        <f t="shared" ca="1" si="60"/>
        <v>0</v>
      </c>
      <c r="V182" s="359">
        <f t="shared" ca="1" si="61"/>
        <v>1.2125227870783453</v>
      </c>
      <c r="W182" s="357">
        <f t="shared" ca="1" si="62"/>
        <v>5.7512482216163807</v>
      </c>
      <c r="X182" s="343"/>
      <c r="Y182" s="367" t="str">
        <f t="shared" ca="1" si="80"/>
        <v/>
      </c>
      <c r="Z182" s="368" t="str">
        <f t="shared" ca="1" si="81"/>
        <v/>
      </c>
      <c r="AA182" s="369" t="str">
        <f t="shared" ca="1" si="82"/>
        <v/>
      </c>
      <c r="AB182" s="344"/>
      <c r="AC182" s="363" t="e">
        <f t="shared" ca="1" si="83"/>
        <v>#N/A</v>
      </c>
      <c r="AD182" s="376" t="e">
        <f t="shared" ca="1" si="84"/>
        <v>#N/A</v>
      </c>
      <c r="AE182" s="377">
        <f t="shared" ca="1" si="63"/>
        <v>102.37617459659074</v>
      </c>
      <c r="AF182" s="344"/>
      <c r="AG182" s="359">
        <f t="shared" ca="1" si="85"/>
        <v>-13.260986253353835</v>
      </c>
      <c r="AH182" s="357">
        <f t="shared" ca="1" si="86"/>
        <v>-3.6946559206671044</v>
      </c>
    </row>
    <row r="183" spans="1:34" x14ac:dyDescent="0.2">
      <c r="A183" s="402">
        <f t="shared" ca="1" si="64"/>
        <v>0.01</v>
      </c>
      <c r="B183" s="357">
        <f t="shared" ca="1" si="65"/>
        <v>1.7900000000000014</v>
      </c>
      <c r="C183" s="342"/>
      <c r="D183" s="359">
        <f t="shared" ca="1" si="66"/>
        <v>-0.81620535952219742</v>
      </c>
      <c r="E183" s="360">
        <f t="shared" ca="1" si="67"/>
        <v>-13.397955174365851</v>
      </c>
      <c r="F183" s="357">
        <f t="shared" ca="1" si="68"/>
        <v>13.42279382406023</v>
      </c>
      <c r="G183" s="359">
        <f t="shared" ca="1" si="69"/>
        <v>14.63625401376491</v>
      </c>
      <c r="H183" s="360">
        <f t="shared" ca="1" si="70"/>
        <v>64.241373772583799</v>
      </c>
      <c r="I183" s="357">
        <f t="shared" ca="1" si="71"/>
        <v>65.887586355430173</v>
      </c>
      <c r="J183" s="359">
        <f t="shared" ca="1" si="72"/>
        <v>21.111106551664008</v>
      </c>
      <c r="K183" s="360">
        <f t="shared" ca="1" si="73"/>
        <v>103.0192582320753</v>
      </c>
      <c r="L183" s="357">
        <f t="shared" ca="1" si="58"/>
        <v>105.1600988327927</v>
      </c>
      <c r="M183" s="359">
        <f t="shared" ca="1" si="74"/>
        <v>1.346787788963729</v>
      </c>
      <c r="N183" s="357">
        <f t="shared" ca="1" si="75"/>
        <v>77.165256207377467</v>
      </c>
      <c r="O183" s="343"/>
      <c r="P183" s="363">
        <f t="shared" ca="1" si="76"/>
        <v>13</v>
      </c>
      <c r="Q183" s="357">
        <f t="shared" ca="1" si="77"/>
        <v>0</v>
      </c>
      <c r="R183" s="359">
        <f t="shared" ca="1" si="78"/>
        <v>0</v>
      </c>
      <c r="S183" s="360">
        <f t="shared" ca="1" si="79"/>
        <v>1.5629999999999982</v>
      </c>
      <c r="T183" s="357">
        <f t="shared" ca="1" si="59"/>
        <v>15.333029999999983</v>
      </c>
      <c r="U183" s="364">
        <f t="shared" ca="1" si="60"/>
        <v>0</v>
      </c>
      <c r="V183" s="359">
        <f t="shared" ca="1" si="61"/>
        <v>1.2124448121734139</v>
      </c>
      <c r="W183" s="357">
        <f t="shared" ca="1" si="62"/>
        <v>5.7278268014481117</v>
      </c>
      <c r="X183" s="343"/>
      <c r="Y183" s="367" t="str">
        <f t="shared" ca="1" si="80"/>
        <v/>
      </c>
      <c r="Z183" s="368" t="str">
        <f t="shared" ca="1" si="81"/>
        <v/>
      </c>
      <c r="AA183" s="369" t="str">
        <f t="shared" ca="1" si="82"/>
        <v/>
      </c>
      <c r="AB183" s="344"/>
      <c r="AC183" s="363" t="e">
        <f t="shared" ca="1" si="83"/>
        <v>#N/A</v>
      </c>
      <c r="AD183" s="376" t="e">
        <f t="shared" ca="1" si="84"/>
        <v>#N/A</v>
      </c>
      <c r="AE183" s="377">
        <f t="shared" ca="1" si="63"/>
        <v>103.0192582320753</v>
      </c>
      <c r="AF183" s="344"/>
      <c r="AG183" s="359">
        <f t="shared" ca="1" si="85"/>
        <v>-13.245236047376055</v>
      </c>
      <c r="AH183" s="357">
        <f t="shared" ca="1" si="86"/>
        <v>-3.6796213829919306</v>
      </c>
    </row>
    <row r="184" spans="1:34" x14ac:dyDescent="0.2">
      <c r="A184" s="402">
        <f t="shared" ca="1" si="64"/>
        <v>0.01</v>
      </c>
      <c r="B184" s="357">
        <f t="shared" ca="1" si="65"/>
        <v>1.8000000000000014</v>
      </c>
      <c r="C184" s="342"/>
      <c r="D184" s="359">
        <f t="shared" ca="1" si="66"/>
        <v>-0.81406154328987923</v>
      </c>
      <c r="E184" s="360">
        <f t="shared" ca="1" si="67"/>
        <v>-13.383074902033574</v>
      </c>
      <c r="F184" s="357">
        <f t="shared" ca="1" si="68"/>
        <v>13.4078107843788</v>
      </c>
      <c r="G184" s="359">
        <f t="shared" ca="1" si="69"/>
        <v>14.628113398332012</v>
      </c>
      <c r="H184" s="360">
        <f t="shared" ca="1" si="70"/>
        <v>64.107543023563466</v>
      </c>
      <c r="I184" s="357">
        <f t="shared" ca="1" si="71"/>
        <v>65.755294646990222</v>
      </c>
      <c r="J184" s="359">
        <f t="shared" ca="1" si="72"/>
        <v>21.257428388724492</v>
      </c>
      <c r="K184" s="360">
        <f t="shared" ca="1" si="73"/>
        <v>103.66100281605604</v>
      </c>
      <c r="L184" s="357">
        <f t="shared" ca="1" si="58"/>
        <v>105.81815423892125</v>
      </c>
      <c r="M184" s="359">
        <f t="shared" ca="1" si="74"/>
        <v>1.3464563797130045</v>
      </c>
      <c r="N184" s="357">
        <f t="shared" ca="1" si="75"/>
        <v>77.14626785601935</v>
      </c>
      <c r="O184" s="343"/>
      <c r="P184" s="363">
        <f t="shared" ca="1" si="76"/>
        <v>13</v>
      </c>
      <c r="Q184" s="357">
        <f t="shared" ca="1" si="77"/>
        <v>0</v>
      </c>
      <c r="R184" s="359">
        <f t="shared" ca="1" si="78"/>
        <v>0</v>
      </c>
      <c r="S184" s="360">
        <f t="shared" ca="1" si="79"/>
        <v>1.5629999999999982</v>
      </c>
      <c r="T184" s="357">
        <f t="shared" ca="1" si="59"/>
        <v>15.333029999999983</v>
      </c>
      <c r="U184" s="364">
        <f t="shared" ca="1" si="60"/>
        <v>0</v>
      </c>
      <c r="V184" s="359">
        <f t="shared" ca="1" si="61"/>
        <v>1.212367004603601</v>
      </c>
      <c r="W184" s="357">
        <f t="shared" ca="1" si="62"/>
        <v>5.7044826735764662</v>
      </c>
      <c r="X184" s="343"/>
      <c r="Y184" s="367" t="str">
        <f t="shared" ca="1" si="80"/>
        <v/>
      </c>
      <c r="Z184" s="368" t="str">
        <f t="shared" ca="1" si="81"/>
        <v/>
      </c>
      <c r="AA184" s="369" t="str">
        <f t="shared" ca="1" si="82"/>
        <v/>
      </c>
      <c r="AB184" s="344"/>
      <c r="AC184" s="363" t="e">
        <f t="shared" ca="1" si="83"/>
        <v>#N/A</v>
      </c>
      <c r="AD184" s="376" t="e">
        <f t="shared" ca="1" si="84"/>
        <v>#N/A</v>
      </c>
      <c r="AE184" s="377">
        <f t="shared" ca="1" si="63"/>
        <v>103.66100281605604</v>
      </c>
      <c r="AF184" s="344"/>
      <c r="AG184" s="359">
        <f t="shared" ca="1" si="85"/>
        <v>-13.229531946067617</v>
      </c>
      <c r="AH184" s="357">
        <f t="shared" ca="1" si="86"/>
        <v>-3.6646364692566338</v>
      </c>
    </row>
    <row r="185" spans="1:34" x14ac:dyDescent="0.2">
      <c r="A185" s="402">
        <f t="shared" ca="1" si="64"/>
        <v>0.01</v>
      </c>
      <c r="B185" s="357">
        <f t="shared" ca="1" si="65"/>
        <v>1.8100000000000014</v>
      </c>
      <c r="C185" s="342"/>
      <c r="D185" s="359">
        <f t="shared" ca="1" si="66"/>
        <v>-0.81192306237250889</v>
      </c>
      <c r="E185" s="360">
        <f t="shared" ca="1" si="67"/>
        <v>-13.368243721217263</v>
      </c>
      <c r="F185" s="357">
        <f t="shared" ca="1" si="68"/>
        <v>13.392877183379124</v>
      </c>
      <c r="G185" s="359">
        <f t="shared" ca="1" si="69"/>
        <v>14.619994167708287</v>
      </c>
      <c r="H185" s="360">
        <f t="shared" ca="1" si="70"/>
        <v>63.973860586351293</v>
      </c>
      <c r="I185" s="357">
        <f t="shared" ca="1" si="71"/>
        <v>65.623159538273796</v>
      </c>
      <c r="J185" s="359">
        <f t="shared" ca="1" si="72"/>
        <v>21.403668926554694</v>
      </c>
      <c r="K185" s="360">
        <f t="shared" ca="1" si="73"/>
        <v>104.30140983410561</v>
      </c>
      <c r="L185" s="357">
        <f t="shared" ca="1" si="58"/>
        <v>106.47488500533647</v>
      </c>
      <c r="M185" s="359">
        <f t="shared" ca="1" si="74"/>
        <v>1.3461238201282761</v>
      </c>
      <c r="N185" s="357">
        <f t="shared" ca="1" si="75"/>
        <v>77.127213595377796</v>
      </c>
      <c r="O185" s="343"/>
      <c r="P185" s="363">
        <f t="shared" ca="1" si="76"/>
        <v>13</v>
      </c>
      <c r="Q185" s="357">
        <f t="shared" ca="1" si="77"/>
        <v>0</v>
      </c>
      <c r="R185" s="359">
        <f t="shared" ca="1" si="78"/>
        <v>0</v>
      </c>
      <c r="S185" s="360">
        <f t="shared" ca="1" si="79"/>
        <v>1.5629999999999982</v>
      </c>
      <c r="T185" s="357">
        <f t="shared" ca="1" si="59"/>
        <v>15.333029999999983</v>
      </c>
      <c r="U185" s="364">
        <f t="shared" ca="1" si="60"/>
        <v>0</v>
      </c>
      <c r="V185" s="359">
        <f t="shared" ca="1" si="61"/>
        <v>1.2122893641572365</v>
      </c>
      <c r="W185" s="357">
        <f t="shared" ca="1" si="62"/>
        <v>5.6812155694008295</v>
      </c>
      <c r="X185" s="343"/>
      <c r="Y185" s="367" t="str">
        <f t="shared" ca="1" si="80"/>
        <v/>
      </c>
      <c r="Z185" s="368" t="str">
        <f t="shared" ca="1" si="81"/>
        <v/>
      </c>
      <c r="AA185" s="369" t="str">
        <f t="shared" ca="1" si="82"/>
        <v/>
      </c>
      <c r="AB185" s="344"/>
      <c r="AC185" s="363" t="e">
        <f t="shared" ca="1" si="83"/>
        <v>#N/A</v>
      </c>
      <c r="AD185" s="376" t="e">
        <f t="shared" ca="1" si="84"/>
        <v>#N/A</v>
      </c>
      <c r="AE185" s="377">
        <f t="shared" ca="1" si="63"/>
        <v>104.30140983410561</v>
      </c>
      <c r="AF185" s="344"/>
      <c r="AG185" s="359">
        <f t="shared" ca="1" si="85"/>
        <v>-13.213873754184368</v>
      </c>
      <c r="AH185" s="357">
        <f t="shared" ca="1" si="86"/>
        <v>-3.6497010067667772</v>
      </c>
    </row>
    <row r="186" spans="1:34" x14ac:dyDescent="0.2">
      <c r="A186" s="402">
        <f t="shared" ca="1" si="64"/>
        <v>0.01</v>
      </c>
      <c r="B186" s="357">
        <f t="shared" ca="1" si="65"/>
        <v>1.8200000000000014</v>
      </c>
      <c r="C186" s="342"/>
      <c r="D186" s="359">
        <f t="shared" ca="1" si="66"/>
        <v>-0.80978989577307048</v>
      </c>
      <c r="E186" s="360">
        <f t="shared" ca="1" si="67"/>
        <v>-13.353461461212261</v>
      </c>
      <c r="F186" s="357">
        <f t="shared" ca="1" si="68"/>
        <v>13.377992849130143</v>
      </c>
      <c r="G186" s="359">
        <f t="shared" ca="1" si="69"/>
        <v>14.611896268750556</v>
      </c>
      <c r="H186" s="360">
        <f t="shared" ca="1" si="70"/>
        <v>63.840325971739169</v>
      </c>
      <c r="I186" s="357">
        <f t="shared" ca="1" si="71"/>
        <v>65.491180572246833</v>
      </c>
      <c r="J186" s="359">
        <f t="shared" ca="1" si="72"/>
        <v>21.54982837873699</v>
      </c>
      <c r="K186" s="360">
        <f t="shared" ca="1" si="73"/>
        <v>104.94048076689606</v>
      </c>
      <c r="L186" s="357">
        <f t="shared" ca="1" si="58"/>
        <v>107.13029266617495</v>
      </c>
      <c r="M186" s="359">
        <f t="shared" ca="1" si="74"/>
        <v>1.3457901047201433</v>
      </c>
      <c r="N186" s="357">
        <f t="shared" ca="1" si="75"/>
        <v>77.108093110933297</v>
      </c>
      <c r="O186" s="343"/>
      <c r="P186" s="363">
        <f t="shared" ca="1" si="76"/>
        <v>13</v>
      </c>
      <c r="Q186" s="357">
        <f t="shared" ca="1" si="77"/>
        <v>0</v>
      </c>
      <c r="R186" s="359">
        <f t="shared" ca="1" si="78"/>
        <v>0</v>
      </c>
      <c r="S186" s="360">
        <f t="shared" ca="1" si="79"/>
        <v>1.5629999999999982</v>
      </c>
      <c r="T186" s="357">
        <f t="shared" ca="1" si="59"/>
        <v>15.333029999999983</v>
      </c>
      <c r="U186" s="364">
        <f t="shared" ca="1" si="60"/>
        <v>0</v>
      </c>
      <c r="V186" s="359">
        <f t="shared" ca="1" si="61"/>
        <v>1.2122118906233599</v>
      </c>
      <c r="W186" s="357">
        <f t="shared" ca="1" si="62"/>
        <v>5.6580252216339675</v>
      </c>
      <c r="X186" s="343"/>
      <c r="Y186" s="367" t="str">
        <f t="shared" ca="1" si="80"/>
        <v/>
      </c>
      <c r="Z186" s="368" t="str">
        <f t="shared" ca="1" si="81"/>
        <v/>
      </c>
      <c r="AA186" s="369" t="str">
        <f t="shared" ca="1" si="82"/>
        <v/>
      </c>
      <c r="AB186" s="344"/>
      <c r="AC186" s="363" t="e">
        <f t="shared" ca="1" si="83"/>
        <v>#N/A</v>
      </c>
      <c r="AD186" s="376" t="e">
        <f t="shared" ca="1" si="84"/>
        <v>#N/A</v>
      </c>
      <c r="AE186" s="377">
        <f t="shared" ca="1" si="63"/>
        <v>104.94048076689606</v>
      </c>
      <c r="AF186" s="344"/>
      <c r="AG186" s="359">
        <f t="shared" ca="1" si="85"/>
        <v>-13.198261277147617</v>
      </c>
      <c r="AH186" s="357">
        <f t="shared" ca="1" si="86"/>
        <v>-3.6348148236729596</v>
      </c>
    </row>
    <row r="187" spans="1:34" x14ac:dyDescent="0.2">
      <c r="A187" s="402">
        <f t="shared" ca="1" si="64"/>
        <v>0.01</v>
      </c>
      <c r="B187" s="357">
        <f t="shared" ca="1" si="65"/>
        <v>1.8300000000000014</v>
      </c>
      <c r="C187" s="342"/>
      <c r="D187" s="359">
        <f t="shared" ca="1" si="66"/>
        <v>-0.8076620225944221</v>
      </c>
      <c r="E187" s="360">
        <f t="shared" ca="1" si="67"/>
        <v>-13.338727952147654</v>
      </c>
      <c r="F187" s="357">
        <f t="shared" ca="1" si="68"/>
        <v>13.363157610540499</v>
      </c>
      <c r="G187" s="359">
        <f t="shared" ca="1" si="69"/>
        <v>14.603819648524611</v>
      </c>
      <c r="H187" s="360">
        <f t="shared" ca="1" si="70"/>
        <v>63.70693869221769</v>
      </c>
      <c r="I187" s="357">
        <f t="shared" ca="1" si="71"/>
        <v>65.359357293815378</v>
      </c>
      <c r="J187" s="359">
        <f t="shared" ca="1" si="72"/>
        <v>21.695906958323366</v>
      </c>
      <c r="K187" s="360">
        <f t="shared" ca="1" si="73"/>
        <v>105.57821709021584</v>
      </c>
      <c r="L187" s="357">
        <f t="shared" ca="1" si="58"/>
        <v>107.78437875078637</v>
      </c>
      <c r="M187" s="359">
        <f t="shared" ca="1" si="74"/>
        <v>1.3454552279643084</v>
      </c>
      <c r="N187" s="357">
        <f t="shared" ca="1" si="75"/>
        <v>77.088906086166929</v>
      </c>
      <c r="O187" s="343"/>
      <c r="P187" s="363">
        <f t="shared" ca="1" si="76"/>
        <v>13</v>
      </c>
      <c r="Q187" s="357">
        <f t="shared" ca="1" si="77"/>
        <v>0</v>
      </c>
      <c r="R187" s="359">
        <f t="shared" ca="1" si="78"/>
        <v>0</v>
      </c>
      <c r="S187" s="360">
        <f t="shared" ca="1" si="79"/>
        <v>1.5629999999999982</v>
      </c>
      <c r="T187" s="357">
        <f t="shared" ca="1" si="59"/>
        <v>15.333029999999983</v>
      </c>
      <c r="U187" s="364">
        <f t="shared" ca="1" si="60"/>
        <v>0</v>
      </c>
      <c r="V187" s="359">
        <f t="shared" ca="1" si="61"/>
        <v>1.2121345837917183</v>
      </c>
      <c r="W187" s="357">
        <f t="shared" ca="1" si="62"/>
        <v>5.6349113642947204</v>
      </c>
      <c r="X187" s="343"/>
      <c r="Y187" s="367" t="str">
        <f t="shared" ca="1" si="80"/>
        <v/>
      </c>
      <c r="Z187" s="368" t="str">
        <f t="shared" ca="1" si="81"/>
        <v/>
      </c>
      <c r="AA187" s="369" t="str">
        <f t="shared" ca="1" si="82"/>
        <v/>
      </c>
      <c r="AB187" s="344"/>
      <c r="AC187" s="363" t="e">
        <f t="shared" ca="1" si="83"/>
        <v>#N/A</v>
      </c>
      <c r="AD187" s="376" t="e">
        <f t="shared" ca="1" si="84"/>
        <v>#N/A</v>
      </c>
      <c r="AE187" s="377">
        <f t="shared" ca="1" si="63"/>
        <v>105.57821709021584</v>
      </c>
      <c r="AF187" s="344"/>
      <c r="AG187" s="359">
        <f t="shared" ca="1" si="85"/>
        <v>-13.182694321037719</v>
      </c>
      <c r="AH187" s="357">
        <f t="shared" ca="1" si="86"/>
        <v>-3.6199777489660745</v>
      </c>
    </row>
    <row r="188" spans="1:34" x14ac:dyDescent="0.2">
      <c r="A188" s="402">
        <f t="shared" ca="1" si="64"/>
        <v>0.01</v>
      </c>
      <c r="B188" s="357">
        <f t="shared" ca="1" si="65"/>
        <v>1.8400000000000014</v>
      </c>
      <c r="C188" s="342"/>
      <c r="D188" s="359">
        <f t="shared" ca="1" si="66"/>
        <v>-0.80553942203875717</v>
      </c>
      <c r="E188" s="360">
        <f t="shared" ca="1" si="67"/>
        <v>-13.324043024981631</v>
      </c>
      <c r="F188" s="357">
        <f t="shared" ca="1" si="68"/>
        <v>13.348371297353852</v>
      </c>
      <c r="G188" s="359">
        <f t="shared" ca="1" si="69"/>
        <v>14.595764254304225</v>
      </c>
      <c r="H188" s="360">
        <f t="shared" ca="1" si="70"/>
        <v>63.573698261967877</v>
      </c>
      <c r="I188" s="357">
        <f t="shared" ca="1" si="71"/>
        <v>65.227689249819065</v>
      </c>
      <c r="J188" s="359">
        <f t="shared" ca="1" si="72"/>
        <v>21.841904877837511</v>
      </c>
      <c r="K188" s="360">
        <f t="shared" ca="1" si="73"/>
        <v>106.21462027498677</v>
      </c>
      <c r="L188" s="357">
        <f t="shared" ca="1" si="58"/>
        <v>108.4371447837508</v>
      </c>
      <c r="M188" s="359">
        <f t="shared" ca="1" si="74"/>
        <v>1.3451191843013066</v>
      </c>
      <c r="N188" s="357">
        <f t="shared" ca="1" si="75"/>
        <v>77.069652202544802</v>
      </c>
      <c r="O188" s="343"/>
      <c r="P188" s="363">
        <f t="shared" ca="1" si="76"/>
        <v>13</v>
      </c>
      <c r="Q188" s="357">
        <f t="shared" ca="1" si="77"/>
        <v>0</v>
      </c>
      <c r="R188" s="359">
        <f t="shared" ca="1" si="78"/>
        <v>0</v>
      </c>
      <c r="S188" s="360">
        <f t="shared" ca="1" si="79"/>
        <v>1.5629999999999982</v>
      </c>
      <c r="T188" s="357">
        <f t="shared" ca="1" si="59"/>
        <v>15.333029999999983</v>
      </c>
      <c r="U188" s="364">
        <f t="shared" ca="1" si="60"/>
        <v>0</v>
      </c>
      <c r="V188" s="359">
        <f t="shared" ca="1" si="61"/>
        <v>1.2120574434527667</v>
      </c>
      <c r="W188" s="357">
        <f t="shared" ca="1" si="62"/>
        <v>5.6118737327007224</v>
      </c>
      <c r="X188" s="343"/>
      <c r="Y188" s="367" t="str">
        <f t="shared" ca="1" si="80"/>
        <v/>
      </c>
      <c r="Z188" s="368" t="str">
        <f t="shared" ca="1" si="81"/>
        <v/>
      </c>
      <c r="AA188" s="369" t="str">
        <f t="shared" ca="1" si="82"/>
        <v/>
      </c>
      <c r="AB188" s="344"/>
      <c r="AC188" s="363" t="e">
        <f t="shared" ca="1" si="83"/>
        <v>#N/A</v>
      </c>
      <c r="AD188" s="376" t="e">
        <f t="shared" ca="1" si="84"/>
        <v>#N/A</v>
      </c>
      <c r="AE188" s="377">
        <f t="shared" ca="1" si="63"/>
        <v>106.21462027498677</v>
      </c>
      <c r="AF188" s="344"/>
      <c r="AG188" s="359">
        <f t="shared" ca="1" si="85"/>
        <v>-13.167172692587664</v>
      </c>
      <c r="AH188" s="357">
        <f t="shared" ca="1" si="86"/>
        <v>-3.6051896124726341</v>
      </c>
    </row>
    <row r="189" spans="1:34" x14ac:dyDescent="0.2">
      <c r="A189" s="402">
        <f t="shared" ca="1" si="64"/>
        <v>0.01</v>
      </c>
      <c r="B189" s="357">
        <f t="shared" ca="1" si="65"/>
        <v>1.8500000000000014</v>
      </c>
      <c r="C189" s="342"/>
      <c r="D189" s="359">
        <f t="shared" ca="1" si="66"/>
        <v>-0.80342207340706195</v>
      </c>
      <c r="E189" s="360">
        <f t="shared" ca="1" si="67"/>
        <v>-13.309406511496849</v>
      </c>
      <c r="F189" s="357">
        <f t="shared" ca="1" si="68"/>
        <v>13.333633740144224</v>
      </c>
      <c r="G189" s="359">
        <f t="shared" ca="1" si="69"/>
        <v>14.587730033570153</v>
      </c>
      <c r="H189" s="360">
        <f t="shared" ca="1" si="70"/>
        <v>63.44060419685291</v>
      </c>
      <c r="I189" s="357">
        <f t="shared" ca="1" si="71"/>
        <v>65.096175989024701</v>
      </c>
      <c r="J189" s="359">
        <f t="shared" ca="1" si="72"/>
        <v>21.987822349276883</v>
      </c>
      <c r="K189" s="360">
        <f t="shared" ca="1" si="73"/>
        <v>106.84969178728088</v>
      </c>
      <c r="L189" s="357">
        <f t="shared" ca="1" si="58"/>
        <v>109.08859228489602</v>
      </c>
      <c r="M189" s="359">
        <f t="shared" ca="1" si="74"/>
        <v>1.3447819681362312</v>
      </c>
      <c r="N189" s="357">
        <f t="shared" ca="1" si="75"/>
        <v>77.050331139502404</v>
      </c>
      <c r="O189" s="343"/>
      <c r="P189" s="363">
        <f t="shared" ca="1" si="76"/>
        <v>13</v>
      </c>
      <c r="Q189" s="357">
        <f t="shared" ca="1" si="77"/>
        <v>0</v>
      </c>
      <c r="R189" s="359">
        <f t="shared" ca="1" si="78"/>
        <v>0</v>
      </c>
      <c r="S189" s="360">
        <f t="shared" ca="1" si="79"/>
        <v>1.5629999999999982</v>
      </c>
      <c r="T189" s="357">
        <f t="shared" ca="1" si="59"/>
        <v>15.333029999999983</v>
      </c>
      <c r="U189" s="364">
        <f t="shared" ca="1" si="60"/>
        <v>0</v>
      </c>
      <c r="V189" s="359">
        <f t="shared" ca="1" si="61"/>
        <v>1.2119804693976619</v>
      </c>
      <c r="W189" s="357">
        <f t="shared" ca="1" si="62"/>
        <v>5.5889120634611693</v>
      </c>
      <c r="X189" s="343"/>
      <c r="Y189" s="367" t="str">
        <f t="shared" ca="1" si="80"/>
        <v/>
      </c>
      <c r="Z189" s="368" t="str">
        <f t="shared" ca="1" si="81"/>
        <v/>
      </c>
      <c r="AA189" s="369" t="str">
        <f t="shared" ca="1" si="82"/>
        <v/>
      </c>
      <c r="AB189" s="344"/>
      <c r="AC189" s="363" t="e">
        <f t="shared" ca="1" si="83"/>
        <v>#N/A</v>
      </c>
      <c r="AD189" s="376" t="e">
        <f t="shared" ca="1" si="84"/>
        <v>#N/A</v>
      </c>
      <c r="AE189" s="377">
        <f t="shared" ca="1" si="63"/>
        <v>106.84969178728088</v>
      </c>
      <c r="AF189" s="344"/>
      <c r="AG189" s="359">
        <f t="shared" ca="1" si="85"/>
        <v>-13.151696199176708</v>
      </c>
      <c r="AH189" s="357">
        <f t="shared" ca="1" si="86"/>
        <v>-3.5904502448501145</v>
      </c>
    </row>
    <row r="190" spans="1:34" x14ac:dyDescent="0.2">
      <c r="A190" s="402">
        <f t="shared" ca="1" si="64"/>
        <v>0.01</v>
      </c>
      <c r="B190" s="357">
        <f t="shared" ca="1" si="65"/>
        <v>1.8600000000000014</v>
      </c>
      <c r="C190" s="342"/>
      <c r="D190" s="359">
        <f t="shared" ca="1" si="66"/>
        <v>-0.8013099560985798</v>
      </c>
      <c r="E190" s="360">
        <f t="shared" ca="1" si="67"/>
        <v>-13.294818244295838</v>
      </c>
      <c r="F190" s="357">
        <f t="shared" ca="1" si="68"/>
        <v>13.318944770311354</v>
      </c>
      <c r="G190" s="359">
        <f t="shared" ca="1" si="69"/>
        <v>14.579716934009168</v>
      </c>
      <c r="H190" s="360">
        <f t="shared" ca="1" si="70"/>
        <v>63.30765601440995</v>
      </c>
      <c r="I190" s="357">
        <f t="shared" ca="1" si="71"/>
        <v>64.964817062119778</v>
      </c>
      <c r="J190" s="359">
        <f t="shared" ca="1" si="72"/>
        <v>22.133659584114778</v>
      </c>
      <c r="K190" s="360">
        <f t="shared" ca="1" si="73"/>
        <v>107.48343308833719</v>
      </c>
      <c r="L190" s="357">
        <f t="shared" ca="1" si="58"/>
        <v>109.73872276931482</v>
      </c>
      <c r="M190" s="359">
        <f t="shared" ca="1" si="74"/>
        <v>1.3444435738384555</v>
      </c>
      <c r="N190" s="357">
        <f t="shared" ca="1" si="75"/>
        <v>77.030942574428565</v>
      </c>
      <c r="O190" s="343"/>
      <c r="P190" s="363">
        <f t="shared" ca="1" si="76"/>
        <v>13</v>
      </c>
      <c r="Q190" s="357">
        <f t="shared" ca="1" si="77"/>
        <v>0</v>
      </c>
      <c r="R190" s="359">
        <f t="shared" ca="1" si="78"/>
        <v>0</v>
      </c>
      <c r="S190" s="360">
        <f t="shared" ca="1" si="79"/>
        <v>1.5629999999999982</v>
      </c>
      <c r="T190" s="357">
        <f t="shared" ca="1" si="59"/>
        <v>15.333029999999983</v>
      </c>
      <c r="U190" s="364">
        <f t="shared" ca="1" si="60"/>
        <v>0</v>
      </c>
      <c r="V190" s="359">
        <f t="shared" ca="1" si="61"/>
        <v>1.2119036614182612</v>
      </c>
      <c r="W190" s="357">
        <f t="shared" ca="1" si="62"/>
        <v>5.5660260944696098</v>
      </c>
      <c r="X190" s="343"/>
      <c r="Y190" s="367" t="str">
        <f t="shared" ca="1" si="80"/>
        <v/>
      </c>
      <c r="Z190" s="368" t="str">
        <f t="shared" ca="1" si="81"/>
        <v/>
      </c>
      <c r="AA190" s="369" t="str">
        <f t="shared" ca="1" si="82"/>
        <v/>
      </c>
      <c r="AB190" s="344"/>
      <c r="AC190" s="363" t="e">
        <f t="shared" ca="1" si="83"/>
        <v>#N/A</v>
      </c>
      <c r="AD190" s="376" t="e">
        <f t="shared" ca="1" si="84"/>
        <v>#N/A</v>
      </c>
      <c r="AE190" s="377">
        <f t="shared" ca="1" si="63"/>
        <v>107.48343308833719</v>
      </c>
      <c r="AF190" s="344"/>
      <c r="AG190" s="359">
        <f t="shared" ca="1" si="85"/>
        <v>-13.136264648823975</v>
      </c>
      <c r="AH190" s="357">
        <f t="shared" ca="1" si="86"/>
        <v>-3.5757594775823263</v>
      </c>
    </row>
    <row r="191" spans="1:34" x14ac:dyDescent="0.2">
      <c r="A191" s="402">
        <f t="shared" ca="1" si="64"/>
        <v>0.01</v>
      </c>
      <c r="B191" s="357">
        <f t="shared" ca="1" si="65"/>
        <v>1.8700000000000014</v>
      </c>
      <c r="C191" s="342"/>
      <c r="D191" s="359">
        <f t="shared" ca="1" si="66"/>
        <v>-0.7992030496102801</v>
      </c>
      <c r="E191" s="360">
        <f t="shared" ca="1" si="67"/>
        <v>-13.280278056796408</v>
      </c>
      <c r="F191" s="357">
        <f t="shared" ca="1" si="68"/>
        <v>13.304304220076094</v>
      </c>
      <c r="G191" s="359">
        <f t="shared" ca="1" si="69"/>
        <v>14.571724903513065</v>
      </c>
      <c r="H191" s="360">
        <f t="shared" ca="1" si="70"/>
        <v>63.174853233841986</v>
      </c>
      <c r="I191" s="357">
        <f t="shared" ca="1" si="71"/>
        <v>64.833612021706287</v>
      </c>
      <c r="J191" s="359">
        <f t="shared" ca="1" si="72"/>
        <v>22.279416793302389</v>
      </c>
      <c r="K191" s="360">
        <f t="shared" ca="1" si="73"/>
        <v>108.11584563457845</v>
      </c>
      <c r="L191" s="357">
        <f t="shared" ca="1" si="58"/>
        <v>110.38753774738197</v>
      </c>
      <c r="M191" s="359">
        <f t="shared" ca="1" si="74"/>
        <v>1.3441039957413554</v>
      </c>
      <c r="N191" s="357">
        <f t="shared" ca="1" si="75"/>
        <v>77.011486182649648</v>
      </c>
      <c r="O191" s="343"/>
      <c r="P191" s="363">
        <f t="shared" ca="1" si="76"/>
        <v>13</v>
      </c>
      <c r="Q191" s="357">
        <f t="shared" ca="1" si="77"/>
        <v>0</v>
      </c>
      <c r="R191" s="359">
        <f t="shared" ca="1" si="78"/>
        <v>0</v>
      </c>
      <c r="S191" s="360">
        <f t="shared" ca="1" si="79"/>
        <v>1.5629999999999982</v>
      </c>
      <c r="T191" s="357">
        <f t="shared" ca="1" si="59"/>
        <v>15.333029999999983</v>
      </c>
      <c r="U191" s="364">
        <f t="shared" ca="1" si="60"/>
        <v>0</v>
      </c>
      <c r="V191" s="359">
        <f t="shared" ca="1" si="61"/>
        <v>1.211827019307121</v>
      </c>
      <c r="W191" s="357">
        <f t="shared" ca="1" si="62"/>
        <v>5.5432155648968573</v>
      </c>
      <c r="X191" s="343"/>
      <c r="Y191" s="367" t="str">
        <f t="shared" ca="1" si="80"/>
        <v/>
      </c>
      <c r="Z191" s="368" t="str">
        <f t="shared" ca="1" si="81"/>
        <v/>
      </c>
      <c r="AA191" s="369" t="str">
        <f t="shared" ca="1" si="82"/>
        <v/>
      </c>
      <c r="AB191" s="344"/>
      <c r="AC191" s="363" t="e">
        <f t="shared" ca="1" si="83"/>
        <v>#N/A</v>
      </c>
      <c r="AD191" s="376" t="e">
        <f t="shared" ca="1" si="84"/>
        <v>#N/A</v>
      </c>
      <c r="AE191" s="377">
        <f t="shared" ca="1" si="63"/>
        <v>108.11584563457845</v>
      </c>
      <c r="AF191" s="344"/>
      <c r="AG191" s="359">
        <f t="shared" ca="1" si="85"/>
        <v>-13.120877850182081</v>
      </c>
      <c r="AH191" s="357">
        <f t="shared" ca="1" si="86"/>
        <v>-3.5611171429748025</v>
      </c>
    </row>
    <row r="192" spans="1:34" x14ac:dyDescent="0.2">
      <c r="A192" s="402">
        <f t="shared" ca="1" si="64"/>
        <v>0.01</v>
      </c>
      <c r="B192" s="357">
        <f t="shared" ca="1" si="65"/>
        <v>1.8800000000000014</v>
      </c>
      <c r="C192" s="342"/>
      <c r="D192" s="359">
        <f t="shared" ca="1" si="66"/>
        <v>-0.79710133353633039</v>
      </c>
      <c r="E192" s="360">
        <f t="shared" ca="1" si="67"/>
        <v>-13.265785783227145</v>
      </c>
      <c r="F192" s="357">
        <f t="shared" ca="1" si="68"/>
        <v>13.289711922475853</v>
      </c>
      <c r="G192" s="359">
        <f t="shared" ca="1" si="69"/>
        <v>14.563753890177702</v>
      </c>
      <c r="H192" s="360">
        <f t="shared" ca="1" si="70"/>
        <v>63.042195376009715</v>
      </c>
      <c r="I192" s="357">
        <f t="shared" ca="1" si="71"/>
        <v>64.702560422294312</v>
      </c>
      <c r="J192" s="359">
        <f t="shared" ca="1" si="72"/>
        <v>22.425094187270844</v>
      </c>
      <c r="K192" s="360">
        <f t="shared" ca="1" si="73"/>
        <v>108.7469308776277</v>
      </c>
      <c r="L192" s="357">
        <f t="shared" ca="1" si="58"/>
        <v>111.0350387247715</v>
      </c>
      <c r="M192" s="359">
        <f t="shared" ca="1" si="74"/>
        <v>1.3437632281420264</v>
      </c>
      <c r="N192" s="357">
        <f t="shared" ca="1" si="75"/>
        <v>76.991961637413283</v>
      </c>
      <c r="O192" s="343"/>
      <c r="P192" s="363">
        <f t="shared" ca="1" si="76"/>
        <v>13</v>
      </c>
      <c r="Q192" s="357">
        <f t="shared" ca="1" si="77"/>
        <v>0</v>
      </c>
      <c r="R192" s="359">
        <f t="shared" ca="1" si="78"/>
        <v>0</v>
      </c>
      <c r="S192" s="360">
        <f t="shared" ca="1" si="79"/>
        <v>1.5629999999999982</v>
      </c>
      <c r="T192" s="357">
        <f t="shared" ca="1" si="59"/>
        <v>15.333029999999983</v>
      </c>
      <c r="U192" s="364">
        <f t="shared" ca="1" si="60"/>
        <v>0</v>
      </c>
      <c r="V192" s="359">
        <f t="shared" ca="1" si="61"/>
        <v>1.2117505428574928</v>
      </c>
      <c r="W192" s="357">
        <f t="shared" ca="1" si="62"/>
        <v>5.5204802151838628</v>
      </c>
      <c r="X192" s="343"/>
      <c r="Y192" s="367" t="str">
        <f t="shared" ca="1" si="80"/>
        <v/>
      </c>
      <c r="Z192" s="368" t="str">
        <f t="shared" ca="1" si="81"/>
        <v/>
      </c>
      <c r="AA192" s="369" t="str">
        <f t="shared" ca="1" si="82"/>
        <v/>
      </c>
      <c r="AB192" s="344"/>
      <c r="AC192" s="363" t="e">
        <f t="shared" ca="1" si="83"/>
        <v>#N/A</v>
      </c>
      <c r="AD192" s="376" t="e">
        <f t="shared" ca="1" si="84"/>
        <v>#N/A</v>
      </c>
      <c r="AE192" s="377">
        <f t="shared" ca="1" si="63"/>
        <v>108.7469308776277</v>
      </c>
      <c r="AF192" s="344"/>
      <c r="AG192" s="359">
        <f t="shared" ca="1" si="85"/>
        <v>-13.105535612530808</v>
      </c>
      <c r="AH192" s="357">
        <f t="shared" ca="1" si="86"/>
        <v>-3.5465230741502647</v>
      </c>
    </row>
    <row r="193" spans="1:34" x14ac:dyDescent="0.2">
      <c r="A193" s="402">
        <f t="shared" ca="1" si="64"/>
        <v>0.01</v>
      </c>
      <c r="B193" s="357">
        <f t="shared" ca="1" si="65"/>
        <v>1.8900000000000015</v>
      </c>
      <c r="C193" s="342"/>
      <c r="D193" s="359">
        <f t="shared" ca="1" si="66"/>
        <v>-0.7950047875675712</v>
      </c>
      <c r="E193" s="360">
        <f t="shared" ca="1" si="67"/>
        <v>-13.251341258622876</v>
      </c>
      <c r="F193" s="357">
        <f t="shared" ca="1" si="68"/>
        <v>13.275167711360044</v>
      </c>
      <c r="G193" s="359">
        <f t="shared" ca="1" si="69"/>
        <v>14.555803842302026</v>
      </c>
      <c r="H193" s="360">
        <f t="shared" ca="1" si="70"/>
        <v>62.909681963423488</v>
      </c>
      <c r="I193" s="357">
        <f t="shared" ca="1" si="71"/>
        <v>64.571661820295944</v>
      </c>
      <c r="J193" s="359">
        <f t="shared" ca="1" si="72"/>
        <v>22.570691975933244</v>
      </c>
      <c r="K193" s="360">
        <f t="shared" ca="1" si="73"/>
        <v>109.37669026432486</v>
      </c>
      <c r="L193" s="357">
        <f t="shared" ca="1" si="58"/>
        <v>111.68122720247354</v>
      </c>
      <c r="M193" s="359">
        <f t="shared" ca="1" si="74"/>
        <v>1.3434212653009989</v>
      </c>
      <c r="N193" s="357">
        <f t="shared" ca="1" si="75"/>
        <v>76.972368609872106</v>
      </c>
      <c r="O193" s="343"/>
      <c r="P193" s="363">
        <f t="shared" ca="1" si="76"/>
        <v>13</v>
      </c>
      <c r="Q193" s="357">
        <f t="shared" ca="1" si="77"/>
        <v>0</v>
      </c>
      <c r="R193" s="359">
        <f t="shared" ca="1" si="78"/>
        <v>0</v>
      </c>
      <c r="S193" s="360">
        <f t="shared" ca="1" si="79"/>
        <v>1.5629999999999982</v>
      </c>
      <c r="T193" s="357">
        <f t="shared" ca="1" si="59"/>
        <v>15.333029999999983</v>
      </c>
      <c r="U193" s="364">
        <f t="shared" ca="1" si="60"/>
        <v>0</v>
      </c>
      <c r="V193" s="359">
        <f t="shared" ca="1" si="61"/>
        <v>1.2116742318633211</v>
      </c>
      <c r="W193" s="357">
        <f t="shared" ca="1" si="62"/>
        <v>5.4978197870346825</v>
      </c>
      <c r="X193" s="343"/>
      <c r="Y193" s="367" t="str">
        <f t="shared" ca="1" si="80"/>
        <v/>
      </c>
      <c r="Z193" s="368" t="str">
        <f t="shared" ca="1" si="81"/>
        <v/>
      </c>
      <c r="AA193" s="369" t="str">
        <f t="shared" ca="1" si="82"/>
        <v/>
      </c>
      <c r="AB193" s="344"/>
      <c r="AC193" s="363" t="e">
        <f t="shared" ca="1" si="83"/>
        <v>#N/A</v>
      </c>
      <c r="AD193" s="376" t="e">
        <f t="shared" ca="1" si="84"/>
        <v>#N/A</v>
      </c>
      <c r="AE193" s="377">
        <f t="shared" ca="1" si="63"/>
        <v>109.37669026432486</v>
      </c>
      <c r="AF193" s="344"/>
      <c r="AG193" s="359">
        <f t="shared" ca="1" si="85"/>
        <v>-13.090237745770738</v>
      </c>
      <c r="AH193" s="357">
        <f t="shared" ca="1" si="86"/>
        <v>-3.5319771050440623</v>
      </c>
    </row>
    <row r="194" spans="1:34" x14ac:dyDescent="0.2">
      <c r="A194" s="402">
        <f t="shared" ca="1" si="64"/>
        <v>0.01</v>
      </c>
      <c r="B194" s="357">
        <f t="shared" ca="1" si="65"/>
        <v>1.9000000000000015</v>
      </c>
      <c r="C194" s="342"/>
      <c r="D194" s="359">
        <f t="shared" ca="1" si="66"/>
        <v>-0.79291339149099593</v>
      </c>
      <c r="E194" s="360">
        <f t="shared" ca="1" si="67"/>
        <v>-13.236944318820193</v>
      </c>
      <c r="F194" s="357">
        <f t="shared" ca="1" si="68"/>
        <v>13.260671421385569</v>
      </c>
      <c r="G194" s="359">
        <f t="shared" ca="1" si="69"/>
        <v>14.547874708387116</v>
      </c>
      <c r="H194" s="360">
        <f t="shared" ca="1" si="70"/>
        <v>62.777312520235284</v>
      </c>
      <c r="I194" s="357">
        <f t="shared" ca="1" si="71"/>
        <v>64.440915774019061</v>
      </c>
      <c r="J194" s="359">
        <f t="shared" ca="1" si="72"/>
        <v>22.716210368686689</v>
      </c>
      <c r="K194" s="360">
        <f t="shared" ca="1" si="73"/>
        <v>110.00512523674315</v>
      </c>
      <c r="L194" s="357">
        <f t="shared" ca="1" si="58"/>
        <v>112.32610467681133</v>
      </c>
      <c r="M194" s="359">
        <f t="shared" ca="1" si="74"/>
        <v>1.3430781014419517</v>
      </c>
      <c r="N194" s="357">
        <f t="shared" ca="1" si="75"/>
        <v>76.952706769067277</v>
      </c>
      <c r="O194" s="343"/>
      <c r="P194" s="363">
        <f t="shared" ca="1" si="76"/>
        <v>13</v>
      </c>
      <c r="Q194" s="357">
        <f t="shared" ca="1" si="77"/>
        <v>0</v>
      </c>
      <c r="R194" s="359">
        <f t="shared" ca="1" si="78"/>
        <v>0</v>
      </c>
      <c r="S194" s="360">
        <f t="shared" ca="1" si="79"/>
        <v>1.5629999999999982</v>
      </c>
      <c r="T194" s="357">
        <f t="shared" ca="1" si="59"/>
        <v>15.333029999999983</v>
      </c>
      <c r="U194" s="364">
        <f t="shared" ca="1" si="60"/>
        <v>0</v>
      </c>
      <c r="V194" s="359">
        <f t="shared" ca="1" si="61"/>
        <v>1.2115980861192421</v>
      </c>
      <c r="W194" s="357">
        <f t="shared" ca="1" si="62"/>
        <v>5.4752340234095032</v>
      </c>
      <c r="X194" s="343"/>
      <c r="Y194" s="367" t="str">
        <f t="shared" ca="1" si="80"/>
        <v/>
      </c>
      <c r="Z194" s="368" t="str">
        <f t="shared" ca="1" si="81"/>
        <v/>
      </c>
      <c r="AA194" s="369" t="str">
        <f t="shared" ca="1" si="82"/>
        <v/>
      </c>
      <c r="AB194" s="344"/>
      <c r="AC194" s="363" t="e">
        <f t="shared" ca="1" si="83"/>
        <v>#N/A</v>
      </c>
      <c r="AD194" s="376" t="e">
        <f t="shared" ca="1" si="84"/>
        <v>#N/A</v>
      </c>
      <c r="AE194" s="377">
        <f t="shared" ca="1" si="63"/>
        <v>110.00512523674315</v>
      </c>
      <c r="AF194" s="344"/>
      <c r="AG194" s="359">
        <f t="shared" ca="1" si="85"/>
        <v>-13.074984060416917</v>
      </c>
      <c r="AH194" s="357">
        <f t="shared" ca="1" si="86"/>
        <v>-3.517479070399673</v>
      </c>
    </row>
    <row r="195" spans="1:34" x14ac:dyDescent="0.2">
      <c r="A195" s="402">
        <f t="shared" ca="1" si="64"/>
        <v>0.01</v>
      </c>
      <c r="B195" s="357">
        <f t="shared" ca="1" si="65"/>
        <v>1.9100000000000015</v>
      </c>
      <c r="C195" s="342"/>
      <c r="D195" s="359">
        <f t="shared" ca="1" si="66"/>
        <v>-0.79082712518923548</v>
      </c>
      <c r="E195" s="360">
        <f t="shared" ca="1" si="67"/>
        <v>-13.22259480045302</v>
      </c>
      <c r="F195" s="357">
        <f t="shared" ca="1" si="68"/>
        <v>13.246222888012353</v>
      </c>
      <c r="G195" s="359">
        <f t="shared" ca="1" si="69"/>
        <v>14.539966437135224</v>
      </c>
      <c r="H195" s="360">
        <f t="shared" ca="1" si="70"/>
        <v>62.645086572230753</v>
      </c>
      <c r="I195" s="357">
        <f t="shared" ca="1" si="71"/>
        <v>64.310321843661328</v>
      </c>
      <c r="J195" s="359">
        <f t="shared" ca="1" si="72"/>
        <v>22.861649574414301</v>
      </c>
      <c r="K195" s="360">
        <f t="shared" ca="1" si="73"/>
        <v>110.63223723220548</v>
      </c>
      <c r="L195" s="357">
        <f t="shared" ca="1" si="58"/>
        <v>112.96967263945803</v>
      </c>
      <c r="M195" s="359">
        <f t="shared" ca="1" si="74"/>
        <v>1.3427337307514222</v>
      </c>
      <c r="N195" s="357">
        <f t="shared" ca="1" si="75"/>
        <v>76.932975781911935</v>
      </c>
      <c r="O195" s="343"/>
      <c r="P195" s="363">
        <f t="shared" ca="1" si="76"/>
        <v>13</v>
      </c>
      <c r="Q195" s="357">
        <f t="shared" ca="1" si="77"/>
        <v>0</v>
      </c>
      <c r="R195" s="359">
        <f t="shared" ca="1" si="78"/>
        <v>0</v>
      </c>
      <c r="S195" s="360">
        <f t="shared" ca="1" si="79"/>
        <v>1.5629999999999982</v>
      </c>
      <c r="T195" s="357">
        <f t="shared" ca="1" si="59"/>
        <v>15.333029999999983</v>
      </c>
      <c r="U195" s="364">
        <f t="shared" ca="1" si="60"/>
        <v>0</v>
      </c>
      <c r="V195" s="359">
        <f t="shared" ca="1" si="61"/>
        <v>1.2115221054205798</v>
      </c>
      <c r="W195" s="357">
        <f t="shared" ca="1" si="62"/>
        <v>5.4527226685176666</v>
      </c>
      <c r="X195" s="343"/>
      <c r="Y195" s="367" t="str">
        <f t="shared" ca="1" si="80"/>
        <v/>
      </c>
      <c r="Z195" s="368" t="str">
        <f t="shared" ca="1" si="81"/>
        <v/>
      </c>
      <c r="AA195" s="369" t="str">
        <f t="shared" ca="1" si="82"/>
        <v/>
      </c>
      <c r="AB195" s="344"/>
      <c r="AC195" s="363" t="e">
        <f t="shared" ca="1" si="83"/>
        <v>#N/A</v>
      </c>
      <c r="AD195" s="376" t="e">
        <f t="shared" ca="1" si="84"/>
        <v>#N/A</v>
      </c>
      <c r="AE195" s="377">
        <f t="shared" ca="1" si="63"/>
        <v>110.63223723220548</v>
      </c>
      <c r="AF195" s="344"/>
      <c r="AG195" s="359">
        <f t="shared" ca="1" si="85"/>
        <v>-13.059774367592544</v>
      </c>
      <c r="AH195" s="357">
        <f t="shared" ca="1" si="86"/>
        <v>-3.5030288057642416</v>
      </c>
    </row>
    <row r="196" spans="1:34" x14ac:dyDescent="0.2">
      <c r="A196" s="402">
        <f t="shared" ca="1" si="64"/>
        <v>0.01</v>
      </c>
      <c r="B196" s="357">
        <f t="shared" ca="1" si="65"/>
        <v>1.9200000000000015</v>
      </c>
      <c r="C196" s="342"/>
      <c r="D196" s="359">
        <f t="shared" ca="1" si="66"/>
        <v>-0.78874596864004032</v>
      </c>
      <c r="E196" s="360">
        <f t="shared" ca="1" si="67"/>
        <v>-13.208292540948166</v>
      </c>
      <c r="F196" s="357">
        <f t="shared" ca="1" si="68"/>
        <v>13.231821947498872</v>
      </c>
      <c r="G196" s="359">
        <f t="shared" ca="1" si="69"/>
        <v>14.532078977448823</v>
      </c>
      <c r="H196" s="360">
        <f t="shared" ca="1" si="70"/>
        <v>62.513003646821268</v>
      </c>
      <c r="I196" s="357">
        <f t="shared" ca="1" si="71"/>
        <v>64.179879591304157</v>
      </c>
      <c r="J196" s="359">
        <f t="shared" ca="1" si="72"/>
        <v>23.007009801487222</v>
      </c>
      <c r="K196" s="360">
        <f t="shared" ca="1" si="73"/>
        <v>111.25802768330074</v>
      </c>
      <c r="L196" s="357">
        <f t="shared" ref="L196:L259" ca="1" si="87">SQRT(pos_x^2+pos_z^2)</f>
        <v>113.6119325774535</v>
      </c>
      <c r="M196" s="359">
        <f t="shared" ca="1" si="74"/>
        <v>1.3423881473785133</v>
      </c>
      <c r="N196" s="357">
        <f t="shared" ca="1" si="75"/>
        <v>76.913175313174364</v>
      </c>
      <c r="O196" s="343"/>
      <c r="P196" s="363">
        <f t="shared" ca="1" si="76"/>
        <v>13</v>
      </c>
      <c r="Q196" s="357">
        <f t="shared" ca="1" si="77"/>
        <v>0</v>
      </c>
      <c r="R196" s="359">
        <f t="shared" ca="1" si="78"/>
        <v>0</v>
      </c>
      <c r="S196" s="360">
        <f t="shared" ca="1" si="79"/>
        <v>1.5629999999999982</v>
      </c>
      <c r="T196" s="357">
        <f t="shared" ref="T196:T259" ca="1" si="88">m*g</f>
        <v>15.333029999999983</v>
      </c>
      <c r="U196" s="364">
        <f t="shared" ref="U196:U259" ca="1" si="89">IF(pos_xz&lt;L_rampe,Poids*COS(Beta),0)</f>
        <v>0</v>
      </c>
      <c r="V196" s="359">
        <f t="shared" ref="V196:V259" ca="1" si="90">Rho_moyen*(20000-Alt_rampe-pos_z)/(20000+Alt_rampe+pos_z)</f>
        <v>1.2114462895633444</v>
      </c>
      <c r="W196" s="357">
        <f t="shared" ref="W196:W259" ca="1" si="91">1/2*Rho*Sref*Cx*vit_xz^2</f>
        <v>5.4302854678107959</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111.25802768330074</v>
      </c>
      <c r="AF196" s="344"/>
      <c r="AG196" s="359">
        <f t="shared" ca="1" si="85"/>
        <v>-13.04460847902264</v>
      </c>
      <c r="AH196" s="357">
        <f t="shared" ca="1" si="86"/>
        <v>-3.4886261474841156</v>
      </c>
    </row>
    <row r="197" spans="1:34" x14ac:dyDescent="0.2">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-0.78666990191577824</v>
      </c>
      <c r="E197" s="360">
        <f t="shared" ref="E197:E260" ca="1" si="96">IF(AND(L196&lt;L_rampe,Poussee&lt;Poids*SIN(M196)),0,(-W196+Poussee)/m*SIN(M196)+U196/m*COS(M196)-Poids/m)</f>
        <v>-13.194037378520969</v>
      </c>
      <c r="F197" s="357">
        <f t="shared" ref="F197:F260" ca="1" si="97">SQRT(acc_x^2+acc_z^2)</f>
        <v>13.217468436897766</v>
      </c>
      <c r="G197" s="359">
        <f t="shared" ref="G197:G260" ca="1" si="98">G196+acc_x*pas</f>
        <v>14.524212278429665</v>
      </c>
      <c r="H197" s="360">
        <f t="shared" ref="H197:H260" ca="1" si="99">H196+acc_z*pas</f>
        <v>62.381063273036055</v>
      </c>
      <c r="I197" s="357">
        <f t="shared" ref="I197:I260" ca="1" si="100">SQRT(vit_x^2+vit_z^2)</f>
        <v>64.0495885809067</v>
      </c>
      <c r="J197" s="359">
        <f t="shared" ref="J197:J260" ca="1" si="101">J196+0.5*(vit_x+G196)*pas*(K196&gt;=0)</f>
        <v>23.152291257766613</v>
      </c>
      <c r="K197" s="360">
        <f t="shared" ref="K197:K260" ca="1" si="102">K196+0.5*(vit_z+H196)*pas</f>
        <v>111.88249801790002</v>
      </c>
      <c r="L197" s="357">
        <f t="shared" ca="1" si="87"/>
        <v>114.25288597322108</v>
      </c>
      <c r="M197" s="359">
        <f t="shared" ref="M197:M260" ca="1" si="103">IF(AND(L196&gt;L_rampe,G197&gt;0),ATAN2(G197,H197),$M$4)</f>
        <v>1.3420413454345981</v>
      </c>
      <c r="N197" s="357">
        <f t="shared" ref="N197:N260" ca="1" si="104">DEGREES(Beta)</f>
        <v>76.893305025461075</v>
      </c>
      <c r="O197" s="343"/>
      <c r="P197" s="363">
        <f t="shared" ref="P197:P260" ca="1" si="105">MATCH(t-pas/2-T_ini,CdP_t)</f>
        <v>13</v>
      </c>
      <c r="Q197" s="357">
        <f t="shared" ref="Q197:Q260" ca="1" si="106">(INDEX(CdP,2,i_P+1)-INDEX(CdP,2,i_P+0))/(INDEX(CdP,1,i_P+1)-INDEX(CdP,1,i_P+0))*(t-pas/2-T_ini-INDEX(CdP,1,i_P+0))+INDEX(CdP,2,i_P+0)</f>
        <v>0</v>
      </c>
      <c r="R197" s="359">
        <f t="shared" ref="R197:R260" ca="1" si="107">Poussee/(g*ISP)</f>
        <v>0</v>
      </c>
      <c r="S197" s="360">
        <f t="shared" ref="S197:S260" ca="1" si="108">S196-Débit*pas</f>
        <v>1.5629999999999982</v>
      </c>
      <c r="T197" s="357">
        <f t="shared" ca="1" si="88"/>
        <v>15.333029999999983</v>
      </c>
      <c r="U197" s="364">
        <f t="shared" ca="1" si="89"/>
        <v>0</v>
      </c>
      <c r="V197" s="359">
        <f t="shared" ca="1" si="90"/>
        <v>1.2113706383442289</v>
      </c>
      <c r="W197" s="357">
        <f t="shared" ca="1" si="91"/>
        <v>5.4079221679759044</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111.88249801790002</v>
      </c>
      <c r="AF197" s="344"/>
      <c r="AG197" s="359">
        <f t="shared" ref="AG197:AG260" ca="1" si="114">IF(AND(L196&lt;L_rampe,Poussee&lt;Poids*SIN(M196)),0,(-W196+Poussee)/m-Poids*SIN(M196)/m)</f>
        <v>-13.029486207027755</v>
      </c>
      <c r="AH197" s="357">
        <f t="shared" ref="AH197:AH260" ca="1" si="115">IF(AND(L196&lt;L_rampe,Poussee&lt;Poids*SIN(M196)), g*SIN(M196), (-W196+Poussee)/m)</f>
        <v>-3.4742709327004495</v>
      </c>
    </row>
    <row r="198" spans="1:34" x14ac:dyDescent="0.2">
      <c r="A198" s="402">
        <f t="shared" ca="1" si="93"/>
        <v>0.01</v>
      </c>
      <c r="B198" s="357">
        <f t="shared" ca="1" si="94"/>
        <v>1.9400000000000015</v>
      </c>
      <c r="C198" s="342"/>
      <c r="D198" s="359">
        <f t="shared" ca="1" si="95"/>
        <v>-0.78459890518292208</v>
      </c>
      <c r="E198" s="360">
        <f t="shared" ca="1" si="96"/>
        <v>-13.179829152170889</v>
      </c>
      <c r="F198" s="357">
        <f t="shared" ca="1" si="97"/>
        <v>13.203162194051387</v>
      </c>
      <c r="G198" s="359">
        <f t="shared" ca="1" si="98"/>
        <v>14.516366289377837</v>
      </c>
      <c r="H198" s="360">
        <f t="shared" ca="1" si="99"/>
        <v>62.249264981514344</v>
      </c>
      <c r="I198" s="357">
        <f t="shared" ca="1" si="100"/>
        <v>63.91944837830011</v>
      </c>
      <c r="J198" s="359">
        <f t="shared" ca="1" si="101"/>
        <v>23.297494150605651</v>
      </c>
      <c r="K198" s="360">
        <f t="shared" ca="1" si="102"/>
        <v>112.50564965917278</v>
      </c>
      <c r="L198" s="357">
        <f t="shared" ca="1" si="87"/>
        <v>114.89253430458406</v>
      </c>
      <c r="M198" s="359">
        <f t="shared" ca="1" si="103"/>
        <v>1.3416933189930234</v>
      </c>
      <c r="N198" s="357">
        <f t="shared" ca="1" si="104"/>
        <v>76.873364579199887</v>
      </c>
      <c r="O198" s="343"/>
      <c r="P198" s="363">
        <f t="shared" ca="1" si="105"/>
        <v>13</v>
      </c>
      <c r="Q198" s="357">
        <f t="shared" ca="1" si="106"/>
        <v>0</v>
      </c>
      <c r="R198" s="359">
        <f t="shared" ca="1" si="107"/>
        <v>0</v>
      </c>
      <c r="S198" s="360">
        <f t="shared" ca="1" si="108"/>
        <v>1.5629999999999982</v>
      </c>
      <c r="T198" s="357">
        <f t="shared" ca="1" si="88"/>
        <v>15.333029999999983</v>
      </c>
      <c r="U198" s="364">
        <f t="shared" ca="1" si="89"/>
        <v>0</v>
      </c>
      <c r="V198" s="359">
        <f t="shared" ca="1" si="90"/>
        <v>1.2112951515606094</v>
      </c>
      <c r="W198" s="357">
        <f t="shared" ca="1" si="91"/>
        <v>5.3856325169286352</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112.50564965917278</v>
      </c>
      <c r="AF198" s="344"/>
      <c r="AG198" s="359">
        <f t="shared" ca="1" si="114"/>
        <v>-13.014407364517647</v>
      </c>
      <c r="AH198" s="357">
        <f t="shared" ca="1" si="115"/>
        <v>-3.4599629993447927</v>
      </c>
    </row>
    <row r="199" spans="1:34" x14ac:dyDescent="0.2">
      <c r="A199" s="402">
        <f t="shared" ca="1" si="93"/>
        <v>0.01</v>
      </c>
      <c r="B199" s="357">
        <f t="shared" ca="1" si="94"/>
        <v>1.9500000000000015</v>
      </c>
      <c r="C199" s="342"/>
      <c r="D199" s="359">
        <f t="shared" ca="1" si="95"/>
        <v>-0.78253295870155148</v>
      </c>
      <c r="E199" s="360">
        <f t="shared" ca="1" si="96"/>
        <v>-13.165667701677226</v>
      </c>
      <c r="F199" s="357">
        <f t="shared" ca="1" si="97"/>
        <v>13.188903057587506</v>
      </c>
      <c r="G199" s="359">
        <f t="shared" ca="1" si="98"/>
        <v>14.508540959790821</v>
      </c>
      <c r="H199" s="360">
        <f t="shared" ca="1" si="99"/>
        <v>62.117608304497573</v>
      </c>
      <c r="I199" s="357">
        <f t="shared" ca="1" si="100"/>
        <v>63.789458551181589</v>
      </c>
      <c r="J199" s="359">
        <f t="shared" ca="1" si="101"/>
        <v>23.442618686851493</v>
      </c>
      <c r="K199" s="360">
        <f t="shared" ca="1" si="102"/>
        <v>113.12748402560284</v>
      </c>
      <c r="L199" s="357">
        <f t="shared" ca="1" si="87"/>
        <v>115.53087904478241</v>
      </c>
      <c r="M199" s="359">
        <f t="shared" ca="1" si="103"/>
        <v>1.3413440620888071</v>
      </c>
      <c r="N199" s="357">
        <f t="shared" ca="1" si="104"/>
        <v>76.8533536326225</v>
      </c>
      <c r="O199" s="343"/>
      <c r="P199" s="363">
        <f t="shared" ca="1" si="105"/>
        <v>13</v>
      </c>
      <c r="Q199" s="357">
        <f t="shared" ca="1" si="106"/>
        <v>0</v>
      </c>
      <c r="R199" s="359">
        <f t="shared" ca="1" si="107"/>
        <v>0</v>
      </c>
      <c r="S199" s="360">
        <f t="shared" ca="1" si="108"/>
        <v>1.5629999999999982</v>
      </c>
      <c r="T199" s="357">
        <f t="shared" ca="1" si="88"/>
        <v>15.333029999999983</v>
      </c>
      <c r="U199" s="364">
        <f t="shared" ca="1" si="89"/>
        <v>0</v>
      </c>
      <c r="V199" s="359">
        <f t="shared" ca="1" si="90"/>
        <v>1.2112198290105376</v>
      </c>
      <c r="W199" s="357">
        <f t="shared" ca="1" si="91"/>
        <v>5.3634162638064424</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113.12748402560284</v>
      </c>
      <c r="AF199" s="344"/>
      <c r="AG199" s="359">
        <f t="shared" ca="1" si="114"/>
        <v>-12.999371764985034</v>
      </c>
      <c r="AH199" s="357">
        <f t="shared" ca="1" si="115"/>
        <v>-3.4457021861347674</v>
      </c>
    </row>
    <row r="200" spans="1:34" x14ac:dyDescent="0.2">
      <c r="A200" s="402">
        <f t="shared" ca="1" si="93"/>
        <v>0.01</v>
      </c>
      <c r="B200" s="357">
        <f t="shared" ca="1" si="94"/>
        <v>1.9600000000000015</v>
      </c>
      <c r="C200" s="342"/>
      <c r="D200" s="359">
        <f t="shared" ca="1" si="95"/>
        <v>-0.78047204282485172</v>
      </c>
      <c r="E200" s="360">
        <f t="shared" ca="1" si="96"/>
        <v>-13.151552867594768</v>
      </c>
      <c r="F200" s="357">
        <f t="shared" ca="1" si="97"/>
        <v>13.174690866914919</v>
      </c>
      <c r="G200" s="359">
        <f t="shared" ca="1" si="98"/>
        <v>14.500736239362572</v>
      </c>
      <c r="H200" s="360">
        <f t="shared" ca="1" si="99"/>
        <v>61.986092775821625</v>
      </c>
      <c r="I200" s="357">
        <f t="shared" ca="1" si="100"/>
        <v>63.659618669108667</v>
      </c>
      <c r="J200" s="359">
        <f t="shared" ca="1" si="101"/>
        <v>23.587665072847258</v>
      </c>
      <c r="K200" s="360">
        <f t="shared" ca="1" si="102"/>
        <v>113.74800253100443</v>
      </c>
      <c r="L200" s="357">
        <f t="shared" ca="1" si="87"/>
        <v>116.16792166248912</v>
      </c>
      <c r="M200" s="359">
        <f t="shared" ca="1" si="103"/>
        <v>1.3409935687183359</v>
      </c>
      <c r="N200" s="357">
        <f t="shared" ca="1" si="104"/>
        <v>76.833271841747177</v>
      </c>
      <c r="O200" s="343"/>
      <c r="P200" s="363">
        <f t="shared" ca="1" si="105"/>
        <v>13</v>
      </c>
      <c r="Q200" s="357">
        <f t="shared" ca="1" si="106"/>
        <v>0</v>
      </c>
      <c r="R200" s="359">
        <f t="shared" ca="1" si="107"/>
        <v>0</v>
      </c>
      <c r="S200" s="360">
        <f t="shared" ca="1" si="108"/>
        <v>1.5629999999999982</v>
      </c>
      <c r="T200" s="357">
        <f t="shared" ca="1" si="88"/>
        <v>15.333029999999983</v>
      </c>
      <c r="U200" s="364">
        <f t="shared" ca="1" si="89"/>
        <v>0</v>
      </c>
      <c r="V200" s="359">
        <f t="shared" ca="1" si="90"/>
        <v>1.2111446704927451</v>
      </c>
      <c r="W200" s="357">
        <f t="shared" ca="1" si="91"/>
        <v>5.3412731589619078</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113.74800253100443</v>
      </c>
      <c r="AF200" s="344"/>
      <c r="AG200" s="359">
        <f t="shared" ca="1" si="114"/>
        <v>-12.984379222499255</v>
      </c>
      <c r="AH200" s="357">
        <f t="shared" ca="1" si="115"/>
        <v>-3.431488332569705</v>
      </c>
    </row>
    <row r="201" spans="1:34" x14ac:dyDescent="0.2">
      <c r="A201" s="402">
        <f t="shared" ca="1" si="93"/>
        <v>0.01</v>
      </c>
      <c r="B201" s="357">
        <f t="shared" ca="1" si="94"/>
        <v>1.9700000000000015</v>
      </c>
      <c r="C201" s="342"/>
      <c r="D201" s="359">
        <f t="shared" ca="1" si="95"/>
        <v>-0.77841613799862075</v>
      </c>
      <c r="E201" s="360">
        <f t="shared" ca="1" si="96"/>
        <v>-13.137484491249548</v>
      </c>
      <c r="F201" s="357">
        <f t="shared" ca="1" si="97"/>
        <v>13.160525462219169</v>
      </c>
      <c r="G201" s="359">
        <f t="shared" ca="1" si="98"/>
        <v>14.492952077982586</v>
      </c>
      <c r="H201" s="360">
        <f t="shared" ca="1" si="99"/>
        <v>61.854717930909132</v>
      </c>
      <c r="I201" s="357">
        <f t="shared" ca="1" si="100"/>
        <v>63.529928303493556</v>
      </c>
      <c r="J201" s="359">
        <f t="shared" ca="1" si="101"/>
        <v>23.732633514433985</v>
      </c>
      <c r="K201" s="360">
        <f t="shared" ca="1" si="102"/>
        <v>114.36720658453808</v>
      </c>
      <c r="L201" s="357">
        <f t="shared" ca="1" si="87"/>
        <v>116.80366362182671</v>
      </c>
      <c r="M201" s="359">
        <f t="shared" ca="1" si="103"/>
        <v>1.3406418328390584</v>
      </c>
      <c r="N201" s="357">
        <f t="shared" ca="1" si="104"/>
        <v>76.813118860361257</v>
      </c>
      <c r="O201" s="343"/>
      <c r="P201" s="363">
        <f t="shared" ca="1" si="105"/>
        <v>13</v>
      </c>
      <c r="Q201" s="357">
        <f t="shared" ca="1" si="106"/>
        <v>0</v>
      </c>
      <c r="R201" s="359">
        <f t="shared" ca="1" si="107"/>
        <v>0</v>
      </c>
      <c r="S201" s="360">
        <f t="shared" ca="1" si="108"/>
        <v>1.5629999999999982</v>
      </c>
      <c r="T201" s="357">
        <f t="shared" ca="1" si="88"/>
        <v>15.333029999999983</v>
      </c>
      <c r="U201" s="364">
        <f t="shared" ca="1" si="89"/>
        <v>0</v>
      </c>
      <c r="V201" s="359">
        <f t="shared" ca="1" si="90"/>
        <v>1.2110696758066348</v>
      </c>
      <c r="W201" s="357">
        <f t="shared" ca="1" si="91"/>
        <v>5.3192029539560481</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114.36720658453808</v>
      </c>
      <c r="AF201" s="344"/>
      <c r="AG201" s="359">
        <f t="shared" ca="1" si="114"/>
        <v>-12.969429551700038</v>
      </c>
      <c r="AH201" s="357">
        <f t="shared" ca="1" si="115"/>
        <v>-3.4173212789263685</v>
      </c>
    </row>
    <row r="202" spans="1:34" x14ac:dyDescent="0.2">
      <c r="A202" s="402">
        <f t="shared" ca="1" si="93"/>
        <v>0.01</v>
      </c>
      <c r="B202" s="357">
        <f t="shared" ca="1" si="94"/>
        <v>1.9800000000000015</v>
      </c>
      <c r="C202" s="342"/>
      <c r="D202" s="359">
        <f t="shared" ca="1" si="95"/>
        <v>-0.77636522476077663</v>
      </c>
      <c r="E202" s="360">
        <f t="shared" ca="1" si="96"/>
        <v>-13.123462414734579</v>
      </c>
      <c r="F202" s="357">
        <f t="shared" ca="1" si="97"/>
        <v>13.146406684458267</v>
      </c>
      <c r="G202" s="359">
        <f t="shared" ca="1" si="98"/>
        <v>14.485188425734979</v>
      </c>
      <c r="H202" s="360">
        <f t="shared" ca="1" si="99"/>
        <v>61.723483306761786</v>
      </c>
      <c r="I202" s="357">
        <f t="shared" ca="1" si="100"/>
        <v>63.400387027597453</v>
      </c>
      <c r="J202" s="359">
        <f t="shared" ca="1" si="101"/>
        <v>23.877524216952573</v>
      </c>
      <c r="K202" s="360">
        <f t="shared" ca="1" si="102"/>
        <v>114.98509759072644</v>
      </c>
      <c r="L202" s="357">
        <f t="shared" ca="1" si="87"/>
        <v>117.43810638238357</v>
      </c>
      <c r="M202" s="359">
        <f t="shared" ca="1" si="103"/>
        <v>1.3402888483691757</v>
      </c>
      <c r="N202" s="357">
        <f t="shared" ca="1" si="104"/>
        <v>76.792894340003315</v>
      </c>
      <c r="O202" s="343"/>
      <c r="P202" s="363">
        <f t="shared" ca="1" si="105"/>
        <v>13</v>
      </c>
      <c r="Q202" s="357">
        <f t="shared" ca="1" si="106"/>
        <v>0</v>
      </c>
      <c r="R202" s="359">
        <f t="shared" ca="1" si="107"/>
        <v>0</v>
      </c>
      <c r="S202" s="360">
        <f t="shared" ca="1" si="108"/>
        <v>1.5629999999999982</v>
      </c>
      <c r="T202" s="357">
        <f t="shared" ca="1" si="88"/>
        <v>15.333029999999983</v>
      </c>
      <c r="U202" s="364">
        <f t="shared" ca="1" si="89"/>
        <v>0</v>
      </c>
      <c r="V202" s="359">
        <f t="shared" ca="1" si="90"/>
        <v>1.2109948447522829</v>
      </c>
      <c r="W202" s="357">
        <f t="shared" ca="1" si="91"/>
        <v>5.2972054015516914</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114.98509759072644</v>
      </c>
      <c r="AF202" s="344"/>
      <c r="AG202" s="359">
        <f t="shared" ca="1" si="114"/>
        <v>-12.954522567791216</v>
      </c>
      <c r="AH202" s="357">
        <f t="shared" ca="1" si="115"/>
        <v>-3.4032008662546733</v>
      </c>
    </row>
    <row r="203" spans="1:34" x14ac:dyDescent="0.2">
      <c r="A203" s="402">
        <f t="shared" ca="1" si="93"/>
        <v>0.01</v>
      </c>
      <c r="B203" s="357">
        <f t="shared" ca="1" si="94"/>
        <v>1.9900000000000015</v>
      </c>
      <c r="C203" s="342"/>
      <c r="D203" s="359">
        <f t="shared" ca="1" si="95"/>
        <v>-0.77431928374087133</v>
      </c>
      <c r="E203" s="360">
        <f t="shared" ca="1" si="96"/>
        <v>-13.109486480905641</v>
      </c>
      <c r="F203" s="357">
        <f t="shared" ca="1" si="97"/>
        <v>13.132334375358433</v>
      </c>
      <c r="G203" s="359">
        <f t="shared" ca="1" si="98"/>
        <v>14.477445232897571</v>
      </c>
      <c r="H203" s="360">
        <f t="shared" ca="1" si="99"/>
        <v>61.592388441952728</v>
      </c>
      <c r="I203" s="357">
        <f t="shared" ca="1" si="100"/>
        <v>63.270994416525021</v>
      </c>
      <c r="J203" s="359">
        <f t="shared" ca="1" si="101"/>
        <v>24.022337385245734</v>
      </c>
      <c r="K203" s="360">
        <f t="shared" ca="1" si="102"/>
        <v>115.60167694947002</v>
      </c>
      <c r="L203" s="357">
        <f t="shared" ca="1" si="87"/>
        <v>118.07125139923014</v>
      </c>
      <c r="M203" s="359">
        <f t="shared" ca="1" si="103"/>
        <v>1.3399346091873301</v>
      </c>
      <c r="N203" s="357">
        <f t="shared" ca="1" si="104"/>
        <v>76.772597929945391</v>
      </c>
      <c r="O203" s="343"/>
      <c r="P203" s="363">
        <f t="shared" ca="1" si="105"/>
        <v>13</v>
      </c>
      <c r="Q203" s="357">
        <f t="shared" ca="1" si="106"/>
        <v>0</v>
      </c>
      <c r="R203" s="359">
        <f t="shared" ca="1" si="107"/>
        <v>0</v>
      </c>
      <c r="S203" s="360">
        <f t="shared" ca="1" si="108"/>
        <v>1.5629999999999982</v>
      </c>
      <c r="T203" s="357">
        <f t="shared" ca="1" si="88"/>
        <v>15.333029999999983</v>
      </c>
      <c r="U203" s="364">
        <f t="shared" ca="1" si="89"/>
        <v>0</v>
      </c>
      <c r="V203" s="359">
        <f t="shared" ca="1" si="90"/>
        <v>1.2109201771304337</v>
      </c>
      <c r="W203" s="357">
        <f t="shared" ca="1" si="91"/>
        <v>5.2752802557068774</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115.60167694947002</v>
      </c>
      <c r="AF203" s="344"/>
      <c r="AG203" s="359">
        <f t="shared" ca="1" si="114"/>
        <v>-12.939658086534454</v>
      </c>
      <c r="AH203" s="357">
        <f t="shared" ca="1" si="115"/>
        <v>-3.3891269363734469</v>
      </c>
    </row>
    <row r="204" spans="1:34" x14ac:dyDescent="0.2">
      <c r="A204" s="402">
        <f t="shared" ca="1" si="93"/>
        <v>0.01</v>
      </c>
      <c r="B204" s="357">
        <f t="shared" ca="1" si="94"/>
        <v>2.0000000000000013</v>
      </c>
      <c r="C204" s="342"/>
      <c r="D204" s="359">
        <f t="shared" ca="1" si="95"/>
        <v>-0.77227829565960304</v>
      </c>
      <c r="E204" s="360">
        <f t="shared" ca="1" si="96"/>
        <v>-13.095556533377081</v>
      </c>
      <c r="F204" s="357">
        <f t="shared" ca="1" si="97"/>
        <v>13.118308377409873</v>
      </c>
      <c r="G204" s="359">
        <f t="shared" ca="1" si="98"/>
        <v>14.469722449940974</v>
      </c>
      <c r="H204" s="360">
        <f t="shared" ca="1" si="99"/>
        <v>61.461432876618957</v>
      </c>
      <c r="I204" s="357">
        <f t="shared" ca="1" si="100"/>
        <v>63.141750047218864</v>
      </c>
      <c r="J204" s="359">
        <f t="shared" ca="1" si="101"/>
        <v>24.167073223659926</v>
      </c>
      <c r="K204" s="360">
        <f t="shared" ca="1" si="102"/>
        <v>116.21694605606288</v>
      </c>
      <c r="L204" s="357">
        <f t="shared" ca="1" si="87"/>
        <v>118.70310012293517</v>
      </c>
      <c r="M204" s="359">
        <f t="shared" ca="1" si="103"/>
        <v>1.3395791091322891</v>
      </c>
      <c r="N204" s="357">
        <f t="shared" ca="1" si="104"/>
        <v>76.752229277174877</v>
      </c>
      <c r="O204" s="343"/>
      <c r="P204" s="363">
        <f t="shared" ca="1" si="105"/>
        <v>13</v>
      </c>
      <c r="Q204" s="357">
        <f t="shared" ca="1" si="106"/>
        <v>0</v>
      </c>
      <c r="R204" s="359">
        <f t="shared" ca="1" si="107"/>
        <v>0</v>
      </c>
      <c r="S204" s="360">
        <f t="shared" ca="1" si="108"/>
        <v>1.5629999999999982</v>
      </c>
      <c r="T204" s="357">
        <f t="shared" ca="1" si="88"/>
        <v>15.333029999999983</v>
      </c>
      <c r="U204" s="364">
        <f t="shared" ca="1" si="89"/>
        <v>0</v>
      </c>
      <c r="V204" s="359">
        <f t="shared" ca="1" si="90"/>
        <v>1.2108456727424999</v>
      </c>
      <c r="W204" s="357">
        <f t="shared" ca="1" si="91"/>
        <v>5.2534272715683308</v>
      </c>
      <c r="X204" s="343"/>
      <c r="Y204" s="367" t="str">
        <f t="shared" ca="1" si="109"/>
        <v/>
      </c>
      <c r="Z204" s="368" t="str">
        <f t="shared" ca="1" si="110"/>
        <v/>
      </c>
      <c r="AA204" s="369" t="str">
        <f t="shared" ca="1" si="111"/>
        <v/>
      </c>
      <c r="AB204" s="344"/>
      <c r="AC204" s="363">
        <f t="shared" ca="1" si="112"/>
        <v>2.0000000000000013</v>
      </c>
      <c r="AD204" s="376">
        <f t="shared" ca="1" si="113"/>
        <v>24.167073223659926</v>
      </c>
      <c r="AE204" s="377">
        <f t="shared" ca="1" si="92"/>
        <v>116.21694605606288</v>
      </c>
      <c r="AF204" s="344"/>
      <c r="AG204" s="359">
        <f t="shared" ca="1" si="114"/>
        <v>-12.924835924242993</v>
      </c>
      <c r="AH204" s="357">
        <f t="shared" ca="1" si="115"/>
        <v>-3.3750993318662084</v>
      </c>
    </row>
    <row r="205" spans="1:34" x14ac:dyDescent="0.2">
      <c r="A205" s="402">
        <f t="shared" ca="1" si="93"/>
        <v>0.1</v>
      </c>
      <c r="B205" s="357">
        <f t="shared" ca="1" si="94"/>
        <v>2.1000000000000014</v>
      </c>
      <c r="C205" s="342"/>
      <c r="D205" s="359">
        <f t="shared" ca="1" si="95"/>
        <v>-0.77024224132833896</v>
      </c>
      <c r="E205" s="360">
        <f t="shared" ca="1" si="96"/>
        <v>-13.081672416517662</v>
      </c>
      <c r="F205" s="357">
        <f t="shared" ca="1" si="97"/>
        <v>13.104328533862601</v>
      </c>
      <c r="G205" s="359">
        <f t="shared" ca="1" si="98"/>
        <v>14.39269822580814</v>
      </c>
      <c r="H205" s="360">
        <f t="shared" ca="1" si="99"/>
        <v>60.153265634967191</v>
      </c>
      <c r="I205" s="357">
        <f t="shared" ca="1" si="100"/>
        <v>61.85115301083809</v>
      </c>
      <c r="J205" s="359">
        <f t="shared" ca="1" si="101"/>
        <v>25.610194257447382</v>
      </c>
      <c r="K205" s="360">
        <f t="shared" ca="1" si="102"/>
        <v>122.29768098164219</v>
      </c>
      <c r="L205" s="357">
        <f t="shared" ca="1" si="87"/>
        <v>124.95040945667891</v>
      </c>
      <c r="M205" s="359">
        <f t="shared" ca="1" si="103"/>
        <v>1.3359444327441552</v>
      </c>
      <c r="N205" s="357">
        <f t="shared" ca="1" si="104"/>
        <v>76.543977660238951</v>
      </c>
      <c r="O205" s="343"/>
      <c r="P205" s="363">
        <f t="shared" ca="1" si="105"/>
        <v>23</v>
      </c>
      <c r="Q205" s="357">
        <f t="shared" ca="1" si="106"/>
        <v>0</v>
      </c>
      <c r="R205" s="359">
        <f t="shared" ca="1" si="107"/>
        <v>0</v>
      </c>
      <c r="S205" s="360">
        <f t="shared" ca="1" si="108"/>
        <v>1.5629999999999982</v>
      </c>
      <c r="T205" s="357">
        <f t="shared" ca="1" si="88"/>
        <v>15.333029999999983</v>
      </c>
      <c r="U205" s="364">
        <f t="shared" ca="1" si="89"/>
        <v>0</v>
      </c>
      <c r="V205" s="359">
        <f t="shared" ca="1" si="90"/>
        <v>1.2101095872272969</v>
      </c>
      <c r="W205" s="357">
        <f t="shared" ca="1" si="91"/>
        <v>5.0378009337500895</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122.29768098164219</v>
      </c>
      <c r="AF205" s="344"/>
      <c r="AG205" s="359">
        <f t="shared" ca="1" si="114"/>
        <v>-12.910055897775424</v>
      </c>
      <c r="AH205" s="357">
        <f t="shared" ca="1" si="115"/>
        <v>-3.361117896076991</v>
      </c>
    </row>
    <row r="206" spans="1:34" x14ac:dyDescent="0.2">
      <c r="A206" s="402">
        <f t="shared" ca="1" si="93"/>
        <v>0.1</v>
      </c>
      <c r="B206" s="357">
        <f t="shared" ca="1" si="94"/>
        <v>2.2000000000000015</v>
      </c>
      <c r="C206" s="342"/>
      <c r="D206" s="359">
        <f t="shared" ca="1" si="95"/>
        <v>-0.75002621657517954</v>
      </c>
      <c r="E206" s="360">
        <f t="shared" ca="1" si="96"/>
        <v>-12.944681595556274</v>
      </c>
      <c r="F206" s="357">
        <f t="shared" ca="1" si="97"/>
        <v>12.96639197833705</v>
      </c>
      <c r="G206" s="359">
        <f t="shared" ca="1" si="98"/>
        <v>14.317695604150622</v>
      </c>
      <c r="H206" s="360">
        <f t="shared" ca="1" si="99"/>
        <v>58.858797475411563</v>
      </c>
      <c r="I206" s="357">
        <f t="shared" ca="1" si="100"/>
        <v>60.575196637440875</v>
      </c>
      <c r="J206" s="359">
        <f t="shared" ca="1" si="101"/>
        <v>27.04571394894532</v>
      </c>
      <c r="K206" s="360">
        <f t="shared" ca="1" si="102"/>
        <v>128.24828413716114</v>
      </c>
      <c r="L206" s="357">
        <f t="shared" ca="1" si="87"/>
        <v>131.06903916308457</v>
      </c>
      <c r="M206" s="359">
        <f t="shared" ca="1" si="103"/>
        <v>1.3321759231761388</v>
      </c>
      <c r="N206" s="357">
        <f t="shared" ca="1" si="104"/>
        <v>76.328057966936939</v>
      </c>
      <c r="O206" s="343"/>
      <c r="P206" s="363">
        <f t="shared" ca="1" si="105"/>
        <v>23</v>
      </c>
      <c r="Q206" s="357">
        <f t="shared" ca="1" si="106"/>
        <v>0</v>
      </c>
      <c r="R206" s="359">
        <f t="shared" ca="1" si="107"/>
        <v>0</v>
      </c>
      <c r="S206" s="360">
        <f t="shared" ca="1" si="108"/>
        <v>1.5629999999999982</v>
      </c>
      <c r="T206" s="357">
        <f t="shared" ca="1" si="88"/>
        <v>15.333029999999983</v>
      </c>
      <c r="U206" s="364">
        <f t="shared" ca="1" si="89"/>
        <v>0</v>
      </c>
      <c r="V206" s="359">
        <f t="shared" ca="1" si="90"/>
        <v>1.2093896849988848</v>
      </c>
      <c r="W206" s="357">
        <f t="shared" ca="1" si="91"/>
        <v>4.8292159478878309</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128.24828413716114</v>
      </c>
      <c r="AF206" s="344"/>
      <c r="AG206" s="359">
        <f t="shared" ca="1" si="114"/>
        <v>-12.763865071938799</v>
      </c>
      <c r="AH206" s="357">
        <f t="shared" ca="1" si="115"/>
        <v>-3.2231611860205347</v>
      </c>
    </row>
    <row r="207" spans="1:34" x14ac:dyDescent="0.2">
      <c r="A207" s="402">
        <f t="shared" ca="1" si="93"/>
        <v>0.1</v>
      </c>
      <c r="B207" s="357">
        <f t="shared" ca="1" si="94"/>
        <v>2.3000000000000016</v>
      </c>
      <c r="C207" s="342"/>
      <c r="D207" s="359">
        <f t="shared" ca="1" si="95"/>
        <v>-0.73029098667922465</v>
      </c>
      <c r="E207" s="360">
        <f t="shared" ca="1" si="96"/>
        <v>-12.812162531700293</v>
      </c>
      <c r="F207" s="357">
        <f t="shared" ca="1" si="97"/>
        <v>12.832958881876378</v>
      </c>
      <c r="G207" s="359">
        <f t="shared" ca="1" si="98"/>
        <v>14.2446665054827</v>
      </c>
      <c r="H207" s="360">
        <f t="shared" ca="1" si="99"/>
        <v>57.577581222241534</v>
      </c>
      <c r="I207" s="357">
        <f t="shared" ca="1" si="100"/>
        <v>59.313475562103434</v>
      </c>
      <c r="J207" s="359">
        <f t="shared" ca="1" si="101"/>
        <v>28.473832054426985</v>
      </c>
      <c r="K207" s="360">
        <f t="shared" ca="1" si="102"/>
        <v>134.07010307204379</v>
      </c>
      <c r="L207" s="357">
        <f t="shared" ca="1" si="87"/>
        <v>137.06039416845465</v>
      </c>
      <c r="M207" s="359">
        <f t="shared" ca="1" si="103"/>
        <v>1.3282666588799006</v>
      </c>
      <c r="N207" s="357">
        <f t="shared" ca="1" si="104"/>
        <v>76.104073621761316</v>
      </c>
      <c r="O207" s="343"/>
      <c r="P207" s="363">
        <f t="shared" ca="1" si="105"/>
        <v>23</v>
      </c>
      <c r="Q207" s="357">
        <f t="shared" ca="1" si="106"/>
        <v>0</v>
      </c>
      <c r="R207" s="359">
        <f t="shared" ca="1" si="107"/>
        <v>0</v>
      </c>
      <c r="S207" s="360">
        <f t="shared" ca="1" si="108"/>
        <v>1.5629999999999982</v>
      </c>
      <c r="T207" s="357">
        <f t="shared" ca="1" si="88"/>
        <v>15.333029999999983</v>
      </c>
      <c r="U207" s="364">
        <f t="shared" ca="1" si="89"/>
        <v>0</v>
      </c>
      <c r="V207" s="359">
        <f t="shared" ca="1" si="90"/>
        <v>1.2086857748659379</v>
      </c>
      <c r="W207" s="357">
        <f t="shared" ca="1" si="91"/>
        <v>4.6274406519262454</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134.07010307204379</v>
      </c>
      <c r="AF207" s="344"/>
      <c r="AG207" s="359">
        <f t="shared" ca="1" si="114"/>
        <v>-12.621742993279243</v>
      </c>
      <c r="AH207" s="357">
        <f t="shared" ca="1" si="115"/>
        <v>-3.089709499608341</v>
      </c>
    </row>
    <row r="208" spans="1:34" x14ac:dyDescent="0.2">
      <c r="A208" s="402">
        <f t="shared" ca="1" si="93"/>
        <v>0.1</v>
      </c>
      <c r="B208" s="357">
        <f t="shared" ca="1" si="94"/>
        <v>2.4000000000000017</v>
      </c>
      <c r="C208" s="342"/>
      <c r="D208" s="359">
        <f t="shared" ca="1" si="95"/>
        <v>-0.7110183229255288</v>
      </c>
      <c r="E208" s="360">
        <f t="shared" ca="1" si="96"/>
        <v>-12.683967967097685</v>
      </c>
      <c r="F208" s="357">
        <f t="shared" ca="1" si="97"/>
        <v>12.703880920643739</v>
      </c>
      <c r="G208" s="359">
        <f t="shared" ca="1" si="98"/>
        <v>14.173564673190146</v>
      </c>
      <c r="H208" s="360">
        <f t="shared" ca="1" si="99"/>
        <v>56.309184425531768</v>
      </c>
      <c r="I208" s="357">
        <f t="shared" ca="1" si="100"/>
        <v>58.065602435638716</v>
      </c>
      <c r="J208" s="359">
        <f t="shared" ca="1" si="101"/>
        <v>29.894743613360628</v>
      </c>
      <c r="K208" s="360">
        <f t="shared" ca="1" si="102"/>
        <v>139.76444135443245</v>
      </c>
      <c r="L208" s="357">
        <f t="shared" ca="1" si="87"/>
        <v>142.92583658256177</v>
      </c>
      <c r="M208" s="359">
        <f t="shared" ca="1" si="103"/>
        <v>1.3242092369155445</v>
      </c>
      <c r="N208" s="357">
        <f t="shared" ca="1" si="104"/>
        <v>75.871600467500031</v>
      </c>
      <c r="O208" s="343"/>
      <c r="P208" s="363">
        <f t="shared" ca="1" si="105"/>
        <v>23</v>
      </c>
      <c r="Q208" s="357">
        <f t="shared" ca="1" si="106"/>
        <v>0</v>
      </c>
      <c r="R208" s="359">
        <f t="shared" ca="1" si="107"/>
        <v>0</v>
      </c>
      <c r="S208" s="360">
        <f t="shared" ca="1" si="108"/>
        <v>1.5629999999999982</v>
      </c>
      <c r="T208" s="357">
        <f t="shared" ca="1" si="88"/>
        <v>15.333029999999983</v>
      </c>
      <c r="U208" s="364">
        <f t="shared" ca="1" si="89"/>
        <v>0</v>
      </c>
      <c r="V208" s="359">
        <f t="shared" ca="1" si="90"/>
        <v>1.2079976719779681</v>
      </c>
      <c r="W208" s="357">
        <f t="shared" ca="1" si="91"/>
        <v>4.4322543060341371</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139.76444135443245</v>
      </c>
      <c r="AF208" s="344"/>
      <c r="AG208" s="359">
        <f t="shared" ca="1" si="114"/>
        <v>-12.483510833216469</v>
      </c>
      <c r="AH208" s="357">
        <f t="shared" ca="1" si="115"/>
        <v>-2.9606146205542232</v>
      </c>
    </row>
    <row r="209" spans="1:34" x14ac:dyDescent="0.2">
      <c r="A209" s="402">
        <f t="shared" ca="1" si="93"/>
        <v>0.1</v>
      </c>
      <c r="B209" s="357">
        <f t="shared" ca="1" si="94"/>
        <v>2.5000000000000018</v>
      </c>
      <c r="C209" s="342"/>
      <c r="D209" s="359">
        <f t="shared" ca="1" si="95"/>
        <v>-0.6921908371922384</v>
      </c>
      <c r="E209" s="360">
        <f t="shared" ca="1" si="96"/>
        <v>-12.559957572977174</v>
      </c>
      <c r="F209" s="357">
        <f t="shared" ca="1" si="97"/>
        <v>12.579016749733643</v>
      </c>
      <c r="G209" s="359">
        <f t="shared" ca="1" si="98"/>
        <v>14.104345589470922</v>
      </c>
      <c r="H209" s="360">
        <f t="shared" ca="1" si="99"/>
        <v>55.05318866823405</v>
      </c>
      <c r="I209" s="357">
        <f t="shared" ca="1" si="100"/>
        <v>56.831207510023944</v>
      </c>
      <c r="J209" s="359">
        <f t="shared" ca="1" si="101"/>
        <v>31.308639126493681</v>
      </c>
      <c r="K209" s="360">
        <f t="shared" ca="1" si="102"/>
        <v>145.33256000912075</v>
      </c>
      <c r="L209" s="357">
        <f t="shared" ca="1" si="87"/>
        <v>148.66668719910891</v>
      </c>
      <c r="M209" s="359">
        <f t="shared" ca="1" si="103"/>
        <v>1.3199957314444777</v>
      </c>
      <c r="N209" s="357">
        <f t="shared" ca="1" si="104"/>
        <v>75.630184387052623</v>
      </c>
      <c r="O209" s="343"/>
      <c r="P209" s="363">
        <f t="shared" ca="1" si="105"/>
        <v>23</v>
      </c>
      <c r="Q209" s="357">
        <f t="shared" ca="1" si="106"/>
        <v>0</v>
      </c>
      <c r="R209" s="359">
        <f t="shared" ca="1" si="107"/>
        <v>0</v>
      </c>
      <c r="S209" s="360">
        <f t="shared" ca="1" si="108"/>
        <v>1.5629999999999982</v>
      </c>
      <c r="T209" s="357">
        <f t="shared" ca="1" si="88"/>
        <v>15.333029999999983</v>
      </c>
      <c r="U209" s="364">
        <f t="shared" ca="1" si="89"/>
        <v>0</v>
      </c>
      <c r="V209" s="359">
        <f t="shared" ca="1" si="90"/>
        <v>1.2073251976128121</v>
      </c>
      <c r="W209" s="357">
        <f t="shared" ca="1" si="91"/>
        <v>4.2434465184012664</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145.33256000912075</v>
      </c>
      <c r="AF209" s="344"/>
      <c r="AG209" s="359">
        <f t="shared" ca="1" si="114"/>
        <v>-12.348994049369537</v>
      </c>
      <c r="AH209" s="357">
        <f t="shared" ca="1" si="115"/>
        <v>-2.8357353205592721</v>
      </c>
    </row>
    <row r="210" spans="1:34" x14ac:dyDescent="0.2">
      <c r="A210" s="402">
        <f t="shared" ca="1" si="93"/>
        <v>0.1</v>
      </c>
      <c r="B210" s="357">
        <f t="shared" ca="1" si="94"/>
        <v>2.6000000000000019</v>
      </c>
      <c r="C210" s="342"/>
      <c r="D210" s="359">
        <f t="shared" ca="1" si="95"/>
        <v>-0.67379194047914237</v>
      </c>
      <c r="E210" s="360">
        <f t="shared" ca="1" si="96"/>
        <v>-12.439997583867003</v>
      </c>
      <c r="F210" s="357">
        <f t="shared" ca="1" si="97"/>
        <v>12.458231634773512</v>
      </c>
      <c r="G210" s="359">
        <f t="shared" ca="1" si="98"/>
        <v>14.036966395423008</v>
      </c>
      <c r="H210" s="360">
        <f t="shared" ca="1" si="99"/>
        <v>53.80918890984735</v>
      </c>
      <c r="I210" s="357">
        <f t="shared" ca="1" si="100"/>
        <v>55.609938290937471</v>
      </c>
      <c r="J210" s="359">
        <f t="shared" ca="1" si="101"/>
        <v>32.715704725738377</v>
      </c>
      <c r="K210" s="360">
        <f t="shared" ca="1" si="102"/>
        <v>150.77567888802483</v>
      </c>
      <c r="L210" s="357">
        <f t="shared" ca="1" si="87"/>
        <v>154.28422693148667</v>
      </c>
      <c r="M210" s="359">
        <f t="shared" ca="1" si="103"/>
        <v>1.3156176479620447</v>
      </c>
      <c r="N210" s="357">
        <f t="shared" ca="1" si="104"/>
        <v>75.379338681153271</v>
      </c>
      <c r="O210" s="343"/>
      <c r="P210" s="363">
        <f t="shared" ca="1" si="105"/>
        <v>23</v>
      </c>
      <c r="Q210" s="357">
        <f t="shared" ca="1" si="106"/>
        <v>0</v>
      </c>
      <c r="R210" s="359">
        <f t="shared" ca="1" si="107"/>
        <v>0</v>
      </c>
      <c r="S210" s="360">
        <f t="shared" ca="1" si="108"/>
        <v>1.5629999999999982</v>
      </c>
      <c r="T210" s="357">
        <f t="shared" ca="1" si="88"/>
        <v>15.333029999999983</v>
      </c>
      <c r="U210" s="364">
        <f t="shared" ca="1" si="89"/>
        <v>0</v>
      </c>
      <c r="V210" s="359">
        <f t="shared" ca="1" si="90"/>
        <v>1.2066681789742377</v>
      </c>
      <c r="W210" s="357">
        <f t="shared" ca="1" si="91"/>
        <v>4.0608167072784251</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150.77567888802483</v>
      </c>
      <c r="AF210" s="344"/>
      <c r="AG210" s="359">
        <f t="shared" ca="1" si="114"/>
        <v>-12.218021731782684</v>
      </c>
      <c r="AH210" s="357">
        <f t="shared" ca="1" si="115"/>
        <v>-2.7149369919393931</v>
      </c>
    </row>
    <row r="211" spans="1:34" x14ac:dyDescent="0.2">
      <c r="A211" s="402">
        <f t="shared" ca="1" si="93"/>
        <v>0.1</v>
      </c>
      <c r="B211" s="357">
        <f t="shared" ca="1" si="94"/>
        <v>2.700000000000002</v>
      </c>
      <c r="C211" s="342"/>
      <c r="D211" s="359">
        <f t="shared" ca="1" si="95"/>
        <v>-0.65580580449208392</v>
      </c>
      <c r="E211" s="360">
        <f t="shared" ca="1" si="96"/>
        <v>-12.323960454703045</v>
      </c>
      <c r="F211" s="357">
        <f t="shared" ca="1" si="97"/>
        <v>12.341397106579546</v>
      </c>
      <c r="G211" s="359">
        <f t="shared" ca="1" si="98"/>
        <v>13.9713858149738</v>
      </c>
      <c r="H211" s="360">
        <f t="shared" ca="1" si="99"/>
        <v>52.576792864377047</v>
      </c>
      <c r="I211" s="357">
        <f t="shared" ca="1" si="100"/>
        <v>54.401459258869707</v>
      </c>
      <c r="J211" s="359">
        <f t="shared" ca="1" si="101"/>
        <v>34.116122336258215</v>
      </c>
      <c r="K211" s="360">
        <f t="shared" ca="1" si="102"/>
        <v>156.09497797673606</v>
      </c>
      <c r="L211" s="357">
        <f t="shared" ca="1" si="87"/>
        <v>159.77969818728616</v>
      </c>
      <c r="M211" s="359">
        <f t="shared" ca="1" si="103"/>
        <v>1.3110658727671836</v>
      </c>
      <c r="N211" s="357">
        <f t="shared" ca="1" si="104"/>
        <v>75.118541173195396</v>
      </c>
      <c r="O211" s="343"/>
      <c r="P211" s="363">
        <f t="shared" ca="1" si="105"/>
        <v>23</v>
      </c>
      <c r="Q211" s="357">
        <f t="shared" ca="1" si="106"/>
        <v>0</v>
      </c>
      <c r="R211" s="359">
        <f t="shared" ca="1" si="107"/>
        <v>0</v>
      </c>
      <c r="S211" s="360">
        <f t="shared" ca="1" si="108"/>
        <v>1.5629999999999982</v>
      </c>
      <c r="T211" s="357">
        <f t="shared" ca="1" si="88"/>
        <v>15.333029999999983</v>
      </c>
      <c r="U211" s="364">
        <f t="shared" ca="1" si="89"/>
        <v>0</v>
      </c>
      <c r="V211" s="359">
        <f t="shared" ca="1" si="90"/>
        <v>1.206026448999131</v>
      </c>
      <c r="W211" s="357">
        <f t="shared" ca="1" si="91"/>
        <v>3.8841735967066269</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156.09497797673606</v>
      </c>
      <c r="AF211" s="344"/>
      <c r="AG211" s="359">
        <f t="shared" ca="1" si="114"/>
        <v>-12.090425936936402</v>
      </c>
      <c r="AH211" s="357">
        <f t="shared" ca="1" si="115"/>
        <v>-2.5980913034410942</v>
      </c>
    </row>
    <row r="212" spans="1:34" x14ac:dyDescent="0.2">
      <c r="A212" s="402">
        <f t="shared" ca="1" si="93"/>
        <v>0.1</v>
      </c>
      <c r="B212" s="357">
        <f t="shared" ca="1" si="94"/>
        <v>2.800000000000002</v>
      </c>
      <c r="C212" s="342"/>
      <c r="D212" s="359">
        <f t="shared" ca="1" si="95"/>
        <v>-0.6382173261268318</v>
      </c>
      <c r="E212" s="360">
        <f t="shared" ca="1" si="96"/>
        <v>-12.211724539183798</v>
      </c>
      <c r="F212" s="357">
        <f t="shared" ca="1" si="97"/>
        <v>12.228390637212742</v>
      </c>
      <c r="G212" s="359">
        <f t="shared" ca="1" si="98"/>
        <v>13.907564082361118</v>
      </c>
      <c r="H212" s="360">
        <f t="shared" ca="1" si="99"/>
        <v>51.35562041045867</v>
      </c>
      <c r="I212" s="357">
        <f t="shared" ca="1" si="100"/>
        <v>53.205451660972678</v>
      </c>
      <c r="J212" s="359">
        <f t="shared" ca="1" si="101"/>
        <v>35.510069831124959</v>
      </c>
      <c r="K212" s="360">
        <f t="shared" ca="1" si="102"/>
        <v>161.29159864047784</v>
      </c>
      <c r="L212" s="357">
        <f t="shared" ca="1" si="87"/>
        <v>165.15430618488992</v>
      </c>
      <c r="M212" s="359">
        <f t="shared" ca="1" si="103"/>
        <v>1.3063306171001157</v>
      </c>
      <c r="N212" s="357">
        <f t="shared" ca="1" si="104"/>
        <v>74.847231008556989</v>
      </c>
      <c r="O212" s="343"/>
      <c r="P212" s="363">
        <f t="shared" ca="1" si="105"/>
        <v>23</v>
      </c>
      <c r="Q212" s="357">
        <f t="shared" ca="1" si="106"/>
        <v>0</v>
      </c>
      <c r="R212" s="359">
        <f t="shared" ca="1" si="107"/>
        <v>0</v>
      </c>
      <c r="S212" s="360">
        <f t="shared" ca="1" si="108"/>
        <v>1.5629999999999982</v>
      </c>
      <c r="T212" s="357">
        <f t="shared" ca="1" si="88"/>
        <v>15.333029999999983</v>
      </c>
      <c r="U212" s="364">
        <f t="shared" ca="1" si="89"/>
        <v>0</v>
      </c>
      <c r="V212" s="359">
        <f t="shared" ca="1" si="90"/>
        <v>1.2053998461737534</v>
      </c>
      <c r="W212" s="357">
        <f t="shared" ca="1" si="91"/>
        <v>3.7133347435838822</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161.29159864047784</v>
      </c>
      <c r="AF212" s="344"/>
      <c r="AG212" s="359">
        <f t="shared" ca="1" si="114"/>
        <v>-11.966041002925497</v>
      </c>
      <c r="AH212" s="357">
        <f t="shared" ca="1" si="115"/>
        <v>-2.4850758776114086</v>
      </c>
    </row>
    <row r="213" spans="1:34" x14ac:dyDescent="0.2">
      <c r="A213" s="402">
        <f t="shared" ca="1" si="93"/>
        <v>0.1</v>
      </c>
      <c r="B213" s="357">
        <f t="shared" ca="1" si="94"/>
        <v>2.9000000000000021</v>
      </c>
      <c r="C213" s="342"/>
      <c r="D213" s="359">
        <f t="shared" ca="1" si="95"/>
        <v>-0.62101209471692853</v>
      </c>
      <c r="E213" s="360">
        <f t="shared" ca="1" si="96"/>
        <v>-12.103173787855159</v>
      </c>
      <c r="F213" s="357">
        <f t="shared" ca="1" si="97"/>
        <v>12.119095335907252</v>
      </c>
      <c r="G213" s="359">
        <f t="shared" ca="1" si="98"/>
        <v>13.845462872889424</v>
      </c>
      <c r="H213" s="360">
        <f t="shared" ca="1" si="99"/>
        <v>50.145303031673151</v>
      </c>
      <c r="I213" s="357">
        <f t="shared" ca="1" si="100"/>
        <v>52.021613376585002</v>
      </c>
      <c r="J213" s="359">
        <f t="shared" ca="1" si="101"/>
        <v>36.897721178887487</v>
      </c>
      <c r="K213" s="360">
        <f t="shared" ca="1" si="102"/>
        <v>166.36664481258444</v>
      </c>
      <c r="L213" s="357">
        <f t="shared" ca="1" si="87"/>
        <v>170.40922021531449</v>
      </c>
      <c r="M213" s="359">
        <f t="shared" ca="1" si="103"/>
        <v>1.3014013553033763</v>
      </c>
      <c r="N213" s="357">
        <f t="shared" ca="1" si="104"/>
        <v>74.564805111488752</v>
      </c>
      <c r="O213" s="343"/>
      <c r="P213" s="363">
        <f t="shared" ca="1" si="105"/>
        <v>23</v>
      </c>
      <c r="Q213" s="357">
        <f t="shared" ca="1" si="106"/>
        <v>0</v>
      </c>
      <c r="R213" s="359">
        <f t="shared" ca="1" si="107"/>
        <v>0</v>
      </c>
      <c r="S213" s="360">
        <f t="shared" ca="1" si="108"/>
        <v>1.5629999999999982</v>
      </c>
      <c r="T213" s="357">
        <f t="shared" ca="1" si="88"/>
        <v>15.333029999999983</v>
      </c>
      <c r="U213" s="364">
        <f t="shared" ca="1" si="89"/>
        <v>0</v>
      </c>
      <c r="V213" s="359">
        <f t="shared" ca="1" si="90"/>
        <v>1.2047882143586</v>
      </c>
      <c r="W213" s="357">
        <f t="shared" ca="1" si="91"/>
        <v>3.5481260939030004</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166.36664481258444</v>
      </c>
      <c r="AF213" s="344"/>
      <c r="AG213" s="359">
        <f t="shared" ca="1" si="114"/>
        <v>-11.844702838531994</v>
      </c>
      <c r="AH213" s="357">
        <f t="shared" ca="1" si="115"/>
        <v>-2.3757739882174578</v>
      </c>
    </row>
    <row r="214" spans="1:34" x14ac:dyDescent="0.2">
      <c r="A214" s="402">
        <f t="shared" ca="1" si="93"/>
        <v>0.1</v>
      </c>
      <c r="B214" s="357">
        <f t="shared" ca="1" si="94"/>
        <v>3.0000000000000022</v>
      </c>
      <c r="C214" s="342"/>
      <c r="D214" s="359">
        <f t="shared" ca="1" si="95"/>
        <v>-0.60417636193052349</v>
      </c>
      <c r="E214" s="360">
        <f t="shared" ca="1" si="96"/>
        <v>-11.998197464521265</v>
      </c>
      <c r="F214" s="357">
        <f t="shared" ca="1" si="97"/>
        <v>12.013399663457474</v>
      </c>
      <c r="G214" s="359">
        <f t="shared" ca="1" si="98"/>
        <v>13.785045236696371</v>
      </c>
      <c r="H214" s="360">
        <f t="shared" ca="1" si="99"/>
        <v>48.945483285221023</v>
      </c>
      <c r="I214" s="357">
        <f t="shared" ca="1" si="100"/>
        <v>50.849658860228516</v>
      </c>
      <c r="J214" s="359">
        <f t="shared" ca="1" si="101"/>
        <v>38.279246584366774</v>
      </c>
      <c r="K214" s="360">
        <f t="shared" ca="1" si="102"/>
        <v>171.32118412842914</v>
      </c>
      <c r="L214" s="357">
        <f t="shared" ca="1" si="87"/>
        <v>175.54557485232681</v>
      </c>
      <c r="M214" s="359">
        <f t="shared" ca="1" si="103"/>
        <v>1.2962667562749595</v>
      </c>
      <c r="N214" s="357">
        <f t="shared" ca="1" si="104"/>
        <v>74.270614257668498</v>
      </c>
      <c r="O214" s="343"/>
      <c r="P214" s="363">
        <f t="shared" ca="1" si="105"/>
        <v>23</v>
      </c>
      <c r="Q214" s="357">
        <f t="shared" ca="1" si="106"/>
        <v>0</v>
      </c>
      <c r="R214" s="359">
        <f t="shared" ca="1" si="107"/>
        <v>0</v>
      </c>
      <c r="S214" s="360">
        <f t="shared" ca="1" si="108"/>
        <v>1.5629999999999982</v>
      </c>
      <c r="T214" s="357">
        <f t="shared" ca="1" si="88"/>
        <v>15.333029999999983</v>
      </c>
      <c r="U214" s="364">
        <f t="shared" ca="1" si="89"/>
        <v>0</v>
      </c>
      <c r="V214" s="359">
        <f t="shared" ca="1" si="90"/>
        <v>1.2041914026214151</v>
      </c>
      <c r="W214" s="357">
        <f t="shared" ca="1" si="91"/>
        <v>3.3883815661627006</v>
      </c>
      <c r="X214" s="343"/>
      <c r="Y214" s="367" t="str">
        <f t="shared" ca="1" si="109"/>
        <v/>
      </c>
      <c r="Z214" s="368" t="str">
        <f t="shared" ca="1" si="110"/>
        <v/>
      </c>
      <c r="AA214" s="369" t="str">
        <f t="shared" ca="1" si="111"/>
        <v/>
      </c>
      <c r="AB214" s="344"/>
      <c r="AC214" s="363">
        <f t="shared" ca="1" si="112"/>
        <v>3.0000000000000022</v>
      </c>
      <c r="AD214" s="376">
        <f t="shared" ca="1" si="113"/>
        <v>38.279246584366774</v>
      </c>
      <c r="AE214" s="377">
        <f t="shared" ca="1" si="92"/>
        <v>171.32118412842914</v>
      </c>
      <c r="AF214" s="344"/>
      <c r="AG214" s="359">
        <f t="shared" ca="1" si="114"/>
        <v>-11.726248178120285</v>
      </c>
      <c r="AH214" s="357">
        <f t="shared" ca="1" si="115"/>
        <v>-2.2700742763294977</v>
      </c>
    </row>
    <row r="215" spans="1:34" x14ac:dyDescent="0.2">
      <c r="A215" s="402">
        <f t="shared" ca="1" si="93"/>
        <v>0.1</v>
      </c>
      <c r="B215" s="357">
        <f t="shared" ca="1" si="94"/>
        <v>3.1000000000000023</v>
      </c>
      <c r="C215" s="342"/>
      <c r="D215" s="359">
        <f t="shared" ca="1" si="95"/>
        <v>-0.58769701422143039</v>
      </c>
      <c r="E215" s="360">
        <f t="shared" ca="1" si="96"/>
        <v>-11.896689879680292</v>
      </c>
      <c r="F215" s="357">
        <f t="shared" ca="1" si="97"/>
        <v>11.911197163753618</v>
      </c>
      <c r="G215" s="359">
        <f t="shared" ca="1" si="98"/>
        <v>13.726275535274228</v>
      </c>
      <c r="H215" s="360">
        <f t="shared" ca="1" si="99"/>
        <v>47.755814297252996</v>
      </c>
      <c r="I215" s="357">
        <f t="shared" ca="1" si="100"/>
        <v>49.689319166838878</v>
      </c>
      <c r="J215" s="359">
        <f t="shared" ca="1" si="101"/>
        <v>39.654812622965302</v>
      </c>
      <c r="K215" s="360">
        <f t="shared" ca="1" si="102"/>
        <v>176.15624900755284</v>
      </c>
      <c r="L215" s="357">
        <f t="shared" ca="1" si="87"/>
        <v>180.564471113709</v>
      </c>
      <c r="M215" s="359">
        <f t="shared" ca="1" si="103"/>
        <v>1.2909146073833528</v>
      </c>
      <c r="N215" s="357">
        <f t="shared" ca="1" si="104"/>
        <v>73.963958714853817</v>
      </c>
      <c r="O215" s="343"/>
      <c r="P215" s="363">
        <f t="shared" ca="1" si="105"/>
        <v>23</v>
      </c>
      <c r="Q215" s="357">
        <f t="shared" ca="1" si="106"/>
        <v>0</v>
      </c>
      <c r="R215" s="359">
        <f t="shared" ca="1" si="107"/>
        <v>0</v>
      </c>
      <c r="S215" s="360">
        <f t="shared" ca="1" si="108"/>
        <v>1.5629999999999982</v>
      </c>
      <c r="T215" s="357">
        <f t="shared" ca="1" si="88"/>
        <v>15.333029999999983</v>
      </c>
      <c r="U215" s="364">
        <f t="shared" ca="1" si="89"/>
        <v>0</v>
      </c>
      <c r="V215" s="359">
        <f t="shared" ca="1" si="90"/>
        <v>1.2036092650779442</v>
      </c>
      <c r="W215" s="357">
        <f t="shared" ca="1" si="91"/>
        <v>3.2339426601087085</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176.15624900755284</v>
      </c>
      <c r="AF215" s="344"/>
      <c r="AG215" s="359">
        <f t="shared" ca="1" si="114"/>
        <v>-11.610513793311425</v>
      </c>
      <c r="AH215" s="357">
        <f t="shared" ca="1" si="115"/>
        <v>-2.1678704837893181</v>
      </c>
    </row>
    <row r="216" spans="1:34" x14ac:dyDescent="0.2">
      <c r="A216" s="402">
        <f t="shared" ca="1" si="93"/>
        <v>0.1</v>
      </c>
      <c r="B216" s="357">
        <f t="shared" ca="1" si="94"/>
        <v>3.2000000000000024</v>
      </c>
      <c r="C216" s="342"/>
      <c r="D216" s="359">
        <f t="shared" ca="1" si="95"/>
        <v>-0.57156154776003254</v>
      </c>
      <c r="E216" s="360">
        <f t="shared" ca="1" si="96"/>
        <v>-11.798550139776376</v>
      </c>
      <c r="F216" s="357">
        <f t="shared" ca="1" si="97"/>
        <v>11.812386211248555</v>
      </c>
      <c r="G216" s="359">
        <f t="shared" ca="1" si="98"/>
        <v>13.669119380498225</v>
      </c>
      <c r="H216" s="360">
        <f t="shared" ca="1" si="99"/>
        <v>46.57595928327536</v>
      </c>
      <c r="I216" s="357">
        <f t="shared" ca="1" si="100"/>
        <v>48.540342065086818</v>
      </c>
      <c r="J216" s="359">
        <f t="shared" ca="1" si="101"/>
        <v>41.024582368753926</v>
      </c>
      <c r="K216" s="360">
        <f t="shared" ca="1" si="102"/>
        <v>180.87283768657926</v>
      </c>
      <c r="L216" s="357">
        <f t="shared" ca="1" si="87"/>
        <v>185.46697757640393</v>
      </c>
      <c r="M216" s="359">
        <f t="shared" ca="1" si="103"/>
        <v>1.2853317299009932</v>
      </c>
      <c r="N216" s="357">
        <f t="shared" ca="1" si="104"/>
        <v>73.644083397575983</v>
      </c>
      <c r="O216" s="343"/>
      <c r="P216" s="363">
        <f t="shared" ca="1" si="105"/>
        <v>23</v>
      </c>
      <c r="Q216" s="357">
        <f t="shared" ca="1" si="106"/>
        <v>0</v>
      </c>
      <c r="R216" s="359">
        <f t="shared" ca="1" si="107"/>
        <v>0</v>
      </c>
      <c r="S216" s="360">
        <f t="shared" ca="1" si="108"/>
        <v>1.5629999999999982</v>
      </c>
      <c r="T216" s="357">
        <f t="shared" ca="1" si="88"/>
        <v>15.333029999999983</v>
      </c>
      <c r="U216" s="364">
        <f t="shared" ca="1" si="89"/>
        <v>0</v>
      </c>
      <c r="V216" s="359">
        <f t="shared" ca="1" si="90"/>
        <v>1.2030416607400358</v>
      </c>
      <c r="W216" s="357">
        <f t="shared" ca="1" si="91"/>
        <v>3.0846580891027897</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180.87283768657926</v>
      </c>
      <c r="AF216" s="344"/>
      <c r="AG216" s="359">
        <f t="shared" ca="1" si="114"/>
        <v>-11.497335651223324</v>
      </c>
      <c r="AH216" s="357">
        <f t="shared" ca="1" si="115"/>
        <v>-2.0690612028846527</v>
      </c>
    </row>
    <row r="217" spans="1:34" x14ac:dyDescent="0.2">
      <c r="A217" s="402">
        <f t="shared" ca="1" si="93"/>
        <v>0.1</v>
      </c>
      <c r="B217" s="357">
        <f t="shared" ca="1" si="94"/>
        <v>3.3000000000000025</v>
      </c>
      <c r="C217" s="342"/>
      <c r="D217" s="359">
        <f t="shared" ca="1" si="95"/>
        <v>-0.55575804579040855</v>
      </c>
      <c r="E217" s="360">
        <f t="shared" ca="1" si="96"/>
        <v>-11.703681911141761</v>
      </c>
      <c r="F217" s="357">
        <f t="shared" ca="1" si="97"/>
        <v>11.716869773222182</v>
      </c>
      <c r="G217" s="359">
        <f t="shared" ca="1" si="98"/>
        <v>13.613543575919184</v>
      </c>
      <c r="H217" s="360">
        <f t="shared" ca="1" si="99"/>
        <v>45.405591092161181</v>
      </c>
      <c r="I217" s="357">
        <f t="shared" ca="1" si="100"/>
        <v>47.402492245893541</v>
      </c>
      <c r="J217" s="359">
        <f t="shared" ca="1" si="101"/>
        <v>42.388715516574798</v>
      </c>
      <c r="K217" s="360">
        <f t="shared" ca="1" si="102"/>
        <v>185.47191520535108</v>
      </c>
      <c r="L217" s="357">
        <f t="shared" ca="1" si="87"/>
        <v>190.25413144813979</v>
      </c>
      <c r="M217" s="359">
        <f t="shared" ca="1" si="103"/>
        <v>1.2795038848830997</v>
      </c>
      <c r="N217" s="357">
        <f t="shared" ca="1" si="104"/>
        <v>73.310172474394349</v>
      </c>
      <c r="O217" s="343"/>
      <c r="P217" s="363">
        <f t="shared" ca="1" si="105"/>
        <v>23</v>
      </c>
      <c r="Q217" s="357">
        <f t="shared" ca="1" si="106"/>
        <v>0</v>
      </c>
      <c r="R217" s="359">
        <f t="shared" ca="1" si="107"/>
        <v>0</v>
      </c>
      <c r="S217" s="360">
        <f t="shared" ca="1" si="108"/>
        <v>1.5629999999999982</v>
      </c>
      <c r="T217" s="357">
        <f t="shared" ca="1" si="88"/>
        <v>15.333029999999983</v>
      </c>
      <c r="U217" s="364">
        <f t="shared" ca="1" si="89"/>
        <v>0</v>
      </c>
      <c r="V217" s="359">
        <f t="shared" ca="1" si="90"/>
        <v>1.202488453370723</v>
      </c>
      <c r="W217" s="357">
        <f t="shared" ca="1" si="91"/>
        <v>2.9403834345468707</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185.47191520535108</v>
      </c>
      <c r="AF217" s="344"/>
      <c r="AG217" s="359">
        <f t="shared" ca="1" si="114"/>
        <v>-11.386548007659533</v>
      </c>
      <c r="AH217" s="357">
        <f t="shared" ca="1" si="115"/>
        <v>-1.9735496411406228</v>
      </c>
    </row>
    <row r="218" spans="1:34" x14ac:dyDescent="0.2">
      <c r="A218" s="402">
        <f t="shared" ca="1" si="93"/>
        <v>0.1</v>
      </c>
      <c r="B218" s="357">
        <f t="shared" ca="1" si="94"/>
        <v>3.4000000000000026</v>
      </c>
      <c r="C218" s="342"/>
      <c r="D218" s="359">
        <f t="shared" ca="1" si="95"/>
        <v>-0.5402751583815768</v>
      </c>
      <c r="E218" s="360">
        <f t="shared" ca="1" si="96"/>
        <v>-11.611993197577151</v>
      </c>
      <c r="F218" s="357">
        <f t="shared" ca="1" si="97"/>
        <v>11.624555185784198</v>
      </c>
      <c r="G218" s="359">
        <f t="shared" ca="1" si="98"/>
        <v>13.559516060081027</v>
      </c>
      <c r="H218" s="360">
        <f t="shared" ca="1" si="99"/>
        <v>44.244391772403468</v>
      </c>
      <c r="I218" s="357">
        <f t="shared" ca="1" si="100"/>
        <v>46.275551634675509</v>
      </c>
      <c r="J218" s="359">
        <f t="shared" ca="1" si="101"/>
        <v>43.747368498374811</v>
      </c>
      <c r="K218" s="360">
        <f t="shared" ca="1" si="102"/>
        <v>189.95441434857932</v>
      </c>
      <c r="L218" s="357">
        <f t="shared" ca="1" si="87"/>
        <v>194.92693959800516</v>
      </c>
      <c r="M218" s="359">
        <f t="shared" ca="1" si="103"/>
        <v>1.273415668270651</v>
      </c>
      <c r="N218" s="357">
        <f t="shared" ca="1" si="104"/>
        <v>72.961343357739608</v>
      </c>
      <c r="O218" s="343"/>
      <c r="P218" s="363">
        <f t="shared" ca="1" si="105"/>
        <v>23</v>
      </c>
      <c r="Q218" s="357">
        <f t="shared" ca="1" si="106"/>
        <v>0</v>
      </c>
      <c r="R218" s="359">
        <f t="shared" ca="1" si="107"/>
        <v>0</v>
      </c>
      <c r="S218" s="360">
        <f t="shared" ca="1" si="108"/>
        <v>1.5629999999999982</v>
      </c>
      <c r="T218" s="357">
        <f t="shared" ca="1" si="88"/>
        <v>15.333029999999983</v>
      </c>
      <c r="U218" s="364">
        <f t="shared" ca="1" si="89"/>
        <v>0</v>
      </c>
      <c r="V218" s="359">
        <f t="shared" ca="1" si="90"/>
        <v>1.2019495113459358</v>
      </c>
      <c r="W218" s="357">
        <f t="shared" ca="1" si="91"/>
        <v>2.8009808209079186</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189.95441434857932</v>
      </c>
      <c r="AF218" s="344"/>
      <c r="AG218" s="359">
        <f t="shared" ca="1" si="114"/>
        <v>-11.277982421948968</v>
      </c>
      <c r="AH218" s="357">
        <f t="shared" ca="1" si="115"/>
        <v>-1.8812434002219285</v>
      </c>
    </row>
    <row r="219" spans="1:34" x14ac:dyDescent="0.2">
      <c r="A219" s="402">
        <f t="shared" ca="1" si="93"/>
        <v>0.1</v>
      </c>
      <c r="B219" s="357">
        <f t="shared" ca="1" si="94"/>
        <v>3.5000000000000027</v>
      </c>
      <c r="C219" s="342"/>
      <c r="D219" s="359">
        <f t="shared" ca="1" si="95"/>
        <v>-0.52510208456342</v>
      </c>
      <c r="E219" s="360">
        <f t="shared" ca="1" si="96"/>
        <v>-11.523396130583651</v>
      </c>
      <c r="F219" s="357">
        <f t="shared" ca="1" si="97"/>
        <v>11.535353942621922</v>
      </c>
      <c r="G219" s="359">
        <f t="shared" ca="1" si="98"/>
        <v>13.507005851624685</v>
      </c>
      <c r="H219" s="360">
        <f t="shared" ca="1" si="99"/>
        <v>43.092052159345101</v>
      </c>
      <c r="I219" s="357">
        <f t="shared" ca="1" si="100"/>
        <v>45.15931981750326</v>
      </c>
      <c r="J219" s="359">
        <f t="shared" ca="1" si="101"/>
        <v>45.1006945939601</v>
      </c>
      <c r="K219" s="360">
        <f t="shared" ca="1" si="102"/>
        <v>194.32123654516676</v>
      </c>
      <c r="L219" s="357">
        <f t="shared" ca="1" si="87"/>
        <v>199.48637954832986</v>
      </c>
      <c r="M219" s="359">
        <f t="shared" ca="1" si="103"/>
        <v>1.2670503938268916</v>
      </c>
      <c r="N219" s="357">
        <f t="shared" ca="1" si="104"/>
        <v>72.596639996669708</v>
      </c>
      <c r="O219" s="343"/>
      <c r="P219" s="363">
        <f t="shared" ca="1" si="105"/>
        <v>23</v>
      </c>
      <c r="Q219" s="357">
        <f t="shared" ca="1" si="106"/>
        <v>0</v>
      </c>
      <c r="R219" s="359">
        <f t="shared" ca="1" si="107"/>
        <v>0</v>
      </c>
      <c r="S219" s="360">
        <f t="shared" ca="1" si="108"/>
        <v>1.5629999999999982</v>
      </c>
      <c r="T219" s="357">
        <f t="shared" ca="1" si="88"/>
        <v>15.333029999999983</v>
      </c>
      <c r="U219" s="364">
        <f t="shared" ca="1" si="89"/>
        <v>0</v>
      </c>
      <c r="V219" s="359">
        <f t="shared" ca="1" si="90"/>
        <v>1.2014247075225242</v>
      </c>
      <c r="W219" s="357">
        <f t="shared" ca="1" si="91"/>
        <v>2.6663186099977443</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194.32123654516676</v>
      </c>
      <c r="AF219" s="344"/>
      <c r="AG219" s="359">
        <f t="shared" ca="1" si="114"/>
        <v>-11.171466678132145</v>
      </c>
      <c r="AH219" s="357">
        <f t="shared" ca="1" si="115"/>
        <v>-1.7920542680153051</v>
      </c>
    </row>
    <row r="220" spans="1:34" x14ac:dyDescent="0.2">
      <c r="A220" s="402">
        <f t="shared" ca="1" si="93"/>
        <v>0.1</v>
      </c>
      <c r="B220" s="357">
        <f t="shared" ca="1" si="94"/>
        <v>3.6000000000000028</v>
      </c>
      <c r="C220" s="342"/>
      <c r="D220" s="359">
        <f t="shared" ca="1" si="95"/>
        <v>-0.51022855686206736</v>
      </c>
      <c r="E220" s="360">
        <f t="shared" ca="1" si="96"/>
        <v>-11.437806771316598</v>
      </c>
      <c r="F220" s="357">
        <f t="shared" ca="1" si="97"/>
        <v>11.449181495557372</v>
      </c>
      <c r="G220" s="359">
        <f t="shared" ca="1" si="98"/>
        <v>13.455982995938479</v>
      </c>
      <c r="H220" s="360">
        <f t="shared" ca="1" si="99"/>
        <v>41.948271482213443</v>
      </c>
      <c r="I220" s="357">
        <f t="shared" ca="1" si="100"/>
        <v>44.053614593271085</v>
      </c>
      <c r="J220" s="359">
        <f t="shared" ca="1" si="101"/>
        <v>46.448844036338258</v>
      </c>
      <c r="K220" s="360">
        <f t="shared" ca="1" si="102"/>
        <v>198.57325272724469</v>
      </c>
      <c r="L220" s="357">
        <f t="shared" ca="1" si="87"/>
        <v>203.93340043011656</v>
      </c>
      <c r="M220" s="359">
        <f t="shared" ca="1" si="103"/>
        <v>1.2603899623233747</v>
      </c>
      <c r="N220" s="357">
        <f t="shared" ca="1" si="104"/>
        <v>72.215025381782212</v>
      </c>
      <c r="O220" s="343"/>
      <c r="P220" s="363">
        <f t="shared" ca="1" si="105"/>
        <v>23</v>
      </c>
      <c r="Q220" s="357">
        <f t="shared" ca="1" si="106"/>
        <v>0</v>
      </c>
      <c r="R220" s="359">
        <f t="shared" ca="1" si="107"/>
        <v>0</v>
      </c>
      <c r="S220" s="360">
        <f t="shared" ca="1" si="108"/>
        <v>1.5629999999999982</v>
      </c>
      <c r="T220" s="357">
        <f t="shared" ca="1" si="88"/>
        <v>15.333029999999983</v>
      </c>
      <c r="U220" s="364">
        <f t="shared" ca="1" si="89"/>
        <v>0</v>
      </c>
      <c r="V220" s="359">
        <f t="shared" ca="1" si="90"/>
        <v>1.2009139191122788</v>
      </c>
      <c r="W220" s="357">
        <f t="shared" ca="1" si="91"/>
        <v>2.5362711132614875</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198.57325272724469</v>
      </c>
      <c r="AF220" s="344"/>
      <c r="AG220" s="359">
        <f t="shared" ca="1" si="114"/>
        <v>-11.066823594796086</v>
      </c>
      <c r="AH220" s="357">
        <f t="shared" ca="1" si="115"/>
        <v>-1.7058980230311884</v>
      </c>
    </row>
    <row r="221" spans="1:34" x14ac:dyDescent="0.2">
      <c r="A221" s="402">
        <f t="shared" ca="1" si="93"/>
        <v>0.1</v>
      </c>
      <c r="B221" s="357">
        <f t="shared" ca="1" si="94"/>
        <v>3.7000000000000028</v>
      </c>
      <c r="C221" s="342"/>
      <c r="D221" s="359">
        <f t="shared" ca="1" si="95"/>
        <v>-0.49564482827581091</v>
      </c>
      <c r="E221" s="360">
        <f t="shared" ca="1" si="96"/>
        <v>-11.355144923380507</v>
      </c>
      <c r="F221" s="357">
        <f t="shared" ca="1" si="97"/>
        <v>11.36595706602707</v>
      </c>
      <c r="G221" s="359">
        <f t="shared" ca="1" si="98"/>
        <v>13.406418513110898</v>
      </c>
      <c r="H221" s="360">
        <f t="shared" ca="1" si="99"/>
        <v>40.812756989875389</v>
      </c>
      <c r="I221" s="357">
        <f t="shared" ca="1" si="100"/>
        <v>42.958272666196734</v>
      </c>
      <c r="J221" s="359">
        <f t="shared" ca="1" si="101"/>
        <v>47.791964111790726</v>
      </c>
      <c r="K221" s="360">
        <f t="shared" ca="1" si="102"/>
        <v>202.71130415084914</v>
      </c>
      <c r="L221" s="357">
        <f t="shared" ca="1" si="87"/>
        <v>208.26892390416955</v>
      </c>
      <c r="M221" s="359">
        <f t="shared" ca="1" si="103"/>
        <v>1.253414715171159</v>
      </c>
      <c r="N221" s="357">
        <f t="shared" ca="1" si="104"/>
        <v>71.815373158899604</v>
      </c>
      <c r="O221" s="343"/>
      <c r="P221" s="363">
        <f t="shared" ca="1" si="105"/>
        <v>23</v>
      </c>
      <c r="Q221" s="357">
        <f t="shared" ca="1" si="106"/>
        <v>0</v>
      </c>
      <c r="R221" s="359">
        <f t="shared" ca="1" si="107"/>
        <v>0</v>
      </c>
      <c r="S221" s="360">
        <f t="shared" ca="1" si="108"/>
        <v>1.5629999999999982</v>
      </c>
      <c r="T221" s="357">
        <f t="shared" ca="1" si="88"/>
        <v>15.333029999999983</v>
      </c>
      <c r="U221" s="364">
        <f t="shared" ca="1" si="89"/>
        <v>0</v>
      </c>
      <c r="V221" s="359">
        <f t="shared" ca="1" si="90"/>
        <v>1.200417027561665</v>
      </c>
      <c r="W221" s="357">
        <f t="shared" ca="1" si="91"/>
        <v>2.4107183209199183</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202.71130415084914</v>
      </c>
      <c r="AF221" s="344"/>
      <c r="AG221" s="359">
        <f t="shared" ca="1" si="114"/>
        <v>-10.963869703007807</v>
      </c>
      <c r="AH221" s="357">
        <f t="shared" ca="1" si="115"/>
        <v>-1.6226942503272492</v>
      </c>
    </row>
    <row r="222" spans="1:34" x14ac:dyDescent="0.2">
      <c r="A222" s="402">
        <f t="shared" ca="1" si="93"/>
        <v>0.1</v>
      </c>
      <c r="B222" s="357">
        <f t="shared" ca="1" si="94"/>
        <v>3.8000000000000029</v>
      </c>
      <c r="C222" s="342"/>
      <c r="D222" s="359">
        <f t="shared" ca="1" si="95"/>
        <v>-0.48134166176153897</v>
      </c>
      <c r="E222" s="360">
        <f t="shared" ca="1" si="96"/>
        <v>-11.275333955624662</v>
      </c>
      <c r="F222" s="357">
        <f t="shared" ca="1" si="97"/>
        <v>11.285603466638808</v>
      </c>
      <c r="G222" s="359">
        <f t="shared" ca="1" si="98"/>
        <v>13.358284346934743</v>
      </c>
      <c r="H222" s="360">
        <f t="shared" ca="1" si="99"/>
        <v>39.685223594312923</v>
      </c>
      <c r="I222" s="357">
        <f t="shared" ca="1" si="100"/>
        <v>41.873150495564254</v>
      </c>
      <c r="J222" s="359">
        <f t="shared" ca="1" si="101"/>
        <v>49.130199254793006</v>
      </c>
      <c r="K222" s="360">
        <f t="shared" ca="1" si="102"/>
        <v>206.73620318005857</v>
      </c>
      <c r="L222" s="357">
        <f t="shared" ca="1" si="87"/>
        <v>212.49384504997343</v>
      </c>
      <c r="M222" s="359">
        <f t="shared" ca="1" si="103"/>
        <v>1.2461032704421982</v>
      </c>
      <c r="N222" s="357">
        <f t="shared" ca="1" si="104"/>
        <v>71.396458233786973</v>
      </c>
      <c r="O222" s="343"/>
      <c r="P222" s="363">
        <f t="shared" ca="1" si="105"/>
        <v>23</v>
      </c>
      <c r="Q222" s="357">
        <f t="shared" ca="1" si="106"/>
        <v>0</v>
      </c>
      <c r="R222" s="359">
        <f t="shared" ca="1" si="107"/>
        <v>0</v>
      </c>
      <c r="S222" s="360">
        <f t="shared" ca="1" si="108"/>
        <v>1.5629999999999982</v>
      </c>
      <c r="T222" s="357">
        <f t="shared" ca="1" si="88"/>
        <v>15.333029999999983</v>
      </c>
      <c r="U222" s="364">
        <f t="shared" ca="1" si="89"/>
        <v>0</v>
      </c>
      <c r="V222" s="359">
        <f t="shared" ca="1" si="90"/>
        <v>1.1999339184369899</v>
      </c>
      <c r="W222" s="357">
        <f t="shared" ca="1" si="91"/>
        <v>2.2895456468944855</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206.73620318005857</v>
      </c>
      <c r="AF222" s="344"/>
      <c r="AG222" s="359">
        <f t="shared" ca="1" si="114"/>
        <v>-10.862413768399872</v>
      </c>
      <c r="AH222" s="357">
        <f t="shared" ca="1" si="115"/>
        <v>-1.5423661682149208</v>
      </c>
    </row>
    <row r="223" spans="1:34" x14ac:dyDescent="0.2">
      <c r="A223" s="402">
        <f t="shared" ca="1" si="93"/>
        <v>0.1</v>
      </c>
      <c r="B223" s="357">
        <f t="shared" ca="1" si="94"/>
        <v>3.900000000000003</v>
      </c>
      <c r="C223" s="342"/>
      <c r="D223" s="359">
        <f t="shared" ca="1" si="95"/>
        <v>-0.46731032233386072</v>
      </c>
      <c r="E223" s="360">
        <f t="shared" ca="1" si="96"/>
        <v>-11.198300634130851</v>
      </c>
      <c r="F223" s="357">
        <f t="shared" ca="1" si="97"/>
        <v>11.208046931991996</v>
      </c>
      <c r="G223" s="359">
        <f t="shared" ca="1" si="98"/>
        <v>13.311553314701356</v>
      </c>
      <c r="H223" s="360">
        <f t="shared" ca="1" si="99"/>
        <v>38.56539353089984</v>
      </c>
      <c r="I223" s="357">
        <f t="shared" ca="1" si="100"/>
        <v>40.798125322657995</v>
      </c>
      <c r="J223" s="359">
        <f t="shared" ca="1" si="101"/>
        <v>50.463691137874811</v>
      </c>
      <c r="K223" s="360">
        <f t="shared" ca="1" si="102"/>
        <v>210.64873403631921</v>
      </c>
      <c r="L223" s="357">
        <f t="shared" ca="1" si="87"/>
        <v>216.60903322429277</v>
      </c>
      <c r="M223" s="359">
        <f t="shared" ca="1" si="103"/>
        <v>1.2384323389420631</v>
      </c>
      <c r="N223" s="357">
        <f t="shared" ca="1" si="104"/>
        <v>70.95694623389528</v>
      </c>
      <c r="O223" s="343"/>
      <c r="P223" s="363">
        <f t="shared" ca="1" si="105"/>
        <v>23</v>
      </c>
      <c r="Q223" s="357">
        <f t="shared" ca="1" si="106"/>
        <v>0</v>
      </c>
      <c r="R223" s="359">
        <f t="shared" ca="1" si="107"/>
        <v>0</v>
      </c>
      <c r="S223" s="360">
        <f t="shared" ca="1" si="108"/>
        <v>1.5629999999999982</v>
      </c>
      <c r="T223" s="357">
        <f t="shared" ca="1" si="88"/>
        <v>15.333029999999983</v>
      </c>
      <c r="U223" s="364">
        <f t="shared" ca="1" si="89"/>
        <v>0</v>
      </c>
      <c r="V223" s="359">
        <f t="shared" ca="1" si="90"/>
        <v>1.1994644813147513</v>
      </c>
      <c r="W223" s="357">
        <f t="shared" ca="1" si="91"/>
        <v>2.1726436885211435</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210.64873403631921</v>
      </c>
      <c r="AF223" s="344"/>
      <c r="AG223" s="359">
        <f t="shared" ca="1" si="114"/>
        <v>-10.762255129418817</v>
      </c>
      <c r="AH223" s="357">
        <f t="shared" ca="1" si="115"/>
        <v>-1.464840465063652</v>
      </c>
    </row>
    <row r="224" spans="1:34" x14ac:dyDescent="0.2">
      <c r="A224" s="402">
        <f t="shared" ca="1" si="93"/>
        <v>0.1</v>
      </c>
      <c r="B224" s="357">
        <f t="shared" ca="1" si="94"/>
        <v>4.0000000000000027</v>
      </c>
      <c r="C224" s="342"/>
      <c r="D224" s="359">
        <f t="shared" ca="1" si="95"/>
        <v>-0.45354257191534614</v>
      </c>
      <c r="E224" s="360">
        <f t="shared" ca="1" si="96"/>
        <v>-11.123974962607448</v>
      </c>
      <c r="F224" s="357">
        <f t="shared" ca="1" si="97"/>
        <v>11.133216957971177</v>
      </c>
      <c r="G224" s="359">
        <f t="shared" ca="1" si="98"/>
        <v>13.266199057509821</v>
      </c>
      <c r="H224" s="360">
        <f t="shared" ca="1" si="99"/>
        <v>37.452996034639092</v>
      </c>
      <c r="I224" s="357">
        <f t="shared" ca="1" si="100"/>
        <v>39.733096398395205</v>
      </c>
      <c r="J224" s="359">
        <f t="shared" ca="1" si="101"/>
        <v>51.792578756485369</v>
      </c>
      <c r="K224" s="360">
        <f t="shared" ca="1" si="102"/>
        <v>214.44965351459615</v>
      </c>
      <c r="L224" s="357">
        <f t="shared" ca="1" si="87"/>
        <v>220.61533289138603</v>
      </c>
      <c r="M224" s="359">
        <f t="shared" ca="1" si="103"/>
        <v>1.2303765176749479</v>
      </c>
      <c r="N224" s="357">
        <f t="shared" ca="1" si="104"/>
        <v>70.495381674777846</v>
      </c>
      <c r="O224" s="343"/>
      <c r="P224" s="363">
        <f t="shared" ca="1" si="105"/>
        <v>23</v>
      </c>
      <c r="Q224" s="357">
        <f t="shared" ca="1" si="106"/>
        <v>0</v>
      </c>
      <c r="R224" s="359">
        <f t="shared" ca="1" si="107"/>
        <v>0</v>
      </c>
      <c r="S224" s="360">
        <f t="shared" ca="1" si="108"/>
        <v>1.5629999999999982</v>
      </c>
      <c r="T224" s="357">
        <f t="shared" ca="1" si="88"/>
        <v>15.333029999999983</v>
      </c>
      <c r="U224" s="364">
        <f t="shared" ca="1" si="89"/>
        <v>0</v>
      </c>
      <c r="V224" s="359">
        <f t="shared" ca="1" si="90"/>
        <v>1.1990086096769195</v>
      </c>
      <c r="W224" s="357">
        <f t="shared" ca="1" si="91"/>
        <v>2.0599080001296066</v>
      </c>
      <c r="X224" s="343"/>
      <c r="Y224" s="367" t="str">
        <f t="shared" ca="1" si="109"/>
        <v/>
      </c>
      <c r="Z224" s="368" t="str">
        <f t="shared" ca="1" si="110"/>
        <v/>
      </c>
      <c r="AA224" s="369" t="str">
        <f t="shared" ca="1" si="111"/>
        <v/>
      </c>
      <c r="AB224" s="344"/>
      <c r="AC224" s="363">
        <f t="shared" ca="1" si="112"/>
        <v>4.0000000000000027</v>
      </c>
      <c r="AD224" s="376">
        <f t="shared" ca="1" si="113"/>
        <v>51.792578756485369</v>
      </c>
      <c r="AE224" s="377">
        <f t="shared" ca="1" si="92"/>
        <v>214.44965351459615</v>
      </c>
      <c r="AF224" s="344"/>
      <c r="AG224" s="359">
        <f t="shared" ca="1" si="114"/>
        <v>-10.663181818939229</v>
      </c>
      <c r="AH224" s="357">
        <f t="shared" ca="1" si="115"/>
        <v>-1.3900471455669521</v>
      </c>
    </row>
    <row r="225" spans="1:34" x14ac:dyDescent="0.2">
      <c r="A225" s="402">
        <f t="shared" ca="1" si="93"/>
        <v>0.1</v>
      </c>
      <c r="B225" s="357">
        <f t="shared" ca="1" si="94"/>
        <v>4.1000000000000023</v>
      </c>
      <c r="C225" s="342"/>
      <c r="D225" s="359">
        <f t="shared" ca="1" si="95"/>
        <v>-0.44003066711745842</v>
      </c>
      <c r="E225" s="360">
        <f t="shared" ca="1" si="96"/>
        <v>-11.052290030416843</v>
      </c>
      <c r="F225" s="357">
        <f t="shared" ca="1" si="97"/>
        <v>11.061046148735453</v>
      </c>
      <c r="G225" s="359">
        <f t="shared" ca="1" si="98"/>
        <v>13.222195990798076</v>
      </c>
      <c r="H225" s="360">
        <f t="shared" ca="1" si="99"/>
        <v>36.347767031597407</v>
      </c>
      <c r="I225" s="357">
        <f t="shared" ca="1" si="100"/>
        <v>38.677986439347592</v>
      </c>
      <c r="J225" s="359">
        <f t="shared" ca="1" si="101"/>
        <v>53.116998508900764</v>
      </c>
      <c r="K225" s="360">
        <f t="shared" ca="1" si="102"/>
        <v>218.13969166790798</v>
      </c>
      <c r="L225" s="357">
        <f t="shared" ca="1" si="87"/>
        <v>224.51356442666116</v>
      </c>
      <c r="M225" s="359">
        <f t="shared" ca="1" si="103"/>
        <v>1.2219080576830985</v>
      </c>
      <c r="N225" s="357">
        <f t="shared" ca="1" si="104"/>
        <v>70.010174658269491</v>
      </c>
      <c r="O225" s="343"/>
      <c r="P225" s="363">
        <f t="shared" ca="1" si="105"/>
        <v>23</v>
      </c>
      <c r="Q225" s="357">
        <f t="shared" ca="1" si="106"/>
        <v>0</v>
      </c>
      <c r="R225" s="359">
        <f t="shared" ca="1" si="107"/>
        <v>0</v>
      </c>
      <c r="S225" s="360">
        <f t="shared" ca="1" si="108"/>
        <v>1.5629999999999982</v>
      </c>
      <c r="T225" s="357">
        <f t="shared" ca="1" si="88"/>
        <v>15.333029999999983</v>
      </c>
      <c r="U225" s="364">
        <f t="shared" ca="1" si="89"/>
        <v>0</v>
      </c>
      <c r="V225" s="359">
        <f t="shared" ca="1" si="90"/>
        <v>1.1985662008109172</v>
      </c>
      <c r="W225" s="357">
        <f t="shared" ca="1" si="91"/>
        <v>1.9512388796296467</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218.13969166790798</v>
      </c>
      <c r="AF225" s="344"/>
      <c r="AG225" s="359">
        <f t="shared" ca="1" si="114"/>
        <v>-10.56496843073189</v>
      </c>
      <c r="AH225" s="357">
        <f t="shared" ca="1" si="115"/>
        <v>-1.3179193858794684</v>
      </c>
    </row>
    <row r="226" spans="1:34" x14ac:dyDescent="0.2">
      <c r="A226" s="402">
        <f t="shared" ca="1" si="93"/>
        <v>0.1</v>
      </c>
      <c r="B226" s="357">
        <f t="shared" ca="1" si="94"/>
        <v>4.200000000000002</v>
      </c>
      <c r="C226" s="342"/>
      <c r="D226" s="359">
        <f t="shared" ca="1" si="95"/>
        <v>-0.4267673601789061</v>
      </c>
      <c r="E226" s="360">
        <f t="shared" ca="1" si="96"/>
        <v>-10.983181867464999</v>
      </c>
      <c r="F226" s="357">
        <f t="shared" ca="1" si="97"/>
        <v>10.991470070628679</v>
      </c>
      <c r="G226" s="359">
        <f t="shared" ca="1" si="98"/>
        <v>13.179519254780185</v>
      </c>
      <c r="H226" s="360">
        <f t="shared" ca="1" si="99"/>
        <v>35.249448844850903</v>
      </c>
      <c r="I226" s="357">
        <f t="shared" ca="1" si="100"/>
        <v>37.632743344764044</v>
      </c>
      <c r="J226" s="359">
        <f t="shared" ca="1" si="101"/>
        <v>54.437084271179678</v>
      </c>
      <c r="K226" s="360">
        <f t="shared" ca="1" si="102"/>
        <v>221.71955246173039</v>
      </c>
      <c r="L226" s="357">
        <f t="shared" ca="1" si="87"/>
        <v>228.30452489553844</v>
      </c>
      <c r="M226" s="359">
        <f t="shared" ca="1" si="103"/>
        <v>1.2129966028441479</v>
      </c>
      <c r="N226" s="357">
        <f t="shared" ca="1" si="104"/>
        <v>69.499585906676188</v>
      </c>
      <c r="O226" s="343"/>
      <c r="P226" s="363">
        <f t="shared" ca="1" si="105"/>
        <v>23</v>
      </c>
      <c r="Q226" s="357">
        <f t="shared" ca="1" si="106"/>
        <v>0</v>
      </c>
      <c r="R226" s="359">
        <f t="shared" ca="1" si="107"/>
        <v>0</v>
      </c>
      <c r="S226" s="360">
        <f t="shared" ca="1" si="108"/>
        <v>1.5629999999999982</v>
      </c>
      <c r="T226" s="357">
        <f t="shared" ca="1" si="88"/>
        <v>15.333029999999983</v>
      </c>
      <c r="U226" s="364">
        <f t="shared" ca="1" si="89"/>
        <v>0</v>
      </c>
      <c r="V226" s="359">
        <f t="shared" ca="1" si="90"/>
        <v>1.1981371557140841</v>
      </c>
      <c r="W226" s="357">
        <f t="shared" ca="1" si="91"/>
        <v>1.8465411673056278</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221.71955246173039</v>
      </c>
      <c r="AF226" s="344"/>
      <c r="AG226" s="359">
        <f t="shared" ca="1" si="114"/>
        <v>-10.46737368549201</v>
      </c>
      <c r="AH226" s="357">
        <f t="shared" ca="1" si="115"/>
        <v>-1.2483933970759111</v>
      </c>
    </row>
    <row r="227" spans="1:34" x14ac:dyDescent="0.2">
      <c r="A227" s="402">
        <f t="shared" ca="1" si="93"/>
        <v>0.1</v>
      </c>
      <c r="B227" s="357">
        <f t="shared" ca="1" si="94"/>
        <v>4.3000000000000016</v>
      </c>
      <c r="C227" s="342"/>
      <c r="D227" s="359">
        <f t="shared" ca="1" si="95"/>
        <v>-0.41374590334245903</v>
      </c>
      <c r="E227" s="360">
        <f t="shared" ca="1" si="96"/>
        <v>-10.916589305171122</v>
      </c>
      <c r="F227" s="357">
        <f t="shared" ca="1" si="97"/>
        <v>10.924427112224659</v>
      </c>
      <c r="G227" s="359">
        <f t="shared" ca="1" si="98"/>
        <v>13.138144664445939</v>
      </c>
      <c r="H227" s="360">
        <f t="shared" ca="1" si="99"/>
        <v>34.15778991433379</v>
      </c>
      <c r="I227" s="357">
        <f t="shared" ca="1" si="100"/>
        <v>36.597342213003287</v>
      </c>
      <c r="J227" s="359">
        <f t="shared" ca="1" si="101"/>
        <v>55.752967467140984</v>
      </c>
      <c r="K227" s="360">
        <f t="shared" ca="1" si="102"/>
        <v>225.18991439968963</v>
      </c>
      <c r="L227" s="357">
        <f t="shared" ca="1" si="87"/>
        <v>231.98898880923556</v>
      </c>
      <c r="M227" s="359">
        <f t="shared" ca="1" si="103"/>
        <v>1.2036088957721429</v>
      </c>
      <c r="N227" s="357">
        <f t="shared" ca="1" si="104"/>
        <v>68.961709912145182</v>
      </c>
      <c r="O227" s="343"/>
      <c r="P227" s="363">
        <f t="shared" ca="1" si="105"/>
        <v>23</v>
      </c>
      <c r="Q227" s="357">
        <f t="shared" ca="1" si="106"/>
        <v>0</v>
      </c>
      <c r="R227" s="359">
        <f t="shared" ca="1" si="107"/>
        <v>0</v>
      </c>
      <c r="S227" s="360">
        <f t="shared" ca="1" si="108"/>
        <v>1.5629999999999982</v>
      </c>
      <c r="T227" s="357">
        <f t="shared" ca="1" si="88"/>
        <v>15.333029999999983</v>
      </c>
      <c r="U227" s="364">
        <f t="shared" ca="1" si="89"/>
        <v>0</v>
      </c>
      <c r="V227" s="359">
        <f t="shared" ca="1" si="90"/>
        <v>1.1977213790024077</v>
      </c>
      <c r="W227" s="357">
        <f t="shared" ca="1" si="91"/>
        <v>1.7457240560750962</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225.18991439968963</v>
      </c>
      <c r="AF227" s="344"/>
      <c r="AG227" s="359">
        <f t="shared" ca="1" si="114"/>
        <v>-10.370137643097497</v>
      </c>
      <c r="AH227" s="357">
        <f t="shared" ca="1" si="115"/>
        <v>-1.1814082964207486</v>
      </c>
    </row>
    <row r="228" spans="1:34" x14ac:dyDescent="0.2">
      <c r="A228" s="402">
        <f t="shared" ca="1" si="93"/>
        <v>0.1</v>
      </c>
      <c r="B228" s="357">
        <f t="shared" ca="1" si="94"/>
        <v>4.4000000000000012</v>
      </c>
      <c r="C228" s="342"/>
      <c r="D228" s="359">
        <f t="shared" ca="1" si="95"/>
        <v>-0.40096005701417342</v>
      </c>
      <c r="E228" s="360">
        <f t="shared" ca="1" si="96"/>
        <v>-10.852453842709838</v>
      </c>
      <c r="F228" s="357">
        <f t="shared" ca="1" si="97"/>
        <v>10.859858349696296</v>
      </c>
      <c r="G228" s="359">
        <f t="shared" ca="1" si="98"/>
        <v>13.098048658744521</v>
      </c>
      <c r="H228" s="360">
        <f t="shared" ca="1" si="99"/>
        <v>33.072544530062807</v>
      </c>
      <c r="I228" s="357">
        <f t="shared" ca="1" si="100"/>
        <v>35.571787702613797</v>
      </c>
      <c r="J228" s="359">
        <f t="shared" ca="1" si="101"/>
        <v>57.06477713330051</v>
      </c>
      <c r="K228" s="360">
        <f t="shared" ca="1" si="102"/>
        <v>228.55143112190945</v>
      </c>
      <c r="L228" s="357">
        <f t="shared" ca="1" si="87"/>
        <v>235.56770885914347</v>
      </c>
      <c r="M228" s="359">
        <f t="shared" ca="1" si="103"/>
        <v>1.1937084464953762</v>
      </c>
      <c r="N228" s="357">
        <f t="shared" ca="1" si="104"/>
        <v>68.394455953303108</v>
      </c>
      <c r="O228" s="343"/>
      <c r="P228" s="363">
        <f t="shared" ca="1" si="105"/>
        <v>23</v>
      </c>
      <c r="Q228" s="357">
        <f t="shared" ca="1" si="106"/>
        <v>0</v>
      </c>
      <c r="R228" s="359">
        <f t="shared" ca="1" si="107"/>
        <v>0</v>
      </c>
      <c r="S228" s="360">
        <f t="shared" ca="1" si="108"/>
        <v>1.5629999999999982</v>
      </c>
      <c r="T228" s="357">
        <f t="shared" ca="1" si="88"/>
        <v>15.333029999999983</v>
      </c>
      <c r="U228" s="364">
        <f t="shared" ca="1" si="89"/>
        <v>0</v>
      </c>
      <c r="V228" s="359">
        <f t="shared" ca="1" si="90"/>
        <v>1.1973187788233228</v>
      </c>
      <c r="W228" s="357">
        <f t="shared" ca="1" si="91"/>
        <v>1.6487009125172727</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228.55143112190945</v>
      </c>
      <c r="AF228" s="344"/>
      <c r="AG228" s="359">
        <f t="shared" ca="1" si="114"/>
        <v>-10.272978498269783</v>
      </c>
      <c r="AH228" s="357">
        <f t="shared" ca="1" si="115"/>
        <v>-1.1169059859725516</v>
      </c>
    </row>
    <row r="229" spans="1:34" x14ac:dyDescent="0.2">
      <c r="A229" s="402">
        <f t="shared" ca="1" si="93"/>
        <v>0.1</v>
      </c>
      <c r="B229" s="357">
        <f t="shared" ca="1" si="94"/>
        <v>4.5000000000000009</v>
      </c>
      <c r="C229" s="342"/>
      <c r="D229" s="359">
        <f t="shared" ca="1" si="95"/>
        <v>-0.38840410212208232</v>
      </c>
      <c r="E229" s="360">
        <f t="shared" ca="1" si="96"/>
        <v>-10.790719517675308</v>
      </c>
      <c r="F229" s="357">
        <f t="shared" ca="1" si="97"/>
        <v>10.797707416654893</v>
      </c>
      <c r="G229" s="359">
        <f t="shared" ca="1" si="98"/>
        <v>13.059208248532313</v>
      </c>
      <c r="H229" s="360">
        <f t="shared" ca="1" si="99"/>
        <v>31.993472578295275</v>
      </c>
      <c r="I229" s="357">
        <f t="shared" ca="1" si="100"/>
        <v>34.556116791339072</v>
      </c>
      <c r="J229" s="359">
        <f t="shared" ca="1" si="101"/>
        <v>58.372639978664353</v>
      </c>
      <c r="K229" s="360">
        <f t="shared" ca="1" si="102"/>
        <v>231.80473197732735</v>
      </c>
      <c r="L229" s="357">
        <f t="shared" ca="1" si="87"/>
        <v>239.04141663142673</v>
      </c>
      <c r="M229" s="359">
        <f t="shared" ca="1" si="103"/>
        <v>1.183255159085794</v>
      </c>
      <c r="N229" s="357">
        <f t="shared" ca="1" si="104"/>
        <v>67.795526702696804</v>
      </c>
      <c r="O229" s="343"/>
      <c r="P229" s="363">
        <f t="shared" ca="1" si="105"/>
        <v>23</v>
      </c>
      <c r="Q229" s="357">
        <f t="shared" ca="1" si="106"/>
        <v>0</v>
      </c>
      <c r="R229" s="359">
        <f t="shared" ca="1" si="107"/>
        <v>0</v>
      </c>
      <c r="S229" s="360">
        <f t="shared" ca="1" si="108"/>
        <v>1.5629999999999982</v>
      </c>
      <c r="T229" s="357">
        <f t="shared" ca="1" si="88"/>
        <v>15.333029999999983</v>
      </c>
      <c r="U229" s="364">
        <f t="shared" ca="1" si="89"/>
        <v>0</v>
      </c>
      <c r="V229" s="359">
        <f t="shared" ca="1" si="90"/>
        <v>1.196929266772389</v>
      </c>
      <c r="W229" s="357">
        <f t="shared" ca="1" si="91"/>
        <v>1.555389108023036</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231.80473197732735</v>
      </c>
      <c r="AF229" s="344"/>
      <c r="AG229" s="359">
        <f t="shared" ca="1" si="114"/>
        <v>-10.175588885626587</v>
      </c>
      <c r="AH229" s="357">
        <f t="shared" ca="1" si="115"/>
        <v>-1.0548310380788706</v>
      </c>
    </row>
    <row r="230" spans="1:34" x14ac:dyDescent="0.2">
      <c r="A230" s="402">
        <f t="shared" ca="1" si="93"/>
        <v>0.1</v>
      </c>
      <c r="B230" s="357">
        <f t="shared" ca="1" si="94"/>
        <v>4.6000000000000005</v>
      </c>
      <c r="C230" s="342"/>
      <c r="D230" s="359">
        <f t="shared" ca="1" si="95"/>
        <v>-0.37607285717656769</v>
      </c>
      <c r="E230" s="360">
        <f t="shared" ca="1" si="96"/>
        <v>-10.731332780252732</v>
      </c>
      <c r="F230" s="357">
        <f t="shared" ca="1" si="97"/>
        <v>10.737920377542002</v>
      </c>
      <c r="G230" s="359">
        <f t="shared" ca="1" si="98"/>
        <v>13.021600962814656</v>
      </c>
      <c r="H230" s="360">
        <f t="shared" ca="1" si="99"/>
        <v>30.920339300270001</v>
      </c>
      <c r="I230" s="357">
        <f t="shared" ca="1" si="100"/>
        <v>33.550401995782359</v>
      </c>
      <c r="J230" s="359">
        <f t="shared" ca="1" si="101"/>
        <v>59.676680439231703</v>
      </c>
      <c r="K230" s="360">
        <f t="shared" ca="1" si="102"/>
        <v>234.95042257125561</v>
      </c>
      <c r="L230" s="357">
        <f t="shared" ca="1" si="87"/>
        <v>242.41082330345267</v>
      </c>
      <c r="M230" s="359">
        <f t="shared" ca="1" si="103"/>
        <v>1.1722049109080408</v>
      </c>
      <c r="N230" s="357">
        <f t="shared" ca="1" si="104"/>
        <v>67.162394119539414</v>
      </c>
      <c r="O230" s="343"/>
      <c r="P230" s="363">
        <f t="shared" ca="1" si="105"/>
        <v>23</v>
      </c>
      <c r="Q230" s="357">
        <f t="shared" ca="1" si="106"/>
        <v>0</v>
      </c>
      <c r="R230" s="359">
        <f t="shared" ca="1" si="107"/>
        <v>0</v>
      </c>
      <c r="S230" s="360">
        <f t="shared" ca="1" si="108"/>
        <v>1.5629999999999982</v>
      </c>
      <c r="T230" s="357">
        <f t="shared" ca="1" si="88"/>
        <v>15.333029999999983</v>
      </c>
      <c r="U230" s="364">
        <f t="shared" ca="1" si="89"/>
        <v>0</v>
      </c>
      <c r="V230" s="359">
        <f t="shared" ca="1" si="90"/>
        <v>1.1965527578136548</v>
      </c>
      <c r="W230" s="357">
        <f t="shared" ca="1" si="91"/>
        <v>1.4657098594596214</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234.95042257125561</v>
      </c>
      <c r="AF230" s="344"/>
      <c r="AG230" s="359">
        <f t="shared" ca="1" si="114"/>
        <v>-10.077631607014013</v>
      </c>
      <c r="AH230" s="357">
        <f t="shared" ca="1" si="115"/>
        <v>-0.99513058734679327</v>
      </c>
    </row>
    <row r="231" spans="1:34" x14ac:dyDescent="0.2">
      <c r="A231" s="402">
        <f t="shared" ca="1" si="93"/>
        <v>0.1</v>
      </c>
      <c r="B231" s="357">
        <f t="shared" ca="1" si="94"/>
        <v>4.7</v>
      </c>
      <c r="C231" s="342"/>
      <c r="D231" s="359">
        <f t="shared" ca="1" si="95"/>
        <v>-0.36396170063390543</v>
      </c>
      <c r="E231" s="360">
        <f t="shared" ca="1" si="96"/>
        <v>-10.67424236989298</v>
      </c>
      <c r="F231" s="357">
        <f t="shared" ca="1" si="97"/>
        <v>10.68044560356668</v>
      </c>
      <c r="G231" s="359">
        <f t="shared" ca="1" si="98"/>
        <v>12.985204792751265</v>
      </c>
      <c r="H231" s="360">
        <f t="shared" ca="1" si="99"/>
        <v>29.852915063280705</v>
      </c>
      <c r="I231" s="357">
        <f t="shared" ca="1" si="100"/>
        <v>32.554755125559502</v>
      </c>
      <c r="J231" s="359">
        <f t="shared" ca="1" si="101"/>
        <v>60.97702072701</v>
      </c>
      <c r="K231" s="360">
        <f t="shared" ca="1" si="102"/>
        <v>237.98908528943315</v>
      </c>
      <c r="L231" s="357">
        <f t="shared" ca="1" si="87"/>
        <v>245.67662032363458</v>
      </c>
      <c r="M231" s="359">
        <f t="shared" ca="1" si="103"/>
        <v>1.1605090786705499</v>
      </c>
      <c r="N231" s="357">
        <f t="shared" ca="1" si="104"/>
        <v>66.492272294438138</v>
      </c>
      <c r="O231" s="343"/>
      <c r="P231" s="363">
        <f t="shared" ca="1" si="105"/>
        <v>23</v>
      </c>
      <c r="Q231" s="357">
        <f t="shared" ca="1" si="106"/>
        <v>0</v>
      </c>
      <c r="R231" s="359">
        <f t="shared" ca="1" si="107"/>
        <v>0</v>
      </c>
      <c r="S231" s="360">
        <f t="shared" ca="1" si="108"/>
        <v>1.5629999999999982</v>
      </c>
      <c r="T231" s="357">
        <f t="shared" ca="1" si="88"/>
        <v>15.333029999999983</v>
      </c>
      <c r="U231" s="364">
        <f t="shared" ca="1" si="89"/>
        <v>0</v>
      </c>
      <c r="V231" s="359">
        <f t="shared" ca="1" si="90"/>
        <v>1.1961891702035292</v>
      </c>
      <c r="W231" s="357">
        <f t="shared" ca="1" si="91"/>
        <v>1.3795880787810439</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237.98908528943315</v>
      </c>
      <c r="AF231" s="344"/>
      <c r="AG231" s="359">
        <f t="shared" ca="1" si="114"/>
        <v>-9.9787346787647415</v>
      </c>
      <c r="AH231" s="357">
        <f t="shared" ca="1" si="115"/>
        <v>-0.93775422870097447</v>
      </c>
    </row>
    <row r="232" spans="1:34" x14ac:dyDescent="0.2">
      <c r="A232" s="402">
        <f t="shared" ca="1" si="93"/>
        <v>0.1</v>
      </c>
      <c r="B232" s="357">
        <f t="shared" ca="1" si="94"/>
        <v>4.8</v>
      </c>
      <c r="C232" s="342"/>
      <c r="D232" s="359">
        <f t="shared" ca="1" si="95"/>
        <v>-0.35206659928014816</v>
      </c>
      <c r="E232" s="360">
        <f t="shared" ca="1" si="96"/>
        <v>-10.619399193364703</v>
      </c>
      <c r="F232" s="357">
        <f t="shared" ca="1" si="97"/>
        <v>10.625233650059824</v>
      </c>
      <c r="G232" s="359">
        <f t="shared" ca="1" si="98"/>
        <v>12.94999813282325</v>
      </c>
      <c r="H232" s="360">
        <f t="shared" ca="1" si="99"/>
        <v>28.790975143944234</v>
      </c>
      <c r="I232" s="357">
        <f t="shared" ca="1" si="100"/>
        <v>31.569331658737099</v>
      </c>
      <c r="J232" s="359">
        <f t="shared" ca="1" si="101"/>
        <v>62.273780873288729</v>
      </c>
      <c r="K232" s="360">
        <f t="shared" ca="1" si="102"/>
        <v>240.92127979979441</v>
      </c>
      <c r="L232" s="357">
        <f t="shared" ca="1" si="87"/>
        <v>248.83948007626364</v>
      </c>
      <c r="M232" s="359">
        <f t="shared" ca="1" si="103"/>
        <v>1.1481140050440908</v>
      </c>
      <c r="N232" s="357">
        <f t="shared" ca="1" si="104"/>
        <v>65.782086888888117</v>
      </c>
      <c r="O232" s="343"/>
      <c r="P232" s="363">
        <f t="shared" ca="1" si="105"/>
        <v>23</v>
      </c>
      <c r="Q232" s="357">
        <f t="shared" ca="1" si="106"/>
        <v>0</v>
      </c>
      <c r="R232" s="359">
        <f t="shared" ca="1" si="107"/>
        <v>0</v>
      </c>
      <c r="S232" s="360">
        <f t="shared" ca="1" si="108"/>
        <v>1.5629999999999982</v>
      </c>
      <c r="T232" s="357">
        <f t="shared" ca="1" si="88"/>
        <v>15.333029999999983</v>
      </c>
      <c r="U232" s="364">
        <f t="shared" ca="1" si="89"/>
        <v>0</v>
      </c>
      <c r="V232" s="359">
        <f t="shared" ca="1" si="90"/>
        <v>1.195838425417989</v>
      </c>
      <c r="W232" s="357">
        <f t="shared" ca="1" si="91"/>
        <v>1.2969522310492727</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240.92127979979441</v>
      </c>
      <c r="AF232" s="344"/>
      <c r="AG232" s="359">
        <f t="shared" ca="1" si="114"/>
        <v>-9.878485578975809</v>
      </c>
      <c r="AH232" s="357">
        <f t="shared" ca="1" si="115"/>
        <v>-0.88265392116509633</v>
      </c>
    </row>
    <row r="233" spans="1:34" x14ac:dyDescent="0.2">
      <c r="A233" s="402">
        <f t="shared" ca="1" si="93"/>
        <v>0.1</v>
      </c>
      <c r="B233" s="357">
        <f t="shared" ca="1" si="94"/>
        <v>4.8999999999999995</v>
      </c>
      <c r="C233" s="342"/>
      <c r="D233" s="359">
        <f t="shared" ca="1" si="95"/>
        <v>-0.34038414348692569</v>
      </c>
      <c r="E233" s="360">
        <f t="shared" ca="1" si="96"/>
        <v>-10.566756202897484</v>
      </c>
      <c r="F233" s="357">
        <f t="shared" ca="1" si="97"/>
        <v>10.572237133956548</v>
      </c>
      <c r="G233" s="359">
        <f t="shared" ca="1" si="98"/>
        <v>12.915959718474557</v>
      </c>
      <c r="H233" s="360">
        <f t="shared" ca="1" si="99"/>
        <v>27.734299523654485</v>
      </c>
      <c r="I233" s="357">
        <f t="shared" ca="1" si="100"/>
        <v>30.594335840430311</v>
      </c>
      <c r="J233" s="359">
        <f t="shared" ca="1" si="101"/>
        <v>63.567078765853623</v>
      </c>
      <c r="K233" s="360">
        <f t="shared" ca="1" si="102"/>
        <v>243.74754353317434</v>
      </c>
      <c r="L233" s="357">
        <f t="shared" ca="1" si="87"/>
        <v>251.90005653290544</v>
      </c>
      <c r="M233" s="359">
        <f t="shared" ca="1" si="103"/>
        <v>1.1349603993390645</v>
      </c>
      <c r="N233" s="357">
        <f t="shared" ca="1" si="104"/>
        <v>65.028440796610894</v>
      </c>
      <c r="O233" s="343"/>
      <c r="P233" s="363">
        <f t="shared" ca="1" si="105"/>
        <v>23</v>
      </c>
      <c r="Q233" s="357">
        <f t="shared" ca="1" si="106"/>
        <v>0</v>
      </c>
      <c r="R233" s="359">
        <f t="shared" ca="1" si="107"/>
        <v>0</v>
      </c>
      <c r="S233" s="360">
        <f t="shared" ca="1" si="108"/>
        <v>1.5629999999999982</v>
      </c>
      <c r="T233" s="357">
        <f t="shared" ca="1" si="88"/>
        <v>15.333029999999983</v>
      </c>
      <c r="U233" s="364">
        <f t="shared" ca="1" si="89"/>
        <v>0</v>
      </c>
      <c r="V233" s="359">
        <f t="shared" ca="1" si="90"/>
        <v>1.1955004480829421</v>
      </c>
      <c r="W233" s="357">
        <f t="shared" ca="1" si="91"/>
        <v>1.2177342003615799</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243.74754353317434</v>
      </c>
      <c r="AF233" s="344"/>
      <c r="AG233" s="359">
        <f t="shared" ca="1" si="114"/>
        <v>-9.7764245549658568</v>
      </c>
      <c r="AH233" s="357">
        <f t="shared" ca="1" si="115"/>
        <v>-0.82978389702448763</v>
      </c>
    </row>
    <row r="234" spans="1:34" x14ac:dyDescent="0.2">
      <c r="A234" s="402">
        <f t="shared" ca="1" si="93"/>
        <v>0.1</v>
      </c>
      <c r="B234" s="357">
        <f t="shared" ca="1" si="94"/>
        <v>4.9999999999999991</v>
      </c>
      <c r="C234" s="342"/>
      <c r="D234" s="359">
        <f t="shared" ca="1" si="95"/>
        <v>-0.32891159034628797</v>
      </c>
      <c r="E234" s="360">
        <f t="shared" ca="1" si="96"/>
        <v>-10.51626827291955</v>
      </c>
      <c r="F234" s="357">
        <f t="shared" ca="1" si="97"/>
        <v>10.521410609907708</v>
      </c>
      <c r="G234" s="359">
        <f t="shared" ca="1" si="98"/>
        <v>12.883068559439929</v>
      </c>
      <c r="H234" s="360">
        <f t="shared" ca="1" si="99"/>
        <v>26.68267269636253</v>
      </c>
      <c r="I234" s="357">
        <f t="shared" ca="1" si="100"/>
        <v>29.630026623822665</v>
      </c>
      <c r="J234" s="359">
        <f t="shared" ca="1" si="101"/>
        <v>64.857030179749344</v>
      </c>
      <c r="K234" s="360">
        <f t="shared" ca="1" si="102"/>
        <v>246.4683921441752</v>
      </c>
      <c r="L234" s="357">
        <f t="shared" ca="1" si="87"/>
        <v>254.85898589194738</v>
      </c>
      <c r="M234" s="359">
        <f t="shared" ca="1" si="103"/>
        <v>1.1209826657149373</v>
      </c>
      <c r="N234" s="357">
        <f t="shared" ca="1" si="104"/>
        <v>64.227575652790321</v>
      </c>
      <c r="O234" s="343"/>
      <c r="P234" s="363">
        <f t="shared" ca="1" si="105"/>
        <v>23</v>
      </c>
      <c r="Q234" s="357">
        <f t="shared" ca="1" si="106"/>
        <v>0</v>
      </c>
      <c r="R234" s="359">
        <f t="shared" ca="1" si="107"/>
        <v>0</v>
      </c>
      <c r="S234" s="360">
        <f t="shared" ca="1" si="108"/>
        <v>1.5629999999999982</v>
      </c>
      <c r="T234" s="357">
        <f t="shared" ca="1" si="88"/>
        <v>15.333029999999983</v>
      </c>
      <c r="U234" s="364">
        <f t="shared" ca="1" si="89"/>
        <v>0</v>
      </c>
      <c r="V234" s="359">
        <f t="shared" ca="1" si="90"/>
        <v>1.1951751659075749</v>
      </c>
      <c r="W234" s="357">
        <f t="shared" ca="1" si="91"/>
        <v>1.1418691632061424</v>
      </c>
      <c r="X234" s="343"/>
      <c r="Y234" s="367" t="str">
        <f t="shared" ca="1" si="109"/>
        <v/>
      </c>
      <c r="Z234" s="368" t="str">
        <f t="shared" ca="1" si="110"/>
        <v/>
      </c>
      <c r="AA234" s="369" t="str">
        <f t="shared" ca="1" si="111"/>
        <v/>
      </c>
      <c r="AB234" s="344"/>
      <c r="AC234" s="363">
        <f t="shared" ca="1" si="112"/>
        <v>4.9999999999999991</v>
      </c>
      <c r="AD234" s="376">
        <f t="shared" ca="1" si="113"/>
        <v>64.857030179749344</v>
      </c>
      <c r="AE234" s="377">
        <f t="shared" ca="1" si="92"/>
        <v>246.4683921441752</v>
      </c>
      <c r="AF234" s="344"/>
      <c r="AG234" s="359">
        <f t="shared" ca="1" si="114"/>
        <v>-9.6720368288911835</v>
      </c>
      <c r="AH234" s="357">
        <f t="shared" ca="1" si="115"/>
        <v>-0.77910057604707694</v>
      </c>
    </row>
    <row r="235" spans="1:34" x14ac:dyDescent="0.2">
      <c r="A235" s="402">
        <f t="shared" ca="1" si="93"/>
        <v>0.1</v>
      </c>
      <c r="B235" s="357">
        <f t="shared" ca="1" si="94"/>
        <v>5.0999999999999988</v>
      </c>
      <c r="C235" s="342"/>
      <c r="D235" s="359">
        <f t="shared" ca="1" si="95"/>
        <v>-0.31764691587033156</v>
      </c>
      <c r="E235" s="360">
        <f t="shared" ca="1" si="96"/>
        <v>-10.467892073621437</v>
      </c>
      <c r="F235" s="357">
        <f t="shared" ca="1" si="97"/>
        <v>10.472710443249563</v>
      </c>
      <c r="G235" s="359">
        <f t="shared" ca="1" si="98"/>
        <v>12.851303867852895</v>
      </c>
      <c r="H235" s="360">
        <f t="shared" ca="1" si="99"/>
        <v>25.635883489000388</v>
      </c>
      <c r="I235" s="357">
        <f t="shared" ca="1" si="100"/>
        <v>28.676724592698754</v>
      </c>
      <c r="J235" s="359">
        <f t="shared" ca="1" si="101"/>
        <v>66.143748801113986</v>
      </c>
      <c r="K235" s="360">
        <f t="shared" ca="1" si="102"/>
        <v>249.08431995344336</v>
      </c>
      <c r="L235" s="357">
        <f t="shared" ca="1" si="87"/>
        <v>257.71688720790922</v>
      </c>
      <c r="M235" s="359">
        <f t="shared" ca="1" si="103"/>
        <v>1.1061081528033192</v>
      </c>
      <c r="N235" s="357">
        <f t="shared" ca="1" si="104"/>
        <v>63.37532884064175</v>
      </c>
      <c r="O235" s="343"/>
      <c r="P235" s="363">
        <f t="shared" ca="1" si="105"/>
        <v>23</v>
      </c>
      <c r="Q235" s="357">
        <f t="shared" ca="1" si="106"/>
        <v>0</v>
      </c>
      <c r="R235" s="359">
        <f t="shared" ca="1" si="107"/>
        <v>0</v>
      </c>
      <c r="S235" s="360">
        <f t="shared" ca="1" si="108"/>
        <v>1.5629999999999982</v>
      </c>
      <c r="T235" s="357">
        <f t="shared" ca="1" si="88"/>
        <v>15.333029999999983</v>
      </c>
      <c r="U235" s="364">
        <f t="shared" ca="1" si="89"/>
        <v>0</v>
      </c>
      <c r="V235" s="359">
        <f t="shared" ca="1" si="90"/>
        <v>1.1948625096205172</v>
      </c>
      <c r="W235" s="357">
        <f t="shared" ca="1" si="91"/>
        <v>1.0692954687910166</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249.08431995344336</v>
      </c>
      <c r="AF235" s="344"/>
      <c r="AG235" s="359">
        <f t="shared" ca="1" si="114"/>
        <v>-9.5647435155621121</v>
      </c>
      <c r="AH235" s="357">
        <f t="shared" ca="1" si="115"/>
        <v>-0.73056248445690575</v>
      </c>
    </row>
    <row r="236" spans="1:34" x14ac:dyDescent="0.2">
      <c r="A236" s="402">
        <f t="shared" ca="1" si="93"/>
        <v>0.1</v>
      </c>
      <c r="B236" s="357">
        <f t="shared" ca="1" si="94"/>
        <v>5.1999999999999984</v>
      </c>
      <c r="C236" s="342"/>
      <c r="D236" s="359">
        <f t="shared" ca="1" si="95"/>
        <v>-0.30658887764431536</v>
      </c>
      <c r="E236" s="360">
        <f t="shared" ca="1" si="96"/>
        <v>-10.421585939227054</v>
      </c>
      <c r="F236" s="357">
        <f t="shared" ca="1" si="97"/>
        <v>10.426094677710838</v>
      </c>
      <c r="G236" s="359">
        <f t="shared" ca="1" si="98"/>
        <v>12.820644980088463</v>
      </c>
      <c r="H236" s="360">
        <f t="shared" ca="1" si="99"/>
        <v>24.593724895077685</v>
      </c>
      <c r="I236" s="357">
        <f t="shared" ca="1" si="100"/>
        <v>27.734820026822444</v>
      </c>
      <c r="J236" s="359">
        <f t="shared" ca="1" si="101"/>
        <v>67.427346243511053</v>
      </c>
      <c r="K236" s="360">
        <f t="shared" ca="1" si="102"/>
        <v>251.59580037264726</v>
      </c>
      <c r="L236" s="357">
        <f t="shared" ca="1" si="87"/>
        <v>260.47436301216919</v>
      </c>
      <c r="M236" s="359">
        <f t="shared" ca="1" si="103"/>
        <v>1.0902563197112167</v>
      </c>
      <c r="N236" s="357">
        <f t="shared" ca="1" si="104"/>
        <v>62.467085706918461</v>
      </c>
      <c r="O236" s="343"/>
      <c r="P236" s="363">
        <f t="shared" ca="1" si="105"/>
        <v>23</v>
      </c>
      <c r="Q236" s="357">
        <f t="shared" ca="1" si="106"/>
        <v>0</v>
      </c>
      <c r="R236" s="359">
        <f t="shared" ca="1" si="107"/>
        <v>0</v>
      </c>
      <c r="S236" s="360">
        <f t="shared" ca="1" si="108"/>
        <v>1.5629999999999982</v>
      </c>
      <c r="T236" s="357">
        <f t="shared" ca="1" si="88"/>
        <v>15.333029999999983</v>
      </c>
      <c r="U236" s="364">
        <f t="shared" ca="1" si="89"/>
        <v>0</v>
      </c>
      <c r="V236" s="359">
        <f t="shared" ca="1" si="90"/>
        <v>1.1945624129086339</v>
      </c>
      <c r="W236" s="357">
        <f t="shared" ca="1" si="91"/>
        <v>0.99995452591065903</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251.59580037264726</v>
      </c>
      <c r="AF236" s="344"/>
      <c r="AG236" s="359">
        <f t="shared" ca="1" si="114"/>
        <v>-9.4538910418927582</v>
      </c>
      <c r="AH236" s="357">
        <f t="shared" ca="1" si="115"/>
        <v>-0.68413017836917323</v>
      </c>
    </row>
    <row r="237" spans="1:34" x14ac:dyDescent="0.2">
      <c r="A237" s="402">
        <f t="shared" ca="1" si="93"/>
        <v>0.1</v>
      </c>
      <c r="B237" s="357">
        <f t="shared" ca="1" si="94"/>
        <v>5.299999999999998</v>
      </c>
      <c r="C237" s="342"/>
      <c r="D237" s="359">
        <f t="shared" ca="1" si="95"/>
        <v>-0.29573708954879246</v>
      </c>
      <c r="E237" s="360">
        <f t="shared" ca="1" si="96"/>
        <v>-10.377309728405237</v>
      </c>
      <c r="F237" s="357">
        <f t="shared" ca="1" si="97"/>
        <v>10.381522895287992</v>
      </c>
      <c r="G237" s="359">
        <f t="shared" ca="1" si="98"/>
        <v>12.791071271133584</v>
      </c>
      <c r="H237" s="360">
        <f t="shared" ca="1" si="99"/>
        <v>23.55599392223716</v>
      </c>
      <c r="I237" s="357">
        <f t="shared" ca="1" si="100"/>
        <v>26.804782295845882</v>
      </c>
      <c r="J237" s="359">
        <f t="shared" ca="1" si="101"/>
        <v>68.707932056072153</v>
      </c>
      <c r="K237" s="360">
        <f t="shared" ca="1" si="102"/>
        <v>254.003286313513</v>
      </c>
      <c r="L237" s="357">
        <f t="shared" ca="1" si="87"/>
        <v>263.13199992681672</v>
      </c>
      <c r="M237" s="359">
        <f t="shared" ca="1" si="103"/>
        <v>1.0733378154989506</v>
      </c>
      <c r="N237" s="357">
        <f t="shared" ca="1" si="104"/>
        <v>61.497726819881308</v>
      </c>
      <c r="O237" s="343"/>
      <c r="P237" s="363">
        <f t="shared" ca="1" si="105"/>
        <v>23</v>
      </c>
      <c r="Q237" s="357">
        <f t="shared" ca="1" si="106"/>
        <v>0</v>
      </c>
      <c r="R237" s="359">
        <f t="shared" ca="1" si="107"/>
        <v>0</v>
      </c>
      <c r="S237" s="360">
        <f t="shared" ca="1" si="108"/>
        <v>1.5629999999999982</v>
      </c>
      <c r="T237" s="357">
        <f t="shared" ca="1" si="88"/>
        <v>15.333029999999983</v>
      </c>
      <c r="U237" s="364">
        <f t="shared" ca="1" si="89"/>
        <v>0</v>
      </c>
      <c r="V237" s="359">
        <f t="shared" ca="1" si="90"/>
        <v>1.1942748123582745</v>
      </c>
      <c r="W237" s="357">
        <f t="shared" ca="1" si="91"/>
        <v>0.93379069592916952</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254.003286313513</v>
      </c>
      <c r="AF237" s="344"/>
      <c r="AG237" s="359">
        <f t="shared" ca="1" si="114"/>
        <v>-9.3387388341973612</v>
      </c>
      <c r="AH237" s="357">
        <f t="shared" ca="1" si="115"/>
        <v>-0.63976617140797198</v>
      </c>
    </row>
    <row r="238" spans="1:34" x14ac:dyDescent="0.2">
      <c r="A238" s="402">
        <f t="shared" ca="1" si="93"/>
        <v>0.1</v>
      </c>
      <c r="B238" s="357">
        <f t="shared" ca="1" si="94"/>
        <v>5.3999999999999977</v>
      </c>
      <c r="C238" s="342"/>
      <c r="D238" s="359">
        <f t="shared" ca="1" si="95"/>
        <v>-0.28509211041374449</v>
      </c>
      <c r="E238" s="360">
        <f t="shared" ca="1" si="96"/>
        <v>-10.33502467368308</v>
      </c>
      <c r="F238" s="357">
        <f t="shared" ca="1" si="97"/>
        <v>10.338956065147883</v>
      </c>
      <c r="G238" s="359">
        <f t="shared" ca="1" si="98"/>
        <v>12.762562060092209</v>
      </c>
      <c r="H238" s="360">
        <f t="shared" ca="1" si="99"/>
        <v>22.522491454868852</v>
      </c>
      <c r="I238" s="357">
        <f t="shared" ca="1" si="100"/>
        <v>25.887170793123484</v>
      </c>
      <c r="J238" s="359">
        <f t="shared" ca="1" si="101"/>
        <v>69.985613722633445</v>
      </c>
      <c r="K238" s="360">
        <f t="shared" ca="1" si="102"/>
        <v>256.30721058236833</v>
      </c>
      <c r="L238" s="357">
        <f t="shared" ca="1" si="87"/>
        <v>265.69036927342353</v>
      </c>
      <c r="M238" s="359">
        <f t="shared" ca="1" si="103"/>
        <v>1.055253472925801</v>
      </c>
      <c r="N238" s="357">
        <f t="shared" ca="1" si="104"/>
        <v>60.46157031517108</v>
      </c>
      <c r="O238" s="343"/>
      <c r="P238" s="363">
        <f t="shared" ca="1" si="105"/>
        <v>23</v>
      </c>
      <c r="Q238" s="357">
        <f t="shared" ca="1" si="106"/>
        <v>0</v>
      </c>
      <c r="R238" s="359">
        <f t="shared" ca="1" si="107"/>
        <v>0</v>
      </c>
      <c r="S238" s="360">
        <f t="shared" ca="1" si="108"/>
        <v>1.5629999999999982</v>
      </c>
      <c r="T238" s="357">
        <f t="shared" ca="1" si="88"/>
        <v>15.333029999999983</v>
      </c>
      <c r="U238" s="364">
        <f t="shared" ca="1" si="89"/>
        <v>0</v>
      </c>
      <c r="V238" s="359">
        <f t="shared" ca="1" si="90"/>
        <v>1.1939996473987746</v>
      </c>
      <c r="W238" s="357">
        <f t="shared" ca="1" si="91"/>
        <v>0.87075119146982216</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256.30721058236833</v>
      </c>
      <c r="AF238" s="344"/>
      <c r="AG238" s="359">
        <f t="shared" ca="1" si="114"/>
        <v>-9.2184450213156293</v>
      </c>
      <c r="AH238" s="357">
        <f t="shared" ca="1" si="115"/>
        <v>-0.59743486623747322</v>
      </c>
    </row>
    <row r="239" spans="1:34" x14ac:dyDescent="0.2">
      <c r="A239" s="402">
        <f t="shared" ca="1" si="93"/>
        <v>0.1</v>
      </c>
      <c r="B239" s="357">
        <f t="shared" ca="1" si="94"/>
        <v>5.4999999999999973</v>
      </c>
      <c r="C239" s="342"/>
      <c r="D239" s="359">
        <f t="shared" ca="1" si="95"/>
        <v>-0.27465554872755571</v>
      </c>
      <c r="E239" s="360">
        <f t="shared" ca="1" si="96"/>
        <v>-10.294693215995535</v>
      </c>
      <c r="F239" s="357">
        <f t="shared" ca="1" si="97"/>
        <v>10.298356377690148</v>
      </c>
      <c r="G239" s="359">
        <f t="shared" ca="1" si="98"/>
        <v>12.735096505219454</v>
      </c>
      <c r="H239" s="360">
        <f t="shared" ca="1" si="99"/>
        <v>21.493022133269299</v>
      </c>
      <c r="I239" s="357">
        <f t="shared" ca="1" si="100"/>
        <v>24.982647646285546</v>
      </c>
      <c r="J239" s="359">
        <f t="shared" ca="1" si="101"/>
        <v>71.260496650899029</v>
      </c>
      <c r="K239" s="360">
        <f t="shared" ca="1" si="102"/>
        <v>258.50798626177522</v>
      </c>
      <c r="L239" s="357">
        <f t="shared" ca="1" si="87"/>
        <v>268.15002767863172</v>
      </c>
      <c r="M239" s="359">
        <f t="shared" ca="1" si="103"/>
        <v>1.0358932232768538</v>
      </c>
      <c r="N239" s="357">
        <f t="shared" ca="1" si="104"/>
        <v>59.352309719966776</v>
      </c>
      <c r="O239" s="343"/>
      <c r="P239" s="363">
        <f t="shared" ca="1" si="105"/>
        <v>23</v>
      </c>
      <c r="Q239" s="357">
        <f t="shared" ca="1" si="106"/>
        <v>0</v>
      </c>
      <c r="R239" s="359">
        <f t="shared" ca="1" si="107"/>
        <v>0</v>
      </c>
      <c r="S239" s="360">
        <f t="shared" ca="1" si="108"/>
        <v>1.5629999999999982</v>
      </c>
      <c r="T239" s="357">
        <f t="shared" ca="1" si="88"/>
        <v>15.333029999999983</v>
      </c>
      <c r="U239" s="364">
        <f t="shared" ca="1" si="89"/>
        <v>0</v>
      </c>
      <c r="V239" s="359">
        <f t="shared" ca="1" si="90"/>
        <v>1.1937368602480081</v>
      </c>
      <c r="W239" s="357">
        <f t="shared" ca="1" si="91"/>
        <v>0.81078598040582472</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258.50798626177522</v>
      </c>
      <c r="AF239" s="344"/>
      <c r="AG239" s="359">
        <f t="shared" ca="1" si="114"/>
        <v>-9.0920498943075518</v>
      </c>
      <c r="AH239" s="357">
        <f t="shared" ca="1" si="115"/>
        <v>-0.55710248974396881</v>
      </c>
    </row>
    <row r="240" spans="1:34" x14ac:dyDescent="0.2">
      <c r="A240" s="402">
        <f t="shared" ca="1" si="93"/>
        <v>0.1</v>
      </c>
      <c r="B240" s="357">
        <f t="shared" ca="1" si="94"/>
        <v>5.599999999999997</v>
      </c>
      <c r="C240" s="342"/>
      <c r="D240" s="359">
        <f t="shared" ca="1" si="95"/>
        <v>-0.26443018577983723</v>
      </c>
      <c r="E240" s="360">
        <f t="shared" ca="1" si="96"/>
        <v>-10.256278819586583</v>
      </c>
      <c r="F240" s="357">
        <f t="shared" ca="1" si="97"/>
        <v>10.259687058982449</v>
      </c>
      <c r="G240" s="359">
        <f t="shared" ca="1" si="98"/>
        <v>12.70865348664147</v>
      </c>
      <c r="H240" s="360">
        <f t="shared" ca="1" si="99"/>
        <v>20.46739425131064</v>
      </c>
      <c r="I240" s="357">
        <f t="shared" ca="1" si="100"/>
        <v>24.091992463931003</v>
      </c>
      <c r="J240" s="359">
        <f t="shared" ca="1" si="101"/>
        <v>72.532684150492074</v>
      </c>
      <c r="K240" s="360">
        <f t="shared" ca="1" si="102"/>
        <v>260.60600708100424</v>
      </c>
      <c r="L240" s="357">
        <f t="shared" ca="1" si="87"/>
        <v>270.51151767859989</v>
      </c>
      <c r="M240" s="359">
        <f t="shared" ca="1" si="103"/>
        <v>1.0151349484812888</v>
      </c>
      <c r="N240" s="357">
        <f t="shared" ca="1" si="104"/>
        <v>58.162948184208105</v>
      </c>
      <c r="O240" s="343"/>
      <c r="P240" s="363">
        <f t="shared" ca="1" si="105"/>
        <v>23</v>
      </c>
      <c r="Q240" s="357">
        <f t="shared" ca="1" si="106"/>
        <v>0</v>
      </c>
      <c r="R240" s="359">
        <f t="shared" ca="1" si="107"/>
        <v>0</v>
      </c>
      <c r="S240" s="360">
        <f t="shared" ca="1" si="108"/>
        <v>1.5629999999999982</v>
      </c>
      <c r="T240" s="357">
        <f t="shared" ca="1" si="88"/>
        <v>15.333029999999983</v>
      </c>
      <c r="U240" s="364">
        <f t="shared" ca="1" si="89"/>
        <v>0</v>
      </c>
      <c r="V240" s="359">
        <f t="shared" ca="1" si="90"/>
        <v>1.1934863958597628</v>
      </c>
      <c r="W240" s="357">
        <f t="shared" ca="1" si="91"/>
        <v>0.75384769474674496</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260.60600708100424</v>
      </c>
      <c r="AF240" s="344"/>
      <c r="AG240" s="359">
        <f t="shared" ca="1" si="114"/>
        <v>-8.9584568768647195</v>
      </c>
      <c r="AH240" s="357">
        <f t="shared" ca="1" si="115"/>
        <v>-0.51873703160961337</v>
      </c>
    </row>
    <row r="241" spans="1:34" x14ac:dyDescent="0.2">
      <c r="A241" s="402">
        <f t="shared" ca="1" si="93"/>
        <v>0.1</v>
      </c>
      <c r="B241" s="357">
        <f t="shared" ca="1" si="94"/>
        <v>5.6999999999999966</v>
      </c>
      <c r="C241" s="342"/>
      <c r="D241" s="359">
        <f t="shared" ca="1" si="95"/>
        <v>-0.25442011984085711</v>
      </c>
      <c r="E241" s="360">
        <f t="shared" ca="1" si="96"/>
        <v>-10.219745761320988</v>
      </c>
      <c r="F241" s="357">
        <f t="shared" ca="1" si="97"/>
        <v>10.222912159625462</v>
      </c>
      <c r="G241" s="359">
        <f t="shared" ca="1" si="98"/>
        <v>12.683211474657384</v>
      </c>
      <c r="H241" s="360">
        <f t="shared" ca="1" si="99"/>
        <v>19.445419675178542</v>
      </c>
      <c r="I241" s="357">
        <f t="shared" ca="1" si="100"/>
        <v>23.21611939266986</v>
      </c>
      <c r="J241" s="359">
        <f t="shared" ca="1" si="101"/>
        <v>73.80227739855701</v>
      </c>
      <c r="K241" s="360">
        <f t="shared" ca="1" si="102"/>
        <v>262.60164777732871</v>
      </c>
      <c r="L241" s="357">
        <f t="shared" ca="1" si="87"/>
        <v>272.77536832452773</v>
      </c>
      <c r="M241" s="359">
        <f t="shared" ca="1" si="103"/>
        <v>0.99284330096050366</v>
      </c>
      <c r="N241" s="357">
        <f t="shared" ca="1" si="104"/>
        <v>56.885730862873849</v>
      </c>
      <c r="O241" s="343"/>
      <c r="P241" s="363">
        <f t="shared" ca="1" si="105"/>
        <v>23</v>
      </c>
      <c r="Q241" s="357">
        <f t="shared" ca="1" si="106"/>
        <v>0</v>
      </c>
      <c r="R241" s="359">
        <f t="shared" ca="1" si="107"/>
        <v>0</v>
      </c>
      <c r="S241" s="360">
        <f t="shared" ca="1" si="108"/>
        <v>1.5629999999999982</v>
      </c>
      <c r="T241" s="357">
        <f t="shared" ca="1" si="88"/>
        <v>15.333029999999983</v>
      </c>
      <c r="U241" s="364">
        <f t="shared" ca="1" si="89"/>
        <v>0</v>
      </c>
      <c r="V241" s="359">
        <f t="shared" ca="1" si="90"/>
        <v>1.1932482018726835</v>
      </c>
      <c r="W241" s="357">
        <f t="shared" ca="1" si="91"/>
        <v>0.69989154400775733</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262.60164777732871</v>
      </c>
      <c r="AF241" s="344"/>
      <c r="AG241" s="359">
        <f t="shared" ca="1" si="114"/>
        <v>-8.8164108097827025</v>
      </c>
      <c r="AH241" s="357">
        <f t="shared" ca="1" si="115"/>
        <v>-0.48230818601839143</v>
      </c>
    </row>
    <row r="242" spans="1:34" x14ac:dyDescent="0.2">
      <c r="A242" s="402">
        <f t="shared" ca="1" si="93"/>
        <v>0.1</v>
      </c>
      <c r="B242" s="357">
        <f t="shared" ca="1" si="94"/>
        <v>5.7999999999999963</v>
      </c>
      <c r="C242" s="342"/>
      <c r="D242" s="359">
        <f t="shared" ca="1" si="95"/>
        <v>-0.24463093412353384</v>
      </c>
      <c r="E242" s="360">
        <f t="shared" ca="1" si="96"/>
        <v>-10.185058887023057</v>
      </c>
      <c r="F242" s="357">
        <f t="shared" ca="1" si="97"/>
        <v>10.187996310661754</v>
      </c>
      <c r="G242" s="359">
        <f t="shared" ca="1" si="98"/>
        <v>12.658748381245029</v>
      </c>
      <c r="H242" s="360">
        <f t="shared" ca="1" si="99"/>
        <v>18.426913786476234</v>
      </c>
      <c r="I242" s="357">
        <f t="shared" ca="1" si="100"/>
        <v>22.356096758466169</v>
      </c>
      <c r="J242" s="359">
        <f t="shared" ca="1" si="101"/>
        <v>75.069375391352125</v>
      </c>
      <c r="K242" s="360">
        <f t="shared" ca="1" si="102"/>
        <v>264.49526445041147</v>
      </c>
      <c r="L242" s="357">
        <f t="shared" ca="1" si="87"/>
        <v>274.94209579171547</v>
      </c>
      <c r="M242" s="359">
        <f t="shared" ca="1" si="103"/>
        <v>0.96886854266742795</v>
      </c>
      <c r="N242" s="357">
        <f t="shared" ca="1" si="104"/>
        <v>55.512078397834344</v>
      </c>
      <c r="O242" s="343"/>
      <c r="P242" s="363">
        <f t="shared" ca="1" si="105"/>
        <v>23</v>
      </c>
      <c r="Q242" s="357">
        <f t="shared" ca="1" si="106"/>
        <v>0</v>
      </c>
      <c r="R242" s="359">
        <f t="shared" ca="1" si="107"/>
        <v>0</v>
      </c>
      <c r="S242" s="360">
        <f t="shared" ca="1" si="108"/>
        <v>1.5629999999999982</v>
      </c>
      <c r="T242" s="357">
        <f t="shared" ca="1" si="88"/>
        <v>15.333029999999983</v>
      </c>
      <c r="U242" s="364">
        <f t="shared" ca="1" si="89"/>
        <v>0</v>
      </c>
      <c r="V242" s="359">
        <f t="shared" ca="1" si="90"/>
        <v>1.1930222285604959</v>
      </c>
      <c r="W242" s="357">
        <f t="shared" ca="1" si="91"/>
        <v>0.64887523263351987</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264.49526445041147</v>
      </c>
      <c r="AF242" s="344"/>
      <c r="AG242" s="359">
        <f t="shared" ca="1" si="114"/>
        <v>-8.6644734610045901</v>
      </c>
      <c r="AH242" s="357">
        <f t="shared" ca="1" si="115"/>
        <v>-0.44778729623017155</v>
      </c>
    </row>
    <row r="243" spans="1:34" x14ac:dyDescent="0.2">
      <c r="A243" s="402">
        <f t="shared" ca="1" si="93"/>
        <v>0.1</v>
      </c>
      <c r="B243" s="357">
        <f t="shared" ca="1" si="94"/>
        <v>5.8999999999999959</v>
      </c>
      <c r="C243" s="342"/>
      <c r="D243" s="359">
        <f t="shared" ca="1" si="95"/>
        <v>-0.23506989125916655</v>
      </c>
      <c r="E243" s="360">
        <f t="shared" ca="1" si="96"/>
        <v>-10.152183325679074</v>
      </c>
      <c r="F243" s="357">
        <f t="shared" ca="1" si="97"/>
        <v>10.154904437362905</v>
      </c>
      <c r="G243" s="359">
        <f t="shared" ca="1" si="98"/>
        <v>12.635241392119113</v>
      </c>
      <c r="H243" s="360">
        <f t="shared" ca="1" si="99"/>
        <v>17.411695453908326</v>
      </c>
      <c r="I243" s="357">
        <f t="shared" ca="1" si="100"/>
        <v>21.513169539070063</v>
      </c>
      <c r="J243" s="359">
        <f t="shared" ca="1" si="101"/>
        <v>76.334074880020339</v>
      </c>
      <c r="K243" s="360">
        <f t="shared" ca="1" si="102"/>
        <v>266.28719491243072</v>
      </c>
      <c r="L243" s="357">
        <f t="shared" ca="1" si="87"/>
        <v>277.01220399491319</v>
      </c>
      <c r="M243" s="359">
        <f t="shared" ca="1" si="103"/>
        <v>0.94304548516593412</v>
      </c>
      <c r="N243" s="357">
        <f t="shared" ca="1" si="104"/>
        <v>54.03252618887511</v>
      </c>
      <c r="O243" s="343"/>
      <c r="P243" s="363">
        <f t="shared" ca="1" si="105"/>
        <v>23</v>
      </c>
      <c r="Q243" s="357">
        <f t="shared" ca="1" si="106"/>
        <v>0</v>
      </c>
      <c r="R243" s="359">
        <f t="shared" ca="1" si="107"/>
        <v>0</v>
      </c>
      <c r="S243" s="360">
        <f t="shared" ca="1" si="108"/>
        <v>1.5629999999999982</v>
      </c>
      <c r="T243" s="357">
        <f t="shared" ca="1" si="88"/>
        <v>15.333029999999983</v>
      </c>
      <c r="U243" s="364">
        <f t="shared" ca="1" si="89"/>
        <v>0</v>
      </c>
      <c r="V243" s="359">
        <f t="shared" ca="1" si="90"/>
        <v>1.1928084287831848</v>
      </c>
      <c r="W243" s="357">
        <f t="shared" ca="1" si="91"/>
        <v>0.60075888102349118</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266.28719491243072</v>
      </c>
      <c r="AF243" s="344"/>
      <c r="AG243" s="359">
        <f t="shared" ca="1" si="114"/>
        <v>-8.5009963745247887</v>
      </c>
      <c r="AH243" s="357">
        <f t="shared" ca="1" si="115"/>
        <v>-0.41514730174889358</v>
      </c>
    </row>
    <row r="244" spans="1:34" x14ac:dyDescent="0.2">
      <c r="A244" s="402">
        <f t="shared" ca="1" si="93"/>
        <v>0.1</v>
      </c>
      <c r="B244" s="357">
        <f t="shared" ca="1" si="94"/>
        <v>5.9999999999999956</v>
      </c>
      <c r="C244" s="342"/>
      <c r="D244" s="359">
        <f t="shared" ca="1" si="95"/>
        <v>-0.22574615672473877</v>
      </c>
      <c r="E244" s="360">
        <f t="shared" ca="1" si="96"/>
        <v>-10.121084150179595</v>
      </c>
      <c r="F244" s="357">
        <f t="shared" ca="1" si="97"/>
        <v>10.12360141956866</v>
      </c>
      <c r="G244" s="359">
        <f t="shared" ca="1" si="98"/>
        <v>12.612666776446639</v>
      </c>
      <c r="H244" s="360">
        <f t="shared" ca="1" si="99"/>
        <v>16.399587038890367</v>
      </c>
      <c r="I244" s="357">
        <f t="shared" ca="1" si="100"/>
        <v>20.68878484251363</v>
      </c>
      <c r="J244" s="359">
        <f t="shared" ca="1" si="101"/>
        <v>77.596470288448629</v>
      </c>
      <c r="K244" s="360">
        <f t="shared" ca="1" si="102"/>
        <v>267.97775903707065</v>
      </c>
      <c r="L244" s="357">
        <f t="shared" ca="1" si="87"/>
        <v>278.98618521309686</v>
      </c>
      <c r="M244" s="359">
        <f t="shared" ca="1" si="103"/>
        <v>0.9151926555679043</v>
      </c>
      <c r="N244" s="357">
        <f t="shared" ca="1" si="104"/>
        <v>52.436676605410938</v>
      </c>
      <c r="O244" s="343"/>
      <c r="P244" s="363">
        <f t="shared" ca="1" si="105"/>
        <v>23</v>
      </c>
      <c r="Q244" s="357">
        <f t="shared" ca="1" si="106"/>
        <v>0</v>
      </c>
      <c r="R244" s="359">
        <f t="shared" ca="1" si="107"/>
        <v>0</v>
      </c>
      <c r="S244" s="360">
        <f t="shared" ca="1" si="108"/>
        <v>1.5629999999999982</v>
      </c>
      <c r="T244" s="357">
        <f t="shared" ca="1" si="88"/>
        <v>15.333029999999983</v>
      </c>
      <c r="U244" s="364">
        <f t="shared" ca="1" si="89"/>
        <v>0</v>
      </c>
      <c r="V244" s="359">
        <f t="shared" ca="1" si="90"/>
        <v>1.1926067579387349</v>
      </c>
      <c r="W244" s="357">
        <f t="shared" ca="1" si="91"/>
        <v>0.55550494966885089</v>
      </c>
      <c r="X244" s="343"/>
      <c r="Y244" s="367" t="str">
        <f t="shared" ca="1" si="109"/>
        <v/>
      </c>
      <c r="Z244" s="368" t="str">
        <f t="shared" ca="1" si="110"/>
        <v/>
      </c>
      <c r="AA244" s="369" t="str">
        <f t="shared" ca="1" si="111"/>
        <v/>
      </c>
      <c r="AB244" s="344"/>
      <c r="AC244" s="363">
        <f t="shared" ca="1" si="112"/>
        <v>5.9999999999999956</v>
      </c>
      <c r="AD244" s="376">
        <f t="shared" ca="1" si="113"/>
        <v>77.596470288448629</v>
      </c>
      <c r="AE244" s="377">
        <f t="shared" ca="1" si="92"/>
        <v>267.97775903707065</v>
      </c>
      <c r="AF244" s="344"/>
      <c r="AG244" s="359">
        <f t="shared" ca="1" si="114"/>
        <v>-8.3240915172747165</v>
      </c>
      <c r="AH244" s="357">
        <f t="shared" ca="1" si="115"/>
        <v>-0.38436268779494043</v>
      </c>
    </row>
    <row r="245" spans="1:34" x14ac:dyDescent="0.2">
      <c r="A245" s="402">
        <f t="shared" ca="1" si="93"/>
        <v>0.1</v>
      </c>
      <c r="B245" s="357">
        <f t="shared" ca="1" si="94"/>
        <v>6.0999999999999952</v>
      </c>
      <c r="C245" s="342"/>
      <c r="D245" s="359">
        <f t="shared" ca="1" si="95"/>
        <v>-0.21667105290551744</v>
      </c>
      <c r="E245" s="360">
        <f t="shared" ca="1" si="96"/>
        <v>-10.091725970717601</v>
      </c>
      <c r="F245" s="357">
        <f t="shared" ca="1" si="97"/>
        <v>10.094051684691498</v>
      </c>
      <c r="G245" s="359">
        <f t="shared" ca="1" si="98"/>
        <v>12.590999671156087</v>
      </c>
      <c r="H245" s="360">
        <f t="shared" ca="1" si="99"/>
        <v>15.390414441818606</v>
      </c>
      <c r="I245" s="357">
        <f t="shared" ca="1" si="100"/>
        <v>19.884620424086336</v>
      </c>
      <c r="J245" s="359">
        <f t="shared" ca="1" si="101"/>
        <v>78.856653610828772</v>
      </c>
      <c r="K245" s="360">
        <f t="shared" ca="1" si="102"/>
        <v>269.56725911110613</v>
      </c>
      <c r="L245" s="357">
        <f t="shared" ca="1" si="87"/>
        <v>280.86452072729378</v>
      </c>
      <c r="M245" s="359">
        <f t="shared" ca="1" si="103"/>
        <v>0.88511187244508482</v>
      </c>
      <c r="N245" s="357">
        <f t="shared" ca="1" si="104"/>
        <v>50.713174688025028</v>
      </c>
      <c r="O245" s="343"/>
      <c r="P245" s="363">
        <f t="shared" ca="1" si="105"/>
        <v>23</v>
      </c>
      <c r="Q245" s="357">
        <f t="shared" ca="1" si="106"/>
        <v>0</v>
      </c>
      <c r="R245" s="359">
        <f t="shared" ca="1" si="107"/>
        <v>0</v>
      </c>
      <c r="S245" s="360">
        <f t="shared" ca="1" si="108"/>
        <v>1.5629999999999982</v>
      </c>
      <c r="T245" s="357">
        <f t="shared" ca="1" si="88"/>
        <v>15.333029999999983</v>
      </c>
      <c r="U245" s="364">
        <f t="shared" ca="1" si="89"/>
        <v>0</v>
      </c>
      <c r="V245" s="359">
        <f t="shared" ca="1" si="90"/>
        <v>1.1924171739149811</v>
      </c>
      <c r="W245" s="357">
        <f t="shared" ca="1" si="91"/>
        <v>0.51307816586057819</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269.56725911110613</v>
      </c>
      <c r="AF245" s="344"/>
      <c r="AG245" s="359">
        <f t="shared" ca="1" si="114"/>
        <v>-8.1316007440953673</v>
      </c>
      <c r="AH245" s="357">
        <f t="shared" ca="1" si="115"/>
        <v>-0.35540943676829911</v>
      </c>
    </row>
    <row r="246" spans="1:34" x14ac:dyDescent="0.2">
      <c r="A246" s="402">
        <f t="shared" ca="1" si="93"/>
        <v>0.1</v>
      </c>
      <c r="B246" s="357">
        <f t="shared" ca="1" si="94"/>
        <v>6.1999999999999948</v>
      </c>
      <c r="C246" s="342"/>
      <c r="D246" s="359">
        <f t="shared" ca="1" si="95"/>
        <v>-0.20785834399474779</v>
      </c>
      <c r="E246" s="360">
        <f t="shared" ca="1" si="96"/>
        <v>-10.064072444032997</v>
      </c>
      <c r="F246" s="357">
        <f t="shared" ca="1" si="97"/>
        <v>10.066218716574388</v>
      </c>
      <c r="G246" s="359">
        <f t="shared" ca="1" si="98"/>
        <v>12.570213836756613</v>
      </c>
      <c r="H246" s="360">
        <f t="shared" ca="1" si="99"/>
        <v>14.384007197415308</v>
      </c>
      <c r="I246" s="357">
        <f t="shared" ca="1" si="100"/>
        <v>19.102616023913654</v>
      </c>
      <c r="J246" s="359">
        <f t="shared" ca="1" si="101"/>
        <v>80.114714286224412</v>
      </c>
      <c r="K246" s="360">
        <f t="shared" ca="1" si="102"/>
        <v>271.0559801930678</v>
      </c>
      <c r="L246" s="357">
        <f t="shared" ca="1" si="87"/>
        <v>282.64768147569885</v>
      </c>
      <c r="M246" s="359">
        <f t="shared" ca="1" si="103"/>
        <v>0.85258849530138858</v>
      </c>
      <c r="N246" s="357">
        <f t="shared" ca="1" si="104"/>
        <v>48.849722442178987</v>
      </c>
      <c r="O246" s="343"/>
      <c r="P246" s="363">
        <f t="shared" ca="1" si="105"/>
        <v>23</v>
      </c>
      <c r="Q246" s="357">
        <f t="shared" ca="1" si="106"/>
        <v>0</v>
      </c>
      <c r="R246" s="359">
        <f t="shared" ca="1" si="107"/>
        <v>0</v>
      </c>
      <c r="S246" s="360">
        <f t="shared" ca="1" si="108"/>
        <v>1.5629999999999982</v>
      </c>
      <c r="T246" s="357">
        <f t="shared" ca="1" si="88"/>
        <v>15.333029999999983</v>
      </c>
      <c r="U246" s="364">
        <f t="shared" ca="1" si="89"/>
        <v>0</v>
      </c>
      <c r="V246" s="359">
        <f t="shared" ca="1" si="90"/>
        <v>1.1922396370410155</v>
      </c>
      <c r="W246" s="357">
        <f t="shared" ca="1" si="91"/>
        <v>0.47344545236077945</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271.0559801930678</v>
      </c>
      <c r="AF246" s="344"/>
      <c r="AG246" s="359">
        <f t="shared" ca="1" si="114"/>
        <v>-7.9210659729893349</v>
      </c>
      <c r="AH246" s="357">
        <f t="shared" ca="1" si="115"/>
        <v>-0.32826498135673626</v>
      </c>
    </row>
    <row r="247" spans="1:34" x14ac:dyDescent="0.2">
      <c r="A247" s="402">
        <f t="shared" ca="1" si="93"/>
        <v>0.1</v>
      </c>
      <c r="B247" s="357">
        <f t="shared" ca="1" si="94"/>
        <v>6.2999999999999945</v>
      </c>
      <c r="C247" s="342"/>
      <c r="D247" s="359">
        <f t="shared" ca="1" si="95"/>
        <v>-0.19932454934472407</v>
      </c>
      <c r="E247" s="360">
        <f t="shared" ca="1" si="96"/>
        <v>-10.038085678543704</v>
      </c>
      <c r="F247" s="357">
        <f t="shared" ca="1" si="97"/>
        <v>10.040064460239073</v>
      </c>
      <c r="G247" s="359">
        <f t="shared" ca="1" si="98"/>
        <v>12.55028138182214</v>
      </c>
      <c r="H247" s="360">
        <f t="shared" ca="1" si="99"/>
        <v>13.380198629560937</v>
      </c>
      <c r="I247" s="357">
        <f t="shared" ca="1" si="100"/>
        <v>18.345006899137864</v>
      </c>
      <c r="J247" s="359">
        <f t="shared" ca="1" si="101"/>
        <v>81.37073904715335</v>
      </c>
      <c r="K247" s="360">
        <f t="shared" ca="1" si="102"/>
        <v>272.44419048441659</v>
      </c>
      <c r="L247" s="357">
        <f t="shared" ca="1" si="87"/>
        <v>284.33612873110059</v>
      </c>
      <c r="M247" s="359">
        <f t="shared" ca="1" si="103"/>
        <v>0.81739271367593969</v>
      </c>
      <c r="N247" s="357">
        <f t="shared" ca="1" si="104"/>
        <v>46.833152698376672</v>
      </c>
      <c r="O247" s="343"/>
      <c r="P247" s="363">
        <f t="shared" ca="1" si="105"/>
        <v>23</v>
      </c>
      <c r="Q247" s="357">
        <f t="shared" ca="1" si="106"/>
        <v>0</v>
      </c>
      <c r="R247" s="359">
        <f t="shared" ca="1" si="107"/>
        <v>0</v>
      </c>
      <c r="S247" s="360">
        <f t="shared" ca="1" si="108"/>
        <v>1.5629999999999982</v>
      </c>
      <c r="T247" s="357">
        <f t="shared" ca="1" si="88"/>
        <v>15.333029999999983</v>
      </c>
      <c r="U247" s="364">
        <f t="shared" ca="1" si="89"/>
        <v>0</v>
      </c>
      <c r="V247" s="359">
        <f t="shared" ca="1" si="90"/>
        <v>1.1920741100374996</v>
      </c>
      <c r="W247" s="357">
        <f t="shared" ca="1" si="91"/>
        <v>0.43657585734207438</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272.44419048441659</v>
      </c>
      <c r="AF247" s="344"/>
      <c r="AG247" s="359">
        <f t="shared" ca="1" si="114"/>
        <v>-7.6897032674861681</v>
      </c>
      <c r="AH247" s="357">
        <f t="shared" ca="1" si="115"/>
        <v>-0.30290815890005118</v>
      </c>
    </row>
    <row r="248" spans="1:34" x14ac:dyDescent="0.2">
      <c r="A248" s="402">
        <f t="shared" ca="1" si="93"/>
        <v>0.1</v>
      </c>
      <c r="B248" s="357">
        <f t="shared" ca="1" si="94"/>
        <v>6.3999999999999941</v>
      </c>
      <c r="C248" s="342"/>
      <c r="D248" s="359">
        <f t="shared" ca="1" si="95"/>
        <v>-0.19108927867993389</v>
      </c>
      <c r="E248" s="360">
        <f t="shared" ca="1" si="96"/>
        <v>-10.013725512355471</v>
      </c>
      <c r="F248" s="357">
        <f t="shared" ca="1" si="97"/>
        <v>10.01554859951392</v>
      </c>
      <c r="G248" s="359">
        <f t="shared" ca="1" si="98"/>
        <v>12.531172453954147</v>
      </c>
      <c r="H248" s="360">
        <f t="shared" ca="1" si="99"/>
        <v>12.378826078325389</v>
      </c>
      <c r="I248" s="357">
        <f t="shared" ca="1" si="100"/>
        <v>17.614358295100278</v>
      </c>
      <c r="J248" s="359">
        <f t="shared" ca="1" si="101"/>
        <v>82.624811738942171</v>
      </c>
      <c r="K248" s="360">
        <f t="shared" ca="1" si="102"/>
        <v>273.7321417198109</v>
      </c>
      <c r="L248" s="357">
        <f t="shared" ca="1" si="87"/>
        <v>285.93031480661557</v>
      </c>
      <c r="M248" s="359">
        <f t="shared" ca="1" si="103"/>
        <v>0.7792823671229282</v>
      </c>
      <c r="N248" s="357">
        <f t="shared" ca="1" si="104"/>
        <v>44.649590685108166</v>
      </c>
      <c r="O248" s="343"/>
      <c r="P248" s="363">
        <f t="shared" ca="1" si="105"/>
        <v>23</v>
      </c>
      <c r="Q248" s="357">
        <f t="shared" ca="1" si="106"/>
        <v>0</v>
      </c>
      <c r="R248" s="359">
        <f t="shared" ca="1" si="107"/>
        <v>0</v>
      </c>
      <c r="S248" s="360">
        <f t="shared" ca="1" si="108"/>
        <v>1.5629999999999982</v>
      </c>
      <c r="T248" s="357">
        <f t="shared" ca="1" si="88"/>
        <v>15.333029999999983</v>
      </c>
      <c r="U248" s="364">
        <f t="shared" ca="1" si="89"/>
        <v>0</v>
      </c>
      <c r="V248" s="359">
        <f t="shared" ca="1" si="90"/>
        <v>1.1919205579650789</v>
      </c>
      <c r="W248" s="357">
        <f t="shared" ca="1" si="91"/>
        <v>0.40244048478951705</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273.7321417198109</v>
      </c>
      <c r="AF248" s="344"/>
      <c r="AG248" s="359">
        <f t="shared" ca="1" si="114"/>
        <v>-7.434385898220083</v>
      </c>
      <c r="AH248" s="357">
        <f t="shared" ca="1" si="115"/>
        <v>-0.27931916656562694</v>
      </c>
    </row>
    <row r="249" spans="1:34" x14ac:dyDescent="0.2">
      <c r="A249" s="402">
        <f t="shared" ca="1" si="93"/>
        <v>0.1</v>
      </c>
      <c r="B249" s="357">
        <f t="shared" ca="1" si="94"/>
        <v>6.4999999999999938</v>
      </c>
      <c r="C249" s="342"/>
      <c r="D249" s="359">
        <f t="shared" ca="1" si="95"/>
        <v>-0.18317557611670557</v>
      </c>
      <c r="E249" s="360">
        <f t="shared" ca="1" si="96"/>
        <v>-9.9909486388346895</v>
      </c>
      <c r="F249" s="357">
        <f t="shared" ca="1" si="97"/>
        <v>9.9926276822224498</v>
      </c>
      <c r="G249" s="359">
        <f t="shared" ca="1" si="98"/>
        <v>12.512854896342477</v>
      </c>
      <c r="H249" s="360">
        <f t="shared" ca="1" si="99"/>
        <v>11.37973121444192</v>
      </c>
      <c r="I249" s="357">
        <f t="shared" ca="1" si="100"/>
        <v>16.913598675913583</v>
      </c>
      <c r="J249" s="359">
        <f t="shared" ca="1" si="101"/>
        <v>83.877013106456999</v>
      </c>
      <c r="K249" s="360">
        <f t="shared" ca="1" si="102"/>
        <v>274.92006958444927</v>
      </c>
      <c r="L249" s="357">
        <f t="shared" ca="1" si="87"/>
        <v>287.43068379694466</v>
      </c>
      <c r="M249" s="359">
        <f t="shared" ca="1" si="103"/>
        <v>0.73800792777269331</v>
      </c>
      <c r="N249" s="357">
        <f t="shared" ca="1" si="104"/>
        <v>42.284739508571022</v>
      </c>
      <c r="O249" s="343"/>
      <c r="P249" s="363">
        <f t="shared" ca="1" si="105"/>
        <v>23</v>
      </c>
      <c r="Q249" s="357">
        <f t="shared" ca="1" si="106"/>
        <v>0</v>
      </c>
      <c r="R249" s="359">
        <f t="shared" ca="1" si="107"/>
        <v>0</v>
      </c>
      <c r="S249" s="360">
        <f t="shared" ca="1" si="108"/>
        <v>1.5629999999999982</v>
      </c>
      <c r="T249" s="357">
        <f t="shared" ca="1" si="88"/>
        <v>15.333029999999983</v>
      </c>
      <c r="U249" s="364">
        <f t="shared" ca="1" si="89"/>
        <v>0</v>
      </c>
      <c r="V249" s="359">
        <f t="shared" ca="1" si="90"/>
        <v>1.1917789481699446</v>
      </c>
      <c r="W249" s="357">
        <f t="shared" ca="1" si="91"/>
        <v>0.37101242442355675</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274.92006958444927</v>
      </c>
      <c r="AF249" s="344"/>
      <c r="AG249" s="359">
        <f t="shared" ca="1" si="114"/>
        <v>-7.151644027039481</v>
      </c>
      <c r="AH249" s="357">
        <f t="shared" ca="1" si="115"/>
        <v>-0.25747951681990883</v>
      </c>
    </row>
    <row r="250" spans="1:34" x14ac:dyDescent="0.2">
      <c r="A250" s="402">
        <f t="shared" ca="1" si="93"/>
        <v>0.1</v>
      </c>
      <c r="B250" s="357">
        <f t="shared" ca="1" si="94"/>
        <v>6.5999999999999934</v>
      </c>
      <c r="C250" s="342"/>
      <c r="D250" s="359">
        <f t="shared" ca="1" si="95"/>
        <v>-0.17561025046711681</v>
      </c>
      <c r="E250" s="360">
        <f t="shared" ca="1" si="96"/>
        <v>-9.9697075539812072</v>
      </c>
      <c r="F250" s="357">
        <f t="shared" ca="1" si="97"/>
        <v>9.9712540671662282</v>
      </c>
      <c r="G250" s="359">
        <f t="shared" ca="1" si="98"/>
        <v>12.495293871295765</v>
      </c>
      <c r="H250" s="360">
        <f t="shared" ca="1" si="99"/>
        <v>10.3827604590438</v>
      </c>
      <c r="I250" s="357">
        <f t="shared" ca="1" si="100"/>
        <v>16.246048248110213</v>
      </c>
      <c r="J250" s="359">
        <f t="shared" ca="1" si="101"/>
        <v>85.127420544838913</v>
      </c>
      <c r="K250" s="360">
        <f t="shared" ca="1" si="102"/>
        <v>276.00819416812357</v>
      </c>
      <c r="L250" s="357">
        <f t="shared" ca="1" si="87"/>
        <v>288.83767236384949</v>
      </c>
      <c r="M250" s="359">
        <f t="shared" ca="1" si="103"/>
        <v>0.69332041214796958</v>
      </c>
      <c r="N250" s="357">
        <f t="shared" ca="1" si="104"/>
        <v>39.724333466349428</v>
      </c>
      <c r="O250" s="343"/>
      <c r="P250" s="363">
        <f t="shared" ca="1" si="105"/>
        <v>23</v>
      </c>
      <c r="Q250" s="357">
        <f t="shared" ca="1" si="106"/>
        <v>0</v>
      </c>
      <c r="R250" s="359">
        <f t="shared" ca="1" si="107"/>
        <v>0</v>
      </c>
      <c r="S250" s="360">
        <f t="shared" ca="1" si="108"/>
        <v>1.5629999999999982</v>
      </c>
      <c r="T250" s="357">
        <f t="shared" ca="1" si="88"/>
        <v>15.333029999999983</v>
      </c>
      <c r="U250" s="364">
        <f t="shared" ca="1" si="89"/>
        <v>0</v>
      </c>
      <c r="V250" s="359">
        <f t="shared" ca="1" si="90"/>
        <v>1.1916492502253773</v>
      </c>
      <c r="W250" s="357">
        <f t="shared" ca="1" si="91"/>
        <v>0.34226668003962951</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276.00819416812357</v>
      </c>
      <c r="AF250" s="344"/>
      <c r="AG250" s="359">
        <f t="shared" ca="1" si="114"/>
        <v>-6.8376919690070599</v>
      </c>
      <c r="AH250" s="357">
        <f t="shared" ca="1" si="115"/>
        <v>-0.23737199259344668</v>
      </c>
    </row>
    <row r="251" spans="1:34" x14ac:dyDescent="0.2">
      <c r="A251" s="402">
        <f t="shared" ca="1" si="93"/>
        <v>0.1</v>
      </c>
      <c r="B251" s="357">
        <f t="shared" ca="1" si="94"/>
        <v>6.6999999999999931</v>
      </c>
      <c r="C251" s="342"/>
      <c r="D251" s="359">
        <f t="shared" ca="1" si="95"/>
        <v>-0.16842415615351378</v>
      </c>
      <c r="E251" s="360">
        <f t="shared" ca="1" si="96"/>
        <v>-9.9499493030632653</v>
      </c>
      <c r="F251" s="357">
        <f t="shared" ca="1" si="97"/>
        <v>9.951374670361135</v>
      </c>
      <c r="G251" s="359">
        <f t="shared" ca="1" si="98"/>
        <v>12.478451455680414</v>
      </c>
      <c r="H251" s="360">
        <f t="shared" ca="1" si="99"/>
        <v>9.3877655287374733</v>
      </c>
      <c r="I251" s="357">
        <f t="shared" ca="1" si="100"/>
        <v>15.615437629292501</v>
      </c>
      <c r="J251" s="359">
        <f t="shared" ca="1" si="101"/>
        <v>86.376107811187723</v>
      </c>
      <c r="K251" s="360">
        <f t="shared" ca="1" si="102"/>
        <v>276.9967204675126</v>
      </c>
      <c r="L251" s="357">
        <f t="shared" ca="1" si="87"/>
        <v>290.1517105763246</v>
      </c>
      <c r="M251" s="359">
        <f t="shared" ca="1" si="103"/>
        <v>0.64498307545997557</v>
      </c>
      <c r="N251" s="357">
        <f t="shared" ca="1" si="104"/>
        <v>36.954808081224499</v>
      </c>
      <c r="O251" s="343"/>
      <c r="P251" s="363">
        <f t="shared" ca="1" si="105"/>
        <v>23</v>
      </c>
      <c r="Q251" s="357">
        <f t="shared" ca="1" si="106"/>
        <v>0</v>
      </c>
      <c r="R251" s="359">
        <f t="shared" ca="1" si="107"/>
        <v>0</v>
      </c>
      <c r="S251" s="360">
        <f t="shared" ca="1" si="108"/>
        <v>1.5629999999999982</v>
      </c>
      <c r="T251" s="357">
        <f t="shared" ca="1" si="88"/>
        <v>15.333029999999983</v>
      </c>
      <c r="U251" s="364">
        <f t="shared" ca="1" si="89"/>
        <v>0</v>
      </c>
      <c r="V251" s="359">
        <f t="shared" ca="1" si="90"/>
        <v>1.1915314358678974</v>
      </c>
      <c r="W251" s="357">
        <f t="shared" ca="1" si="91"/>
        <v>0.31618009497189126</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276.9967204675126</v>
      </c>
      <c r="AF251" s="344"/>
      <c r="AG251" s="359">
        <f t="shared" ca="1" si="114"/>
        <v>-6.4884978740451995</v>
      </c>
      <c r="AH251" s="357">
        <f t="shared" ca="1" si="115"/>
        <v>-0.21898060143290463</v>
      </c>
    </row>
    <row r="252" spans="1:34" x14ac:dyDescent="0.2">
      <c r="A252" s="402">
        <f t="shared" ca="1" si="93"/>
        <v>0.1</v>
      </c>
      <c r="B252" s="357">
        <f t="shared" ca="1" si="94"/>
        <v>6.7999999999999927</v>
      </c>
      <c r="C252" s="342"/>
      <c r="D252" s="359">
        <f t="shared" ca="1" si="95"/>
        <v>-0.16165237191461512</v>
      </c>
      <c r="E252" s="360">
        <f t="shared" ca="1" si="96"/>
        <v>-9.931614013572803</v>
      </c>
      <c r="F252" s="357">
        <f t="shared" ca="1" si="97"/>
        <v>9.9329294975823377</v>
      </c>
      <c r="G252" s="359">
        <f t="shared" ca="1" si="98"/>
        <v>12.462286218488952</v>
      </c>
      <c r="H252" s="360">
        <f t="shared" ca="1" si="99"/>
        <v>8.3946041273801928</v>
      </c>
      <c r="I252" s="357">
        <f t="shared" ca="1" si="100"/>
        <v>15.02590949816244</v>
      </c>
      <c r="J252" s="359">
        <f t="shared" ca="1" si="101"/>
        <v>87.623144694896197</v>
      </c>
      <c r="K252" s="360">
        <f t="shared" ca="1" si="102"/>
        <v>277.88583895031849</v>
      </c>
      <c r="L252" s="357">
        <f t="shared" ca="1" si="87"/>
        <v>291.37322281799516</v>
      </c>
      <c r="M252" s="359">
        <f t="shared" ca="1" si="103"/>
        <v>0.59278770481685628</v>
      </c>
      <c r="N252" s="357">
        <f t="shared" ca="1" si="104"/>
        <v>33.964233633252725</v>
      </c>
      <c r="O252" s="343"/>
      <c r="P252" s="363">
        <f t="shared" ca="1" si="105"/>
        <v>23</v>
      </c>
      <c r="Q252" s="357">
        <f t="shared" ca="1" si="106"/>
        <v>0</v>
      </c>
      <c r="R252" s="359">
        <f t="shared" ca="1" si="107"/>
        <v>0</v>
      </c>
      <c r="S252" s="360">
        <f t="shared" ca="1" si="108"/>
        <v>1.5629999999999982</v>
      </c>
      <c r="T252" s="357">
        <f t="shared" ca="1" si="88"/>
        <v>15.333029999999983</v>
      </c>
      <c r="U252" s="364">
        <f t="shared" ca="1" si="89"/>
        <v>0</v>
      </c>
      <c r="V252" s="359">
        <f t="shared" ca="1" si="90"/>
        <v>1.191425478926381</v>
      </c>
      <c r="W252" s="357">
        <f t="shared" ca="1" si="91"/>
        <v>0.29273127318239656</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277.88583895031849</v>
      </c>
      <c r="AF252" s="344"/>
      <c r="AG252" s="359">
        <f t="shared" ca="1" si="114"/>
        <v>-6.0999145344665289</v>
      </c>
      <c r="AH252" s="357">
        <f t="shared" ca="1" si="115"/>
        <v>-0.20229052781311044</v>
      </c>
    </row>
    <row r="253" spans="1:34" x14ac:dyDescent="0.2">
      <c r="A253" s="402">
        <f t="shared" ca="1" si="93"/>
        <v>0.1</v>
      </c>
      <c r="B253" s="357">
        <f t="shared" ca="1" si="94"/>
        <v>6.8999999999999924</v>
      </c>
      <c r="C253" s="342"/>
      <c r="D253" s="359">
        <f t="shared" ca="1" si="95"/>
        <v>-0.15533420400178199</v>
      </c>
      <c r="E253" s="360">
        <f t="shared" ca="1" si="96"/>
        <v>-9.91463322115826</v>
      </c>
      <c r="F253" s="357">
        <f t="shared" ca="1" si="97"/>
        <v>9.915849969872875</v>
      </c>
      <c r="G253" s="359">
        <f t="shared" ca="1" si="98"/>
        <v>12.446752798088774</v>
      </c>
      <c r="H253" s="360">
        <f t="shared" ca="1" si="99"/>
        <v>7.4031408052643668</v>
      </c>
      <c r="I253" s="357">
        <f t="shared" ca="1" si="100"/>
        <v>14.481993957991456</v>
      </c>
      <c r="J253" s="359">
        <f t="shared" ca="1" si="101"/>
        <v>88.868596645725077</v>
      </c>
      <c r="K253" s="360">
        <f t="shared" ca="1" si="102"/>
        <v>278.67572619695073</v>
      </c>
      <c r="L253" s="357">
        <f t="shared" ca="1" si="87"/>
        <v>292.50262877652642</v>
      </c>
      <c r="M253" s="359">
        <f t="shared" ca="1" si="103"/>
        <v>0.53657605494785476</v>
      </c>
      <c r="N253" s="357">
        <f t="shared" ca="1" si="104"/>
        <v>30.743543336291832</v>
      </c>
      <c r="O253" s="343"/>
      <c r="P253" s="363">
        <f t="shared" ca="1" si="105"/>
        <v>23</v>
      </c>
      <c r="Q253" s="357">
        <f t="shared" ca="1" si="106"/>
        <v>0</v>
      </c>
      <c r="R253" s="359">
        <f t="shared" ca="1" si="107"/>
        <v>0</v>
      </c>
      <c r="S253" s="360">
        <f t="shared" ca="1" si="108"/>
        <v>1.5629999999999982</v>
      </c>
      <c r="T253" s="357">
        <f t="shared" ca="1" si="88"/>
        <v>15.333029999999983</v>
      </c>
      <c r="U253" s="364">
        <f t="shared" ca="1" si="89"/>
        <v>0</v>
      </c>
      <c r="V253" s="359">
        <f t="shared" ca="1" si="90"/>
        <v>1.19133135524227</v>
      </c>
      <c r="W253" s="357">
        <f t="shared" ca="1" si="91"/>
        <v>0.27190049426854174</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278.67572619695073</v>
      </c>
      <c r="AF253" s="344"/>
      <c r="AG253" s="359">
        <f t="shared" ca="1" si="114"/>
        <v>-5.6678925345585469</v>
      </c>
      <c r="AH253" s="357">
        <f t="shared" ca="1" si="115"/>
        <v>-0.18728808265028593</v>
      </c>
    </row>
    <row r="254" spans="1:34" x14ac:dyDescent="0.2">
      <c r="A254" s="402">
        <f t="shared" ca="1" si="93"/>
        <v>0.1</v>
      </c>
      <c r="B254" s="357">
        <f t="shared" ca="1" si="94"/>
        <v>6.999999999999992</v>
      </c>
      <c r="C254" s="342"/>
      <c r="D254" s="359">
        <f t="shared" ca="1" si="95"/>
        <v>-0.14951291928691476</v>
      </c>
      <c r="E254" s="360">
        <f t="shared" ca="1" si="96"/>
        <v>-9.8989280289921986</v>
      </c>
      <c r="F254" s="357">
        <f t="shared" ca="1" si="97"/>
        <v>9.9000570824718519</v>
      </c>
      <c r="G254" s="359">
        <f t="shared" ca="1" si="98"/>
        <v>12.431801506160083</v>
      </c>
      <c r="H254" s="360">
        <f t="shared" ca="1" si="99"/>
        <v>6.4132480023651466</v>
      </c>
      <c r="I254" s="357">
        <f t="shared" ca="1" si="100"/>
        <v>13.988546694650044</v>
      </c>
      <c r="J254" s="359">
        <f t="shared" ca="1" si="101"/>
        <v>90.112524360937513</v>
      </c>
      <c r="K254" s="360">
        <f t="shared" ca="1" si="102"/>
        <v>279.36654563733219</v>
      </c>
      <c r="L254" s="357">
        <f t="shared" ca="1" si="87"/>
        <v>293.5403445321208</v>
      </c>
      <c r="M254" s="359">
        <f t="shared" ca="1" si="103"/>
        <v>0.47626632016351117</v>
      </c>
      <c r="N254" s="357">
        <f t="shared" ca="1" si="104"/>
        <v>27.288050069595609</v>
      </c>
      <c r="O254" s="343"/>
      <c r="P254" s="363">
        <f t="shared" ca="1" si="105"/>
        <v>23</v>
      </c>
      <c r="Q254" s="357">
        <f t="shared" ca="1" si="106"/>
        <v>0</v>
      </c>
      <c r="R254" s="359">
        <f t="shared" ca="1" si="107"/>
        <v>0</v>
      </c>
      <c r="S254" s="360">
        <f t="shared" ca="1" si="108"/>
        <v>1.5629999999999982</v>
      </c>
      <c r="T254" s="357">
        <f t="shared" ca="1" si="88"/>
        <v>15.333029999999983</v>
      </c>
      <c r="U254" s="364">
        <f t="shared" ca="1" si="89"/>
        <v>0</v>
      </c>
      <c r="V254" s="359">
        <f t="shared" ca="1" si="90"/>
        <v>1.1912490425787632</v>
      </c>
      <c r="W254" s="357">
        <f t="shared" ca="1" si="91"/>
        <v>0.25366962049938985</v>
      </c>
      <c r="X254" s="343"/>
      <c r="Y254" s="367" t="str">
        <f t="shared" ca="1" si="109"/>
        <v/>
      </c>
      <c r="Z254" s="368" t="str">
        <f t="shared" ca="1" si="110"/>
        <v/>
      </c>
      <c r="AA254" s="369" t="str">
        <f t="shared" ca="1" si="111"/>
        <v/>
      </c>
      <c r="AB254" s="344"/>
      <c r="AC254" s="363">
        <f t="shared" ca="1" si="112"/>
        <v>6.999999999999992</v>
      </c>
      <c r="AD254" s="376">
        <f t="shared" ca="1" si="113"/>
        <v>90.112524360937513</v>
      </c>
      <c r="AE254" s="377">
        <f t="shared" ca="1" si="92"/>
        <v>279.36654563733219</v>
      </c>
      <c r="AF254" s="344"/>
      <c r="AG254" s="359">
        <f t="shared" ca="1" si="114"/>
        <v>-5.1887957269051421</v>
      </c>
      <c r="AH254" s="357">
        <f t="shared" ca="1" si="115"/>
        <v>-0.17396064892421118</v>
      </c>
    </row>
    <row r="255" spans="1:34" x14ac:dyDescent="0.2">
      <c r="A255" s="402">
        <f t="shared" ca="1" si="93"/>
        <v>0.1</v>
      </c>
      <c r="B255" s="357">
        <f t="shared" ca="1" si="94"/>
        <v>7.0999999999999917</v>
      </c>
      <c r="C255" s="342"/>
      <c r="D255" s="359">
        <f t="shared" ca="1" si="95"/>
        <v>-0.14423509720910394</v>
      </c>
      <c r="E255" s="360">
        <f t="shared" ca="1" si="96"/>
        <v>-9.8844071926010795</v>
      </c>
      <c r="F255" s="357">
        <f t="shared" ca="1" si="97"/>
        <v>9.8854594891897101</v>
      </c>
      <c r="G255" s="359">
        <f t="shared" ca="1" si="98"/>
        <v>12.417377996439173</v>
      </c>
      <c r="H255" s="360">
        <f t="shared" ca="1" si="99"/>
        <v>5.4248072831050385</v>
      </c>
      <c r="I255" s="357">
        <f t="shared" ca="1" si="100"/>
        <v>13.550638743811348</v>
      </c>
      <c r="J255" s="359">
        <f t="shared" ca="1" si="101"/>
        <v>91.354983336067477</v>
      </c>
      <c r="K255" s="360">
        <f t="shared" ca="1" si="102"/>
        <v>279.95844840160572</v>
      </c>
      <c r="L255" s="357">
        <f t="shared" ca="1" si="87"/>
        <v>294.48678376417456</v>
      </c>
      <c r="M255" s="359">
        <f t="shared" ca="1" si="103"/>
        <v>0.41188338248726586</v>
      </c>
      <c r="N255" s="357">
        <f t="shared" ca="1" si="104"/>
        <v>23.599179468092938</v>
      </c>
      <c r="O255" s="343"/>
      <c r="P255" s="363">
        <f t="shared" ca="1" si="105"/>
        <v>23</v>
      </c>
      <c r="Q255" s="357">
        <f t="shared" ca="1" si="106"/>
        <v>0</v>
      </c>
      <c r="R255" s="359">
        <f t="shared" ca="1" si="107"/>
        <v>0</v>
      </c>
      <c r="S255" s="360">
        <f t="shared" ca="1" si="108"/>
        <v>1.5629999999999982</v>
      </c>
      <c r="T255" s="357">
        <f t="shared" ca="1" si="88"/>
        <v>15.333029999999983</v>
      </c>
      <c r="U255" s="364">
        <f t="shared" ca="1" si="89"/>
        <v>0</v>
      </c>
      <c r="V255" s="359">
        <f t="shared" ca="1" si="90"/>
        <v>1.1911785205167424</v>
      </c>
      <c r="W255" s="357">
        <f t="shared" ca="1" si="91"/>
        <v>0.23802199388099637</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279.95844840160572</v>
      </c>
      <c r="AF255" s="344"/>
      <c r="AG255" s="359">
        <f t="shared" ca="1" si="114"/>
        <v>-4.6598305173594436</v>
      </c>
      <c r="AH255" s="357">
        <f t="shared" ca="1" si="115"/>
        <v>-0.16229662220050553</v>
      </c>
    </row>
    <row r="256" spans="1:34" x14ac:dyDescent="0.2">
      <c r="A256" s="402">
        <f t="shared" ca="1" si="93"/>
        <v>0.1</v>
      </c>
      <c r="B256" s="357">
        <f t="shared" ca="1" si="94"/>
        <v>7.1999999999999913</v>
      </c>
      <c r="C256" s="342"/>
      <c r="D256" s="359">
        <f t="shared" ca="1" si="95"/>
        <v>-0.13954948730622485</v>
      </c>
      <c r="E256" s="360">
        <f t="shared" ca="1" si="96"/>
        <v>-9.8709652919730289</v>
      </c>
      <c r="F256" s="357">
        <f t="shared" ca="1" si="97"/>
        <v>9.871951674048228</v>
      </c>
      <c r="G256" s="359">
        <f t="shared" ca="1" si="98"/>
        <v>12.40342304770855</v>
      </c>
      <c r="H256" s="360">
        <f t="shared" ca="1" si="99"/>
        <v>4.4377107539077354</v>
      </c>
      <c r="I256" s="357">
        <f t="shared" ca="1" si="100"/>
        <v>13.173389086934918</v>
      </c>
      <c r="J256" s="359">
        <f t="shared" ca="1" si="101"/>
        <v>92.596023388274858</v>
      </c>
      <c r="K256" s="360">
        <f t="shared" ca="1" si="102"/>
        <v>280.45157430345637</v>
      </c>
      <c r="L256" s="357">
        <f t="shared" ca="1" si="87"/>
        <v>295.34235909636982</v>
      </c>
      <c r="M256" s="359">
        <f t="shared" ca="1" si="103"/>
        <v>0.34358989884861196</v>
      </c>
      <c r="N256" s="357">
        <f t="shared" ca="1" si="104"/>
        <v>19.686251087352328</v>
      </c>
      <c r="O256" s="343"/>
      <c r="P256" s="363">
        <f t="shared" ca="1" si="105"/>
        <v>23</v>
      </c>
      <c r="Q256" s="357">
        <f t="shared" ca="1" si="106"/>
        <v>0</v>
      </c>
      <c r="R256" s="359">
        <f t="shared" ca="1" si="107"/>
        <v>0</v>
      </c>
      <c r="S256" s="360">
        <f t="shared" ca="1" si="108"/>
        <v>1.5629999999999982</v>
      </c>
      <c r="T256" s="357">
        <f t="shared" ca="1" si="88"/>
        <v>15.333029999999983</v>
      </c>
      <c r="U256" s="364">
        <f t="shared" ca="1" si="89"/>
        <v>0</v>
      </c>
      <c r="V256" s="359">
        <f t="shared" ca="1" si="90"/>
        <v>1.1911197703351897</v>
      </c>
      <c r="W256" s="357">
        <f t="shared" ca="1" si="91"/>
        <v>0.2249423212760924</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280.45157430345637</v>
      </c>
      <c r="AF256" s="344"/>
      <c r="AG256" s="359">
        <f t="shared" ca="1" si="114"/>
        <v>-4.0795806150105012</v>
      </c>
      <c r="AH256" s="357">
        <f t="shared" ca="1" si="115"/>
        <v>-0.15228534477351033</v>
      </c>
    </row>
    <row r="257" spans="1:34" x14ac:dyDescent="0.2">
      <c r="A257" s="402">
        <f t="shared" ca="1" si="93"/>
        <v>0.1</v>
      </c>
      <c r="B257" s="357">
        <f t="shared" ca="1" si="94"/>
        <v>7.2999999999999909</v>
      </c>
      <c r="C257" s="342"/>
      <c r="D257" s="359">
        <f t="shared" ca="1" si="95"/>
        <v>-0.1355052843236067</v>
      </c>
      <c r="E257" s="360">
        <f t="shared" ca="1" si="96"/>
        <v>-9.8584812341835981</v>
      </c>
      <c r="F257" s="357">
        <f t="shared" ca="1" si="97"/>
        <v>9.8594124534289449</v>
      </c>
      <c r="G257" s="359">
        <f t="shared" ca="1" si="98"/>
        <v>12.389872519276189</v>
      </c>
      <c r="H257" s="360">
        <f t="shared" ca="1" si="99"/>
        <v>3.4518626304893756</v>
      </c>
      <c r="I257" s="357">
        <f t="shared" ca="1" si="100"/>
        <v>12.861737700003228</v>
      </c>
      <c r="J257" s="359">
        <f t="shared" ca="1" si="101"/>
        <v>93.835688166624095</v>
      </c>
      <c r="K257" s="360">
        <f t="shared" ca="1" si="102"/>
        <v>280.8460529726762</v>
      </c>
      <c r="L257" s="357">
        <f t="shared" ca="1" si="87"/>
        <v>296.10748360018727</v>
      </c>
      <c r="M257" s="359">
        <f t="shared" ca="1" si="103"/>
        <v>0.27171331863203424</v>
      </c>
      <c r="N257" s="357">
        <f t="shared" ca="1" si="104"/>
        <v>15.568026395108916</v>
      </c>
      <c r="O257" s="343"/>
      <c r="P257" s="363">
        <f t="shared" ca="1" si="105"/>
        <v>23</v>
      </c>
      <c r="Q257" s="357">
        <f t="shared" ca="1" si="106"/>
        <v>0</v>
      </c>
      <c r="R257" s="359">
        <f t="shared" ca="1" si="107"/>
        <v>0</v>
      </c>
      <c r="S257" s="360">
        <f t="shared" ca="1" si="108"/>
        <v>1.5629999999999982</v>
      </c>
      <c r="T257" s="357">
        <f t="shared" ca="1" si="88"/>
        <v>15.333029999999983</v>
      </c>
      <c r="U257" s="364">
        <f t="shared" ca="1" si="89"/>
        <v>0</v>
      </c>
      <c r="V257" s="359">
        <f t="shared" ca="1" si="90"/>
        <v>1.1910727748740937</v>
      </c>
      <c r="W257" s="357">
        <f t="shared" ca="1" si="91"/>
        <v>0.21441654584345288</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280.8460529726762</v>
      </c>
      <c r="AF257" s="344"/>
      <c r="AG257" s="359">
        <f t="shared" ca="1" si="114"/>
        <v>-3.4486051582471053</v>
      </c>
      <c r="AH257" s="357">
        <f t="shared" ca="1" si="115"/>
        <v>-0.14391703216640606</v>
      </c>
    </row>
    <row r="258" spans="1:34" x14ac:dyDescent="0.2">
      <c r="A258" s="402">
        <f t="shared" ca="1" si="93"/>
        <v>0.1</v>
      </c>
      <c r="B258" s="357">
        <f t="shared" ca="1" si="94"/>
        <v>7.3999999999999906</v>
      </c>
      <c r="C258" s="342"/>
      <c r="D258" s="359">
        <f t="shared" ca="1" si="95"/>
        <v>-0.13214979899942259</v>
      </c>
      <c r="E258" s="360">
        <f t="shared" ca="1" si="96"/>
        <v>-9.8468174048670072</v>
      </c>
      <c r="F258" s="357">
        <f t="shared" ca="1" si="97"/>
        <v>9.8477041270626842</v>
      </c>
      <c r="G258" s="359">
        <f t="shared" ca="1" si="98"/>
        <v>12.376657539376247</v>
      </c>
      <c r="H258" s="360">
        <f t="shared" ca="1" si="99"/>
        <v>2.467180890002675</v>
      </c>
      <c r="I258" s="357">
        <f t="shared" ca="1" si="100"/>
        <v>12.620167724360611</v>
      </c>
      <c r="J258" s="359">
        <f t="shared" ca="1" si="101"/>
        <v>95.074014669556718</v>
      </c>
      <c r="K258" s="360">
        <f t="shared" ca="1" si="102"/>
        <v>281.14200514870083</v>
      </c>
      <c r="L258" s="357">
        <f t="shared" ca="1" si="87"/>
        <v>296.78257247422601</v>
      </c>
      <c r="M258" s="359">
        <f t="shared" ca="1" si="103"/>
        <v>0.19676226090413027</v>
      </c>
      <c r="N258" s="357">
        <f t="shared" ca="1" si="104"/>
        <v>11.273647117258626</v>
      </c>
      <c r="O258" s="343"/>
      <c r="P258" s="363">
        <f t="shared" ca="1" si="105"/>
        <v>23</v>
      </c>
      <c r="Q258" s="357">
        <f t="shared" ca="1" si="106"/>
        <v>0</v>
      </c>
      <c r="R258" s="359">
        <f t="shared" ca="1" si="107"/>
        <v>0</v>
      </c>
      <c r="S258" s="360">
        <f t="shared" ca="1" si="108"/>
        <v>1.5629999999999982</v>
      </c>
      <c r="T258" s="357">
        <f t="shared" ca="1" si="88"/>
        <v>15.333029999999983</v>
      </c>
      <c r="U258" s="364">
        <f t="shared" ca="1" si="89"/>
        <v>0</v>
      </c>
      <c r="V258" s="359">
        <f t="shared" ca="1" si="90"/>
        <v>1.1910375183784301</v>
      </c>
      <c r="W258" s="357">
        <f t="shared" ca="1" si="91"/>
        <v>0.20643170359729335</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281.14200514870083</v>
      </c>
      <c r="AF258" s="344"/>
      <c r="AG258" s="359">
        <f t="shared" ca="1" si="114"/>
        <v>-2.7700129658338986</v>
      </c>
      <c r="AH258" s="357">
        <f t="shared" ca="1" si="115"/>
        <v>-0.13718269087872881</v>
      </c>
    </row>
    <row r="259" spans="1:34" x14ac:dyDescent="0.2">
      <c r="A259" s="402">
        <f t="shared" ca="1" si="93"/>
        <v>0.1</v>
      </c>
      <c r="B259" s="357">
        <f t="shared" ca="1" si="94"/>
        <v>7.4999999999999902</v>
      </c>
      <c r="C259" s="342"/>
      <c r="D259" s="359">
        <f t="shared" ca="1" si="95"/>
        <v>-0.1295256158988714</v>
      </c>
      <c r="E259" s="360">
        <f t="shared" ca="1" si="96"/>
        <v>-9.835819824398861</v>
      </c>
      <c r="F259" s="357">
        <f t="shared" ca="1" si="97"/>
        <v>9.836672633731979</v>
      </c>
      <c r="G259" s="359">
        <f t="shared" ca="1" si="98"/>
        <v>12.363704977786359</v>
      </c>
      <c r="H259" s="360">
        <f t="shared" ca="1" si="99"/>
        <v>1.4835989075627889</v>
      </c>
      <c r="I259" s="357">
        <f t="shared" ca="1" si="100"/>
        <v>12.452400029563004</v>
      </c>
      <c r="J259" s="359">
        <f t="shared" ca="1" si="101"/>
        <v>96.311032795414846</v>
      </c>
      <c r="K259" s="360">
        <f t="shared" ca="1" si="102"/>
        <v>281.33954413857913</v>
      </c>
      <c r="L259" s="357">
        <f t="shared" ca="1" si="87"/>
        <v>297.3680449110546</v>
      </c>
      <c r="M259" s="359">
        <f t="shared" ca="1" si="103"/>
        <v>0.11942528300045883</v>
      </c>
      <c r="N259" s="357">
        <f t="shared" ca="1" si="104"/>
        <v>6.8425646830817479</v>
      </c>
      <c r="O259" s="343"/>
      <c r="P259" s="363">
        <f t="shared" ca="1" si="105"/>
        <v>23</v>
      </c>
      <c r="Q259" s="357">
        <f t="shared" ca="1" si="106"/>
        <v>0</v>
      </c>
      <c r="R259" s="359">
        <f t="shared" ca="1" si="107"/>
        <v>0</v>
      </c>
      <c r="S259" s="360">
        <f t="shared" ca="1" si="108"/>
        <v>1.5629999999999982</v>
      </c>
      <c r="T259" s="357">
        <f t="shared" ca="1" si="88"/>
        <v>15.333029999999983</v>
      </c>
      <c r="U259" s="364">
        <f t="shared" ca="1" si="89"/>
        <v>0</v>
      </c>
      <c r="V259" s="359">
        <f t="shared" ca="1" si="90"/>
        <v>1.1910139863227758</v>
      </c>
      <c r="W259" s="357">
        <f t="shared" ca="1" si="91"/>
        <v>0.20097576477201207</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281.33954413857913</v>
      </c>
      <c r="AF259" s="344"/>
      <c r="AG259" s="359">
        <f t="shared" ca="1" si="114"/>
        <v>-2.0498809099729396</v>
      </c>
      <c r="AH259" s="357">
        <f t="shared" ca="1" si="115"/>
        <v>-0.13207402661375151</v>
      </c>
    </row>
    <row r="260" spans="1:34" x14ac:dyDescent="0.2">
      <c r="A260" s="402">
        <f t="shared" ca="1" si="93"/>
        <v>0.1</v>
      </c>
      <c r="B260" s="357">
        <f t="shared" ca="1" si="94"/>
        <v>7.5999999999999899</v>
      </c>
      <c r="C260" s="342"/>
      <c r="D260" s="359">
        <f t="shared" ca="1" si="95"/>
        <v>-0.12766747867636946</v>
      </c>
      <c r="E260" s="360">
        <f t="shared" ca="1" si="96"/>
        <v>-9.8253196256490973</v>
      </c>
      <c r="F260" s="357">
        <f t="shared" ca="1" si="97"/>
        <v>9.8261490285501409</v>
      </c>
      <c r="G260" s="359">
        <f t="shared" ca="1" si="98"/>
        <v>12.350938229918722</v>
      </c>
      <c r="H260" s="360">
        <f t="shared" ca="1" si="99"/>
        <v>0.50106694499787907</v>
      </c>
      <c r="I260" s="357">
        <f t="shared" ca="1" si="100"/>
        <v>12.361097978846269</v>
      </c>
      <c r="J260" s="359">
        <f t="shared" ca="1" si="101"/>
        <v>97.5467649558001</v>
      </c>
      <c r="K260" s="360">
        <f t="shared" ca="1" si="102"/>
        <v>281.43877743120714</v>
      </c>
      <c r="L260" s="357">
        <f t="shared" ref="L260:L323" ca="1" si="116">SQRT(pos_x^2+pos_z^2)</f>
        <v>297.86432615423195</v>
      </c>
      <c r="M260" s="359">
        <f t="shared" ca="1" si="103"/>
        <v>4.0546905205351022E-2</v>
      </c>
      <c r="N260" s="357">
        <f t="shared" ca="1" si="104"/>
        <v>2.3231665405836419</v>
      </c>
      <c r="O260" s="343"/>
      <c r="P260" s="363">
        <f t="shared" ca="1" si="105"/>
        <v>23</v>
      </c>
      <c r="Q260" s="357">
        <f t="shared" ca="1" si="106"/>
        <v>0</v>
      </c>
      <c r="R260" s="359">
        <f t="shared" ca="1" si="107"/>
        <v>0</v>
      </c>
      <c r="S260" s="360">
        <f t="shared" ca="1" si="108"/>
        <v>1.5629999999999982</v>
      </c>
      <c r="T260" s="357">
        <f t="shared" ref="T260:T323" ca="1" si="117">m*g</f>
        <v>15.333029999999983</v>
      </c>
      <c r="U260" s="364">
        <f t="shared" ref="U260:U323" ca="1" si="118">IF(pos_xz&lt;L_rampe,Poids*COS(Beta),0)</f>
        <v>0</v>
      </c>
      <c r="V260" s="359">
        <f t="shared" ref="V260:V323" ca="1" si="119">Rho_moyen*(20000-Alt_rampe-pos_z)/(20000+Alt_rampe+pos_z)</f>
        <v>1.1910021652175022</v>
      </c>
      <c r="W260" s="357">
        <f t="shared" ref="W260:W323" ca="1" si="120">1/2*Rho*Sref*Cx*vit_xz^2</f>
        <v>0.1980374609047611</v>
      </c>
      <c r="X260" s="343"/>
      <c r="Y260" s="367" t="str">
        <f t="shared" ca="1" si="109"/>
        <v>Apogée</v>
      </c>
      <c r="Z260" s="368" t="str">
        <f t="shared" ca="1" si="110"/>
        <v/>
      </c>
      <c r="AA260" s="369" t="str">
        <f t="shared" ca="1" si="111"/>
        <v/>
      </c>
      <c r="AB260" s="344"/>
      <c r="AC260" s="363" t="e">
        <f t="shared" ca="1" si="112"/>
        <v>#N/A</v>
      </c>
      <c r="AD260" s="376" t="e">
        <f t="shared" ca="1" si="113"/>
        <v>#N/A</v>
      </c>
      <c r="AE260" s="377">
        <f t="shared" ref="AE260:AE323" ca="1" si="121">IF(t&lt;T_para, pos_z, NA())</f>
        <v>281.43877743120714</v>
      </c>
      <c r="AF260" s="344"/>
      <c r="AG260" s="359">
        <f t="shared" ca="1" si="114"/>
        <v>-1.2973624736056313</v>
      </c>
      <c r="AH260" s="357">
        <f t="shared" ca="1" si="115"/>
        <v>-0.12858334278439687</v>
      </c>
    </row>
    <row r="261" spans="1:34" x14ac:dyDescent="0.2">
      <c r="A261" s="402">
        <f t="shared" ref="A261:A324" ca="1" si="122">IF(B260+0.01&lt;=T_ini+ROUNDUP(Temps_fin_propu,0), 0.01, IF(K260&gt;0, 0.1, 0.0001))</f>
        <v>0.1</v>
      </c>
      <c r="B261" s="357">
        <f t="shared" ref="B261:B324" ca="1" si="123">B260+pas</f>
        <v>7.6999999999999895</v>
      </c>
      <c r="C261" s="342"/>
      <c r="D261" s="359">
        <f t="shared" ref="D261:D324" ca="1" si="124">IF(AND(L260&lt;L_rampe,Poussee&lt;Poids*SIN(M260)),0,(-W260+Poussee)/m*COS(M260)-U260/m*SIN(M260))</f>
        <v>-0.12659929066682496</v>
      </c>
      <c r="E261" s="360">
        <f t="shared" ref="E261:E324" ca="1" si="125">IF(AND(L260&lt;L_rampe,Poussee&lt;Poids*SIN(M260)),0,(-W260+Poussee)/m*SIN(M260)+U260/m*COS(M260)-Poids/m)</f>
        <v>-9.8151360243758372</v>
      </c>
      <c r="F261" s="357">
        <f t="shared" ref="F261:F324" ca="1" si="126">SQRT(acc_x^2+acc_z^2)</f>
        <v>9.8159524528900235</v>
      </c>
      <c r="G261" s="359">
        <f t="shared" ref="G261:G324" ca="1" si="127">G260+acc_x*pas</f>
        <v>12.338278300852039</v>
      </c>
      <c r="H261" s="360">
        <f t="shared" ref="H261:H324" ca="1" si="128">H260+acc_z*pas</f>
        <v>-0.48044665743970472</v>
      </c>
      <c r="I261" s="357">
        <f t="shared" ref="I261:I324" ca="1" si="129">SQRT(vit_x^2+vit_z^2)</f>
        <v>12.347628939189956</v>
      </c>
      <c r="J261" s="359">
        <f t="shared" ref="J261:J324" ca="1" si="130">J260+0.5*(vit_x+G260)*pas*(K260&gt;=0)</f>
        <v>98.781225782338637</v>
      </c>
      <c r="K261" s="360">
        <f t="shared" ref="K261:K324" ca="1" si="131">K260+0.5*(vit_z+H260)*pas</f>
        <v>281.43980844558507</v>
      </c>
      <c r="L261" s="357">
        <f t="shared" ca="1" si="116"/>
        <v>298.27184973602351</v>
      </c>
      <c r="M261" s="359">
        <f t="shared" ref="M261:M324" ca="1" si="132">IF(AND(L260&gt;L_rampe,G261&gt;0),ATAN2(G261,H261),$M$4)</f>
        <v>-3.8919858576823389E-2</v>
      </c>
      <c r="N261" s="357">
        <f t="shared" ref="N261:N324" ca="1" si="133">DEGREES(Beta)</f>
        <v>-2.2299436356980187</v>
      </c>
      <c r="O261" s="343"/>
      <c r="P261" s="363">
        <f t="shared" ref="P261:P324" ca="1" si="134">MATCH(t-pas/2-T_ini,CdP_t)</f>
        <v>23</v>
      </c>
      <c r="Q261" s="357">
        <f t="shared" ref="Q261:Q324" ca="1" si="135">(INDEX(CdP,2,i_P+1)-INDEX(CdP,2,i_P+0))/(INDEX(CdP,1,i_P+1)-INDEX(CdP,1,i_P+0))*(t-pas/2-T_ini-INDEX(CdP,1,i_P+0))+INDEX(CdP,2,i_P+0)</f>
        <v>0</v>
      </c>
      <c r="R261" s="359">
        <f t="shared" ref="R261:R324" ca="1" si="136">Poussee/(g*ISP)</f>
        <v>0</v>
      </c>
      <c r="S261" s="360">
        <f t="shared" ref="S261:S324" ca="1" si="137">S260-Débit*pas</f>
        <v>1.5629999999999982</v>
      </c>
      <c r="T261" s="357">
        <f t="shared" ca="1" si="117"/>
        <v>15.333029999999983</v>
      </c>
      <c r="U261" s="364">
        <f t="shared" ca="1" si="118"/>
        <v>0</v>
      </c>
      <c r="V261" s="359">
        <f t="shared" ca="1" si="119"/>
        <v>1.1910020423991521</v>
      </c>
      <c r="W261" s="357">
        <f t="shared" ca="1" si="120"/>
        <v>0.19760610001178047</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281.43980844558507</v>
      </c>
      <c r="AF261" s="344"/>
      <c r="AG261" s="359">
        <f t="shared" ref="AG261:AG324" ca="1" si="143">IF(AND(L260&lt;L_rampe,Poussee&lt;Poids*SIN(M260)),0,(-W260+Poussee)/m-Poids*SIN(M260)/m)</f>
        <v>-0.52435958784100511</v>
      </c>
      <c r="AH261" s="357">
        <f t="shared" ref="AH261:AH324" ca="1" si="144">IF(AND(L260&lt;L_rampe,Poussee&lt;Poids*SIN(M260)), g*SIN(M260), (-W260+Poussee)/m)</f>
        <v>-0.12670342988148517</v>
      </c>
    </row>
    <row r="262" spans="1:34" x14ac:dyDescent="0.2">
      <c r="A262" s="402">
        <f t="shared" ca="1" si="122"/>
        <v>0.1</v>
      </c>
      <c r="B262" s="357">
        <f t="shared" ca="1" si="123"/>
        <v>7.7999999999999892</v>
      </c>
      <c r="C262" s="342"/>
      <c r="D262" s="359">
        <f t="shared" ca="1" si="124"/>
        <v>-0.12633170598205623</v>
      </c>
      <c r="E262" s="360">
        <f t="shared" ca="1" si="125"/>
        <v>-9.8050807037750527</v>
      </c>
      <c r="F262" s="357">
        <f t="shared" ca="1" si="126"/>
        <v>9.8058945184760269</v>
      </c>
      <c r="G262" s="359">
        <f t="shared" ca="1" si="127"/>
        <v>12.325645130253834</v>
      </c>
      <c r="H262" s="360">
        <f t="shared" ca="1" si="128"/>
        <v>-1.4609547278172101</v>
      </c>
      <c r="I262" s="357">
        <f t="shared" ca="1" si="129"/>
        <v>12.411926385282886</v>
      </c>
      <c r="J262" s="359">
        <f t="shared" ca="1" si="130"/>
        <v>100.01442195389393</v>
      </c>
      <c r="K262" s="360">
        <f t="shared" ca="1" si="131"/>
        <v>281.34273837632225</v>
      </c>
      <c r="L262" s="357">
        <f t="shared" ca="1" si="116"/>
        <v>298.59105987262791</v>
      </c>
      <c r="M262" s="359">
        <f t="shared" ca="1" si="132"/>
        <v>-0.11797922331103645</v>
      </c>
      <c r="N262" s="357">
        <f t="shared" ca="1" si="133"/>
        <v>-6.7597115659538467</v>
      </c>
      <c r="O262" s="343"/>
      <c r="P262" s="363">
        <f t="shared" ca="1" si="134"/>
        <v>23</v>
      </c>
      <c r="Q262" s="357">
        <f t="shared" ca="1" si="135"/>
        <v>0</v>
      </c>
      <c r="R262" s="359">
        <f t="shared" ca="1" si="136"/>
        <v>0</v>
      </c>
      <c r="S262" s="360">
        <f t="shared" ca="1" si="137"/>
        <v>1.5629999999999982</v>
      </c>
      <c r="T262" s="357">
        <f t="shared" ca="1" si="117"/>
        <v>15.333029999999983</v>
      </c>
      <c r="U262" s="364">
        <f t="shared" ca="1" si="118"/>
        <v>0</v>
      </c>
      <c r="V262" s="359">
        <f t="shared" ca="1" si="119"/>
        <v>1.1910136058093572</v>
      </c>
      <c r="W262" s="357">
        <f t="shared" ca="1" si="120"/>
        <v>0.19967137371888122</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281.34273837632225</v>
      </c>
      <c r="AF262" s="344"/>
      <c r="AG262" s="359">
        <f t="shared" ca="1" si="143"/>
        <v>0.2552799828170117</v>
      </c>
      <c r="AH262" s="357">
        <f t="shared" ca="1" si="144"/>
        <v>-0.12642744722442784</v>
      </c>
    </row>
    <row r="263" spans="1:34" x14ac:dyDescent="0.2">
      <c r="A263" s="402">
        <f t="shared" ca="1" si="122"/>
        <v>0.1</v>
      </c>
      <c r="B263" s="357">
        <f t="shared" ca="1" si="123"/>
        <v>7.8999999999999888</v>
      </c>
      <c r="C263" s="342"/>
      <c r="D263" s="359">
        <f t="shared" ca="1" si="124"/>
        <v>-0.12686075636990318</v>
      </c>
      <c r="E263" s="360">
        <f t="shared" ca="1" si="125"/>
        <v>-9.7949632356088081</v>
      </c>
      <c r="F263" s="357">
        <f t="shared" ca="1" si="126"/>
        <v>9.7957847280570078</v>
      </c>
      <c r="G263" s="359">
        <f t="shared" ca="1" si="127"/>
        <v>12.312959054616844</v>
      </c>
      <c r="H263" s="360">
        <f t="shared" ca="1" si="128"/>
        <v>-2.440451051378091</v>
      </c>
      <c r="I263" s="357">
        <f t="shared" ca="1" si="129"/>
        <v>12.552480313262528</v>
      </c>
      <c r="J263" s="359">
        <f t="shared" ca="1" si="130"/>
        <v>101.24635216313746</v>
      </c>
      <c r="K263" s="360">
        <f t="shared" ca="1" si="131"/>
        <v>281.14766808736249</v>
      </c>
      <c r="L263" s="357">
        <f t="shared" ca="1" si="116"/>
        <v>298.82241398078526</v>
      </c>
      <c r="M263" s="359">
        <f t="shared" ca="1" si="132"/>
        <v>-0.19566595651745988</v>
      </c>
      <c r="N263" s="357">
        <f t="shared" ca="1" si="133"/>
        <v>-11.210833502840735</v>
      </c>
      <c r="O263" s="343"/>
      <c r="P263" s="363">
        <f t="shared" ca="1" si="134"/>
        <v>23</v>
      </c>
      <c r="Q263" s="357">
        <f t="shared" ca="1" si="135"/>
        <v>0</v>
      </c>
      <c r="R263" s="359">
        <f t="shared" ca="1" si="136"/>
        <v>0</v>
      </c>
      <c r="S263" s="360">
        <f t="shared" ca="1" si="137"/>
        <v>1.5629999999999982</v>
      </c>
      <c r="T263" s="357">
        <f t="shared" ca="1" si="117"/>
        <v>15.333029999999983</v>
      </c>
      <c r="U263" s="364">
        <f t="shared" ca="1" si="118"/>
        <v>0</v>
      </c>
      <c r="V263" s="359">
        <f t="shared" ca="1" si="119"/>
        <v>1.1910368437680727</v>
      </c>
      <c r="W263" s="357">
        <f t="shared" ca="1" si="120"/>
        <v>0.20422316142225933</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281.14766808736249</v>
      </c>
      <c r="AF263" s="344"/>
      <c r="AG263" s="359">
        <f t="shared" ca="1" si="143"/>
        <v>1.0269443105142071</v>
      </c>
      <c r="AH263" s="357">
        <f t="shared" ca="1" si="144"/>
        <v>-0.12774879956422358</v>
      </c>
    </row>
    <row r="264" spans="1:34" x14ac:dyDescent="0.2">
      <c r="A264" s="402">
        <f t="shared" ca="1" si="122"/>
        <v>0.1</v>
      </c>
      <c r="B264" s="357">
        <f t="shared" ca="1" si="123"/>
        <v>7.9999999999999885</v>
      </c>
      <c r="C264" s="342"/>
      <c r="D264" s="359">
        <f t="shared" ca="1" si="124"/>
        <v>-0.12816779218222232</v>
      </c>
      <c r="E264" s="360">
        <f t="shared" ca="1" si="125"/>
        <v>-9.7845969086881173</v>
      </c>
      <c r="F264" s="357">
        <f t="shared" ca="1" si="126"/>
        <v>9.7854363034287815</v>
      </c>
      <c r="G264" s="359">
        <f t="shared" ca="1" si="127"/>
        <v>12.300142275398622</v>
      </c>
      <c r="H264" s="360">
        <f t="shared" ca="1" si="128"/>
        <v>-3.4189107422469029</v>
      </c>
      <c r="I264" s="357">
        <f t="shared" ca="1" si="129"/>
        <v>12.766458031047597</v>
      </c>
      <c r="J264" s="359">
        <f t="shared" ca="1" si="130"/>
        <v>102.47700722963823</v>
      </c>
      <c r="K264" s="360">
        <f t="shared" ca="1" si="131"/>
        <v>280.85469999768122</v>
      </c>
      <c r="L264" s="357">
        <f t="shared" ca="1" si="116"/>
        <v>298.96638527020201</v>
      </c>
      <c r="M264" s="359">
        <f t="shared" ca="1" si="132"/>
        <v>-0.27111323383173924</v>
      </c>
      <c r="N264" s="357">
        <f t="shared" ca="1" si="133"/>
        <v>-15.533644068702063</v>
      </c>
      <c r="O264" s="343"/>
      <c r="P264" s="363">
        <f t="shared" ca="1" si="134"/>
        <v>23</v>
      </c>
      <c r="Q264" s="357">
        <f t="shared" ca="1" si="135"/>
        <v>0</v>
      </c>
      <c r="R264" s="359">
        <f t="shared" ca="1" si="136"/>
        <v>0</v>
      </c>
      <c r="S264" s="360">
        <f t="shared" ca="1" si="137"/>
        <v>1.5629999999999982</v>
      </c>
      <c r="T264" s="357">
        <f t="shared" ca="1" si="117"/>
        <v>15.333029999999983</v>
      </c>
      <c r="U264" s="364">
        <f t="shared" ca="1" si="118"/>
        <v>0</v>
      </c>
      <c r="V264" s="359">
        <f t="shared" ca="1" si="119"/>
        <v>1.191071744747799</v>
      </c>
      <c r="W264" s="357">
        <f t="shared" ca="1" si="120"/>
        <v>0.21125133722277328</v>
      </c>
      <c r="X264" s="343"/>
      <c r="Y264" s="367" t="str">
        <f t="shared" ca="1" si="138"/>
        <v/>
      </c>
      <c r="Z264" s="368" t="str">
        <f t="shared" ca="1" si="139"/>
        <v/>
      </c>
      <c r="AA264" s="369" t="str">
        <f t="shared" ca="1" si="140"/>
        <v/>
      </c>
      <c r="AB264" s="344"/>
      <c r="AC264" s="363">
        <f t="shared" ca="1" si="141"/>
        <v>7.9999999999999885</v>
      </c>
      <c r="AD264" s="376">
        <f t="shared" ca="1" si="142"/>
        <v>102.47700722963823</v>
      </c>
      <c r="AE264" s="377">
        <f t="shared" ca="1" si="121"/>
        <v>280.85469999768122</v>
      </c>
      <c r="AF264" s="344"/>
      <c r="AG264" s="359">
        <f t="shared" ca="1" si="143"/>
        <v>1.7765974914373071</v>
      </c>
      <c r="AH264" s="357">
        <f t="shared" ca="1" si="144"/>
        <v>-0.13066101178647446</v>
      </c>
    </row>
    <row r="265" spans="1:34" x14ac:dyDescent="0.2">
      <c r="A265" s="402">
        <f t="shared" ca="1" si="122"/>
        <v>0.1</v>
      </c>
      <c r="B265" s="357">
        <f t="shared" ca="1" si="123"/>
        <v>8.099999999999989</v>
      </c>
      <c r="C265" s="342"/>
      <c r="D265" s="359">
        <f t="shared" ca="1" si="124"/>
        <v>-0.1302207528385716</v>
      </c>
      <c r="E265" s="360">
        <f t="shared" ca="1" si="125"/>
        <v>-9.7738042291889808</v>
      </c>
      <c r="F265" s="357">
        <f t="shared" ca="1" si="126"/>
        <v>9.7746716852783475</v>
      </c>
      <c r="G265" s="359">
        <f t="shared" ca="1" si="127"/>
        <v>12.287120200114765</v>
      </c>
      <c r="H265" s="360">
        <f t="shared" ca="1" si="128"/>
        <v>-4.3962911651658008</v>
      </c>
      <c r="I265" s="357">
        <f t="shared" ca="1" si="129"/>
        <v>13.04993098912723</v>
      </c>
      <c r="J265" s="359">
        <f t="shared" ca="1" si="130"/>
        <v>103.7063703534139</v>
      </c>
      <c r="K265" s="360">
        <f t="shared" ca="1" si="131"/>
        <v>280.46393990231059</v>
      </c>
      <c r="L265" s="357">
        <f t="shared" ca="1" si="116"/>
        <v>299.02346536251355</v>
      </c>
      <c r="M265" s="359">
        <f t="shared" ca="1" si="132"/>
        <v>-0.34360370660115513</v>
      </c>
      <c r="N265" s="357">
        <f t="shared" ca="1" si="133"/>
        <v>-19.687042213297612</v>
      </c>
      <c r="O265" s="343"/>
      <c r="P265" s="363">
        <f t="shared" ca="1" si="134"/>
        <v>23</v>
      </c>
      <c r="Q265" s="357">
        <f t="shared" ca="1" si="135"/>
        <v>0</v>
      </c>
      <c r="R265" s="359">
        <f t="shared" ca="1" si="136"/>
        <v>0</v>
      </c>
      <c r="S265" s="360">
        <f t="shared" ca="1" si="137"/>
        <v>1.5629999999999982</v>
      </c>
      <c r="T265" s="357">
        <f t="shared" ca="1" si="117"/>
        <v>15.333029999999983</v>
      </c>
      <c r="U265" s="364">
        <f t="shared" ca="1" si="118"/>
        <v>0</v>
      </c>
      <c r="V265" s="359">
        <f t="shared" ca="1" si="119"/>
        <v>1.1911182971554857</v>
      </c>
      <c r="W265" s="357">
        <f t="shared" ca="1" si="120"/>
        <v>0.22074558532662028</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280.46393990231059</v>
      </c>
      <c r="AF265" s="344"/>
      <c r="AG265" s="359">
        <f t="shared" ca="1" si="143"/>
        <v>2.4920013371992309</v>
      </c>
      <c r="AH265" s="357">
        <f t="shared" ca="1" si="144"/>
        <v>-0.13515760538885063</v>
      </c>
    </row>
    <row r="266" spans="1:34" x14ac:dyDescent="0.2">
      <c r="A266" s="402">
        <f t="shared" ca="1" si="122"/>
        <v>0.1</v>
      </c>
      <c r="B266" s="357">
        <f t="shared" ca="1" si="123"/>
        <v>8.1999999999999886</v>
      </c>
      <c r="C266" s="342"/>
      <c r="D266" s="359">
        <f t="shared" ca="1" si="124"/>
        <v>-0.13297651308789243</v>
      </c>
      <c r="E266" s="360">
        <f t="shared" ca="1" si="125"/>
        <v>-9.7624214413026262</v>
      </c>
      <c r="F266" s="357">
        <f t="shared" ca="1" si="126"/>
        <v>9.7633270533480676</v>
      </c>
      <c r="G266" s="359">
        <f t="shared" ca="1" si="127"/>
        <v>12.273822548805976</v>
      </c>
      <c r="H266" s="360">
        <f t="shared" ca="1" si="128"/>
        <v>-5.3725333092960632</v>
      </c>
      <c r="I266" s="357">
        <f t="shared" ca="1" si="129"/>
        <v>13.398165326606241</v>
      </c>
      <c r="J266" s="359">
        <f t="shared" ca="1" si="130"/>
        <v>104.93441749085994</v>
      </c>
      <c r="K266" s="360">
        <f t="shared" ca="1" si="131"/>
        <v>279.97549867858748</v>
      </c>
      <c r="L266" s="357">
        <f t="shared" ca="1" si="116"/>
        <v>298.99416689037571</v>
      </c>
      <c r="M266" s="359">
        <f t="shared" ca="1" si="132"/>
        <v>-0.41259752358169116</v>
      </c>
      <c r="N266" s="357">
        <f t="shared" ca="1" si="133"/>
        <v>-23.640096738780361</v>
      </c>
      <c r="O266" s="343"/>
      <c r="P266" s="363">
        <f t="shared" ca="1" si="134"/>
        <v>23</v>
      </c>
      <c r="Q266" s="357">
        <f t="shared" ca="1" si="135"/>
        <v>0</v>
      </c>
      <c r="R266" s="359">
        <f t="shared" ca="1" si="136"/>
        <v>0</v>
      </c>
      <c r="S266" s="360">
        <f t="shared" ca="1" si="137"/>
        <v>1.5629999999999982</v>
      </c>
      <c r="T266" s="357">
        <f t="shared" ca="1" si="117"/>
        <v>15.333029999999983</v>
      </c>
      <c r="U266" s="364">
        <f t="shared" ca="1" si="118"/>
        <v>0</v>
      </c>
      <c r="V266" s="359">
        <f t="shared" ca="1" si="119"/>
        <v>1.191176489128045</v>
      </c>
      <c r="W266" s="357">
        <f t="shared" ca="1" si="120"/>
        <v>0.23269522885047583</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279.97549867858748</v>
      </c>
      <c r="AF266" s="344"/>
      <c r="AG266" s="359">
        <f t="shared" ca="1" si="143"/>
        <v>3.1635836823442025</v>
      </c>
      <c r="AH266" s="357">
        <f t="shared" ca="1" si="144"/>
        <v>-0.14123198037531703</v>
      </c>
    </row>
    <row r="267" spans="1:34" x14ac:dyDescent="0.2">
      <c r="A267" s="402">
        <f t="shared" ca="1" si="122"/>
        <v>0.1</v>
      </c>
      <c r="B267" s="357">
        <f t="shared" ca="1" si="123"/>
        <v>8.2999999999999883</v>
      </c>
      <c r="C267" s="342"/>
      <c r="D267" s="359">
        <f t="shared" ca="1" si="124"/>
        <v>-0.13638386954386911</v>
      </c>
      <c r="E267" s="360">
        <f t="shared" ca="1" si="125"/>
        <v>-9.750301655897216</v>
      </c>
      <c r="F267" s="357">
        <f t="shared" ca="1" si="126"/>
        <v>9.7512554545998711</v>
      </c>
      <c r="G267" s="359">
        <f t="shared" ca="1" si="127"/>
        <v>12.260184161851589</v>
      </c>
      <c r="H267" s="360">
        <f t="shared" ca="1" si="128"/>
        <v>-6.347563474885785</v>
      </c>
      <c r="I267" s="357">
        <f t="shared" ca="1" si="129"/>
        <v>13.805929079573771</v>
      </c>
      <c r="J267" s="359">
        <f t="shared" ca="1" si="130"/>
        <v>106.16111782639283</v>
      </c>
      <c r="K267" s="360">
        <f t="shared" ca="1" si="131"/>
        <v>279.38949383937842</v>
      </c>
      <c r="L267" s="357">
        <f t="shared" ca="1" si="116"/>
        <v>298.87902603891985</v>
      </c>
      <c r="M267" s="359">
        <f t="shared" ca="1" si="132"/>
        <v>-0.47773711812613062</v>
      </c>
      <c r="N267" s="357">
        <f t="shared" ca="1" si="133"/>
        <v>-27.372320585370144</v>
      </c>
      <c r="O267" s="343"/>
      <c r="P267" s="363">
        <f t="shared" ca="1" si="134"/>
        <v>23</v>
      </c>
      <c r="Q267" s="357">
        <f t="shared" ca="1" si="135"/>
        <v>0</v>
      </c>
      <c r="R267" s="359">
        <f t="shared" ca="1" si="136"/>
        <v>0</v>
      </c>
      <c r="S267" s="360">
        <f t="shared" ca="1" si="137"/>
        <v>1.5629999999999982</v>
      </c>
      <c r="T267" s="357">
        <f t="shared" ca="1" si="117"/>
        <v>15.333029999999983</v>
      </c>
      <c r="U267" s="364">
        <f t="shared" ca="1" si="118"/>
        <v>0</v>
      </c>
      <c r="V267" s="359">
        <f t="shared" ca="1" si="119"/>
        <v>1.1912463083459972</v>
      </c>
      <c r="W267" s="357">
        <f t="shared" ca="1" si="120"/>
        <v>0.24708907569786631</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279.38949383937842</v>
      </c>
      <c r="AF267" s="344"/>
      <c r="AG267" s="359">
        <f t="shared" ca="1" si="143"/>
        <v>3.784836787167503</v>
      </c>
      <c r="AH267" s="357">
        <f t="shared" ca="1" si="144"/>
        <v>-0.14887730572647223</v>
      </c>
    </row>
    <row r="268" spans="1:34" x14ac:dyDescent="0.2">
      <c r="A268" s="402">
        <f t="shared" ca="1" si="122"/>
        <v>0.1</v>
      </c>
      <c r="B268" s="357">
        <f t="shared" ca="1" si="123"/>
        <v>8.3999999999999879</v>
      </c>
      <c r="C268" s="342"/>
      <c r="D268" s="359">
        <f t="shared" ca="1" si="124"/>
        <v>-0.14038668612786256</v>
      </c>
      <c r="E268" s="360">
        <f t="shared" ca="1" si="125"/>
        <v>-9.7373164750658283</v>
      </c>
      <c r="F268" s="357">
        <f t="shared" ca="1" si="126"/>
        <v>9.7383284272625747</v>
      </c>
      <c r="G268" s="359">
        <f t="shared" ca="1" si="127"/>
        <v>12.246145493238803</v>
      </c>
      <c r="H268" s="360">
        <f t="shared" ca="1" si="128"/>
        <v>-7.3212951223923675</v>
      </c>
      <c r="I268" s="357">
        <f t="shared" ca="1" si="129"/>
        <v>14.267776340787632</v>
      </c>
      <c r="J268" s="359">
        <f t="shared" ca="1" si="130"/>
        <v>107.38643430914735</v>
      </c>
      <c r="K268" s="360">
        <f t="shared" ca="1" si="131"/>
        <v>278.70605090951449</v>
      </c>
      <c r="L268" s="357">
        <f t="shared" ca="1" si="116"/>
        <v>298.67860500412428</v>
      </c>
      <c r="M268" s="359">
        <f t="shared" ca="1" si="132"/>
        <v>-0.53883333077484297</v>
      </c>
      <c r="N268" s="357">
        <f t="shared" ca="1" si="133"/>
        <v>-30.872875714375159</v>
      </c>
      <c r="O268" s="343"/>
      <c r="P268" s="363">
        <f t="shared" ca="1" si="134"/>
        <v>23</v>
      </c>
      <c r="Q268" s="357">
        <f t="shared" ca="1" si="135"/>
        <v>0</v>
      </c>
      <c r="R268" s="359">
        <f t="shared" ca="1" si="136"/>
        <v>0</v>
      </c>
      <c r="S268" s="360">
        <f t="shared" ca="1" si="137"/>
        <v>1.5629999999999982</v>
      </c>
      <c r="T268" s="357">
        <f t="shared" ca="1" si="117"/>
        <v>15.333029999999983</v>
      </c>
      <c r="U268" s="364">
        <f t="shared" ca="1" si="118"/>
        <v>0</v>
      </c>
      <c r="V268" s="359">
        <f t="shared" ca="1" si="119"/>
        <v>1.191327741868043</v>
      </c>
      <c r="W268" s="357">
        <f t="shared" ca="1" si="120"/>
        <v>0.26391528367402084</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278.70605090951449</v>
      </c>
      <c r="AF268" s="344"/>
      <c r="AG268" s="359">
        <f t="shared" ca="1" si="143"/>
        <v>4.3522654236745417</v>
      </c>
      <c r="AH268" s="357">
        <f t="shared" ca="1" si="144"/>
        <v>-0.15808642079198118</v>
      </c>
    </row>
    <row r="269" spans="1:34" x14ac:dyDescent="0.2">
      <c r="A269" s="402">
        <f t="shared" ca="1" si="122"/>
        <v>0.1</v>
      </c>
      <c r="B269" s="357">
        <f t="shared" ca="1" si="123"/>
        <v>8.4999999999999876</v>
      </c>
      <c r="C269" s="342"/>
      <c r="D269" s="359">
        <f t="shared" ca="1" si="124"/>
        <v>-0.14492679416546003</v>
      </c>
      <c r="E269" s="360">
        <f t="shared" ca="1" si="125"/>
        <v>-9.7233562612159599</v>
      </c>
      <c r="F269" s="357">
        <f t="shared" ca="1" si="126"/>
        <v>9.724436269429436</v>
      </c>
      <c r="G269" s="359">
        <f t="shared" ca="1" si="127"/>
        <v>12.231652813822256</v>
      </c>
      <c r="H269" s="360">
        <f t="shared" ca="1" si="128"/>
        <v>-8.293630748513964</v>
      </c>
      <c r="I269" s="357">
        <f t="shared" ca="1" si="129"/>
        <v>14.778282767310355</v>
      </c>
      <c r="J269" s="359">
        <f t="shared" ca="1" si="130"/>
        <v>108.6103242245004</v>
      </c>
      <c r="K269" s="360">
        <f t="shared" ca="1" si="131"/>
        <v>277.9253046159692</v>
      </c>
      <c r="L269" s="357">
        <f t="shared" ca="1" si="116"/>
        <v>298.39349435607733</v>
      </c>
      <c r="M269" s="359">
        <f t="shared" ca="1" si="132"/>
        <v>-0.59583970322051849</v>
      </c>
      <c r="N269" s="357">
        <f t="shared" ca="1" si="133"/>
        <v>-34.139100260863238</v>
      </c>
      <c r="O269" s="343"/>
      <c r="P269" s="363">
        <f t="shared" ca="1" si="134"/>
        <v>23</v>
      </c>
      <c r="Q269" s="357">
        <f t="shared" ca="1" si="135"/>
        <v>0</v>
      </c>
      <c r="R269" s="359">
        <f t="shared" ca="1" si="136"/>
        <v>0</v>
      </c>
      <c r="S269" s="360">
        <f t="shared" ca="1" si="137"/>
        <v>1.5629999999999982</v>
      </c>
      <c r="T269" s="357">
        <f t="shared" ca="1" si="117"/>
        <v>15.333029999999983</v>
      </c>
      <c r="U269" s="364">
        <f t="shared" ca="1" si="118"/>
        <v>0</v>
      </c>
      <c r="V269" s="359">
        <f t="shared" ca="1" si="119"/>
        <v>1.1914207759876638</v>
      </c>
      <c r="W269" s="357">
        <f t="shared" ca="1" si="120"/>
        <v>0.28316124556373234</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277.9253046159692</v>
      </c>
      <c r="AF269" s="344"/>
      <c r="AG269" s="359">
        <f t="shared" ca="1" si="143"/>
        <v>4.8650024014515045</v>
      </c>
      <c r="AH269" s="357">
        <f t="shared" ca="1" si="144"/>
        <v>-0.16885174899169619</v>
      </c>
    </row>
    <row r="270" spans="1:34" x14ac:dyDescent="0.2">
      <c r="A270" s="402">
        <f t="shared" ca="1" si="122"/>
        <v>0.1</v>
      </c>
      <c r="B270" s="357">
        <f t="shared" ca="1" si="123"/>
        <v>8.5999999999999872</v>
      </c>
      <c r="C270" s="342"/>
      <c r="D270" s="359">
        <f t="shared" ca="1" si="124"/>
        <v>-0.14994638824635176</v>
      </c>
      <c r="E270" s="360">
        <f t="shared" ca="1" si="125"/>
        <v>-9.708329359480901</v>
      </c>
      <c r="F270" s="357">
        <f t="shared" ca="1" si="126"/>
        <v>9.7094872609992624</v>
      </c>
      <c r="G270" s="359">
        <f t="shared" ca="1" si="127"/>
        <v>12.216658174997621</v>
      </c>
      <c r="H270" s="360">
        <f t="shared" ca="1" si="128"/>
        <v>-9.2644636844620543</v>
      </c>
      <c r="I270" s="357">
        <f t="shared" ca="1" si="129"/>
        <v>15.332221767423416</v>
      </c>
      <c r="J270" s="359">
        <f t="shared" ca="1" si="130"/>
        <v>109.8327397739414</v>
      </c>
      <c r="K270" s="360">
        <f t="shared" ca="1" si="131"/>
        <v>277.04739989432039</v>
      </c>
      <c r="L270" s="357">
        <f t="shared" ca="1" si="116"/>
        <v>298.02431530741552</v>
      </c>
      <c r="M270" s="359">
        <f t="shared" ca="1" si="132"/>
        <v>-0.6488216962915877</v>
      </c>
      <c r="N270" s="357">
        <f t="shared" ca="1" si="133"/>
        <v>-37.174744854026869</v>
      </c>
      <c r="O270" s="343"/>
      <c r="P270" s="363">
        <f t="shared" ca="1" si="134"/>
        <v>23</v>
      </c>
      <c r="Q270" s="357">
        <f t="shared" ca="1" si="135"/>
        <v>0</v>
      </c>
      <c r="R270" s="359">
        <f t="shared" ca="1" si="136"/>
        <v>0</v>
      </c>
      <c r="S270" s="360">
        <f t="shared" ca="1" si="137"/>
        <v>1.5629999999999982</v>
      </c>
      <c r="T270" s="357">
        <f t="shared" ca="1" si="117"/>
        <v>15.333029999999983</v>
      </c>
      <c r="U270" s="364">
        <f t="shared" ca="1" si="118"/>
        <v>0</v>
      </c>
      <c r="V270" s="359">
        <f t="shared" ca="1" si="119"/>
        <v>1.1915253961114367</v>
      </c>
      <c r="W270" s="357">
        <f t="shared" ca="1" si="120"/>
        <v>0.30481349371365807</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277.04739989432039</v>
      </c>
      <c r="AF270" s="344"/>
      <c r="AG270" s="359">
        <f t="shared" ca="1" si="143"/>
        <v>5.3242455818224972</v>
      </c>
      <c r="AH270" s="357">
        <f t="shared" ca="1" si="144"/>
        <v>-0.18116522428901644</v>
      </c>
    </row>
    <row r="271" spans="1:34" x14ac:dyDescent="0.2">
      <c r="A271" s="402">
        <f t="shared" ca="1" si="122"/>
        <v>0.1</v>
      </c>
      <c r="B271" s="357">
        <f t="shared" ca="1" si="123"/>
        <v>8.6999999999999869</v>
      </c>
      <c r="C271" s="342"/>
      <c r="D271" s="359">
        <f t="shared" ca="1" si="124"/>
        <v>-0.15538981184144399</v>
      </c>
      <c r="E271" s="360">
        <f t="shared" ca="1" si="125"/>
        <v>-9.6921606327918131</v>
      </c>
      <c r="F271" s="357">
        <f t="shared" ca="1" si="126"/>
        <v>9.6934061983114841</v>
      </c>
      <c r="G271" s="359">
        <f t="shared" ca="1" si="127"/>
        <v>12.201119193813476</v>
      </c>
      <c r="H271" s="360">
        <f t="shared" ca="1" si="128"/>
        <v>-10.233679747741235</v>
      </c>
      <c r="I271" s="357">
        <f t="shared" ca="1" si="129"/>
        <v>15.924682438308549</v>
      </c>
      <c r="J271" s="359">
        <f t="shared" ca="1" si="130"/>
        <v>111.05362864238195</v>
      </c>
      <c r="K271" s="360">
        <f t="shared" ca="1" si="131"/>
        <v>276.07249272271025</v>
      </c>
      <c r="L271" s="357">
        <f t="shared" ca="1" si="116"/>
        <v>297.57172189704283</v>
      </c>
      <c r="M271" s="359">
        <f t="shared" ca="1" si="132"/>
        <v>-0.69792606161394977</v>
      </c>
      <c r="N271" s="357">
        <f t="shared" ca="1" si="133"/>
        <v>-39.988217742666777</v>
      </c>
      <c r="O271" s="343"/>
      <c r="P271" s="363">
        <f t="shared" ca="1" si="134"/>
        <v>23</v>
      </c>
      <c r="Q271" s="357">
        <f t="shared" ca="1" si="135"/>
        <v>0</v>
      </c>
      <c r="R271" s="359">
        <f t="shared" ca="1" si="136"/>
        <v>0</v>
      </c>
      <c r="S271" s="360">
        <f t="shared" ca="1" si="137"/>
        <v>1.5629999999999982</v>
      </c>
      <c r="T271" s="357">
        <f t="shared" ca="1" si="117"/>
        <v>15.333029999999983</v>
      </c>
      <c r="U271" s="364">
        <f t="shared" ca="1" si="118"/>
        <v>0</v>
      </c>
      <c r="V271" s="359">
        <f t="shared" ca="1" si="119"/>
        <v>1.1916415866577024</v>
      </c>
      <c r="W271" s="357">
        <f t="shared" ca="1" si="120"/>
        <v>0.32885762282896325</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276.07249272271025</v>
      </c>
      <c r="AF271" s="344"/>
      <c r="AG271" s="359">
        <f t="shared" ca="1" si="143"/>
        <v>5.7326542313703479</v>
      </c>
      <c r="AH271" s="357">
        <f t="shared" ca="1" si="144"/>
        <v>-0.19501823014309561</v>
      </c>
    </row>
    <row r="272" spans="1:34" x14ac:dyDescent="0.2">
      <c r="A272" s="402">
        <f t="shared" ca="1" si="122"/>
        <v>0.1</v>
      </c>
      <c r="B272" s="357">
        <f t="shared" ca="1" si="123"/>
        <v>8.7999999999999865</v>
      </c>
      <c r="C272" s="342"/>
      <c r="D272" s="359">
        <f t="shared" ca="1" si="124"/>
        <v>-0.16120474624565292</v>
      </c>
      <c r="E272" s="360">
        <f t="shared" ca="1" si="125"/>
        <v>-9.674789637680913</v>
      </c>
      <c r="F272" s="357">
        <f t="shared" ca="1" si="126"/>
        <v>9.6761325695543317</v>
      </c>
      <c r="G272" s="359">
        <f t="shared" ca="1" si="127"/>
        <v>12.184998719188911</v>
      </c>
      <c r="H272" s="360">
        <f t="shared" ca="1" si="128"/>
        <v>-11.201158711509326</v>
      </c>
      <c r="I272" s="357">
        <f t="shared" ca="1" si="129"/>
        <v>16.551137431217729</v>
      </c>
      <c r="J272" s="359">
        <f t="shared" ca="1" si="130"/>
        <v>112.27293453803208</v>
      </c>
      <c r="K272" s="360">
        <f t="shared" ca="1" si="131"/>
        <v>275.00075079974772</v>
      </c>
      <c r="L272" s="357">
        <f t="shared" ca="1" si="116"/>
        <v>297.03640310609438</v>
      </c>
      <c r="M272" s="359">
        <f t="shared" ca="1" si="132"/>
        <v>-0.74335362415492046</v>
      </c>
      <c r="N272" s="357">
        <f t="shared" ca="1" si="133"/>
        <v>-42.591025349830986</v>
      </c>
      <c r="O272" s="343"/>
      <c r="P272" s="363">
        <f t="shared" ca="1" si="134"/>
        <v>23</v>
      </c>
      <c r="Q272" s="357">
        <f t="shared" ca="1" si="135"/>
        <v>0</v>
      </c>
      <c r="R272" s="359">
        <f t="shared" ca="1" si="136"/>
        <v>0</v>
      </c>
      <c r="S272" s="360">
        <f t="shared" ca="1" si="137"/>
        <v>1.5629999999999982</v>
      </c>
      <c r="T272" s="357">
        <f t="shared" ca="1" si="117"/>
        <v>15.333029999999983</v>
      </c>
      <c r="U272" s="364">
        <f t="shared" ca="1" si="118"/>
        <v>0</v>
      </c>
      <c r="V272" s="359">
        <f t="shared" ca="1" si="119"/>
        <v>1.1917693309736226</v>
      </c>
      <c r="W272" s="357">
        <f t="shared" ca="1" si="120"/>
        <v>0.35527822921109675</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275.00075079974772</v>
      </c>
      <c r="AF272" s="344"/>
      <c r="AG272" s="359">
        <f t="shared" ca="1" si="143"/>
        <v>6.0937994105173257</v>
      </c>
      <c r="AH272" s="357">
        <f t="shared" ca="1" si="144"/>
        <v>-0.2104015501145001</v>
      </c>
    </row>
    <row r="273" spans="1:34" x14ac:dyDescent="0.2">
      <c r="A273" s="402">
        <f t="shared" ca="1" si="122"/>
        <v>0.1</v>
      </c>
      <c r="B273" s="357">
        <f t="shared" ca="1" si="123"/>
        <v>8.8999999999999861</v>
      </c>
      <c r="C273" s="342"/>
      <c r="D273" s="359">
        <f t="shared" ca="1" si="124"/>
        <v>-0.16734288831302749</v>
      </c>
      <c r="E273" s="360">
        <f t="shared" ca="1" si="125"/>
        <v>-9.6561686952593</v>
      </c>
      <c r="F273" s="357">
        <f t="shared" ca="1" si="126"/>
        <v>9.6576186253949086</v>
      </c>
      <c r="G273" s="359">
        <f t="shared" ca="1" si="127"/>
        <v>12.168264430357608</v>
      </c>
      <c r="H273" s="360">
        <f t="shared" ca="1" si="128"/>
        <v>-12.166775581035255</v>
      </c>
      <c r="I273" s="357">
        <f t="shared" ca="1" si="129"/>
        <v>17.207471844706937</v>
      </c>
      <c r="J273" s="359">
        <f t="shared" ca="1" si="130"/>
        <v>113.49059769550941</v>
      </c>
      <c r="K273" s="360">
        <f t="shared" ca="1" si="131"/>
        <v>273.83235408512047</v>
      </c>
      <c r="L273" s="357">
        <f t="shared" ca="1" si="116"/>
        <v>296.419084927207</v>
      </c>
      <c r="M273" s="359">
        <f t="shared" ca="1" si="132"/>
        <v>-0.78533698210003533</v>
      </c>
      <c r="N273" s="357">
        <f t="shared" ca="1" si="133"/>
        <v>-44.9964945698731</v>
      </c>
      <c r="O273" s="343"/>
      <c r="P273" s="363">
        <f t="shared" ca="1" si="134"/>
        <v>23</v>
      </c>
      <c r="Q273" s="357">
        <f t="shared" ca="1" si="135"/>
        <v>0</v>
      </c>
      <c r="R273" s="359">
        <f t="shared" ca="1" si="136"/>
        <v>0</v>
      </c>
      <c r="S273" s="360">
        <f t="shared" ca="1" si="137"/>
        <v>1.5629999999999982</v>
      </c>
      <c r="T273" s="357">
        <f t="shared" ca="1" si="117"/>
        <v>15.333029999999983</v>
      </c>
      <c r="U273" s="364">
        <f t="shared" ca="1" si="118"/>
        <v>0</v>
      </c>
      <c r="V273" s="359">
        <f t="shared" ca="1" si="119"/>
        <v>1.1919086112683892</v>
      </c>
      <c r="W273" s="357">
        <f t="shared" ca="1" si="120"/>
        <v>0.38405886446764309</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273.83235408512047</v>
      </c>
      <c r="AF273" s="344"/>
      <c r="AG273" s="359">
        <f t="shared" ca="1" si="143"/>
        <v>6.4117167573503746</v>
      </c>
      <c r="AH273" s="357">
        <f t="shared" ca="1" si="144"/>
        <v>-0.22730532898982544</v>
      </c>
    </row>
    <row r="274" spans="1:34" x14ac:dyDescent="0.2">
      <c r="A274" s="402">
        <f t="shared" ca="1" si="122"/>
        <v>0.1</v>
      </c>
      <c r="B274" s="357">
        <f t="shared" ca="1" si="123"/>
        <v>8.9999999999999858</v>
      </c>
      <c r="C274" s="342"/>
      <c r="D274" s="359">
        <f t="shared" ca="1" si="124"/>
        <v>-0.1737602315898443</v>
      </c>
      <c r="E274" s="360">
        <f t="shared" ca="1" si="125"/>
        <v>-9.6362610288622559</v>
      </c>
      <c r="F274" s="357">
        <f t="shared" ca="1" si="126"/>
        <v>9.6378275163260536</v>
      </c>
      <c r="G274" s="359">
        <f t="shared" ca="1" si="127"/>
        <v>12.150888407198623</v>
      </c>
      <c r="H274" s="360">
        <f t="shared" ca="1" si="128"/>
        <v>-13.13040168392148</v>
      </c>
      <c r="I274" s="357">
        <f t="shared" ca="1" si="129"/>
        <v>17.889984277950663</v>
      </c>
      <c r="J274" s="359">
        <f t="shared" ca="1" si="130"/>
        <v>114.70655533738721</v>
      </c>
      <c r="K274" s="360">
        <f t="shared" ca="1" si="131"/>
        <v>272.56749522187266</v>
      </c>
      <c r="L274" s="357">
        <f t="shared" ca="1" si="116"/>
        <v>295.72053241006898</v>
      </c>
      <c r="M274" s="359">
        <f t="shared" ca="1" si="132"/>
        <v>-0.82412338605029534</v>
      </c>
      <c r="N274" s="357">
        <f t="shared" ca="1" si="133"/>
        <v>-47.218791818712546</v>
      </c>
      <c r="O274" s="343"/>
      <c r="P274" s="363">
        <f t="shared" ca="1" si="134"/>
        <v>23</v>
      </c>
      <c r="Q274" s="357">
        <f t="shared" ca="1" si="135"/>
        <v>0</v>
      </c>
      <c r="R274" s="359">
        <f t="shared" ca="1" si="136"/>
        <v>0</v>
      </c>
      <c r="S274" s="360">
        <f t="shared" ca="1" si="137"/>
        <v>1.5629999999999982</v>
      </c>
      <c r="T274" s="357">
        <f t="shared" ca="1" si="117"/>
        <v>15.333029999999983</v>
      </c>
      <c r="U274" s="364">
        <f t="shared" ca="1" si="118"/>
        <v>0</v>
      </c>
      <c r="V274" s="359">
        <f t="shared" ca="1" si="119"/>
        <v>1.1920594085603129</v>
      </c>
      <c r="W274" s="357">
        <f t="shared" ca="1" si="120"/>
        <v>0.41518200173422587</v>
      </c>
      <c r="X274" s="343"/>
      <c r="Y274" s="367" t="str">
        <f t="shared" ca="1" si="138"/>
        <v/>
      </c>
      <c r="Z274" s="368" t="str">
        <f t="shared" ca="1" si="139"/>
        <v>Para</v>
      </c>
      <c r="AA274" s="369" t="str">
        <f t="shared" ca="1" si="140"/>
        <v>Satellite</v>
      </c>
      <c r="AB274" s="344"/>
      <c r="AC274" s="363">
        <f t="shared" ca="1" si="141"/>
        <v>8.9999999999999858</v>
      </c>
      <c r="AD274" s="376">
        <f t="shared" ca="1" si="142"/>
        <v>114.70655533738721</v>
      </c>
      <c r="AE274" s="377">
        <f t="shared" ca="1" si="121"/>
        <v>272.56749522187266</v>
      </c>
      <c r="AF274" s="344"/>
      <c r="AG274" s="359">
        <f t="shared" ca="1" si="143"/>
        <v>6.6905740699143559</v>
      </c>
      <c r="AH274" s="357">
        <f t="shared" ca="1" si="144"/>
        <v>-0.24571904316547891</v>
      </c>
    </row>
    <row r="275" spans="1:34" x14ac:dyDescent="0.2">
      <c r="A275" s="402">
        <f t="shared" ca="1" si="122"/>
        <v>0.1</v>
      </c>
      <c r="B275" s="357">
        <f t="shared" ca="1" si="123"/>
        <v>9.0999999999999854</v>
      </c>
      <c r="C275" s="342"/>
      <c r="D275" s="359">
        <f t="shared" ca="1" si="124"/>
        <v>-0.18041706516148726</v>
      </c>
      <c r="E275" s="360">
        <f t="shared" ca="1" si="125"/>
        <v>-9.6150390673655508</v>
      </c>
      <c r="F275" s="357">
        <f t="shared" ca="1" si="126"/>
        <v>9.616731595732892</v>
      </c>
      <c r="G275" s="359">
        <f t="shared" ca="1" si="127"/>
        <v>12.132846700682475</v>
      </c>
      <c r="H275" s="360">
        <f t="shared" ca="1" si="128"/>
        <v>-14.091905590658035</v>
      </c>
      <c r="I275" s="357">
        <f t="shared" ca="1" si="129"/>
        <v>18.595369645110065</v>
      </c>
      <c r="J275" s="359">
        <f t="shared" ca="1" si="130"/>
        <v>115.92074209278127</v>
      </c>
      <c r="K275" s="360">
        <f t="shared" ca="1" si="131"/>
        <v>271.20637985814369</v>
      </c>
      <c r="L275" s="357">
        <f t="shared" ca="1" si="116"/>
        <v>294.9415517066065</v>
      </c>
      <c r="M275" s="359">
        <f t="shared" ca="1" si="132"/>
        <v>-0.85996233289800261</v>
      </c>
      <c r="N275" s="357">
        <f t="shared" ca="1" si="133"/>
        <v>-49.272212215279858</v>
      </c>
      <c r="O275" s="343"/>
      <c r="P275" s="363">
        <f t="shared" ca="1" si="134"/>
        <v>23</v>
      </c>
      <c r="Q275" s="357">
        <f t="shared" ca="1" si="135"/>
        <v>0</v>
      </c>
      <c r="R275" s="359">
        <f t="shared" ca="1" si="136"/>
        <v>0</v>
      </c>
      <c r="S275" s="360">
        <f t="shared" ca="1" si="137"/>
        <v>1.5629999999999982</v>
      </c>
      <c r="T275" s="357">
        <f t="shared" ca="1" si="117"/>
        <v>15.333029999999983</v>
      </c>
      <c r="U275" s="364">
        <f t="shared" ca="1" si="118"/>
        <v>0</v>
      </c>
      <c r="V275" s="359">
        <f t="shared" ca="1" si="119"/>
        <v>1.1922217026356821</v>
      </c>
      <c r="W275" s="357">
        <f t="shared" ca="1" si="120"/>
        <v>0.44862901258400284</v>
      </c>
      <c r="X275" s="343"/>
      <c r="Y275" s="367" t="str">
        <f t="shared" ca="1" si="138"/>
        <v/>
      </c>
      <c r="Z275" s="368" t="str">
        <f t="shared" ca="1" si="139"/>
        <v/>
      </c>
      <c r="AA275" s="369" t="str">
        <f t="shared" ca="1" si="140"/>
        <v/>
      </c>
      <c r="AB275" s="344"/>
      <c r="AC275" s="363" t="e">
        <f t="shared" ca="1" si="141"/>
        <v>#N/A</v>
      </c>
      <c r="AD275" s="376" t="e">
        <f t="shared" ca="1" si="142"/>
        <v>#N/A</v>
      </c>
      <c r="AE275" s="377" t="e">
        <f t="shared" ca="1" si="121"/>
        <v>#N/A</v>
      </c>
      <c r="AF275" s="344"/>
      <c r="AG275" s="359">
        <f t="shared" ca="1" si="143"/>
        <v>6.9344441900083629</v>
      </c>
      <c r="AH275" s="357">
        <f t="shared" ca="1" si="144"/>
        <v>-0.26563147903661316</v>
      </c>
    </row>
    <row r="276" spans="1:34" x14ac:dyDescent="0.2">
      <c r="A276" s="402">
        <f t="shared" ca="1" si="122"/>
        <v>0.1</v>
      </c>
      <c r="B276" s="357">
        <f t="shared" ca="1" si="123"/>
        <v>9.1999999999999851</v>
      </c>
      <c r="C276" s="342"/>
      <c r="D276" s="359">
        <f t="shared" ca="1" si="124"/>
        <v>-0.18727778845275672</v>
      </c>
      <c r="E276" s="360">
        <f t="shared" ca="1" si="125"/>
        <v>-9.5924829589287555</v>
      </c>
      <c r="F276" s="357">
        <f t="shared" ca="1" si="126"/>
        <v>9.5943109334327037</v>
      </c>
      <c r="G276" s="359">
        <f t="shared" ca="1" si="127"/>
        <v>12.114118921837198</v>
      </c>
      <c r="H276" s="360">
        <f t="shared" ca="1" si="128"/>
        <v>-15.05115388655091</v>
      </c>
      <c r="I276" s="357">
        <f t="shared" ca="1" si="129"/>
        <v>19.320691254948684</v>
      </c>
      <c r="J276" s="359">
        <f t="shared" ca="1" si="130"/>
        <v>117.13309037390725</v>
      </c>
      <c r="K276" s="360">
        <f t="shared" ca="1" si="131"/>
        <v>269.74922688428325</v>
      </c>
      <c r="L276" s="357">
        <f t="shared" ca="1" si="116"/>
        <v>294.0829921386316</v>
      </c>
      <c r="M276" s="359">
        <f t="shared" ca="1" si="132"/>
        <v>-0.89309708408136901</v>
      </c>
      <c r="N276" s="357">
        <f t="shared" ca="1" si="133"/>
        <v>-51.170693613302866</v>
      </c>
      <c r="O276" s="343"/>
      <c r="P276" s="363">
        <f t="shared" ca="1" si="134"/>
        <v>23</v>
      </c>
      <c r="Q276" s="357">
        <f t="shared" ca="1" si="135"/>
        <v>0</v>
      </c>
      <c r="R276" s="359">
        <f t="shared" ca="1" si="136"/>
        <v>0</v>
      </c>
      <c r="S276" s="360">
        <f t="shared" ca="1" si="137"/>
        <v>1.5629999999999982</v>
      </c>
      <c r="T276" s="357">
        <f t="shared" ca="1" si="117"/>
        <v>15.333029999999983</v>
      </c>
      <c r="U276" s="364">
        <f t="shared" ca="1" si="118"/>
        <v>0</v>
      </c>
      <c r="V276" s="359">
        <f t="shared" ca="1" si="119"/>
        <v>1.1923954720174859</v>
      </c>
      <c r="W276" s="357">
        <f t="shared" ca="1" si="120"/>
        <v>0.48438015300020731</v>
      </c>
      <c r="X276" s="343"/>
      <c r="Y276" s="367" t="str">
        <f t="shared" ca="1" si="138"/>
        <v/>
      </c>
      <c r="Z276" s="368" t="str">
        <f t="shared" ca="1" si="139"/>
        <v/>
      </c>
      <c r="AA276" s="369" t="str">
        <f t="shared" ca="1" si="140"/>
        <v/>
      </c>
      <c r="AB276" s="344"/>
      <c r="AC276" s="363" t="e">
        <f t="shared" ca="1" si="141"/>
        <v>#N/A</v>
      </c>
      <c r="AD276" s="376" t="e">
        <f t="shared" ca="1" si="142"/>
        <v>#N/A</v>
      </c>
      <c r="AE276" s="377" t="e">
        <f t="shared" ca="1" si="121"/>
        <v>#N/A</v>
      </c>
      <c r="AF276" s="344"/>
      <c r="AG276" s="359">
        <f t="shared" ca="1" si="143"/>
        <v>7.1471637335496094</v>
      </c>
      <c r="AH276" s="357">
        <f t="shared" ca="1" si="144"/>
        <v>-0.2870307182239305</v>
      </c>
    </row>
    <row r="277" spans="1:34" x14ac:dyDescent="0.2">
      <c r="A277" s="402">
        <f t="shared" ca="1" si="122"/>
        <v>0.1</v>
      </c>
      <c r="B277" s="357">
        <f t="shared" ca="1" si="123"/>
        <v>9.2999999999999847</v>
      </c>
      <c r="C277" s="342"/>
      <c r="D277" s="359">
        <f t="shared" ca="1" si="124"/>
        <v>-0.19431061853207793</v>
      </c>
      <c r="E277" s="360">
        <f t="shared" ca="1" si="125"/>
        <v>-9.5685793040181206</v>
      </c>
      <c r="F277" s="357">
        <f t="shared" ca="1" si="126"/>
        <v>9.5705520485371292</v>
      </c>
      <c r="G277" s="359">
        <f t="shared" ca="1" si="127"/>
        <v>12.09468785998399</v>
      </c>
      <c r="H277" s="360">
        <f t="shared" ca="1" si="128"/>
        <v>-16.008011816952724</v>
      </c>
      <c r="I277" s="357">
        <f t="shared" ca="1" si="129"/>
        <v>20.063347596105245</v>
      </c>
      <c r="J277" s="359">
        <f t="shared" ca="1" si="130"/>
        <v>118.34353071299832</v>
      </c>
      <c r="K277" s="360">
        <f t="shared" ca="1" si="131"/>
        <v>268.19626859910807</v>
      </c>
      <c r="L277" s="357">
        <f t="shared" ca="1" si="116"/>
        <v>293.1457483097841</v>
      </c>
      <c r="M277" s="359">
        <f t="shared" ca="1" si="132"/>
        <v>-0.92375925047124208</v>
      </c>
      <c r="N277" s="357">
        <f t="shared" ca="1" si="133"/>
        <v>-52.927506338170474</v>
      </c>
      <c r="O277" s="343"/>
      <c r="P277" s="363">
        <f t="shared" ca="1" si="134"/>
        <v>23</v>
      </c>
      <c r="Q277" s="357">
        <f t="shared" ca="1" si="135"/>
        <v>0</v>
      </c>
      <c r="R277" s="359">
        <f t="shared" ca="1" si="136"/>
        <v>0</v>
      </c>
      <c r="S277" s="360">
        <f t="shared" ca="1" si="137"/>
        <v>1.5629999999999982</v>
      </c>
      <c r="T277" s="357">
        <f t="shared" ca="1" si="117"/>
        <v>15.333029999999983</v>
      </c>
      <c r="U277" s="364">
        <f t="shared" ca="1" si="118"/>
        <v>0</v>
      </c>
      <c r="V277" s="359">
        <f t="shared" ca="1" si="119"/>
        <v>1.1925806939423707</v>
      </c>
      <c r="W277" s="357">
        <f t="shared" ca="1" si="120"/>
        <v>0.52241455700829242</v>
      </c>
      <c r="X277" s="343"/>
      <c r="Y277" s="367" t="str">
        <f t="shared" ca="1" si="138"/>
        <v/>
      </c>
      <c r="Z277" s="368" t="str">
        <f t="shared" ca="1" si="139"/>
        <v/>
      </c>
      <c r="AA277" s="369" t="str">
        <f t="shared" ca="1" si="140"/>
        <v/>
      </c>
      <c r="AB277" s="344"/>
      <c r="AC277" s="363" t="e">
        <f t="shared" ca="1" si="141"/>
        <v>#N/A</v>
      </c>
      <c r="AD277" s="376" t="e">
        <f t="shared" ca="1" si="142"/>
        <v>#N/A</v>
      </c>
      <c r="AE277" s="377" t="e">
        <f t="shared" ca="1" si="121"/>
        <v>#N/A</v>
      </c>
      <c r="AF277" s="344"/>
      <c r="AG277" s="359">
        <f t="shared" ca="1" si="143"/>
        <v>7.3322561688099324</v>
      </c>
      <c r="AH277" s="357">
        <f t="shared" ca="1" si="144"/>
        <v>-0.30990412859898137</v>
      </c>
    </row>
    <row r="278" spans="1:34" x14ac:dyDescent="0.2">
      <c r="A278" s="402">
        <f t="shared" ca="1" si="122"/>
        <v>0.1</v>
      </c>
      <c r="B278" s="357">
        <f t="shared" ca="1" si="123"/>
        <v>9.3999999999999844</v>
      </c>
      <c r="C278" s="342"/>
      <c r="D278" s="359">
        <f t="shared" ca="1" si="124"/>
        <v>-0.20148724524705308</v>
      </c>
      <c r="E278" s="360">
        <f t="shared" ca="1" si="125"/>
        <v>-9.5433200955477702</v>
      </c>
      <c r="F278" s="357">
        <f t="shared" ca="1" si="126"/>
        <v>9.5454468494713822</v>
      </c>
      <c r="G278" s="359">
        <f t="shared" ca="1" si="127"/>
        <v>12.074539135459284</v>
      </c>
      <c r="H278" s="360">
        <f t="shared" ca="1" si="128"/>
        <v>-16.9623438265075</v>
      </c>
      <c r="I278" s="357">
        <f t="shared" ca="1" si="129"/>
        <v>20.82103752031572</v>
      </c>
      <c r="J278" s="359">
        <f t="shared" ca="1" si="130"/>
        <v>119.55199206277048</v>
      </c>
      <c r="K278" s="360">
        <f t="shared" ca="1" si="131"/>
        <v>266.54775081693504</v>
      </c>
      <c r="L278" s="357">
        <f t="shared" ca="1" si="116"/>
        <v>292.13076228248138</v>
      </c>
      <c r="M278" s="359">
        <f t="shared" ca="1" si="132"/>
        <v>-0.95216565820919064</v>
      </c>
      <c r="N278" s="357">
        <f t="shared" ca="1" si="133"/>
        <v>-54.555073612682691</v>
      </c>
      <c r="O278" s="343"/>
      <c r="P278" s="363">
        <f t="shared" ca="1" si="134"/>
        <v>23</v>
      </c>
      <c r="Q278" s="357">
        <f t="shared" ca="1" si="135"/>
        <v>0</v>
      </c>
      <c r="R278" s="359">
        <f t="shared" ca="1" si="136"/>
        <v>0</v>
      </c>
      <c r="S278" s="360">
        <f t="shared" ca="1" si="137"/>
        <v>1.5629999999999982</v>
      </c>
      <c r="T278" s="357">
        <f t="shared" ca="1" si="117"/>
        <v>15.333029999999983</v>
      </c>
      <c r="U278" s="364">
        <f t="shared" ca="1" si="118"/>
        <v>0</v>
      </c>
      <c r="V278" s="359">
        <f t="shared" ca="1" si="119"/>
        <v>1.1927773443444425</v>
      </c>
      <c r="W278" s="357">
        <f t="shared" ca="1" si="120"/>
        <v>0.56271023677984611</v>
      </c>
      <c r="X278" s="343"/>
      <c r="Y278" s="367" t="str">
        <f t="shared" ca="1" si="138"/>
        <v/>
      </c>
      <c r="Z278" s="368" t="str">
        <f t="shared" ca="1" si="139"/>
        <v/>
      </c>
      <c r="AA278" s="369" t="str">
        <f t="shared" ca="1" si="140"/>
        <v/>
      </c>
      <c r="AB278" s="344"/>
      <c r="AC278" s="363" t="e">
        <f t="shared" ca="1" si="141"/>
        <v>#N/A</v>
      </c>
      <c r="AD278" s="376" t="e">
        <f t="shared" ca="1" si="142"/>
        <v>#N/A</v>
      </c>
      <c r="AE278" s="377" t="e">
        <f t="shared" ca="1" si="121"/>
        <v>#N/A</v>
      </c>
      <c r="AF278" s="344"/>
      <c r="AG278" s="359">
        <f t="shared" ca="1" si="143"/>
        <v>7.492899916295273</v>
      </c>
      <c r="AH278" s="357">
        <f t="shared" ca="1" si="144"/>
        <v>-0.33423836021004033</v>
      </c>
    </row>
    <row r="279" spans="1:34" x14ac:dyDescent="0.2">
      <c r="A279" s="402">
        <f t="shared" ca="1" si="122"/>
        <v>0.1</v>
      </c>
      <c r="B279" s="357">
        <f t="shared" ca="1" si="123"/>
        <v>9.499999999999984</v>
      </c>
      <c r="C279" s="342"/>
      <c r="D279" s="359">
        <f t="shared" ca="1" si="124"/>
        <v>-0.20878247160797919</v>
      </c>
      <c r="E279" s="360">
        <f t="shared" ca="1" si="125"/>
        <v>-9.516701843554225</v>
      </c>
      <c r="F279" s="357">
        <f t="shared" ca="1" si="126"/>
        <v>9.518991758561361</v>
      </c>
      <c r="G279" s="359">
        <f t="shared" ca="1" si="127"/>
        <v>12.053660888298486</v>
      </c>
      <c r="H279" s="360">
        <f t="shared" ca="1" si="128"/>
        <v>-17.914014010862921</v>
      </c>
      <c r="I279" s="357">
        <f t="shared" ca="1" si="129"/>
        <v>21.591726165165436</v>
      </c>
      <c r="J279" s="359">
        <f t="shared" ca="1" si="130"/>
        <v>120.75840206395837</v>
      </c>
      <c r="K279" s="360">
        <f t="shared" ca="1" si="131"/>
        <v>264.80393292506653</v>
      </c>
      <c r="L279" s="357">
        <f t="shared" ca="1" si="116"/>
        <v>291.03902583953197</v>
      </c>
      <c r="M279" s="359">
        <f t="shared" ca="1" si="132"/>
        <v>-0.97851684034462427</v>
      </c>
      <c r="N279" s="357">
        <f t="shared" ca="1" si="133"/>
        <v>-56.064885134223573</v>
      </c>
      <c r="O279" s="343"/>
      <c r="P279" s="363">
        <f t="shared" ca="1" si="134"/>
        <v>23</v>
      </c>
      <c r="Q279" s="357">
        <f t="shared" ca="1" si="135"/>
        <v>0</v>
      </c>
      <c r="R279" s="359">
        <f t="shared" ca="1" si="136"/>
        <v>0</v>
      </c>
      <c r="S279" s="360">
        <f t="shared" ca="1" si="137"/>
        <v>1.5629999999999982</v>
      </c>
      <c r="T279" s="357">
        <f t="shared" ca="1" si="117"/>
        <v>15.333029999999983</v>
      </c>
      <c r="U279" s="364">
        <f t="shared" ca="1" si="118"/>
        <v>0</v>
      </c>
      <c r="V279" s="359">
        <f t="shared" ca="1" si="119"/>
        <v>1.1929853978447662</v>
      </c>
      <c r="W279" s="357">
        <f t="shared" ca="1" si="120"/>
        <v>0.60524408821632669</v>
      </c>
      <c r="X279" s="343"/>
      <c r="Y279" s="367" t="str">
        <f t="shared" ca="1" si="138"/>
        <v/>
      </c>
      <c r="Z279" s="368" t="str">
        <f t="shared" ca="1" si="139"/>
        <v/>
      </c>
      <c r="AA279" s="369" t="str">
        <f t="shared" ca="1" si="140"/>
        <v/>
      </c>
      <c r="AB279" s="344"/>
      <c r="AC279" s="363" t="e">
        <f t="shared" ca="1" si="141"/>
        <v>#N/A</v>
      </c>
      <c r="AD279" s="376" t="e">
        <f t="shared" ca="1" si="142"/>
        <v>#N/A</v>
      </c>
      <c r="AE279" s="377" t="e">
        <f t="shared" ca="1" si="121"/>
        <v>#N/A</v>
      </c>
      <c r="AF279" s="344"/>
      <c r="AG279" s="359">
        <f t="shared" ca="1" si="143"/>
        <v>7.6319259539995548</v>
      </c>
      <c r="AH279" s="357">
        <f t="shared" ca="1" si="144"/>
        <v>-0.36001934534859037</v>
      </c>
    </row>
    <row r="280" spans="1:34" x14ac:dyDescent="0.2">
      <c r="A280" s="402">
        <f t="shared" ca="1" si="122"/>
        <v>0.1</v>
      </c>
      <c r="B280" s="357">
        <f t="shared" ca="1" si="123"/>
        <v>9.5999999999999837</v>
      </c>
      <c r="C280" s="342"/>
      <c r="D280" s="359">
        <f t="shared" ca="1" si="124"/>
        <v>-0.21617386303746713</v>
      </c>
      <c r="E280" s="360">
        <f t="shared" ca="1" si="125"/>
        <v>-9.4887248581885242</v>
      </c>
      <c r="F280" s="357">
        <f t="shared" ca="1" si="126"/>
        <v>9.4911869949688263</v>
      </c>
      <c r="G280" s="359">
        <f t="shared" ca="1" si="127"/>
        <v>12.032043501994739</v>
      </c>
      <c r="H280" s="360">
        <f t="shared" ca="1" si="128"/>
        <v>-18.862886496681774</v>
      </c>
      <c r="I280" s="357">
        <f t="shared" ca="1" si="129"/>
        <v>22.373612980933444</v>
      </c>
      <c r="J280" s="359">
        <f t="shared" ca="1" si="130"/>
        <v>121.96268728347303</v>
      </c>
      <c r="K280" s="360">
        <f t="shared" ca="1" si="131"/>
        <v>262.96508789968931</v>
      </c>
      <c r="L280" s="357">
        <f t="shared" ca="1" si="116"/>
        <v>289.87158284919474</v>
      </c>
      <c r="M280" s="359">
        <f t="shared" ca="1" si="132"/>
        <v>-1.0029966405073549</v>
      </c>
      <c r="N280" s="357">
        <f t="shared" ca="1" si="133"/>
        <v>-57.467474366871706</v>
      </c>
      <c r="O280" s="343"/>
      <c r="P280" s="363">
        <f t="shared" ca="1" si="134"/>
        <v>23</v>
      </c>
      <c r="Q280" s="357">
        <f t="shared" ca="1" si="135"/>
        <v>0</v>
      </c>
      <c r="R280" s="359">
        <f t="shared" ca="1" si="136"/>
        <v>0</v>
      </c>
      <c r="S280" s="360">
        <f t="shared" ca="1" si="137"/>
        <v>1.5629999999999982</v>
      </c>
      <c r="T280" s="357">
        <f t="shared" ca="1" si="117"/>
        <v>15.333029999999983</v>
      </c>
      <c r="U280" s="364">
        <f t="shared" ca="1" si="118"/>
        <v>0</v>
      </c>
      <c r="V280" s="359">
        <f t="shared" ca="1" si="119"/>
        <v>1.1932048277456209</v>
      </c>
      <c r="W280" s="357">
        <f t="shared" ca="1" si="120"/>
        <v>0.64999190119081751</v>
      </c>
      <c r="X280" s="343"/>
      <c r="Y280" s="367" t="str">
        <f t="shared" ca="1" si="138"/>
        <v/>
      </c>
      <c r="Z280" s="368" t="str">
        <f t="shared" ca="1" si="139"/>
        <v/>
      </c>
      <c r="AA280" s="369" t="str">
        <f t="shared" ca="1" si="140"/>
        <v/>
      </c>
      <c r="AB280" s="344"/>
      <c r="AC280" s="363" t="e">
        <f t="shared" ca="1" si="141"/>
        <v>#N/A</v>
      </c>
      <c r="AD280" s="376" t="e">
        <f t="shared" ca="1" si="142"/>
        <v>#N/A</v>
      </c>
      <c r="AE280" s="377" t="e">
        <f t="shared" ca="1" si="121"/>
        <v>#N/A</v>
      </c>
      <c r="AF280" s="344"/>
      <c r="AG280" s="359">
        <f t="shared" ca="1" si="143"/>
        <v>7.7518333799025818</v>
      </c>
      <c r="AH280" s="357">
        <f t="shared" ca="1" si="144"/>
        <v>-0.38723230212177057</v>
      </c>
    </row>
    <row r="281" spans="1:34" x14ac:dyDescent="0.2">
      <c r="A281" s="402">
        <f t="shared" ca="1" si="122"/>
        <v>0.1</v>
      </c>
      <c r="B281" s="357">
        <f t="shared" ca="1" si="123"/>
        <v>9.6999999999999833</v>
      </c>
      <c r="C281" s="342"/>
      <c r="D281" s="359">
        <f t="shared" ca="1" si="124"/>
        <v>-0.22364141915083302</v>
      </c>
      <c r="E281" s="360">
        <f t="shared" ca="1" si="125"/>
        <v>-9.4593926651196352</v>
      </c>
      <c r="F281" s="357">
        <f t="shared" ca="1" si="126"/>
        <v>9.4620359900646616</v>
      </c>
      <c r="G281" s="359">
        <f t="shared" ca="1" si="127"/>
        <v>12.009679360079655</v>
      </c>
      <c r="H281" s="360">
        <f t="shared" ca="1" si="128"/>
        <v>-19.808825763193738</v>
      </c>
      <c r="I281" s="357">
        <f t="shared" ca="1" si="129"/>
        <v>23.165102556399169</v>
      </c>
      <c r="J281" s="359">
        <f t="shared" ca="1" si="130"/>
        <v>123.16477342657674</v>
      </c>
      <c r="K281" s="360">
        <f t="shared" ca="1" si="131"/>
        <v>261.03150228669551</v>
      </c>
      <c r="L281" s="357">
        <f t="shared" ca="1" si="116"/>
        <v>288.62953175181002</v>
      </c>
      <c r="M281" s="359">
        <f t="shared" ca="1" si="132"/>
        <v>-1.0257725433026843</v>
      </c>
      <c r="N281" s="357">
        <f t="shared" ca="1" si="133"/>
        <v>-58.772437471644288</v>
      </c>
      <c r="O281" s="343"/>
      <c r="P281" s="363">
        <f t="shared" ca="1" si="134"/>
        <v>23</v>
      </c>
      <c r="Q281" s="357">
        <f t="shared" ca="1" si="135"/>
        <v>0</v>
      </c>
      <c r="R281" s="359">
        <f t="shared" ca="1" si="136"/>
        <v>0</v>
      </c>
      <c r="S281" s="360">
        <f t="shared" ca="1" si="137"/>
        <v>1.5629999999999982</v>
      </c>
      <c r="T281" s="357">
        <f t="shared" ca="1" si="117"/>
        <v>15.333029999999983</v>
      </c>
      <c r="U281" s="364">
        <f t="shared" ca="1" si="118"/>
        <v>0</v>
      </c>
      <c r="V281" s="359">
        <f t="shared" ca="1" si="119"/>
        <v>1.1934356060287341</v>
      </c>
      <c r="W281" s="357">
        <f t="shared" ca="1" si="120"/>
        <v>0.6969283737694425</v>
      </c>
      <c r="X281" s="343"/>
      <c r="Y281" s="367" t="str">
        <f t="shared" ca="1" si="138"/>
        <v/>
      </c>
      <c r="Z281" s="368" t="str">
        <f t="shared" ca="1" si="139"/>
        <v/>
      </c>
      <c r="AA281" s="369" t="str">
        <f t="shared" ca="1" si="140"/>
        <v/>
      </c>
      <c r="AB281" s="344"/>
      <c r="AC281" s="363" t="e">
        <f t="shared" ca="1" si="141"/>
        <v>#N/A</v>
      </c>
      <c r="AD281" s="376" t="e">
        <f t="shared" ca="1" si="142"/>
        <v>#N/A</v>
      </c>
      <c r="AE281" s="377" t="e">
        <f t="shared" ca="1" si="121"/>
        <v>#N/A</v>
      </c>
      <c r="AF281" s="344"/>
      <c r="AG281" s="359">
        <f t="shared" ca="1" si="143"/>
        <v>7.8548148229519024</v>
      </c>
      <c r="AH281" s="357">
        <f t="shared" ca="1" si="144"/>
        <v>-0.41586174100500212</v>
      </c>
    </row>
    <row r="282" spans="1:34" x14ac:dyDescent="0.2">
      <c r="A282" s="402">
        <f t="shared" ca="1" si="122"/>
        <v>0.1</v>
      </c>
      <c r="B282" s="357">
        <f t="shared" ca="1" si="123"/>
        <v>9.7999999999999829</v>
      </c>
      <c r="C282" s="342"/>
      <c r="D282" s="359">
        <f t="shared" ca="1" si="124"/>
        <v>-0.2311672749293672</v>
      </c>
      <c r="E282" s="360">
        <f t="shared" ca="1" si="125"/>
        <v>-9.4287115297641257</v>
      </c>
      <c r="F282" s="357">
        <f t="shared" ca="1" si="126"/>
        <v>9.4315449116518142</v>
      </c>
      <c r="G282" s="359">
        <f t="shared" ca="1" si="127"/>
        <v>11.986562632586718</v>
      </c>
      <c r="H282" s="360">
        <f t="shared" ca="1" si="128"/>
        <v>-20.75169691617015</v>
      </c>
      <c r="I282" s="357">
        <f t="shared" ca="1" si="129"/>
        <v>23.964778501907961</v>
      </c>
      <c r="J282" s="359">
        <f t="shared" ca="1" si="130"/>
        <v>124.36458552621006</v>
      </c>
      <c r="K282" s="360">
        <f t="shared" ca="1" si="131"/>
        <v>259.00347615272733</v>
      </c>
      <c r="L282" s="357">
        <f t="shared" ca="1" si="116"/>
        <v>287.31402818571604</v>
      </c>
      <c r="M282" s="359">
        <f t="shared" ca="1" si="132"/>
        <v>-1.0469964524958357</v>
      </c>
      <c r="N282" s="357">
        <f t="shared" ca="1" si="133"/>
        <v>-59.988477893180772</v>
      </c>
      <c r="O282" s="343"/>
      <c r="P282" s="363">
        <f t="shared" ca="1" si="134"/>
        <v>23</v>
      </c>
      <c r="Q282" s="357">
        <f t="shared" ca="1" si="135"/>
        <v>0</v>
      </c>
      <c r="R282" s="359">
        <f t="shared" ca="1" si="136"/>
        <v>0</v>
      </c>
      <c r="S282" s="360">
        <f t="shared" ca="1" si="137"/>
        <v>1.5629999999999982</v>
      </c>
      <c r="T282" s="357">
        <f t="shared" ca="1" si="117"/>
        <v>15.333029999999983</v>
      </c>
      <c r="U282" s="364">
        <f t="shared" ca="1" si="118"/>
        <v>0</v>
      </c>
      <c r="V282" s="359">
        <f t="shared" ca="1" si="119"/>
        <v>1.1936777033568737</v>
      </c>
      <c r="W282" s="357">
        <f t="shared" ca="1" si="120"/>
        <v>0.74602712985258257</v>
      </c>
      <c r="X282" s="343"/>
      <c r="Y282" s="367" t="str">
        <f t="shared" ca="1" si="138"/>
        <v/>
      </c>
      <c r="Z282" s="368" t="str">
        <f t="shared" ca="1" si="139"/>
        <v/>
      </c>
      <c r="AA282" s="369" t="str">
        <f t="shared" ca="1" si="140"/>
        <v/>
      </c>
      <c r="AB282" s="344"/>
      <c r="AC282" s="363" t="e">
        <f t="shared" ca="1" si="141"/>
        <v>#N/A</v>
      </c>
      <c r="AD282" s="376" t="e">
        <f t="shared" ca="1" si="142"/>
        <v>#N/A</v>
      </c>
      <c r="AE282" s="377" t="e">
        <f t="shared" ca="1" si="121"/>
        <v>#N/A</v>
      </c>
      <c r="AF282" s="344"/>
      <c r="AG282" s="359">
        <f t="shared" ca="1" si="143"/>
        <v>7.94278629097807</v>
      </c>
      <c r="AH282" s="357">
        <f t="shared" ca="1" si="144"/>
        <v>-0.44589147394078266</v>
      </c>
    </row>
    <row r="283" spans="1:34" x14ac:dyDescent="0.2">
      <c r="A283" s="402">
        <f t="shared" ca="1" si="122"/>
        <v>0.1</v>
      </c>
      <c r="B283" s="357">
        <f t="shared" ca="1" si="123"/>
        <v>9.8999999999999826</v>
      </c>
      <c r="C283" s="342"/>
      <c r="D283" s="359">
        <f t="shared" ca="1" si="124"/>
        <v>-0.23873543372943559</v>
      </c>
      <c r="E283" s="360">
        <f t="shared" ca="1" si="125"/>
        <v>-9.3966900698924931</v>
      </c>
      <c r="F283" s="357">
        <f t="shared" ca="1" si="126"/>
        <v>9.3997222765853117</v>
      </c>
      <c r="G283" s="359">
        <f t="shared" ca="1" si="127"/>
        <v>11.962689089213775</v>
      </c>
      <c r="H283" s="360">
        <f t="shared" ca="1" si="128"/>
        <v>-21.691365923159399</v>
      </c>
      <c r="I283" s="357">
        <f t="shared" ca="1" si="129"/>
        <v>24.771380378525439</v>
      </c>
      <c r="J283" s="359">
        <f t="shared" ca="1" si="130"/>
        <v>125.56204811230009</v>
      </c>
      <c r="K283" s="360">
        <f t="shared" ca="1" si="131"/>
        <v>256.88132301076087</v>
      </c>
      <c r="L283" s="357">
        <f t="shared" ca="1" si="116"/>
        <v>285.92628776996776</v>
      </c>
      <c r="M283" s="359">
        <f t="shared" ca="1" si="132"/>
        <v>-1.0668057211807298</v>
      </c>
      <c r="N283" s="357">
        <f t="shared" ca="1" si="133"/>
        <v>-61.123465384065874</v>
      </c>
      <c r="O283" s="343"/>
      <c r="P283" s="363">
        <f t="shared" ca="1" si="134"/>
        <v>23</v>
      </c>
      <c r="Q283" s="357">
        <f t="shared" ca="1" si="135"/>
        <v>0</v>
      </c>
      <c r="R283" s="359">
        <f t="shared" ca="1" si="136"/>
        <v>0</v>
      </c>
      <c r="S283" s="360">
        <f t="shared" ca="1" si="137"/>
        <v>1.5629999999999982</v>
      </c>
      <c r="T283" s="357">
        <f t="shared" ca="1" si="117"/>
        <v>15.333029999999983</v>
      </c>
      <c r="U283" s="364">
        <f t="shared" ca="1" si="118"/>
        <v>0</v>
      </c>
      <c r="V283" s="359">
        <f t="shared" ca="1" si="119"/>
        <v>1.1939310890782855</v>
      </c>
      <c r="W283" s="357">
        <f t="shared" ca="1" si="120"/>
        <v>0.79726073977251422</v>
      </c>
      <c r="X283" s="343"/>
      <c r="Y283" s="367" t="str">
        <f t="shared" ca="1" si="138"/>
        <v/>
      </c>
      <c r="Z283" s="368" t="str">
        <f t="shared" ca="1" si="139"/>
        <v/>
      </c>
      <c r="AA283" s="369" t="str">
        <f t="shared" ca="1" si="140"/>
        <v/>
      </c>
      <c r="AB283" s="344"/>
      <c r="AC283" s="363" t="e">
        <f t="shared" ca="1" si="141"/>
        <v>#N/A</v>
      </c>
      <c r="AD283" s="376" t="e">
        <f t="shared" ca="1" si="142"/>
        <v>#N/A</v>
      </c>
      <c r="AE283" s="377" t="e">
        <f t="shared" ca="1" si="121"/>
        <v>#N/A</v>
      </c>
      <c r="AF283" s="344"/>
      <c r="AG283" s="359">
        <f t="shared" ca="1" si="143"/>
        <v>8.017418024593141</v>
      </c>
      <c r="AH283" s="357">
        <f t="shared" ca="1" si="144"/>
        <v>-0.47730462562545328</v>
      </c>
    </row>
    <row r="284" spans="1:34" x14ac:dyDescent="0.2">
      <c r="A284" s="402">
        <f t="shared" ca="1" si="122"/>
        <v>0.1</v>
      </c>
      <c r="B284" s="357">
        <f t="shared" ca="1" si="123"/>
        <v>9.9999999999999822</v>
      </c>
      <c r="C284" s="342"/>
      <c r="D284" s="359">
        <f t="shared" ca="1" si="124"/>
        <v>-0.24633153185538378</v>
      </c>
      <c r="E284" s="360">
        <f t="shared" ca="1" si="125"/>
        <v>-9.3633389394274822</v>
      </c>
      <c r="F284" s="357">
        <f t="shared" ca="1" si="126"/>
        <v>9.3665786346021349</v>
      </c>
      <c r="G284" s="359">
        <f t="shared" ca="1" si="127"/>
        <v>11.938055936028237</v>
      </c>
      <c r="H284" s="360">
        <f t="shared" ca="1" si="128"/>
        <v>-22.627699817102148</v>
      </c>
      <c r="I284" s="357">
        <f t="shared" ca="1" si="129"/>
        <v>25.583783507226283</v>
      </c>
      <c r="J284" s="359">
        <f t="shared" ca="1" si="130"/>
        <v>126.7570853635622</v>
      </c>
      <c r="K284" s="360">
        <f t="shared" ca="1" si="131"/>
        <v>254.6653697237478</v>
      </c>
      <c r="L284" s="357">
        <f t="shared" ca="1" si="116"/>
        <v>284.46758906138774</v>
      </c>
      <c r="M284" s="359">
        <f t="shared" ca="1" si="132"/>
        <v>-1.0853243005100683</v>
      </c>
      <c r="N284" s="357">
        <f t="shared" ca="1" si="133"/>
        <v>-62.184501822215175</v>
      </c>
      <c r="O284" s="343"/>
      <c r="P284" s="363">
        <f t="shared" ca="1" si="134"/>
        <v>23</v>
      </c>
      <c r="Q284" s="357">
        <f t="shared" ca="1" si="135"/>
        <v>0</v>
      </c>
      <c r="R284" s="359">
        <f t="shared" ca="1" si="136"/>
        <v>0</v>
      </c>
      <c r="S284" s="360">
        <f t="shared" ca="1" si="137"/>
        <v>1.5629999999999982</v>
      </c>
      <c r="T284" s="357">
        <f t="shared" ca="1" si="117"/>
        <v>15.333029999999983</v>
      </c>
      <c r="U284" s="364">
        <f t="shared" ca="1" si="118"/>
        <v>0</v>
      </c>
      <c r="V284" s="359">
        <f t="shared" ca="1" si="119"/>
        <v>1.1941957312335645</v>
      </c>
      <c r="W284" s="357">
        <f t="shared" ca="1" si="120"/>
        <v>0.85060074346194359</v>
      </c>
      <c r="X284" s="343"/>
      <c r="Y284" s="367" t="str">
        <f t="shared" ca="1" si="138"/>
        <v/>
      </c>
      <c r="Z284" s="368" t="str">
        <f t="shared" ca="1" si="139"/>
        <v/>
      </c>
      <c r="AA284" s="369" t="str">
        <f t="shared" ca="1" si="140"/>
        <v/>
      </c>
      <c r="AB284" s="344"/>
      <c r="AC284" s="363">
        <f t="shared" ca="1" si="141"/>
        <v>9.9999999999999822</v>
      </c>
      <c r="AD284" s="376">
        <f t="shared" ca="1" si="142"/>
        <v>126.7570853635622</v>
      </c>
      <c r="AE284" s="377" t="e">
        <f t="shared" ca="1" si="121"/>
        <v>#N/A</v>
      </c>
      <c r="AF284" s="344"/>
      <c r="AG284" s="359">
        <f t="shared" ca="1" si="143"/>
        <v>8.0801643110188159</v>
      </c>
      <c r="AH284" s="357">
        <f t="shared" ca="1" si="144"/>
        <v>-0.51008364668746975</v>
      </c>
    </row>
    <row r="285" spans="1:34" x14ac:dyDescent="0.2">
      <c r="A285" s="402">
        <f t="shared" ca="1" si="122"/>
        <v>0.1</v>
      </c>
      <c r="B285" s="357">
        <f t="shared" ca="1" si="123"/>
        <v>10.099999999999982</v>
      </c>
      <c r="C285" s="342"/>
      <c r="D285" s="359">
        <f t="shared" ca="1" si="124"/>
        <v>-0.25394263287475999</v>
      </c>
      <c r="E285" s="360">
        <f t="shared" ca="1" si="125"/>
        <v>-9.3286705692915053</v>
      </c>
      <c r="F285" s="357">
        <f t="shared" ca="1" si="126"/>
        <v>9.332126309215754</v>
      </c>
      <c r="G285" s="359">
        <f t="shared" ca="1" si="127"/>
        <v>11.912661672740761</v>
      </c>
      <c r="H285" s="360">
        <f t="shared" ca="1" si="128"/>
        <v>-23.560566874031299</v>
      </c>
      <c r="I285" s="357">
        <f t="shared" ca="1" si="129"/>
        <v>26.400981412721908</v>
      </c>
      <c r="J285" s="359">
        <f t="shared" ca="1" si="130"/>
        <v>127.94962124400065</v>
      </c>
      <c r="K285" s="360">
        <f t="shared" ca="1" si="131"/>
        <v>252.35595638919114</v>
      </c>
      <c r="L285" s="357">
        <f t="shared" ca="1" si="116"/>
        <v>282.93927670365343</v>
      </c>
      <c r="M285" s="359">
        <f t="shared" ca="1" si="132"/>
        <v>-1.102663918968132</v>
      </c>
      <c r="N285" s="357">
        <f t="shared" ca="1" si="133"/>
        <v>-63.177988778229363</v>
      </c>
      <c r="O285" s="343"/>
      <c r="P285" s="363">
        <f t="shared" ca="1" si="134"/>
        <v>23</v>
      </c>
      <c r="Q285" s="357">
        <f t="shared" ca="1" si="135"/>
        <v>0</v>
      </c>
      <c r="R285" s="359">
        <f t="shared" ca="1" si="136"/>
        <v>0</v>
      </c>
      <c r="S285" s="360">
        <f t="shared" ca="1" si="137"/>
        <v>1.5629999999999982</v>
      </c>
      <c r="T285" s="357">
        <f t="shared" ca="1" si="117"/>
        <v>15.333029999999983</v>
      </c>
      <c r="U285" s="364">
        <f t="shared" ca="1" si="118"/>
        <v>0</v>
      </c>
      <c r="V285" s="359">
        <f t="shared" ca="1" si="119"/>
        <v>1.1944715965646227</v>
      </c>
      <c r="W285" s="357">
        <f t="shared" ca="1" si="120"/>
        <v>0.90601767587027648</v>
      </c>
      <c r="X285" s="343"/>
      <c r="Y285" s="367" t="str">
        <f t="shared" ca="1" si="138"/>
        <v/>
      </c>
      <c r="Z285" s="368" t="str">
        <f t="shared" ca="1" si="139"/>
        <v/>
      </c>
      <c r="AA285" s="369" t="str">
        <f t="shared" ca="1" si="140"/>
        <v/>
      </c>
      <c r="AB285" s="344"/>
      <c r="AC285" s="363" t="e">
        <f t="shared" ca="1" si="141"/>
        <v>#N/A</v>
      </c>
      <c r="AD285" s="376" t="e">
        <f t="shared" ca="1" si="142"/>
        <v>#N/A</v>
      </c>
      <c r="AE285" s="377" t="e">
        <f t="shared" ca="1" si="121"/>
        <v>#N/A</v>
      </c>
      <c r="AF285" s="344"/>
      <c r="AG285" s="359">
        <f t="shared" ca="1" si="143"/>
        <v>8.1322911413785288</v>
      </c>
      <c r="AH285" s="357">
        <f t="shared" ca="1" si="144"/>
        <v>-0.5442103285105212</v>
      </c>
    </row>
    <row r="286" spans="1:34" x14ac:dyDescent="0.2">
      <c r="A286" s="402">
        <f t="shared" ca="1" si="122"/>
        <v>0.1</v>
      </c>
      <c r="B286" s="357">
        <f t="shared" ca="1" si="123"/>
        <v>10.199999999999982</v>
      </c>
      <c r="C286" s="342"/>
      <c r="D286" s="359">
        <f t="shared" ca="1" si="124"/>
        <v>-0.26155704907111293</v>
      </c>
      <c r="E286" s="360">
        <f t="shared" ca="1" si="125"/>
        <v>-9.2926989538269638</v>
      </c>
      <c r="F286" s="357">
        <f t="shared" ca="1" si="126"/>
        <v>9.2963791841972299</v>
      </c>
      <c r="G286" s="359">
        <f t="shared" ca="1" si="127"/>
        <v>11.886505967833649</v>
      </c>
      <c r="H286" s="360">
        <f t="shared" ca="1" si="128"/>
        <v>-24.489836769413994</v>
      </c>
      <c r="I286" s="357">
        <f t="shared" ca="1" si="129"/>
        <v>27.222070625062425</v>
      </c>
      <c r="J286" s="359">
        <f t="shared" ca="1" si="130"/>
        <v>129.13957962602939</v>
      </c>
      <c r="K286" s="360">
        <f t="shared" ca="1" si="131"/>
        <v>249.95343620701888</v>
      </c>
      <c r="L286" s="357">
        <f t="shared" ca="1" si="116"/>
        <v>281.34276478645018</v>
      </c>
      <c r="M286" s="359">
        <f t="shared" ca="1" si="132"/>
        <v>-1.1189252364009836</v>
      </c>
      <c r="N286" s="357">
        <f t="shared" ca="1" si="133"/>
        <v>-64.109693636454267</v>
      </c>
      <c r="O286" s="343"/>
      <c r="P286" s="363">
        <f t="shared" ca="1" si="134"/>
        <v>23</v>
      </c>
      <c r="Q286" s="357">
        <f t="shared" ca="1" si="135"/>
        <v>0</v>
      </c>
      <c r="R286" s="359">
        <f t="shared" ca="1" si="136"/>
        <v>0</v>
      </c>
      <c r="S286" s="360">
        <f t="shared" ca="1" si="137"/>
        <v>1.5629999999999982</v>
      </c>
      <c r="T286" s="357">
        <f t="shared" ca="1" si="117"/>
        <v>15.333029999999983</v>
      </c>
      <c r="U286" s="364">
        <f t="shared" ca="1" si="118"/>
        <v>0</v>
      </c>
      <c r="V286" s="359">
        <f t="shared" ca="1" si="119"/>
        <v>1.194758650525475</v>
      </c>
      <c r="W286" s="357">
        <f t="shared" ca="1" si="120"/>
        <v>0.96348109435429241</v>
      </c>
      <c r="X286" s="343"/>
      <c r="Y286" s="367" t="str">
        <f t="shared" ca="1" si="138"/>
        <v/>
      </c>
      <c r="Z286" s="368" t="str">
        <f t="shared" ca="1" si="139"/>
        <v/>
      </c>
      <c r="AA286" s="369" t="str">
        <f t="shared" ca="1" si="140"/>
        <v/>
      </c>
      <c r="AB286" s="344"/>
      <c r="AC286" s="363" t="e">
        <f t="shared" ca="1" si="141"/>
        <v>#N/A</v>
      </c>
      <c r="AD286" s="376" t="e">
        <f t="shared" ca="1" si="142"/>
        <v>#N/A</v>
      </c>
      <c r="AE286" s="377" t="e">
        <f t="shared" ca="1" si="121"/>
        <v>#N/A</v>
      </c>
      <c r="AF286" s="344"/>
      <c r="AG286" s="359">
        <f t="shared" ca="1" si="143"/>
        <v>8.1749011953084398</v>
      </c>
      <c r="AH286" s="357">
        <f t="shared" ca="1" si="144"/>
        <v>-0.57966581949473928</v>
      </c>
    </row>
    <row r="287" spans="1:34" x14ac:dyDescent="0.2">
      <c r="A287" s="402">
        <f t="shared" ca="1" si="122"/>
        <v>0.1</v>
      </c>
      <c r="B287" s="357">
        <f t="shared" ca="1" si="123"/>
        <v>10.299999999999981</v>
      </c>
      <c r="C287" s="342"/>
      <c r="D287" s="359">
        <f t="shared" ca="1" si="124"/>
        <v>-0.2691641871302079</v>
      </c>
      <c r="E287" s="360">
        <f t="shared" ca="1" si="125"/>
        <v>-9.2554394735653212</v>
      </c>
      <c r="F287" s="357">
        <f t="shared" ca="1" si="126"/>
        <v>9.2593525264169845</v>
      </c>
      <c r="G287" s="359">
        <f t="shared" ca="1" si="127"/>
        <v>11.859589549120628</v>
      </c>
      <c r="H287" s="360">
        <f t="shared" ca="1" si="128"/>
        <v>-25.415380716770528</v>
      </c>
      <c r="I287" s="357">
        <f t="shared" ca="1" si="129"/>
        <v>28.046237559644297</v>
      </c>
      <c r="J287" s="359">
        <f t="shared" ca="1" si="130"/>
        <v>130.32688440187709</v>
      </c>
      <c r="K287" s="360">
        <f t="shared" ca="1" si="131"/>
        <v>247.45817533270966</v>
      </c>
      <c r="L287" s="357">
        <f t="shared" ca="1" si="116"/>
        <v>279.67954043314342</v>
      </c>
      <c r="M287" s="359">
        <f t="shared" ca="1" si="132"/>
        <v>-1.1341989393991478</v>
      </c>
      <c r="N287" s="357">
        <f t="shared" ca="1" si="133"/>
        <v>-64.984812355785394</v>
      </c>
      <c r="O287" s="343"/>
      <c r="P287" s="363">
        <f t="shared" ca="1" si="134"/>
        <v>23</v>
      </c>
      <c r="Q287" s="357">
        <f t="shared" ca="1" si="135"/>
        <v>0</v>
      </c>
      <c r="R287" s="359">
        <f t="shared" ca="1" si="136"/>
        <v>0</v>
      </c>
      <c r="S287" s="360">
        <f t="shared" ca="1" si="137"/>
        <v>1.5629999999999982</v>
      </c>
      <c r="T287" s="357">
        <f t="shared" ca="1" si="117"/>
        <v>15.333029999999983</v>
      </c>
      <c r="U287" s="364">
        <f t="shared" ca="1" si="118"/>
        <v>0</v>
      </c>
      <c r="V287" s="359">
        <f t="shared" ca="1" si="119"/>
        <v>1.195056857294623</v>
      </c>
      <c r="W287" s="357">
        <f t="shared" ca="1" si="120"/>
        <v>1.0229596078095908</v>
      </c>
      <c r="X287" s="343"/>
      <c r="Y287" s="367" t="str">
        <f t="shared" ca="1" si="138"/>
        <v/>
      </c>
      <c r="Z287" s="368" t="str">
        <f t="shared" ca="1" si="139"/>
        <v/>
      </c>
      <c r="AA287" s="369" t="str">
        <f t="shared" ca="1" si="140"/>
        <v/>
      </c>
      <c r="AB287" s="344"/>
      <c r="AC287" s="363" t="e">
        <f t="shared" ca="1" si="141"/>
        <v>#N/A</v>
      </c>
      <c r="AD287" s="376" t="e">
        <f t="shared" ca="1" si="142"/>
        <v>#N/A</v>
      </c>
      <c r="AE287" s="377" t="e">
        <f t="shared" ca="1" si="121"/>
        <v>#N/A</v>
      </c>
      <c r="AF287" s="344"/>
      <c r="AG287" s="359">
        <f t="shared" ca="1" si="143"/>
        <v>8.2089560084536348</v>
      </c>
      <c r="AH287" s="357">
        <f t="shared" ca="1" si="144"/>
        <v>-0.6164306425811219</v>
      </c>
    </row>
    <row r="288" spans="1:34" x14ac:dyDescent="0.2">
      <c r="A288" s="402">
        <f t="shared" ca="1" si="122"/>
        <v>0.1</v>
      </c>
      <c r="B288" s="357">
        <f t="shared" ca="1" si="123"/>
        <v>10.399999999999981</v>
      </c>
      <c r="C288" s="342"/>
      <c r="D288" s="359">
        <f t="shared" ca="1" si="124"/>
        <v>-0.27675441514743643</v>
      </c>
      <c r="E288" s="360">
        <f t="shared" ca="1" si="125"/>
        <v>-9.2169087469776052</v>
      </c>
      <c r="F288" s="357">
        <f t="shared" ca="1" si="126"/>
        <v>9.221062837678522</v>
      </c>
      <c r="G288" s="359">
        <f t="shared" ca="1" si="127"/>
        <v>11.831914107605884</v>
      </c>
      <c r="H288" s="360">
        <f t="shared" ca="1" si="128"/>
        <v>-26.337071591468288</v>
      </c>
      <c r="I288" s="357">
        <f t="shared" ca="1" si="129"/>
        <v>28.872747210196142</v>
      </c>
      <c r="J288" s="359">
        <f t="shared" ca="1" si="130"/>
        <v>131.51145958471341</v>
      </c>
      <c r="K288" s="360">
        <f t="shared" ca="1" si="131"/>
        <v>244.87055271729773</v>
      </c>
      <c r="L288" s="357">
        <f t="shared" ca="1" si="116"/>
        <v>277.95116763592949</v>
      </c>
      <c r="M288" s="359">
        <f t="shared" ca="1" si="132"/>
        <v>-1.1485667598317912</v>
      </c>
      <c r="N288" s="357">
        <f t="shared" ca="1" si="133"/>
        <v>-65.808027827377686</v>
      </c>
      <c r="O288" s="343"/>
      <c r="P288" s="363">
        <f t="shared" ca="1" si="134"/>
        <v>23</v>
      </c>
      <c r="Q288" s="357">
        <f t="shared" ca="1" si="135"/>
        <v>0</v>
      </c>
      <c r="R288" s="359">
        <f t="shared" ca="1" si="136"/>
        <v>0</v>
      </c>
      <c r="S288" s="360">
        <f t="shared" ca="1" si="137"/>
        <v>1.5629999999999982</v>
      </c>
      <c r="T288" s="357">
        <f t="shared" ca="1" si="117"/>
        <v>15.333029999999983</v>
      </c>
      <c r="U288" s="364">
        <f t="shared" ca="1" si="118"/>
        <v>0</v>
      </c>
      <c r="V288" s="359">
        <f t="shared" ca="1" si="119"/>
        <v>1.1953661797888429</v>
      </c>
      <c r="W288" s="357">
        <f t="shared" ca="1" si="120"/>
        <v>1.084420907340798</v>
      </c>
      <c r="X288" s="343"/>
      <c r="Y288" s="367" t="str">
        <f t="shared" ca="1" si="138"/>
        <v/>
      </c>
      <c r="Z288" s="368" t="str">
        <f t="shared" ca="1" si="139"/>
        <v/>
      </c>
      <c r="AA288" s="369" t="str">
        <f t="shared" ca="1" si="140"/>
        <v/>
      </c>
      <c r="AB288" s="344"/>
      <c r="AC288" s="363" t="e">
        <f t="shared" ca="1" si="141"/>
        <v>#N/A</v>
      </c>
      <c r="AD288" s="376" t="e">
        <f t="shared" ca="1" si="142"/>
        <v>#N/A</v>
      </c>
      <c r="AE288" s="377" t="e">
        <f t="shared" ca="1" si="121"/>
        <v>#N/A</v>
      </c>
      <c r="AF288" s="344"/>
      <c r="AG288" s="359">
        <f t="shared" ca="1" si="143"/>
        <v>8.2352953965901587</v>
      </c>
      <c r="AH288" s="357">
        <f t="shared" ca="1" si="144"/>
        <v>-0.6544847138896942</v>
      </c>
    </row>
    <row r="289" spans="1:34" x14ac:dyDescent="0.2">
      <c r="A289" s="402">
        <f t="shared" ca="1" si="122"/>
        <v>0.1</v>
      </c>
      <c r="B289" s="357">
        <f t="shared" ca="1" si="123"/>
        <v>10.49999999999998</v>
      </c>
      <c r="C289" s="342"/>
      <c r="D289" s="359">
        <f t="shared" ca="1" si="124"/>
        <v>-0.2843189482003326</v>
      </c>
      <c r="E289" s="360">
        <f t="shared" ca="1" si="125"/>
        <v>-9.1771245053452901</v>
      </c>
      <c r="F289" s="357">
        <f t="shared" ca="1" si="126"/>
        <v>9.1815277296817435</v>
      </c>
      <c r="G289" s="359">
        <f t="shared" ca="1" si="127"/>
        <v>11.803482212785852</v>
      </c>
      <c r="H289" s="360">
        <f t="shared" ca="1" si="128"/>
        <v>-27.254784042002818</v>
      </c>
      <c r="I289" s="357">
        <f t="shared" ca="1" si="129"/>
        <v>29.700933411658351</v>
      </c>
      <c r="J289" s="359">
        <f t="shared" ca="1" si="130"/>
        <v>132.693229400733</v>
      </c>
      <c r="K289" s="360">
        <f t="shared" ca="1" si="131"/>
        <v>242.19095993562416</v>
      </c>
      <c r="L289" s="357">
        <f t="shared" ca="1" si="116"/>
        <v>276.15929135796728</v>
      </c>
      <c r="M289" s="359">
        <f t="shared" ca="1" si="132"/>
        <v>-1.1621024084167491</v>
      </c>
      <c r="N289" s="357">
        <f t="shared" ca="1" si="133"/>
        <v>-66.583563364268002</v>
      </c>
      <c r="O289" s="343"/>
      <c r="P289" s="363">
        <f t="shared" ca="1" si="134"/>
        <v>23</v>
      </c>
      <c r="Q289" s="357">
        <f t="shared" ca="1" si="135"/>
        <v>0</v>
      </c>
      <c r="R289" s="359">
        <f t="shared" ca="1" si="136"/>
        <v>0</v>
      </c>
      <c r="S289" s="360">
        <f t="shared" ca="1" si="137"/>
        <v>1.5629999999999982</v>
      </c>
      <c r="T289" s="357">
        <f t="shared" ca="1" si="117"/>
        <v>15.333029999999983</v>
      </c>
      <c r="U289" s="364">
        <f t="shared" ca="1" si="118"/>
        <v>0</v>
      </c>
      <c r="V289" s="359">
        <f t="shared" ca="1" si="119"/>
        <v>1.1956865796782223</v>
      </c>
      <c r="W289" s="357">
        <f t="shared" ca="1" si="120"/>
        <v>1.1478317982937682</v>
      </c>
      <c r="X289" s="343"/>
      <c r="Y289" s="367" t="str">
        <f t="shared" ca="1" si="138"/>
        <v/>
      </c>
      <c r="Z289" s="368" t="str">
        <f t="shared" ca="1" si="139"/>
        <v/>
      </c>
      <c r="AA289" s="369" t="str">
        <f t="shared" ca="1" si="140"/>
        <v/>
      </c>
      <c r="AB289" s="344"/>
      <c r="AC289" s="363" t="e">
        <f t="shared" ca="1" si="141"/>
        <v>#N/A</v>
      </c>
      <c r="AD289" s="376" t="e">
        <f t="shared" ca="1" si="142"/>
        <v>#N/A</v>
      </c>
      <c r="AE289" s="377" t="e">
        <f t="shared" ca="1" si="121"/>
        <v>#N/A</v>
      </c>
      <c r="AF289" s="344"/>
      <c r="AG289" s="359">
        <f t="shared" ca="1" si="143"/>
        <v>8.2546543282400258</v>
      </c>
      <c r="AH289" s="357">
        <f t="shared" ca="1" si="144"/>
        <v>-0.693807362342162</v>
      </c>
    </row>
    <row r="290" spans="1:34" x14ac:dyDescent="0.2">
      <c r="A290" s="402">
        <f t="shared" ca="1" si="122"/>
        <v>0.1</v>
      </c>
      <c r="B290" s="357">
        <f t="shared" ca="1" si="123"/>
        <v>10.59999999999998</v>
      </c>
      <c r="C290" s="342"/>
      <c r="D290" s="359">
        <f t="shared" ca="1" si="124"/>
        <v>-0.29184974996901025</v>
      </c>
      <c r="E290" s="360">
        <f t="shared" ca="1" si="125"/>
        <v>-9.1361054860995541</v>
      </c>
      <c r="F290" s="357">
        <f t="shared" ca="1" si="126"/>
        <v>9.1407658174627446</v>
      </c>
      <c r="G290" s="359">
        <f t="shared" ca="1" si="127"/>
        <v>11.77429723778895</v>
      </c>
      <c r="H290" s="360">
        <f t="shared" ca="1" si="128"/>
        <v>-28.168394590612774</v>
      </c>
      <c r="I290" s="357">
        <f t="shared" ca="1" si="129"/>
        <v>30.53019045561733</v>
      </c>
      <c r="J290" s="359">
        <f t="shared" ca="1" si="130"/>
        <v>133.87211837326174</v>
      </c>
      <c r="K290" s="360">
        <f t="shared" ca="1" si="131"/>
        <v>239.41980100399337</v>
      </c>
      <c r="L290" s="357">
        <f t="shared" ca="1" si="116"/>
        <v>274.30564192253939</v>
      </c>
      <c r="M290" s="359">
        <f t="shared" ca="1" si="132"/>
        <v>-1.17487242170909</v>
      </c>
      <c r="N290" s="357">
        <f t="shared" ca="1" si="133"/>
        <v>-67.315231230245089</v>
      </c>
      <c r="O290" s="343"/>
      <c r="P290" s="363">
        <f t="shared" ca="1" si="134"/>
        <v>23</v>
      </c>
      <c r="Q290" s="357">
        <f t="shared" ca="1" si="135"/>
        <v>0</v>
      </c>
      <c r="R290" s="359">
        <f t="shared" ca="1" si="136"/>
        <v>0</v>
      </c>
      <c r="S290" s="360">
        <f t="shared" ca="1" si="137"/>
        <v>1.5629999999999982</v>
      </c>
      <c r="T290" s="357">
        <f t="shared" ca="1" si="117"/>
        <v>15.333029999999983</v>
      </c>
      <c r="U290" s="364">
        <f t="shared" ca="1" si="118"/>
        <v>0</v>
      </c>
      <c r="V290" s="359">
        <f t="shared" ca="1" si="119"/>
        <v>1.1960180174023227</v>
      </c>
      <c r="W290" s="357">
        <f t="shared" ca="1" si="120"/>
        <v>1.2131582334931843</v>
      </c>
      <c r="X290" s="343"/>
      <c r="Y290" s="367" t="str">
        <f t="shared" ca="1" si="138"/>
        <v/>
      </c>
      <c r="Z290" s="368" t="str">
        <f t="shared" ca="1" si="139"/>
        <v/>
      </c>
      <c r="AA290" s="369" t="str">
        <f t="shared" ca="1" si="140"/>
        <v/>
      </c>
      <c r="AB290" s="344"/>
      <c r="AC290" s="363" t="e">
        <f t="shared" ca="1" si="141"/>
        <v>#N/A</v>
      </c>
      <c r="AD290" s="376" t="e">
        <f t="shared" ca="1" si="142"/>
        <v>#N/A</v>
      </c>
      <c r="AE290" s="377" t="e">
        <f t="shared" ca="1" si="121"/>
        <v>#N/A</v>
      </c>
      <c r="AF290" s="344"/>
      <c r="AG290" s="359">
        <f t="shared" ca="1" si="143"/>
        <v>8.2676774925749577</v>
      </c>
      <c r="AH290" s="357">
        <f t="shared" ca="1" si="144"/>
        <v>-0.73437735015596262</v>
      </c>
    </row>
    <row r="291" spans="1:34" x14ac:dyDescent="0.2">
      <c r="A291" s="402">
        <f t="shared" ca="1" si="122"/>
        <v>0.1</v>
      </c>
      <c r="B291" s="357">
        <f t="shared" ca="1" si="123"/>
        <v>10.69999999999998</v>
      </c>
      <c r="C291" s="342"/>
      <c r="D291" s="359">
        <f t="shared" ca="1" si="124"/>
        <v>-0.29933944815856628</v>
      </c>
      <c r="E291" s="360">
        <f t="shared" ca="1" si="125"/>
        <v>-9.0938713409404155</v>
      </c>
      <c r="F291" s="357">
        <f t="shared" ca="1" si="126"/>
        <v>9.098796627620672</v>
      </c>
      <c r="G291" s="359">
        <f t="shared" ca="1" si="127"/>
        <v>11.744363292973093</v>
      </c>
      <c r="H291" s="360">
        <f t="shared" ca="1" si="128"/>
        <v>-29.077781724706817</v>
      </c>
      <c r="I291" s="357">
        <f t="shared" ca="1" si="129"/>
        <v>31.359965867121531</v>
      </c>
      <c r="J291" s="359">
        <f t="shared" ca="1" si="130"/>
        <v>135.04805139979985</v>
      </c>
      <c r="K291" s="360">
        <f t="shared" ca="1" si="131"/>
        <v>236.5574921882274</v>
      </c>
      <c r="L291" s="357">
        <f t="shared" ca="1" si="116"/>
        <v>272.39203970980179</v>
      </c>
      <c r="M291" s="359">
        <f t="shared" ca="1" si="132"/>
        <v>-1.1869369249160329</v>
      </c>
      <c r="N291" s="357">
        <f t="shared" ca="1" si="133"/>
        <v>-68.006476345924966</v>
      </c>
      <c r="O291" s="343"/>
      <c r="P291" s="363">
        <f t="shared" ca="1" si="134"/>
        <v>23</v>
      </c>
      <c r="Q291" s="357">
        <f t="shared" ca="1" si="135"/>
        <v>0</v>
      </c>
      <c r="R291" s="359">
        <f t="shared" ca="1" si="136"/>
        <v>0</v>
      </c>
      <c r="S291" s="360">
        <f t="shared" ca="1" si="137"/>
        <v>1.5629999999999982</v>
      </c>
      <c r="T291" s="357">
        <f t="shared" ca="1" si="117"/>
        <v>15.333029999999983</v>
      </c>
      <c r="U291" s="364">
        <f t="shared" ca="1" si="118"/>
        <v>0</v>
      </c>
      <c r="V291" s="359">
        <f t="shared" ca="1" si="119"/>
        <v>1.1963604521873406</v>
      </c>
      <c r="W291" s="357">
        <f t="shared" ca="1" si="120"/>
        <v>1.2803653475451451</v>
      </c>
      <c r="X291" s="343"/>
      <c r="Y291" s="367" t="str">
        <f t="shared" ca="1" si="138"/>
        <v/>
      </c>
      <c r="Z291" s="368" t="str">
        <f t="shared" ca="1" si="139"/>
        <v/>
      </c>
      <c r="AA291" s="369" t="str">
        <f t="shared" ca="1" si="140"/>
        <v/>
      </c>
      <c r="AB291" s="344"/>
      <c r="AC291" s="363" t="e">
        <f t="shared" ca="1" si="141"/>
        <v>#N/A</v>
      </c>
      <c r="AD291" s="376" t="e">
        <f t="shared" ca="1" si="142"/>
        <v>#N/A</v>
      </c>
      <c r="AE291" s="377" t="e">
        <f t="shared" ca="1" si="121"/>
        <v>#N/A</v>
      </c>
      <c r="AF291" s="344"/>
      <c r="AG291" s="359">
        <f t="shared" ca="1" si="143"/>
        <v>8.2749318258437814</v>
      </c>
      <c r="AH291" s="357">
        <f t="shared" ca="1" si="144"/>
        <v>-0.77617289410952384</v>
      </c>
    </row>
    <row r="292" spans="1:34" x14ac:dyDescent="0.2">
      <c r="A292" s="402">
        <f t="shared" ca="1" si="122"/>
        <v>0.1</v>
      </c>
      <c r="B292" s="357">
        <f t="shared" ca="1" si="123"/>
        <v>10.799999999999979</v>
      </c>
      <c r="C292" s="342"/>
      <c r="D292" s="359">
        <f t="shared" ca="1" si="124"/>
        <v>-0.3067812617511147</v>
      </c>
      <c r="E292" s="360">
        <f t="shared" ca="1" si="125"/>
        <v>-9.0504425558117401</v>
      </c>
      <c r="F292" s="357">
        <f t="shared" ca="1" si="126"/>
        <v>9.0556405184067312</v>
      </c>
      <c r="G292" s="359">
        <f t="shared" ca="1" si="127"/>
        <v>11.713685166797982</v>
      </c>
      <c r="H292" s="360">
        <f t="shared" ca="1" si="128"/>
        <v>-29.982825980287991</v>
      </c>
      <c r="I292" s="357">
        <f t="shared" ca="1" si="129"/>
        <v>32.189754176617996</v>
      </c>
      <c r="J292" s="359">
        <f t="shared" ca="1" si="130"/>
        <v>136.2209538227884</v>
      </c>
      <c r="K292" s="360">
        <f t="shared" ca="1" si="131"/>
        <v>233.60446180297765</v>
      </c>
      <c r="L292" s="357">
        <f t="shared" ca="1" si="116"/>
        <v>270.42040018210366</v>
      </c>
      <c r="M292" s="359">
        <f t="shared" ca="1" si="132"/>
        <v>-1.1983503152933972</v>
      </c>
      <c r="N292" s="357">
        <f t="shared" ca="1" si="133"/>
        <v>-68.660415444483164</v>
      </c>
      <c r="O292" s="343"/>
      <c r="P292" s="363">
        <f t="shared" ca="1" si="134"/>
        <v>23</v>
      </c>
      <c r="Q292" s="357">
        <f t="shared" ca="1" si="135"/>
        <v>0</v>
      </c>
      <c r="R292" s="359">
        <f t="shared" ca="1" si="136"/>
        <v>0</v>
      </c>
      <c r="S292" s="360">
        <f t="shared" ca="1" si="137"/>
        <v>1.5629999999999982</v>
      </c>
      <c r="T292" s="357">
        <f t="shared" ca="1" si="117"/>
        <v>15.333029999999983</v>
      </c>
      <c r="U292" s="364">
        <f t="shared" ca="1" si="118"/>
        <v>0</v>
      </c>
      <c r="V292" s="359">
        <f t="shared" ca="1" si="119"/>
        <v>1.196713842064189</v>
      </c>
      <c r="W292" s="357">
        <f t="shared" ca="1" si="120"/>
        <v>1.3494174920774118</v>
      </c>
      <c r="X292" s="343"/>
      <c r="Y292" s="367" t="str">
        <f t="shared" ca="1" si="138"/>
        <v/>
      </c>
      <c r="Z292" s="368" t="str">
        <f t="shared" ca="1" si="139"/>
        <v/>
      </c>
      <c r="AA292" s="369" t="str">
        <f t="shared" ca="1" si="140"/>
        <v/>
      </c>
      <c r="AB292" s="344"/>
      <c r="AC292" s="363" t="e">
        <f t="shared" ca="1" si="141"/>
        <v>#N/A</v>
      </c>
      <c r="AD292" s="376" t="e">
        <f t="shared" ca="1" si="142"/>
        <v>#N/A</v>
      </c>
      <c r="AE292" s="377" t="e">
        <f t="shared" ca="1" si="121"/>
        <v>#N/A</v>
      </c>
      <c r="AF292" s="344"/>
      <c r="AG292" s="359">
        <f t="shared" ca="1" si="143"/>
        <v>8.2769172536804998</v>
      </c>
      <c r="AH292" s="357">
        <f t="shared" ca="1" si="144"/>
        <v>-0.81917168748889735</v>
      </c>
    </row>
    <row r="293" spans="1:34" x14ac:dyDescent="0.2">
      <c r="A293" s="402">
        <f t="shared" ca="1" si="122"/>
        <v>0.1</v>
      </c>
      <c r="B293" s="357">
        <f t="shared" ca="1" si="123"/>
        <v>10.899999999999979</v>
      </c>
      <c r="C293" s="342"/>
      <c r="D293" s="359">
        <f t="shared" ca="1" si="124"/>
        <v>-0.31416893837445548</v>
      </c>
      <c r="E293" s="360">
        <f t="shared" ca="1" si="125"/>
        <v>-9.0058403804130887</v>
      </c>
      <c r="F293" s="357">
        <f t="shared" ca="1" si="126"/>
        <v>9.0113186093555875</v>
      </c>
      <c r="G293" s="359">
        <f t="shared" ca="1" si="127"/>
        <v>11.682268272960536</v>
      </c>
      <c r="H293" s="360">
        <f t="shared" ca="1" si="128"/>
        <v>-30.8834100183293</v>
      </c>
      <c r="I293" s="357">
        <f t="shared" ca="1" si="129"/>
        <v>33.019091543554964</v>
      </c>
      <c r="J293" s="359">
        <f t="shared" ca="1" si="130"/>
        <v>137.39075149477634</v>
      </c>
      <c r="K293" s="360">
        <f t="shared" ca="1" si="131"/>
        <v>230.56115000304678</v>
      </c>
      <c r="L293" s="357">
        <f t="shared" ca="1" si="116"/>
        <v>268.39273925914392</v>
      </c>
      <c r="M293" s="359">
        <f t="shared" ca="1" si="132"/>
        <v>-1.2091618721083488</v>
      </c>
      <c r="N293" s="357">
        <f t="shared" ca="1" si="133"/>
        <v>-69.279872019945799</v>
      </c>
      <c r="O293" s="343"/>
      <c r="P293" s="363">
        <f t="shared" ca="1" si="134"/>
        <v>23</v>
      </c>
      <c r="Q293" s="357">
        <f t="shared" ca="1" si="135"/>
        <v>0</v>
      </c>
      <c r="R293" s="359">
        <f t="shared" ca="1" si="136"/>
        <v>0</v>
      </c>
      <c r="S293" s="360">
        <f t="shared" ca="1" si="137"/>
        <v>1.5629999999999982</v>
      </c>
      <c r="T293" s="357">
        <f t="shared" ca="1" si="117"/>
        <v>15.333029999999983</v>
      </c>
      <c r="U293" s="364">
        <f t="shared" ca="1" si="118"/>
        <v>0</v>
      </c>
      <c r="V293" s="359">
        <f t="shared" ca="1" si="119"/>
        <v>1.1970781438874039</v>
      </c>
      <c r="W293" s="357">
        <f t="shared" ca="1" si="120"/>
        <v>1.4202782718005464</v>
      </c>
      <c r="X293" s="343"/>
      <c r="Y293" s="367" t="str">
        <f t="shared" ca="1" si="138"/>
        <v/>
      </c>
      <c r="Z293" s="368" t="str">
        <f t="shared" ca="1" si="139"/>
        <v/>
      </c>
      <c r="AA293" s="369" t="str">
        <f t="shared" ca="1" si="140"/>
        <v/>
      </c>
      <c r="AB293" s="344"/>
      <c r="AC293" s="363" t="e">
        <f t="shared" ca="1" si="141"/>
        <v>#N/A</v>
      </c>
      <c r="AD293" s="376" t="e">
        <f t="shared" ca="1" si="142"/>
        <v>#N/A</v>
      </c>
      <c r="AE293" s="377" t="e">
        <f t="shared" ca="1" si="121"/>
        <v>#N/A</v>
      </c>
      <c r="AF293" s="344"/>
      <c r="AG293" s="359">
        <f t="shared" ca="1" si="143"/>
        <v>8.2740758887911969</v>
      </c>
      <c r="AH293" s="357">
        <f t="shared" ca="1" si="144"/>
        <v>-0.86335092263430158</v>
      </c>
    </row>
    <row r="294" spans="1:34" x14ac:dyDescent="0.2">
      <c r="A294" s="402">
        <f t="shared" ca="1" si="122"/>
        <v>0.1</v>
      </c>
      <c r="B294" s="357">
        <f t="shared" ca="1" si="123"/>
        <v>10.999999999999979</v>
      </c>
      <c r="C294" s="342"/>
      <c r="D294" s="359">
        <f t="shared" ca="1" si="124"/>
        <v>-0.32149670031108474</v>
      </c>
      <c r="E294" s="360">
        <f t="shared" ca="1" si="125"/>
        <v>-8.9600867654076772</v>
      </c>
      <c r="F294" s="357">
        <f t="shared" ca="1" si="126"/>
        <v>8.9658527186177182</v>
      </c>
      <c r="G294" s="359">
        <f t="shared" ca="1" si="127"/>
        <v>11.650118602929428</v>
      </c>
      <c r="H294" s="360">
        <f t="shared" ca="1" si="128"/>
        <v>-31.779418694870067</v>
      </c>
      <c r="I294" s="357">
        <f t="shared" ca="1" si="129"/>
        <v>33.847551108554065</v>
      </c>
      <c r="J294" s="359">
        <f t="shared" ca="1" si="130"/>
        <v>138.55737083857085</v>
      </c>
      <c r="K294" s="360">
        <f t="shared" ca="1" si="131"/>
        <v>227.4280085673868</v>
      </c>
      <c r="L294" s="357">
        <f t="shared" ca="1" si="116"/>
        <v>266.31117906431308</v>
      </c>
      <c r="M294" s="359">
        <f t="shared" ca="1" si="132"/>
        <v>-1.2194162996542475</v>
      </c>
      <c r="N294" s="357">
        <f t="shared" ca="1" si="133"/>
        <v>-69.867407439648488</v>
      </c>
      <c r="O294" s="343"/>
      <c r="P294" s="363">
        <f t="shared" ca="1" si="134"/>
        <v>23</v>
      </c>
      <c r="Q294" s="357">
        <f t="shared" ca="1" si="135"/>
        <v>0</v>
      </c>
      <c r="R294" s="359">
        <f t="shared" ca="1" si="136"/>
        <v>0</v>
      </c>
      <c r="S294" s="360">
        <f t="shared" ca="1" si="137"/>
        <v>1.5629999999999982</v>
      </c>
      <c r="T294" s="357">
        <f t="shared" ca="1" si="117"/>
        <v>15.333029999999983</v>
      </c>
      <c r="U294" s="364">
        <f t="shared" ca="1" si="118"/>
        <v>0</v>
      </c>
      <c r="V294" s="359">
        <f t="shared" ca="1" si="119"/>
        <v>1.1974533133548126</v>
      </c>
      <c r="W294" s="357">
        <f t="shared" ca="1" si="120"/>
        <v>1.4929105812819066</v>
      </c>
      <c r="X294" s="343"/>
      <c r="Y294" s="367" t="str">
        <f t="shared" ca="1" si="138"/>
        <v/>
      </c>
      <c r="Z294" s="368" t="str">
        <f t="shared" ca="1" si="139"/>
        <v/>
      </c>
      <c r="AA294" s="369" t="str">
        <f t="shared" ca="1" si="140"/>
        <v/>
      </c>
      <c r="AB294" s="344"/>
      <c r="AC294" s="363">
        <f t="shared" ca="1" si="141"/>
        <v>10.999999999999979</v>
      </c>
      <c r="AD294" s="376">
        <f t="shared" ca="1" si="142"/>
        <v>138.55737083857085</v>
      </c>
      <c r="AE294" s="377" t="e">
        <f t="shared" ca="1" si="121"/>
        <v>#N/A</v>
      </c>
      <c r="AF294" s="344"/>
      <c r="AG294" s="359">
        <f t="shared" ca="1" si="143"/>
        <v>8.2667999001100725</v>
      </c>
      <c r="AH294" s="357">
        <f t="shared" ca="1" si="144"/>
        <v>-0.90868731401186698</v>
      </c>
    </row>
    <row r="295" spans="1:34" x14ac:dyDescent="0.2">
      <c r="A295" s="402">
        <f t="shared" ca="1" si="122"/>
        <v>0.1</v>
      </c>
      <c r="B295" s="357">
        <f t="shared" ca="1" si="123"/>
        <v>11.099999999999978</v>
      </c>
      <c r="C295" s="342"/>
      <c r="D295" s="359">
        <f t="shared" ca="1" si="124"/>
        <v>-0.32875919788207464</v>
      </c>
      <c r="E295" s="360">
        <f t="shared" ca="1" si="125"/>
        <v>-8.9132043058637205</v>
      </c>
      <c r="F295" s="357">
        <f t="shared" ca="1" si="126"/>
        <v>8.9192653065294358</v>
      </c>
      <c r="G295" s="359">
        <f t="shared" ca="1" si="127"/>
        <v>11.617242683141221</v>
      </c>
      <c r="H295" s="360">
        <f t="shared" ca="1" si="128"/>
        <v>-32.670739125456436</v>
      </c>
      <c r="I295" s="357">
        <f t="shared" ca="1" si="129"/>
        <v>34.674738968918398</v>
      </c>
      <c r="J295" s="359">
        <f t="shared" ca="1" si="130"/>
        <v>139.72073890287439</v>
      </c>
      <c r="K295" s="360">
        <f t="shared" ca="1" si="131"/>
        <v>224.20550067637046</v>
      </c>
      <c r="L295" s="357">
        <f t="shared" ca="1" si="116"/>
        <v>264.17795406336836</v>
      </c>
      <c r="M295" s="359">
        <f t="shared" ca="1" si="132"/>
        <v>-1.2291542098431845</v>
      </c>
      <c r="N295" s="357">
        <f t="shared" ca="1" si="133"/>
        <v>-70.425348594752023</v>
      </c>
      <c r="O295" s="343"/>
      <c r="P295" s="363">
        <f t="shared" ca="1" si="134"/>
        <v>23</v>
      </c>
      <c r="Q295" s="357">
        <f t="shared" ca="1" si="135"/>
        <v>0</v>
      </c>
      <c r="R295" s="359">
        <f t="shared" ca="1" si="136"/>
        <v>0</v>
      </c>
      <c r="S295" s="360">
        <f t="shared" ca="1" si="137"/>
        <v>1.5629999999999982</v>
      </c>
      <c r="T295" s="357">
        <f t="shared" ca="1" si="117"/>
        <v>15.333029999999983</v>
      </c>
      <c r="U295" s="364">
        <f t="shared" ca="1" si="118"/>
        <v>0</v>
      </c>
      <c r="V295" s="359">
        <f t="shared" ca="1" si="119"/>
        <v>1.1978393050278919</v>
      </c>
      <c r="W295" s="357">
        <f t="shared" ca="1" si="120"/>
        <v>1.5672766423315716</v>
      </c>
      <c r="X295" s="343"/>
      <c r="Y295" s="367" t="str">
        <f t="shared" ca="1" si="138"/>
        <v/>
      </c>
      <c r="Z295" s="368" t="str">
        <f t="shared" ca="1" si="139"/>
        <v/>
      </c>
      <c r="AA295" s="369" t="str">
        <f t="shared" ca="1" si="140"/>
        <v/>
      </c>
      <c r="AB295" s="344"/>
      <c r="AC295" s="363" t="e">
        <f t="shared" ca="1" si="141"/>
        <v>#N/A</v>
      </c>
      <c r="AD295" s="376" t="e">
        <f t="shared" ca="1" si="142"/>
        <v>#N/A</v>
      </c>
      <c r="AE295" s="377" t="e">
        <f t="shared" ca="1" si="121"/>
        <v>#N/A</v>
      </c>
      <c r="AF295" s="344"/>
      <c r="AG295" s="359">
        <f t="shared" ca="1" si="143"/>
        <v>8.2554382444292749</v>
      </c>
      <c r="AH295" s="357">
        <f t="shared" ca="1" si="144"/>
        <v>-0.95515712174146405</v>
      </c>
    </row>
    <row r="296" spans="1:34" x14ac:dyDescent="0.2">
      <c r="A296" s="402">
        <f t="shared" ca="1" si="122"/>
        <v>0.1</v>
      </c>
      <c r="B296" s="357">
        <f t="shared" ca="1" si="123"/>
        <v>11.199999999999978</v>
      </c>
      <c r="C296" s="342"/>
      <c r="D296" s="359">
        <f t="shared" ca="1" si="124"/>
        <v>-0.33595146912502083</v>
      </c>
      <c r="E296" s="360">
        <f t="shared" ca="1" si="125"/>
        <v>-8.8652161897654693</v>
      </c>
      <c r="F296" s="357">
        <f t="shared" ca="1" si="126"/>
        <v>8.8715794242562609</v>
      </c>
      <c r="G296" s="359">
        <f t="shared" ca="1" si="127"/>
        <v>11.583647536228719</v>
      </c>
      <c r="H296" s="360">
        <f t="shared" ca="1" si="128"/>
        <v>-33.55726074443298</v>
      </c>
      <c r="I296" s="357">
        <f t="shared" ca="1" si="129"/>
        <v>35.500290687731564</v>
      </c>
      <c r="J296" s="359">
        <f t="shared" ca="1" si="130"/>
        <v>140.88078341384289</v>
      </c>
      <c r="K296" s="360">
        <f t="shared" ca="1" si="131"/>
        <v>220.894100682876</v>
      </c>
      <c r="L296" s="357">
        <f t="shared" ca="1" si="116"/>
        <v>261.9954176160237</v>
      </c>
      <c r="M296" s="359">
        <f t="shared" ca="1" si="132"/>
        <v>-1.2384125506616863</v>
      </c>
      <c r="N296" s="357">
        <f t="shared" ca="1" si="133"/>
        <v>-70.955812448945878</v>
      </c>
      <c r="O296" s="343"/>
      <c r="P296" s="363">
        <f t="shared" ca="1" si="134"/>
        <v>23</v>
      </c>
      <c r="Q296" s="357">
        <f t="shared" ca="1" si="135"/>
        <v>0</v>
      </c>
      <c r="R296" s="359">
        <f t="shared" ca="1" si="136"/>
        <v>0</v>
      </c>
      <c r="S296" s="360">
        <f t="shared" ca="1" si="137"/>
        <v>1.5629999999999982</v>
      </c>
      <c r="T296" s="357">
        <f t="shared" ca="1" si="117"/>
        <v>15.333029999999983</v>
      </c>
      <c r="U296" s="364">
        <f t="shared" ca="1" si="118"/>
        <v>0</v>
      </c>
      <c r="V296" s="359">
        <f t="shared" ca="1" si="119"/>
        <v>1.1982360723527667</v>
      </c>
      <c r="W296" s="357">
        <f t="shared" ca="1" si="120"/>
        <v>1.6433380419053327</v>
      </c>
      <c r="X296" s="343"/>
      <c r="Y296" s="367" t="str">
        <f t="shared" ca="1" si="138"/>
        <v/>
      </c>
      <c r="Z296" s="368" t="str">
        <f t="shared" ca="1" si="139"/>
        <v/>
      </c>
      <c r="AA296" s="369" t="str">
        <f t="shared" ca="1" si="140"/>
        <v/>
      </c>
      <c r="AB296" s="344"/>
      <c r="AC296" s="363" t="e">
        <f t="shared" ca="1" si="141"/>
        <v>#N/A</v>
      </c>
      <c r="AD296" s="376" t="e">
        <f t="shared" ca="1" si="142"/>
        <v>#N/A</v>
      </c>
      <c r="AE296" s="377" t="e">
        <f t="shared" ca="1" si="121"/>
        <v>#N/A</v>
      </c>
      <c r="AF296" s="344"/>
      <c r="AG296" s="359">
        <f t="shared" ca="1" si="143"/>
        <v>8.2403024269667657</v>
      </c>
      <c r="AH296" s="357">
        <f t="shared" ca="1" si="144"/>
        <v>-1.0027361755160418</v>
      </c>
    </row>
    <row r="297" spans="1:34" x14ac:dyDescent="0.2">
      <c r="A297" s="402">
        <f t="shared" ca="1" si="122"/>
        <v>0.1</v>
      </c>
      <c r="B297" s="357">
        <f t="shared" ca="1" si="123"/>
        <v>11.299999999999978</v>
      </c>
      <c r="C297" s="342"/>
      <c r="D297" s="359">
        <f t="shared" ca="1" si="124"/>
        <v>-0.34306890484517882</v>
      </c>
      <c r="E297" s="360">
        <f t="shared" ca="1" si="125"/>
        <v>-8.8161461506670786</v>
      </c>
      <c r="F297" s="357">
        <f t="shared" ca="1" si="126"/>
        <v>8.8228186665823305</v>
      </c>
      <c r="G297" s="359">
        <f t="shared" ca="1" si="127"/>
        <v>11.549340645744202</v>
      </c>
      <c r="H297" s="360">
        <f t="shared" ca="1" si="128"/>
        <v>-34.43887535949969</v>
      </c>
      <c r="I297" s="357">
        <f t="shared" ca="1" si="129"/>
        <v>36.323868260120562</v>
      </c>
      <c r="J297" s="359">
        <f t="shared" ca="1" si="130"/>
        <v>142.03743282294153</v>
      </c>
      <c r="K297" s="360">
        <f t="shared" ca="1" si="131"/>
        <v>217.49429387767935</v>
      </c>
      <c r="L297" s="357">
        <f t="shared" ca="1" si="116"/>
        <v>259.76604895998622</v>
      </c>
      <c r="M297" s="359">
        <f t="shared" ca="1" si="132"/>
        <v>-1.2472249863763185</v>
      </c>
      <c r="N297" s="357">
        <f t="shared" ca="1" si="133"/>
        <v>-71.460727822624648</v>
      </c>
      <c r="O297" s="343"/>
      <c r="P297" s="363">
        <f t="shared" ca="1" si="134"/>
        <v>23</v>
      </c>
      <c r="Q297" s="357">
        <f t="shared" ca="1" si="135"/>
        <v>0</v>
      </c>
      <c r="R297" s="359">
        <f t="shared" ca="1" si="136"/>
        <v>0</v>
      </c>
      <c r="S297" s="360">
        <f t="shared" ca="1" si="137"/>
        <v>1.5629999999999982</v>
      </c>
      <c r="T297" s="357">
        <f t="shared" ca="1" si="117"/>
        <v>15.333029999999983</v>
      </c>
      <c r="U297" s="364">
        <f t="shared" ca="1" si="118"/>
        <v>0</v>
      </c>
      <c r="V297" s="359">
        <f t="shared" ca="1" si="119"/>
        <v>1.1986435676817933</v>
      </c>
      <c r="W297" s="357">
        <f t="shared" ca="1" si="120"/>
        <v>1.721055770434905</v>
      </c>
      <c r="X297" s="343"/>
      <c r="Y297" s="367" t="str">
        <f t="shared" ca="1" si="138"/>
        <v/>
      </c>
      <c r="Z297" s="368" t="str">
        <f t="shared" ca="1" si="139"/>
        <v/>
      </c>
      <c r="AA297" s="369" t="str">
        <f t="shared" ca="1" si="140"/>
        <v/>
      </c>
      <c r="AB297" s="344"/>
      <c r="AC297" s="363" t="e">
        <f t="shared" ca="1" si="141"/>
        <v>#N/A</v>
      </c>
      <c r="AD297" s="376" t="e">
        <f t="shared" ca="1" si="142"/>
        <v>#N/A</v>
      </c>
      <c r="AE297" s="377" t="e">
        <f t="shared" ca="1" si="121"/>
        <v>#N/A</v>
      </c>
      <c r="AF297" s="344"/>
      <c r="AG297" s="359">
        <f t="shared" ca="1" si="143"/>
        <v>8.2216714345233459</v>
      </c>
      <c r="AH297" s="357">
        <f t="shared" ca="1" si="144"/>
        <v>-1.0513998988517816</v>
      </c>
    </row>
    <row r="298" spans="1:34" x14ac:dyDescent="0.2">
      <c r="A298" s="402">
        <f t="shared" ca="1" si="122"/>
        <v>0.1</v>
      </c>
      <c r="B298" s="357">
        <f t="shared" ca="1" si="123"/>
        <v>11.399999999999977</v>
      </c>
      <c r="C298" s="342"/>
      <c r="D298" s="359">
        <f t="shared" ca="1" si="124"/>
        <v>-0.35010721825625912</v>
      </c>
      <c r="E298" s="360">
        <f t="shared" ca="1" si="125"/>
        <v>-8.7660184237503262</v>
      </c>
      <c r="F298" s="357">
        <f t="shared" ca="1" si="126"/>
        <v>8.7730071281063768</v>
      </c>
      <c r="G298" s="359">
        <f t="shared" ca="1" si="127"/>
        <v>11.514329923918575</v>
      </c>
      <c r="H298" s="360">
        <f t="shared" ca="1" si="128"/>
        <v>-35.315477201874721</v>
      </c>
      <c r="I298" s="357">
        <f t="shared" ca="1" si="129"/>
        <v>37.14515747164063</v>
      </c>
      <c r="J298" s="359">
        <f t="shared" ca="1" si="130"/>
        <v>143.19061635142467</v>
      </c>
      <c r="K298" s="360">
        <f t="shared" ca="1" si="131"/>
        <v>214.00657624961065</v>
      </c>
      <c r="L298" s="357">
        <f t="shared" ca="1" si="116"/>
        <v>257.49246064531928</v>
      </c>
      <c r="M298" s="359">
        <f t="shared" ca="1" si="132"/>
        <v>-1.2556222348983304</v>
      </c>
      <c r="N298" s="357">
        <f t="shared" ca="1" si="133"/>
        <v>-71.941854722458402</v>
      </c>
      <c r="O298" s="343"/>
      <c r="P298" s="363">
        <f t="shared" ca="1" si="134"/>
        <v>23</v>
      </c>
      <c r="Q298" s="357">
        <f t="shared" ca="1" si="135"/>
        <v>0</v>
      </c>
      <c r="R298" s="359">
        <f t="shared" ca="1" si="136"/>
        <v>0</v>
      </c>
      <c r="S298" s="360">
        <f t="shared" ca="1" si="137"/>
        <v>1.5629999999999982</v>
      </c>
      <c r="T298" s="357">
        <f t="shared" ca="1" si="117"/>
        <v>15.333029999999983</v>
      </c>
      <c r="U298" s="364">
        <f t="shared" ca="1" si="118"/>
        <v>0</v>
      </c>
      <c r="V298" s="359">
        <f t="shared" ca="1" si="119"/>
        <v>1.1990617422956817</v>
      </c>
      <c r="W298" s="357">
        <f t="shared" ca="1" si="120"/>
        <v>1.8003902604999429</v>
      </c>
      <c r="X298" s="343"/>
      <c r="Y298" s="367" t="str">
        <f t="shared" ca="1" si="138"/>
        <v/>
      </c>
      <c r="Z298" s="368" t="str">
        <f t="shared" ca="1" si="139"/>
        <v/>
      </c>
      <c r="AA298" s="369" t="str">
        <f t="shared" ca="1" si="140"/>
        <v/>
      </c>
      <c r="AB298" s="344"/>
      <c r="AC298" s="363" t="e">
        <f t="shared" ca="1" si="141"/>
        <v>#N/A</v>
      </c>
      <c r="AD298" s="376" t="e">
        <f t="shared" ca="1" si="142"/>
        <v>#N/A</v>
      </c>
      <c r="AE298" s="377" t="e">
        <f t="shared" ca="1" si="121"/>
        <v>#N/A</v>
      </c>
      <c r="AF298" s="344"/>
      <c r="AG298" s="359">
        <f t="shared" ca="1" si="143"/>
        <v>8.1997959643368503</v>
      </c>
      <c r="AH298" s="357">
        <f t="shared" ca="1" si="144"/>
        <v>-1.1011233336115849</v>
      </c>
    </row>
    <row r="299" spans="1:34" x14ac:dyDescent="0.2">
      <c r="A299" s="402">
        <f t="shared" ca="1" si="122"/>
        <v>0.1</v>
      </c>
      <c r="B299" s="357">
        <f t="shared" ca="1" si="123"/>
        <v>11.499999999999977</v>
      </c>
      <c r="C299" s="342"/>
      <c r="D299" s="359">
        <f t="shared" ca="1" si="124"/>
        <v>-0.35706241854469079</v>
      </c>
      <c r="E299" s="360">
        <f t="shared" ca="1" si="125"/>
        <v>-8.714857704696561</v>
      </c>
      <c r="F299" s="357">
        <f t="shared" ca="1" si="126"/>
        <v>8.7221693622542098</v>
      </c>
      <c r="G299" s="359">
        <f t="shared" ca="1" si="127"/>
        <v>11.478623682064107</v>
      </c>
      <c r="H299" s="360">
        <f t="shared" ca="1" si="128"/>
        <v>-36.186962972344375</v>
      </c>
      <c r="I299" s="357">
        <f t="shared" ca="1" si="129"/>
        <v>37.963865593433262</v>
      </c>
      <c r="J299" s="359">
        <f t="shared" ca="1" si="130"/>
        <v>144.34026403172379</v>
      </c>
      <c r="K299" s="360">
        <f t="shared" ca="1" si="131"/>
        <v>210.43145424089968</v>
      </c>
      <c r="L299" s="357">
        <f t="shared" ca="1" si="116"/>
        <v>255.17740643459715</v>
      </c>
      <c r="M299" s="359">
        <f t="shared" ca="1" si="132"/>
        <v>-1.2636323672113514</v>
      </c>
      <c r="N299" s="357">
        <f t="shared" ca="1" si="133"/>
        <v>-72.400801497335863</v>
      </c>
      <c r="O299" s="343"/>
      <c r="P299" s="363">
        <f t="shared" ca="1" si="134"/>
        <v>23</v>
      </c>
      <c r="Q299" s="357">
        <f t="shared" ca="1" si="135"/>
        <v>0</v>
      </c>
      <c r="R299" s="359">
        <f t="shared" ca="1" si="136"/>
        <v>0</v>
      </c>
      <c r="S299" s="360">
        <f t="shared" ca="1" si="137"/>
        <v>1.5629999999999982</v>
      </c>
      <c r="T299" s="357">
        <f t="shared" ca="1" si="117"/>
        <v>15.333029999999983</v>
      </c>
      <c r="U299" s="364">
        <f t="shared" ca="1" si="118"/>
        <v>0</v>
      </c>
      <c r="V299" s="359">
        <f t="shared" ca="1" si="119"/>
        <v>1.1994905464261119</v>
      </c>
      <c r="W299" s="357">
        <f t="shared" ca="1" si="120"/>
        <v>1.8813014257602452</v>
      </c>
      <c r="X299" s="343"/>
      <c r="Y299" s="367" t="str">
        <f t="shared" ca="1" si="138"/>
        <v/>
      </c>
      <c r="Z299" s="368" t="str">
        <f t="shared" ca="1" si="139"/>
        <v/>
      </c>
      <c r="AA299" s="369" t="str">
        <f t="shared" ca="1" si="140"/>
        <v/>
      </c>
      <c r="AB299" s="344"/>
      <c r="AC299" s="363" t="e">
        <f t="shared" ca="1" si="141"/>
        <v>#N/A</v>
      </c>
      <c r="AD299" s="376" t="e">
        <f t="shared" ca="1" si="142"/>
        <v>#N/A</v>
      </c>
      <c r="AE299" s="377" t="e">
        <f t="shared" ca="1" si="121"/>
        <v>#N/A</v>
      </c>
      <c r="AF299" s="344"/>
      <c r="AG299" s="359">
        <f t="shared" ca="1" si="143"/>
        <v>8.1749020536276564</v>
      </c>
      <c r="AH299" s="357">
        <f t="shared" ca="1" si="144"/>
        <v>-1.1518811647472458</v>
      </c>
    </row>
    <row r="300" spans="1:34" x14ac:dyDescent="0.2">
      <c r="A300" s="402">
        <f t="shared" ca="1" si="122"/>
        <v>0.1</v>
      </c>
      <c r="B300" s="357">
        <f t="shared" ca="1" si="123"/>
        <v>11.599999999999977</v>
      </c>
      <c r="C300" s="342"/>
      <c r="D300" s="359">
        <f t="shared" ca="1" si="124"/>
        <v>-0.36393078779096982</v>
      </c>
      <c r="E300" s="360">
        <f t="shared" ca="1" si="125"/>
        <v>-8.6626891109022068</v>
      </c>
      <c r="F300" s="357">
        <f t="shared" ca="1" si="126"/>
        <v>8.6703303426366531</v>
      </c>
      <c r="G300" s="359">
        <f t="shared" ca="1" si="127"/>
        <v>11.44223060328501</v>
      </c>
      <c r="H300" s="360">
        <f t="shared" ca="1" si="128"/>
        <v>-37.053231883434599</v>
      </c>
      <c r="I300" s="357">
        <f t="shared" ca="1" si="129"/>
        <v>38.779719367039341</v>
      </c>
      <c r="J300" s="359">
        <f t="shared" ca="1" si="130"/>
        <v>145.48630674599124</v>
      </c>
      <c r="K300" s="360">
        <f t="shared" ca="1" si="131"/>
        <v>206.76944449811074</v>
      </c>
      <c r="L300" s="357">
        <f t="shared" ca="1" si="116"/>
        <v>252.82378968096725</v>
      </c>
      <c r="M300" s="359">
        <f t="shared" ca="1" si="132"/>
        <v>-1.2712810732654305</v>
      </c>
      <c r="N300" s="357">
        <f t="shared" ca="1" si="133"/>
        <v>-72.839040072970761</v>
      </c>
      <c r="O300" s="343"/>
      <c r="P300" s="363">
        <f t="shared" ca="1" si="134"/>
        <v>23</v>
      </c>
      <c r="Q300" s="357">
        <f t="shared" ca="1" si="135"/>
        <v>0</v>
      </c>
      <c r="R300" s="359">
        <f t="shared" ca="1" si="136"/>
        <v>0</v>
      </c>
      <c r="S300" s="360">
        <f t="shared" ca="1" si="137"/>
        <v>1.5629999999999982</v>
      </c>
      <c r="T300" s="357">
        <f t="shared" ca="1" si="117"/>
        <v>15.333029999999983</v>
      </c>
      <c r="U300" s="364">
        <f t="shared" ca="1" si="118"/>
        <v>0</v>
      </c>
      <c r="V300" s="359">
        <f t="shared" ca="1" si="119"/>
        <v>1.199929929278809</v>
      </c>
      <c r="W300" s="357">
        <f t="shared" ca="1" si="120"/>
        <v>1.9637487000699489</v>
      </c>
      <c r="X300" s="343"/>
      <c r="Y300" s="367" t="str">
        <f t="shared" ca="1" si="138"/>
        <v/>
      </c>
      <c r="Z300" s="368" t="str">
        <f t="shared" ca="1" si="139"/>
        <v/>
      </c>
      <c r="AA300" s="369" t="str">
        <f t="shared" ca="1" si="140"/>
        <v/>
      </c>
      <c r="AB300" s="344"/>
      <c r="AC300" s="363" t="e">
        <f t="shared" ca="1" si="141"/>
        <v>#N/A</v>
      </c>
      <c r="AD300" s="376" t="e">
        <f t="shared" ca="1" si="142"/>
        <v>#N/A</v>
      </c>
      <c r="AE300" s="377" t="e">
        <f t="shared" ca="1" si="121"/>
        <v>#N/A</v>
      </c>
      <c r="AF300" s="344"/>
      <c r="AG300" s="359">
        <f t="shared" ca="1" si="143"/>
        <v>8.1471941990880872</v>
      </c>
      <c r="AH300" s="357">
        <f t="shared" ca="1" si="144"/>
        <v>-1.2036477452080918</v>
      </c>
    </row>
    <row r="301" spans="1:34" x14ac:dyDescent="0.2">
      <c r="A301" s="402">
        <f t="shared" ca="1" si="122"/>
        <v>0.1</v>
      </c>
      <c r="B301" s="357">
        <f t="shared" ca="1" si="123"/>
        <v>11.699999999999976</v>
      </c>
      <c r="C301" s="342"/>
      <c r="D301" s="359">
        <f t="shared" ca="1" si="124"/>
        <v>-0.37070886076643023</v>
      </c>
      <c r="E301" s="360">
        <f t="shared" ca="1" si="125"/>
        <v>-8.6095381446622063</v>
      </c>
      <c r="F301" s="357">
        <f t="shared" ca="1" si="126"/>
        <v>8.6175154263769258</v>
      </c>
      <c r="G301" s="359">
        <f t="shared" ca="1" si="127"/>
        <v>11.405159717208367</v>
      </c>
      <c r="H301" s="360">
        <f t="shared" ca="1" si="128"/>
        <v>-37.91418569790082</v>
      </c>
      <c r="I301" s="357">
        <f t="shared" ca="1" si="129"/>
        <v>39.592463238726879</v>
      </c>
      <c r="J301" s="359">
        <f t="shared" ca="1" si="130"/>
        <v>146.62867626201592</v>
      </c>
      <c r="K301" s="360">
        <f t="shared" ca="1" si="131"/>
        <v>203.02107361904396</v>
      </c>
      <c r="L301" s="357">
        <f t="shared" ca="1" si="116"/>
        <v>250.43467219173215</v>
      </c>
      <c r="M301" s="359">
        <f t="shared" ca="1" si="132"/>
        <v>-1.2785918982634186</v>
      </c>
      <c r="N301" s="357">
        <f t="shared" ca="1" si="133"/>
        <v>-73.257919490114219</v>
      </c>
      <c r="O301" s="343"/>
      <c r="P301" s="363">
        <f t="shared" ca="1" si="134"/>
        <v>23</v>
      </c>
      <c r="Q301" s="357">
        <f t="shared" ca="1" si="135"/>
        <v>0</v>
      </c>
      <c r="R301" s="359">
        <f t="shared" ca="1" si="136"/>
        <v>0</v>
      </c>
      <c r="S301" s="360">
        <f t="shared" ca="1" si="137"/>
        <v>1.5629999999999982</v>
      </c>
      <c r="T301" s="357">
        <f t="shared" ca="1" si="117"/>
        <v>15.333029999999983</v>
      </c>
      <c r="U301" s="364">
        <f t="shared" ca="1" si="118"/>
        <v>0</v>
      </c>
      <c r="V301" s="359">
        <f t="shared" ca="1" si="119"/>
        <v>1.2003798390570328</v>
      </c>
      <c r="W301" s="357">
        <f t="shared" ca="1" si="120"/>
        <v>2.0476910766986229</v>
      </c>
      <c r="X301" s="343"/>
      <c r="Y301" s="367" t="str">
        <f t="shared" ca="1" si="138"/>
        <v/>
      </c>
      <c r="Z301" s="368" t="str">
        <f t="shared" ca="1" si="139"/>
        <v/>
      </c>
      <c r="AA301" s="369" t="str">
        <f t="shared" ca="1" si="140"/>
        <v/>
      </c>
      <c r="AB301" s="344"/>
      <c r="AC301" s="363" t="e">
        <f t="shared" ca="1" si="141"/>
        <v>#N/A</v>
      </c>
      <c r="AD301" s="376" t="e">
        <f t="shared" ca="1" si="142"/>
        <v>#N/A</v>
      </c>
      <c r="AE301" s="377" t="e">
        <f t="shared" ca="1" si="121"/>
        <v>#N/A</v>
      </c>
      <c r="AF301" s="344"/>
      <c r="AG301" s="359">
        <f t="shared" ca="1" si="143"/>
        <v>8.1168580420262249</v>
      </c>
      <c r="AH301" s="357">
        <f t="shared" ca="1" si="144"/>
        <v>-1.2563971209660596</v>
      </c>
    </row>
    <row r="302" spans="1:34" x14ac:dyDescent="0.2">
      <c r="A302" s="402">
        <f t="shared" ca="1" si="122"/>
        <v>0.1</v>
      </c>
      <c r="B302" s="357">
        <f t="shared" ca="1" si="123"/>
        <v>11.799999999999976</v>
      </c>
      <c r="C302" s="342"/>
      <c r="D302" s="359">
        <f t="shared" ca="1" si="124"/>
        <v>-0.37739340719555309</v>
      </c>
      <c r="E302" s="360">
        <f t="shared" ca="1" si="125"/>
        <v>-8.5554306580216846</v>
      </c>
      <c r="F302" s="357">
        <f t="shared" ca="1" si="126"/>
        <v>8.5637503191073954</v>
      </c>
      <c r="G302" s="359">
        <f t="shared" ca="1" si="127"/>
        <v>11.367420376488811</v>
      </c>
      <c r="H302" s="360">
        <f t="shared" ca="1" si="128"/>
        <v>-38.769728763702986</v>
      </c>
      <c r="I302" s="357">
        <f t="shared" ca="1" si="129"/>
        <v>40.401857809102189</v>
      </c>
      <c r="J302" s="359">
        <f t="shared" ca="1" si="130"/>
        <v>147.76730526670079</v>
      </c>
      <c r="K302" s="360">
        <f t="shared" ca="1" si="131"/>
        <v>199.18687789596376</v>
      </c>
      <c r="L302" s="357">
        <f t="shared" ca="1" si="116"/>
        <v>248.01328357917427</v>
      </c>
      <c r="M302" s="359">
        <f t="shared" ca="1" si="132"/>
        <v>-1.2855864528222096</v>
      </c>
      <c r="N302" s="357">
        <f t="shared" ca="1" si="133"/>
        <v>-73.658677945906931</v>
      </c>
      <c r="O302" s="343"/>
      <c r="P302" s="363">
        <f t="shared" ca="1" si="134"/>
        <v>23</v>
      </c>
      <c r="Q302" s="357">
        <f t="shared" ca="1" si="135"/>
        <v>0</v>
      </c>
      <c r="R302" s="359">
        <f t="shared" ca="1" si="136"/>
        <v>0</v>
      </c>
      <c r="S302" s="360">
        <f t="shared" ca="1" si="137"/>
        <v>1.5629999999999982</v>
      </c>
      <c r="T302" s="357">
        <f t="shared" ca="1" si="117"/>
        <v>15.333029999999983</v>
      </c>
      <c r="U302" s="364">
        <f t="shared" ca="1" si="118"/>
        <v>0</v>
      </c>
      <c r="V302" s="359">
        <f t="shared" ca="1" si="119"/>
        <v>1.2008402229854538</v>
      </c>
      <c r="W302" s="357">
        <f t="shared" ca="1" si="120"/>
        <v>2.1330871475870241</v>
      </c>
      <c r="X302" s="343"/>
      <c r="Y302" s="367" t="str">
        <f t="shared" ca="1" si="138"/>
        <v/>
      </c>
      <c r="Z302" s="368" t="str">
        <f t="shared" ca="1" si="139"/>
        <v/>
      </c>
      <c r="AA302" s="369" t="str">
        <f t="shared" ca="1" si="140"/>
        <v/>
      </c>
      <c r="AB302" s="344"/>
      <c r="AC302" s="363" t="e">
        <f t="shared" ca="1" si="141"/>
        <v>#N/A</v>
      </c>
      <c r="AD302" s="376" t="e">
        <f t="shared" ca="1" si="142"/>
        <v>#N/A</v>
      </c>
      <c r="AE302" s="377" t="e">
        <f t="shared" ca="1" si="121"/>
        <v>#N/A</v>
      </c>
      <c r="AF302" s="344"/>
      <c r="AG302" s="359">
        <f t="shared" ca="1" si="143"/>
        <v>8.0840626833086429</v>
      </c>
      <c r="AH302" s="357">
        <f t="shared" ca="1" si="144"/>
        <v>-1.3101030561091653</v>
      </c>
    </row>
    <row r="303" spans="1:34" x14ac:dyDescent="0.2">
      <c r="A303" s="402">
        <f t="shared" ca="1" si="122"/>
        <v>0.1</v>
      </c>
      <c r="B303" s="357">
        <f t="shared" ca="1" si="123"/>
        <v>11.899999999999975</v>
      </c>
      <c r="C303" s="342"/>
      <c r="D303" s="359">
        <f t="shared" ca="1" si="124"/>
        <v>-0.38398141613471004</v>
      </c>
      <c r="E303" s="360">
        <f t="shared" ca="1" si="125"/>
        <v>-8.5003928190571987</v>
      </c>
      <c r="F303" s="357">
        <f t="shared" ca="1" si="126"/>
        <v>8.5090610413967536</v>
      </c>
      <c r="G303" s="359">
        <f t="shared" ca="1" si="127"/>
        <v>11.329022234875341</v>
      </c>
      <c r="H303" s="360">
        <f t="shared" ca="1" si="128"/>
        <v>-39.619768045608708</v>
      </c>
      <c r="I303" s="357">
        <f t="shared" ca="1" si="129"/>
        <v>41.207678468777353</v>
      </c>
      <c r="J303" s="359">
        <f t="shared" ca="1" si="130"/>
        <v>148.902127397269</v>
      </c>
      <c r="K303" s="360">
        <f t="shared" ca="1" si="131"/>
        <v>195.26740305549816</v>
      </c>
      <c r="L303" s="357">
        <f t="shared" ca="1" si="116"/>
        <v>245.56303109277445</v>
      </c>
      <c r="M303" s="359">
        <f t="shared" ca="1" si="132"/>
        <v>-1.2922846000864809</v>
      </c>
      <c r="N303" s="357">
        <f t="shared" ca="1" si="133"/>
        <v>-74.042453514706779</v>
      </c>
      <c r="O303" s="343"/>
      <c r="P303" s="363">
        <f t="shared" ca="1" si="134"/>
        <v>23</v>
      </c>
      <c r="Q303" s="357">
        <f t="shared" ca="1" si="135"/>
        <v>0</v>
      </c>
      <c r="R303" s="359">
        <f t="shared" ca="1" si="136"/>
        <v>0</v>
      </c>
      <c r="S303" s="360">
        <f t="shared" ca="1" si="137"/>
        <v>1.5629999999999982</v>
      </c>
      <c r="T303" s="357">
        <f t="shared" ca="1" si="117"/>
        <v>15.333029999999983</v>
      </c>
      <c r="U303" s="364">
        <f t="shared" ca="1" si="118"/>
        <v>0</v>
      </c>
      <c r="V303" s="359">
        <f t="shared" ca="1" si="119"/>
        <v>1.201311027334375</v>
      </c>
      <c r="W303" s="357">
        <f t="shared" ca="1" si="120"/>
        <v>2.2198951425679581</v>
      </c>
      <c r="X303" s="343"/>
      <c r="Y303" s="367" t="str">
        <f t="shared" ca="1" si="138"/>
        <v/>
      </c>
      <c r="Z303" s="368" t="str">
        <f t="shared" ca="1" si="139"/>
        <v/>
      </c>
      <c r="AA303" s="369" t="str">
        <f t="shared" ca="1" si="140"/>
        <v/>
      </c>
      <c r="AB303" s="344"/>
      <c r="AC303" s="363" t="e">
        <f t="shared" ca="1" si="141"/>
        <v>#N/A</v>
      </c>
      <c r="AD303" s="376" t="e">
        <f t="shared" ca="1" si="142"/>
        <v>#N/A</v>
      </c>
      <c r="AE303" s="377" t="e">
        <f t="shared" ca="1" si="121"/>
        <v>#N/A</v>
      </c>
      <c r="AF303" s="344"/>
      <c r="AG303" s="359">
        <f t="shared" ca="1" si="143"/>
        <v>8.0489626824177947</v>
      </c>
      <c r="AH303" s="357">
        <f t="shared" ca="1" si="144"/>
        <v>-1.3647390579571508</v>
      </c>
    </row>
    <row r="304" spans="1:34" x14ac:dyDescent="0.2">
      <c r="A304" s="402">
        <f t="shared" ca="1" si="122"/>
        <v>0.1</v>
      </c>
      <c r="B304" s="357">
        <f t="shared" ca="1" si="123"/>
        <v>11.999999999999975</v>
      </c>
      <c r="C304" s="342"/>
      <c r="D304" s="359">
        <f t="shared" ca="1" si="124"/>
        <v>-0.39047008216967422</v>
      </c>
      <c r="E304" s="360">
        <f t="shared" ca="1" si="125"/>
        <v>-8.4444510793978065</v>
      </c>
      <c r="F304" s="357">
        <f t="shared" ca="1" si="126"/>
        <v>8.4534738964175169</v>
      </c>
      <c r="G304" s="359">
        <f t="shared" ca="1" si="127"/>
        <v>11.289975226658374</v>
      </c>
      <c r="H304" s="360">
        <f t="shared" ca="1" si="128"/>
        <v>-40.464213153548492</v>
      </c>
      <c r="I304" s="357">
        <f t="shared" ca="1" si="129"/>
        <v>42.009714195104522</v>
      </c>
      <c r="J304" s="359">
        <f t="shared" ca="1" si="130"/>
        <v>150.03307727034567</v>
      </c>
      <c r="K304" s="360">
        <f t="shared" ca="1" si="131"/>
        <v>191.26320399554029</v>
      </c>
      <c r="L304" s="357">
        <f t="shared" ca="1" si="116"/>
        <v>243.08750991741468</v>
      </c>
      <c r="M304" s="359">
        <f t="shared" ca="1" si="132"/>
        <v>-1.2987046225075354</v>
      </c>
      <c r="N304" s="357">
        <f t="shared" ca="1" si="133"/>
        <v>-74.410293703812556</v>
      </c>
      <c r="O304" s="343"/>
      <c r="P304" s="363">
        <f t="shared" ca="1" si="134"/>
        <v>23</v>
      </c>
      <c r="Q304" s="357">
        <f t="shared" ca="1" si="135"/>
        <v>0</v>
      </c>
      <c r="R304" s="359">
        <f t="shared" ca="1" si="136"/>
        <v>0</v>
      </c>
      <c r="S304" s="360">
        <f t="shared" ca="1" si="137"/>
        <v>1.5629999999999982</v>
      </c>
      <c r="T304" s="357">
        <f t="shared" ca="1" si="117"/>
        <v>15.333029999999983</v>
      </c>
      <c r="U304" s="364">
        <f t="shared" ca="1" si="118"/>
        <v>0</v>
      </c>
      <c r="V304" s="359">
        <f t="shared" ca="1" si="119"/>
        <v>1.2017921974442718</v>
      </c>
      <c r="W304" s="357">
        <f t="shared" ca="1" si="120"/>
        <v>2.3080729684852583</v>
      </c>
      <c r="X304" s="343"/>
      <c r="Y304" s="367" t="str">
        <f t="shared" ca="1" si="138"/>
        <v/>
      </c>
      <c r="Z304" s="368" t="str">
        <f t="shared" ca="1" si="139"/>
        <v/>
      </c>
      <c r="AA304" s="369" t="str">
        <f t="shared" ca="1" si="140"/>
        <v/>
      </c>
      <c r="AB304" s="344"/>
      <c r="AC304" s="363">
        <f t="shared" ca="1" si="141"/>
        <v>11.999999999999975</v>
      </c>
      <c r="AD304" s="376">
        <f t="shared" ca="1" si="142"/>
        <v>150.03307727034567</v>
      </c>
      <c r="AE304" s="377" t="e">
        <f t="shared" ca="1" si="121"/>
        <v>#N/A</v>
      </c>
      <c r="AF304" s="344"/>
      <c r="AG304" s="359">
        <f t="shared" ca="1" si="143"/>
        <v>8.0116997866168038</v>
      </c>
      <c r="AH304" s="357">
        <f t="shared" ca="1" si="144"/>
        <v>-1.4202784021548054</v>
      </c>
    </row>
    <row r="305" spans="1:34" x14ac:dyDescent="0.2">
      <c r="A305" s="402">
        <f t="shared" ca="1" si="122"/>
        <v>0.1</v>
      </c>
      <c r="B305" s="357">
        <f t="shared" ca="1" si="123"/>
        <v>12.099999999999975</v>
      </c>
      <c r="C305" s="342"/>
      <c r="D305" s="359">
        <f t="shared" ca="1" si="124"/>
        <v>-0.39685679317780553</v>
      </c>
      <c r="E305" s="360">
        <f t="shared" ca="1" si="125"/>
        <v>-8.3876321428356722</v>
      </c>
      <c r="F305" s="357">
        <f t="shared" ca="1" si="126"/>
        <v>8.3970154387032956</v>
      </c>
      <c r="G305" s="359">
        <f t="shared" ca="1" si="127"/>
        <v>11.250289547340593</v>
      </c>
      <c r="H305" s="360">
        <f t="shared" ca="1" si="128"/>
        <v>-41.302976367832059</v>
      </c>
      <c r="I305" s="357">
        <f t="shared" ca="1" si="129"/>
        <v>42.807766488578849</v>
      </c>
      <c r="J305" s="359">
        <f t="shared" ca="1" si="130"/>
        <v>151.16009050904563</v>
      </c>
      <c r="K305" s="360">
        <f t="shared" ca="1" si="131"/>
        <v>187.17484451947126</v>
      </c>
      <c r="L305" s="357">
        <f t="shared" ca="1" si="116"/>
        <v>240.59051391023527</v>
      </c>
      <c r="M305" s="359">
        <f t="shared" ca="1" si="132"/>
        <v>-1.3048633706737132</v>
      </c>
      <c r="N305" s="357">
        <f t="shared" ca="1" si="133"/>
        <v>-74.763163980818476</v>
      </c>
      <c r="O305" s="343"/>
      <c r="P305" s="363">
        <f t="shared" ca="1" si="134"/>
        <v>23</v>
      </c>
      <c r="Q305" s="357">
        <f t="shared" ca="1" si="135"/>
        <v>0</v>
      </c>
      <c r="R305" s="359">
        <f t="shared" ca="1" si="136"/>
        <v>0</v>
      </c>
      <c r="S305" s="360">
        <f t="shared" ca="1" si="137"/>
        <v>1.5629999999999982</v>
      </c>
      <c r="T305" s="357">
        <f t="shared" ca="1" si="117"/>
        <v>15.333029999999983</v>
      </c>
      <c r="U305" s="364">
        <f t="shared" ca="1" si="118"/>
        <v>0</v>
      </c>
      <c r="V305" s="359">
        <f t="shared" ca="1" si="119"/>
        <v>1.202283677750619</v>
      </c>
      <c r="W305" s="357">
        <f t="shared" ca="1" si="120"/>
        <v>2.3975782481463774</v>
      </c>
      <c r="X305" s="343"/>
      <c r="Y305" s="367" t="str">
        <f t="shared" ca="1" si="138"/>
        <v/>
      </c>
      <c r="Z305" s="368" t="str">
        <f t="shared" ca="1" si="139"/>
        <v/>
      </c>
      <c r="AA305" s="369" t="str">
        <f t="shared" ca="1" si="140"/>
        <v/>
      </c>
      <c r="AB305" s="344"/>
      <c r="AC305" s="363" t="e">
        <f t="shared" ca="1" si="141"/>
        <v>#N/A</v>
      </c>
      <c r="AD305" s="376" t="e">
        <f t="shared" ca="1" si="142"/>
        <v>#N/A</v>
      </c>
      <c r="AE305" s="377" t="e">
        <f t="shared" ca="1" si="121"/>
        <v>#N/A</v>
      </c>
      <c r="AF305" s="344"/>
      <c r="AG305" s="359">
        <f t="shared" ca="1" si="143"/>
        <v>7.9724044291826557</v>
      </c>
      <c r="AH305" s="357">
        <f t="shared" ca="1" si="144"/>
        <v>-1.4766941577001029</v>
      </c>
    </row>
    <row r="306" spans="1:34" x14ac:dyDescent="0.2">
      <c r="A306" s="402">
        <f t="shared" ca="1" si="122"/>
        <v>0.1</v>
      </c>
      <c r="B306" s="357">
        <f t="shared" ca="1" si="123"/>
        <v>12.199999999999974</v>
      </c>
      <c r="C306" s="342"/>
      <c r="D306" s="359">
        <f t="shared" ca="1" si="124"/>
        <v>-0.40313911943772884</v>
      </c>
      <c r="E306" s="360">
        <f t="shared" ca="1" si="125"/>
        <v>-8.3299629349076483</v>
      </c>
      <c r="F306" s="357">
        <f t="shared" ca="1" si="126"/>
        <v>8.3397124438769641</v>
      </c>
      <c r="G306" s="359">
        <f t="shared" ca="1" si="127"/>
        <v>11.20997563539682</v>
      </c>
      <c r="H306" s="360">
        <f t="shared" ca="1" si="128"/>
        <v>-42.135972661322825</v>
      </c>
      <c r="I306" s="357">
        <f t="shared" ca="1" si="129"/>
        <v>43.601648430557475</v>
      </c>
      <c r="J306" s="359">
        <f t="shared" ca="1" si="130"/>
        <v>152.28310376818251</v>
      </c>
      <c r="K306" s="360">
        <f t="shared" ca="1" si="131"/>
        <v>183.00289706801351</v>
      </c>
      <c r="L306" s="357">
        <f t="shared" ca="1" si="116"/>
        <v>238.07604673414122</v>
      </c>
      <c r="M306" s="359">
        <f t="shared" ca="1" si="132"/>
        <v>-1.3107763962893937</v>
      </c>
      <c r="N306" s="357">
        <f t="shared" ca="1" si="133"/>
        <v>-75.101955392749716</v>
      </c>
      <c r="O306" s="343"/>
      <c r="P306" s="363">
        <f t="shared" ca="1" si="134"/>
        <v>23</v>
      </c>
      <c r="Q306" s="357">
        <f t="shared" ca="1" si="135"/>
        <v>0</v>
      </c>
      <c r="R306" s="359">
        <f t="shared" ca="1" si="136"/>
        <v>0</v>
      </c>
      <c r="S306" s="360">
        <f t="shared" ca="1" si="137"/>
        <v>1.5629999999999982</v>
      </c>
      <c r="T306" s="357">
        <f t="shared" ca="1" si="117"/>
        <v>15.333029999999983</v>
      </c>
      <c r="U306" s="364">
        <f t="shared" ca="1" si="118"/>
        <v>0</v>
      </c>
      <c r="V306" s="359">
        <f t="shared" ca="1" si="119"/>
        <v>1.2027854118089749</v>
      </c>
      <c r="W306" s="357">
        <f t="shared" ca="1" si="120"/>
        <v>2.488368359046476</v>
      </c>
      <c r="X306" s="343"/>
      <c r="Y306" s="367" t="str">
        <f t="shared" ca="1" si="138"/>
        <v/>
      </c>
      <c r="Z306" s="368" t="str">
        <f t="shared" ca="1" si="139"/>
        <v/>
      </c>
      <c r="AA306" s="369" t="str">
        <f t="shared" ca="1" si="140"/>
        <v/>
      </c>
      <c r="AB306" s="344"/>
      <c r="AC306" s="363" t="e">
        <f t="shared" ca="1" si="141"/>
        <v>#N/A</v>
      </c>
      <c r="AD306" s="376" t="e">
        <f t="shared" ca="1" si="142"/>
        <v>#N/A</v>
      </c>
      <c r="AE306" s="377" t="e">
        <f t="shared" ca="1" si="121"/>
        <v>#N/A</v>
      </c>
      <c r="AF306" s="344"/>
      <c r="AG306" s="359">
        <f t="shared" ca="1" si="143"/>
        <v>7.9311970297365679</v>
      </c>
      <c r="AH306" s="357">
        <f t="shared" ca="1" si="144"/>
        <v>-1.5339592118658862</v>
      </c>
    </row>
    <row r="307" spans="1:34" x14ac:dyDescent="0.2">
      <c r="A307" s="402">
        <f t="shared" ca="1" si="122"/>
        <v>0.1</v>
      </c>
      <c r="B307" s="357">
        <f t="shared" ca="1" si="123"/>
        <v>12.299999999999974</v>
      </c>
      <c r="C307" s="342"/>
      <c r="D307" s="359">
        <f t="shared" ca="1" si="124"/>
        <v>-0.40931480390062203</v>
      </c>
      <c r="E307" s="360">
        <f t="shared" ca="1" si="125"/>
        <v>-8.271470573355014</v>
      </c>
      <c r="F307" s="357">
        <f t="shared" ca="1" si="126"/>
        <v>8.2815918792566769</v>
      </c>
      <c r="G307" s="359">
        <f t="shared" ca="1" si="127"/>
        <v>11.169044155006757</v>
      </c>
      <c r="H307" s="360">
        <f t="shared" ca="1" si="128"/>
        <v>-42.963119718658326</v>
      </c>
      <c r="I307" s="357">
        <f t="shared" ca="1" si="129"/>
        <v>44.391183846528115</v>
      </c>
      <c r="J307" s="359">
        <f t="shared" ca="1" si="130"/>
        <v>153.4020547577027</v>
      </c>
      <c r="K307" s="360">
        <f t="shared" ca="1" si="131"/>
        <v>178.74794244901446</v>
      </c>
      <c r="L307" s="357">
        <f t="shared" ca="1" si="116"/>
        <v>235.54833332809088</v>
      </c>
      <c r="M307" s="359">
        <f t="shared" ca="1" si="132"/>
        <v>-1.3164580711439802</v>
      </c>
      <c r="N307" s="357">
        <f t="shared" ca="1" si="133"/>
        <v>-75.427491382483126</v>
      </c>
      <c r="O307" s="343"/>
      <c r="P307" s="363">
        <f t="shared" ca="1" si="134"/>
        <v>23</v>
      </c>
      <c r="Q307" s="357">
        <f t="shared" ca="1" si="135"/>
        <v>0</v>
      </c>
      <c r="R307" s="359">
        <f t="shared" ca="1" si="136"/>
        <v>0</v>
      </c>
      <c r="S307" s="360">
        <f t="shared" ca="1" si="137"/>
        <v>1.5629999999999982</v>
      </c>
      <c r="T307" s="357">
        <f t="shared" ca="1" si="117"/>
        <v>15.333029999999983</v>
      </c>
      <c r="U307" s="364">
        <f t="shared" ca="1" si="118"/>
        <v>0</v>
      </c>
      <c r="V307" s="359">
        <f t="shared" ca="1" si="119"/>
        <v>1.203297342320292</v>
      </c>
      <c r="W307" s="357">
        <f t="shared" ca="1" si="120"/>
        <v>2.5804004718042872</v>
      </c>
      <c r="X307" s="343"/>
      <c r="Y307" s="367" t="str">
        <f t="shared" ca="1" si="138"/>
        <v/>
      </c>
      <c r="Z307" s="368" t="str">
        <f t="shared" ca="1" si="139"/>
        <v/>
      </c>
      <c r="AA307" s="369" t="str">
        <f t="shared" ca="1" si="140"/>
        <v/>
      </c>
      <c r="AB307" s="344"/>
      <c r="AC307" s="363" t="e">
        <f t="shared" ca="1" si="141"/>
        <v>#N/A</v>
      </c>
      <c r="AD307" s="376" t="e">
        <f t="shared" ca="1" si="142"/>
        <v>#N/A</v>
      </c>
      <c r="AE307" s="377" t="e">
        <f t="shared" ca="1" si="121"/>
        <v>#N/A</v>
      </c>
      <c r="AF307" s="344"/>
      <c r="AG307" s="359">
        <f t="shared" ca="1" si="143"/>
        <v>7.8881891246993963</v>
      </c>
      <c r="AH307" s="357">
        <f t="shared" ca="1" si="144"/>
        <v>-1.5920462949753544</v>
      </c>
    </row>
    <row r="308" spans="1:34" x14ac:dyDescent="0.2">
      <c r="A308" s="402">
        <f t="shared" ca="1" si="122"/>
        <v>0.1</v>
      </c>
      <c r="B308" s="357">
        <f t="shared" ca="1" si="123"/>
        <v>12.399999999999974</v>
      </c>
      <c r="C308" s="342"/>
      <c r="D308" s="359">
        <f t="shared" ca="1" si="124"/>
        <v>-0.41538175346382095</v>
      </c>
      <c r="E308" s="360">
        <f t="shared" ca="1" si="125"/>
        <v>-8.2121823393891358</v>
      </c>
      <c r="F308" s="357">
        <f t="shared" ca="1" si="126"/>
        <v>8.2226808752672316</v>
      </c>
      <c r="G308" s="359">
        <f t="shared" ca="1" si="127"/>
        <v>11.127505979660375</v>
      </c>
      <c r="H308" s="360">
        <f t="shared" ca="1" si="128"/>
        <v>-43.784337952597241</v>
      </c>
      <c r="I308" s="357">
        <f t="shared" ca="1" si="129"/>
        <v>45.176206561359535</v>
      </c>
      <c r="J308" s="359">
        <f t="shared" ca="1" si="130"/>
        <v>154.51688226443605</v>
      </c>
      <c r="K308" s="360">
        <f t="shared" ca="1" si="131"/>
        <v>174.41056956545168</v>
      </c>
      <c r="L308" s="357">
        <f t="shared" ca="1" si="116"/>
        <v>233.01183163278822</v>
      </c>
      <c r="M308" s="359">
        <f t="shared" ca="1" si="132"/>
        <v>-1.3219216936873155</v>
      </c>
      <c r="N308" s="357">
        <f t="shared" ca="1" si="133"/>
        <v>-75.740533895068779</v>
      </c>
      <c r="O308" s="343"/>
      <c r="P308" s="363">
        <f t="shared" ca="1" si="134"/>
        <v>23</v>
      </c>
      <c r="Q308" s="357">
        <f t="shared" ca="1" si="135"/>
        <v>0</v>
      </c>
      <c r="R308" s="359">
        <f t="shared" ca="1" si="136"/>
        <v>0</v>
      </c>
      <c r="S308" s="360">
        <f t="shared" ca="1" si="137"/>
        <v>1.5629999999999982</v>
      </c>
      <c r="T308" s="357">
        <f t="shared" ca="1" si="117"/>
        <v>15.333029999999983</v>
      </c>
      <c r="U308" s="364">
        <f t="shared" ca="1" si="118"/>
        <v>0</v>
      </c>
      <c r="V308" s="359">
        <f t="shared" ca="1" si="119"/>
        <v>1.2038194111564293</v>
      </c>
      <c r="W308" s="357">
        <f t="shared" ca="1" si="120"/>
        <v>2.6736315882524173</v>
      </c>
      <c r="X308" s="343"/>
      <c r="Y308" s="367" t="str">
        <f t="shared" ca="1" si="138"/>
        <v/>
      </c>
      <c r="Z308" s="368" t="str">
        <f t="shared" ca="1" si="139"/>
        <v/>
      </c>
      <c r="AA308" s="369" t="str">
        <f t="shared" ca="1" si="140"/>
        <v/>
      </c>
      <c r="AB308" s="344"/>
      <c r="AC308" s="363" t="e">
        <f t="shared" ca="1" si="141"/>
        <v>#N/A</v>
      </c>
      <c r="AD308" s="376" t="e">
        <f t="shared" ca="1" si="142"/>
        <v>#N/A</v>
      </c>
      <c r="AE308" s="377" t="e">
        <f t="shared" ca="1" si="121"/>
        <v>#N/A</v>
      </c>
      <c r="AF308" s="344"/>
      <c r="AG308" s="359">
        <f t="shared" ca="1" si="143"/>
        <v>7.843484351684781</v>
      </c>
      <c r="AH308" s="357">
        <f t="shared" ca="1" si="144"/>
        <v>-1.6509280049931478</v>
      </c>
    </row>
    <row r="309" spans="1:34" x14ac:dyDescent="0.2">
      <c r="A309" s="402">
        <f t="shared" ca="1" si="122"/>
        <v>0.1</v>
      </c>
      <c r="B309" s="357">
        <f t="shared" ca="1" si="123"/>
        <v>12.499999999999973</v>
      </c>
      <c r="C309" s="342"/>
      <c r="D309" s="359">
        <f t="shared" ca="1" si="124"/>
        <v>-0.42133803111004509</v>
      </c>
      <c r="E309" s="360">
        <f t="shared" ca="1" si="125"/>
        <v>-8.1521256497076102</v>
      </c>
      <c r="F309" s="357">
        <f t="shared" ca="1" si="126"/>
        <v>8.1630066976010998</v>
      </c>
      <c r="G309" s="359">
        <f t="shared" ca="1" si="127"/>
        <v>11.08537217654937</v>
      </c>
      <c r="H309" s="360">
        <f t="shared" ca="1" si="128"/>
        <v>-44.599550517568005</v>
      </c>
      <c r="I309" s="357">
        <f t="shared" ca="1" si="129"/>
        <v>45.956559734837803</v>
      </c>
      <c r="J309" s="359">
        <f t="shared" ca="1" si="130"/>
        <v>155.62752617224655</v>
      </c>
      <c r="K309" s="360">
        <f t="shared" ca="1" si="131"/>
        <v>169.99137514194342</v>
      </c>
      <c r="L309" s="357">
        <f t="shared" ca="1" si="116"/>
        <v>230.47124446477531</v>
      </c>
      <c r="M309" s="359">
        <f t="shared" ca="1" si="132"/>
        <v>-1.327179584630537</v>
      </c>
      <c r="N309" s="357">
        <f t="shared" ca="1" si="133"/>
        <v>-76.041788855255433</v>
      </c>
      <c r="O309" s="343"/>
      <c r="P309" s="363">
        <f t="shared" ca="1" si="134"/>
        <v>23</v>
      </c>
      <c r="Q309" s="357">
        <f t="shared" ca="1" si="135"/>
        <v>0</v>
      </c>
      <c r="R309" s="359">
        <f t="shared" ca="1" si="136"/>
        <v>0</v>
      </c>
      <c r="S309" s="360">
        <f t="shared" ca="1" si="137"/>
        <v>1.5629999999999982</v>
      </c>
      <c r="T309" s="357">
        <f t="shared" ca="1" si="117"/>
        <v>15.333029999999983</v>
      </c>
      <c r="U309" s="364">
        <f t="shared" ca="1" si="118"/>
        <v>0</v>
      </c>
      <c r="V309" s="359">
        <f t="shared" ca="1" si="119"/>
        <v>1.2043515593858389</v>
      </c>
      <c r="W309" s="357">
        <f t="shared" ca="1" si="120"/>
        <v>2.7680185791270442</v>
      </c>
      <c r="X309" s="343"/>
      <c r="Y309" s="367" t="str">
        <f t="shared" ca="1" si="138"/>
        <v/>
      </c>
      <c r="Z309" s="368" t="str">
        <f t="shared" ca="1" si="139"/>
        <v/>
      </c>
      <c r="AA309" s="369" t="str">
        <f t="shared" ca="1" si="140"/>
        <v/>
      </c>
      <c r="AB309" s="344"/>
      <c r="AC309" s="363" t="e">
        <f t="shared" ca="1" si="141"/>
        <v>#N/A</v>
      </c>
      <c r="AD309" s="376" t="e">
        <f t="shared" ca="1" si="142"/>
        <v>#N/A</v>
      </c>
      <c r="AE309" s="377" t="e">
        <f t="shared" ca="1" si="121"/>
        <v>#N/A</v>
      </c>
      <c r="AF309" s="344"/>
      <c r="AG309" s="359">
        <f t="shared" ca="1" si="143"/>
        <v>7.7971793080892633</v>
      </c>
      <c r="AH309" s="357">
        <f t="shared" ca="1" si="144"/>
        <v>-1.7105768318953425</v>
      </c>
    </row>
    <row r="310" spans="1:34" x14ac:dyDescent="0.2">
      <c r="A310" s="402">
        <f t="shared" ca="1" si="122"/>
        <v>0.1</v>
      </c>
      <c r="B310" s="357">
        <f t="shared" ca="1" si="123"/>
        <v>12.599999999999973</v>
      </c>
      <c r="C310" s="342"/>
      <c r="D310" s="359">
        <f t="shared" ca="1" si="124"/>
        <v>-0.42718184879479643</v>
      </c>
      <c r="E310" s="360">
        <f t="shared" ca="1" si="125"/>
        <v>-8.0913280292189409</v>
      </c>
      <c r="F310" s="357">
        <f t="shared" ca="1" si="126"/>
        <v>8.102596720086952</v>
      </c>
      <c r="G310" s="359">
        <f t="shared" ca="1" si="127"/>
        <v>11.042653991669891</v>
      </c>
      <c r="H310" s="360">
        <f t="shared" ca="1" si="128"/>
        <v>-45.408683320489899</v>
      </c>
      <c r="I310" s="357">
        <f t="shared" ca="1" si="129"/>
        <v>46.732095267388566</v>
      </c>
      <c r="J310" s="359">
        <f t="shared" ca="1" si="130"/>
        <v>156.73392748065751</v>
      </c>
      <c r="K310" s="360">
        <f t="shared" ca="1" si="131"/>
        <v>165.49096345004054</v>
      </c>
      <c r="L310" s="357">
        <f t="shared" ca="1" si="116"/>
        <v>227.93153140172305</v>
      </c>
      <c r="M310" s="359">
        <f t="shared" ca="1" si="132"/>
        <v>-1.3322431728184152</v>
      </c>
      <c r="N310" s="357">
        <f t="shared" ca="1" si="133"/>
        <v>-76.33191108761315</v>
      </c>
      <c r="O310" s="343"/>
      <c r="P310" s="363">
        <f t="shared" ca="1" si="134"/>
        <v>23</v>
      </c>
      <c r="Q310" s="357">
        <f t="shared" ca="1" si="135"/>
        <v>0</v>
      </c>
      <c r="R310" s="359">
        <f t="shared" ca="1" si="136"/>
        <v>0</v>
      </c>
      <c r="S310" s="360">
        <f t="shared" ca="1" si="137"/>
        <v>1.5629999999999982</v>
      </c>
      <c r="T310" s="357">
        <f t="shared" ca="1" si="117"/>
        <v>15.333029999999983</v>
      </c>
      <c r="U310" s="364">
        <f t="shared" ca="1" si="118"/>
        <v>0</v>
      </c>
      <c r="V310" s="359">
        <f t="shared" ca="1" si="119"/>
        <v>1.2048937272994009</v>
      </c>
      <c r="W310" s="357">
        <f t="shared" ca="1" si="120"/>
        <v>2.8635182213043846</v>
      </c>
      <c r="X310" s="343"/>
      <c r="Y310" s="367" t="str">
        <f t="shared" ca="1" si="138"/>
        <v/>
      </c>
      <c r="Z310" s="368" t="str">
        <f t="shared" ca="1" si="139"/>
        <v/>
      </c>
      <c r="AA310" s="369" t="str">
        <f t="shared" ca="1" si="140"/>
        <v/>
      </c>
      <c r="AB310" s="344"/>
      <c r="AC310" s="363" t="e">
        <f t="shared" ca="1" si="141"/>
        <v>#N/A</v>
      </c>
      <c r="AD310" s="376" t="e">
        <f t="shared" ca="1" si="142"/>
        <v>#N/A</v>
      </c>
      <c r="AE310" s="377" t="e">
        <f t="shared" ca="1" si="121"/>
        <v>#N/A</v>
      </c>
      <c r="AF310" s="344"/>
      <c r="AG310" s="359">
        <f t="shared" ca="1" si="143"/>
        <v>7.749364301141032</v>
      </c>
      <c r="AH310" s="357">
        <f t="shared" ca="1" si="144"/>
        <v>-1.7709651817831398</v>
      </c>
    </row>
    <row r="311" spans="1:34" x14ac:dyDescent="0.2">
      <c r="A311" s="402">
        <f t="shared" ca="1" si="122"/>
        <v>0.1</v>
      </c>
      <c r="B311" s="357">
        <f t="shared" ca="1" si="123"/>
        <v>12.699999999999973</v>
      </c>
      <c r="C311" s="342"/>
      <c r="D311" s="359">
        <f t="shared" ca="1" si="124"/>
        <v>-0.43291156098089001</v>
      </c>
      <c r="E311" s="360">
        <f t="shared" ca="1" si="125"/>
        <v>-8.0298170844446197</v>
      </c>
      <c r="F311" s="357">
        <f t="shared" ca="1" si="126"/>
        <v>8.0414783982343447</v>
      </c>
      <c r="G311" s="359">
        <f t="shared" ca="1" si="127"/>
        <v>10.999362835571802</v>
      </c>
      <c r="H311" s="360">
        <f t="shared" ca="1" si="128"/>
        <v>-46.211665028934362</v>
      </c>
      <c r="I311" s="357">
        <f t="shared" ca="1" si="129"/>
        <v>47.502673267248795</v>
      </c>
      <c r="J311" s="359">
        <f t="shared" ca="1" si="130"/>
        <v>157.83602832201959</v>
      </c>
      <c r="K311" s="360">
        <f t="shared" ca="1" si="131"/>
        <v>160.90994603256934</v>
      </c>
      <c r="L311" s="357">
        <f t="shared" ca="1" si="116"/>
        <v>225.39792050654273</v>
      </c>
      <c r="M311" s="359">
        <f t="shared" ca="1" si="132"/>
        <v>-1.3371230724678629</v>
      </c>
      <c r="N311" s="357">
        <f t="shared" ca="1" si="133"/>
        <v>-76.611508741973864</v>
      </c>
      <c r="O311" s="343"/>
      <c r="P311" s="363">
        <f t="shared" ca="1" si="134"/>
        <v>23</v>
      </c>
      <c r="Q311" s="357">
        <f t="shared" ca="1" si="135"/>
        <v>0</v>
      </c>
      <c r="R311" s="359">
        <f t="shared" ca="1" si="136"/>
        <v>0</v>
      </c>
      <c r="S311" s="360">
        <f t="shared" ca="1" si="137"/>
        <v>1.5629999999999982</v>
      </c>
      <c r="T311" s="357">
        <f t="shared" ca="1" si="117"/>
        <v>15.333029999999983</v>
      </c>
      <c r="U311" s="364">
        <f t="shared" ca="1" si="118"/>
        <v>0</v>
      </c>
      <c r="V311" s="359">
        <f t="shared" ca="1" si="119"/>
        <v>1.205445854436378</v>
      </c>
      <c r="W311" s="357">
        <f t="shared" ca="1" si="120"/>
        <v>2.9600872345336291</v>
      </c>
      <c r="X311" s="343"/>
      <c r="Y311" s="367" t="str">
        <f t="shared" ca="1" si="138"/>
        <v/>
      </c>
      <c r="Z311" s="368" t="str">
        <f t="shared" ca="1" si="139"/>
        <v/>
      </c>
      <c r="AA311" s="369" t="str">
        <f t="shared" ca="1" si="140"/>
        <v/>
      </c>
      <c r="AB311" s="344"/>
      <c r="AC311" s="363" t="e">
        <f t="shared" ca="1" si="141"/>
        <v>#N/A</v>
      </c>
      <c r="AD311" s="376" t="e">
        <f t="shared" ca="1" si="142"/>
        <v>#N/A</v>
      </c>
      <c r="AE311" s="377" t="e">
        <f t="shared" ca="1" si="121"/>
        <v>#N/A</v>
      </c>
      <c r="AF311" s="344"/>
      <c r="AG311" s="359">
        <f t="shared" ca="1" si="143"/>
        <v>7.7001240041383632</v>
      </c>
      <c r="AH311" s="357">
        <f t="shared" ca="1" si="144"/>
        <v>-1.8320654007065822</v>
      </c>
    </row>
    <row r="312" spans="1:34" x14ac:dyDescent="0.2">
      <c r="A312" s="402">
        <f t="shared" ca="1" si="122"/>
        <v>0.1</v>
      </c>
      <c r="B312" s="357">
        <f t="shared" ca="1" si="123"/>
        <v>12.799999999999972</v>
      </c>
      <c r="C312" s="342"/>
      <c r="D312" s="359">
        <f t="shared" ca="1" si="124"/>
        <v>-0.4385256587330999</v>
      </c>
      <c r="E312" s="360">
        <f t="shared" ca="1" si="125"/>
        <v>-7.9676204775762081</v>
      </c>
      <c r="F312" s="357">
        <f t="shared" ca="1" si="126"/>
        <v>7.9796792434319697</v>
      </c>
      <c r="G312" s="359">
        <f t="shared" ca="1" si="127"/>
        <v>10.955510269698491</v>
      </c>
      <c r="H312" s="360">
        <f t="shared" ca="1" si="128"/>
        <v>-47.00842707669198</v>
      </c>
      <c r="I312" s="357">
        <f t="shared" ca="1" si="129"/>
        <v>48.268161571517687</v>
      </c>
      <c r="J312" s="359">
        <f t="shared" ca="1" si="130"/>
        <v>158.9337719772831</v>
      </c>
      <c r="K312" s="360">
        <f t="shared" ca="1" si="131"/>
        <v>156.24894142728803</v>
      </c>
      <c r="L312" s="357">
        <f t="shared" ca="1" si="116"/>
        <v>222.87591967746337</v>
      </c>
      <c r="M312" s="359">
        <f t="shared" ca="1" si="132"/>
        <v>-1.3418291527349604</v>
      </c>
      <c r="N312" s="357">
        <f t="shared" ca="1" si="133"/>
        <v>-76.88114727932836</v>
      </c>
      <c r="O312" s="343"/>
      <c r="P312" s="363">
        <f t="shared" ca="1" si="134"/>
        <v>23</v>
      </c>
      <c r="Q312" s="357">
        <f t="shared" ca="1" si="135"/>
        <v>0</v>
      </c>
      <c r="R312" s="359">
        <f t="shared" ca="1" si="136"/>
        <v>0</v>
      </c>
      <c r="S312" s="360">
        <f t="shared" ca="1" si="137"/>
        <v>1.5629999999999982</v>
      </c>
      <c r="T312" s="357">
        <f t="shared" ca="1" si="117"/>
        <v>15.333029999999983</v>
      </c>
      <c r="U312" s="364">
        <f t="shared" ca="1" si="118"/>
        <v>0</v>
      </c>
      <c r="V312" s="359">
        <f t="shared" ca="1" si="119"/>
        <v>1.2060078796104732</v>
      </c>
      <c r="W312" s="357">
        <f t="shared" ca="1" si="120"/>
        <v>3.0576823176184433</v>
      </c>
      <c r="X312" s="343"/>
      <c r="Y312" s="367" t="str">
        <f t="shared" ca="1" si="138"/>
        <v/>
      </c>
      <c r="Z312" s="368" t="str">
        <f t="shared" ca="1" si="139"/>
        <v/>
      </c>
      <c r="AA312" s="369" t="str">
        <f t="shared" ca="1" si="140"/>
        <v/>
      </c>
      <c r="AB312" s="344"/>
      <c r="AC312" s="363" t="e">
        <f t="shared" ca="1" si="141"/>
        <v>#N/A</v>
      </c>
      <c r="AD312" s="376" t="e">
        <f t="shared" ca="1" si="142"/>
        <v>#N/A</v>
      </c>
      <c r="AE312" s="377" t="e">
        <f t="shared" ca="1" si="121"/>
        <v>#N/A</v>
      </c>
      <c r="AF312" s="344"/>
      <c r="AG312" s="359">
        <f t="shared" ca="1" si="143"/>
        <v>7.6495380314700689</v>
      </c>
      <c r="AH312" s="357">
        <f t="shared" ca="1" si="144"/>
        <v>-1.8938497981661118</v>
      </c>
    </row>
    <row r="313" spans="1:34" x14ac:dyDescent="0.2">
      <c r="A313" s="402">
        <f t="shared" ca="1" si="122"/>
        <v>0.1</v>
      </c>
      <c r="B313" s="357">
        <f t="shared" ca="1" si="123"/>
        <v>12.899999999999972</v>
      </c>
      <c r="C313" s="342"/>
      <c r="D313" s="359">
        <f t="shared" ca="1" si="124"/>
        <v>-0.44402276429790621</v>
      </c>
      <c r="E313" s="360">
        <f t="shared" ca="1" si="125"/>
        <v>-7.9047659011720537</v>
      </c>
      <c r="F313" s="357">
        <f t="shared" ca="1" si="126"/>
        <v>7.9172267977838793</v>
      </c>
      <c r="G313" s="359">
        <f t="shared" ca="1" si="127"/>
        <v>10.911107993268701</v>
      </c>
      <c r="H313" s="360">
        <f t="shared" ca="1" si="128"/>
        <v>-47.798903666809188</v>
      </c>
      <c r="I313" s="357">
        <f t="shared" ca="1" si="129"/>
        <v>49.028435314515974</v>
      </c>
      <c r="J313" s="359">
        <f t="shared" ca="1" si="130"/>
        <v>160.02710289043145</v>
      </c>
      <c r="K313" s="360">
        <f t="shared" ca="1" si="131"/>
        <v>151.50857489011298</v>
      </c>
      <c r="L313" s="357">
        <f t="shared" ca="1" si="116"/>
        <v>220.37132736528523</v>
      </c>
      <c r="M313" s="359">
        <f t="shared" ca="1" si="132"/>
        <v>-1.3463706004571772</v>
      </c>
      <c r="N313" s="357">
        <f t="shared" ca="1" si="133"/>
        <v>-77.141353066690669</v>
      </c>
      <c r="O313" s="343"/>
      <c r="P313" s="363">
        <f t="shared" ca="1" si="134"/>
        <v>23</v>
      </c>
      <c r="Q313" s="357">
        <f t="shared" ca="1" si="135"/>
        <v>0</v>
      </c>
      <c r="R313" s="359">
        <f t="shared" ca="1" si="136"/>
        <v>0</v>
      </c>
      <c r="S313" s="360">
        <f t="shared" ca="1" si="137"/>
        <v>1.5629999999999982</v>
      </c>
      <c r="T313" s="357">
        <f t="shared" ca="1" si="117"/>
        <v>15.333029999999983</v>
      </c>
      <c r="U313" s="364">
        <f t="shared" ca="1" si="118"/>
        <v>0</v>
      </c>
      <c r="V313" s="359">
        <f t="shared" ca="1" si="119"/>
        <v>1.206579740935956</v>
      </c>
      <c r="W313" s="357">
        <f t="shared" ca="1" si="120"/>
        <v>3.1562601840014839</v>
      </c>
      <c r="X313" s="343"/>
      <c r="Y313" s="367" t="str">
        <f t="shared" ca="1" si="138"/>
        <v/>
      </c>
      <c r="Z313" s="368" t="str">
        <f t="shared" ca="1" si="139"/>
        <v/>
      </c>
      <c r="AA313" s="369" t="str">
        <f t="shared" ca="1" si="140"/>
        <v/>
      </c>
      <c r="AB313" s="344"/>
      <c r="AC313" s="363" t="e">
        <f t="shared" ca="1" si="141"/>
        <v>#N/A</v>
      </c>
      <c r="AD313" s="376" t="e">
        <f t="shared" ca="1" si="142"/>
        <v>#N/A</v>
      </c>
      <c r="AE313" s="377" t="e">
        <f t="shared" ca="1" si="121"/>
        <v>#N/A</v>
      </c>
      <c r="AF313" s="344"/>
      <c r="AG313" s="359">
        <f t="shared" ca="1" si="143"/>
        <v>7.5976814432004742</v>
      </c>
      <c r="AH313" s="357">
        <f t="shared" ca="1" si="144"/>
        <v>-1.9562906702613223</v>
      </c>
    </row>
    <row r="314" spans="1:34" x14ac:dyDescent="0.2">
      <c r="A314" s="402">
        <f t="shared" ca="1" si="122"/>
        <v>0.1</v>
      </c>
      <c r="B314" s="357">
        <f t="shared" ca="1" si="123"/>
        <v>12.999999999999972</v>
      </c>
      <c r="C314" s="342"/>
      <c r="D314" s="359">
        <f t="shared" ca="1" si="124"/>
        <v>-0.44940162610359896</v>
      </c>
      <c r="E314" s="360">
        <f t="shared" ca="1" si="125"/>
        <v>-7.8412810534837201</v>
      </c>
      <c r="F314" s="357">
        <f t="shared" ca="1" si="126"/>
        <v>7.8541486095736257</v>
      </c>
      <c r="G314" s="359">
        <f t="shared" ca="1" si="127"/>
        <v>10.866167830658341</v>
      </c>
      <c r="H314" s="360">
        <f t="shared" ca="1" si="128"/>
        <v>-48.583031772157561</v>
      </c>
      <c r="I314" s="357">
        <f t="shared" ca="1" si="129"/>
        <v>49.783376537741042</v>
      </c>
      <c r="J314" s="359">
        <f t="shared" ca="1" si="130"/>
        <v>161.11596668162781</v>
      </c>
      <c r="K314" s="360">
        <f t="shared" ca="1" si="131"/>
        <v>146.68947811816463</v>
      </c>
      <c r="L314" s="357">
        <f t="shared" ca="1" si="116"/>
        <v>217.89024234768959</v>
      </c>
      <c r="M314" s="359">
        <f t="shared" ca="1" si="132"/>
        <v>-1.3507559768163666</v>
      </c>
      <c r="N314" s="357">
        <f t="shared" ca="1" si="133"/>
        <v>-77.392616623648678</v>
      </c>
      <c r="O314" s="343"/>
      <c r="P314" s="363">
        <f t="shared" ca="1" si="134"/>
        <v>23</v>
      </c>
      <c r="Q314" s="357">
        <f t="shared" ca="1" si="135"/>
        <v>0</v>
      </c>
      <c r="R314" s="359">
        <f t="shared" ca="1" si="136"/>
        <v>0</v>
      </c>
      <c r="S314" s="360">
        <f t="shared" ca="1" si="137"/>
        <v>1.5629999999999982</v>
      </c>
      <c r="T314" s="357">
        <f t="shared" ca="1" si="117"/>
        <v>15.333029999999983</v>
      </c>
      <c r="U314" s="364">
        <f t="shared" ca="1" si="118"/>
        <v>0</v>
      </c>
      <c r="V314" s="359">
        <f t="shared" ca="1" si="119"/>
        <v>1.2071613758538422</v>
      </c>
      <c r="W314" s="357">
        <f t="shared" ca="1" si="120"/>
        <v>3.2557775967088038</v>
      </c>
      <c r="X314" s="343"/>
      <c r="Y314" s="367" t="str">
        <f t="shared" ca="1" si="138"/>
        <v/>
      </c>
      <c r="Z314" s="368" t="str">
        <f t="shared" ca="1" si="139"/>
        <v/>
      </c>
      <c r="AA314" s="369" t="str">
        <f t="shared" ca="1" si="140"/>
        <v/>
      </c>
      <c r="AB314" s="344"/>
      <c r="AC314" s="363">
        <f t="shared" ca="1" si="141"/>
        <v>12.999999999999972</v>
      </c>
      <c r="AD314" s="376">
        <f t="shared" ca="1" si="142"/>
        <v>161.11596668162781</v>
      </c>
      <c r="AE314" s="377" t="e">
        <f t="shared" ca="1" si="121"/>
        <v>#N/A</v>
      </c>
      <c r="AF314" s="344"/>
      <c r="AG314" s="359">
        <f t="shared" ca="1" si="143"/>
        <v>7.5446251884681264</v>
      </c>
      <c r="AH314" s="357">
        <f t="shared" ca="1" si="144"/>
        <v>-2.0193603224577656</v>
      </c>
    </row>
    <row r="315" spans="1:34" x14ac:dyDescent="0.2">
      <c r="A315" s="402">
        <f t="shared" ca="1" si="122"/>
        <v>0.1</v>
      </c>
      <c r="B315" s="357">
        <f t="shared" ca="1" si="123"/>
        <v>13.099999999999971</v>
      </c>
      <c r="C315" s="342"/>
      <c r="D315" s="359">
        <f t="shared" ca="1" si="124"/>
        <v>-0.45466111412483129</v>
      </c>
      <c r="E315" s="360">
        <f t="shared" ca="1" si="125"/>
        <v>-7.7771936144066567</v>
      </c>
      <c r="F315" s="357">
        <f t="shared" ca="1" si="126"/>
        <v>7.7904722093506571</v>
      </c>
      <c r="G315" s="359">
        <f t="shared" ca="1" si="127"/>
        <v>10.820701719245857</v>
      </c>
      <c r="H315" s="360">
        <f t="shared" ca="1" si="128"/>
        <v>-49.360751133598228</v>
      </c>
      <c r="I315" s="357">
        <f t="shared" ca="1" si="129"/>
        <v>50.532873836443429</v>
      </c>
      <c r="J315" s="359">
        <f t="shared" ca="1" si="130"/>
        <v>162.20031015912301</v>
      </c>
      <c r="K315" s="360">
        <f t="shared" ca="1" si="131"/>
        <v>141.79228897287683</v>
      </c>
      <c r="L315" s="357">
        <f t="shared" ca="1" si="116"/>
        <v>215.43907219416701</v>
      </c>
      <c r="M315" s="359">
        <f t="shared" ca="1" si="132"/>
        <v>-1.354993268579727</v>
      </c>
      <c r="N315" s="357">
        <f t="shared" ca="1" si="133"/>
        <v>-77.635395558254771</v>
      </c>
      <c r="O315" s="343"/>
      <c r="P315" s="363">
        <f t="shared" ca="1" si="134"/>
        <v>23</v>
      </c>
      <c r="Q315" s="357">
        <f t="shared" ca="1" si="135"/>
        <v>0</v>
      </c>
      <c r="R315" s="359">
        <f t="shared" ca="1" si="136"/>
        <v>0</v>
      </c>
      <c r="S315" s="360">
        <f t="shared" ca="1" si="137"/>
        <v>1.5629999999999982</v>
      </c>
      <c r="T315" s="357">
        <f t="shared" ca="1" si="117"/>
        <v>15.333029999999983</v>
      </c>
      <c r="U315" s="364">
        <f t="shared" ca="1" si="118"/>
        <v>0</v>
      </c>
      <c r="V315" s="359">
        <f t="shared" ca="1" si="119"/>
        <v>1.2077527211581001</v>
      </c>
      <c r="W315" s="357">
        <f t="shared" ca="1" si="120"/>
        <v>3.3561914026134407</v>
      </c>
      <c r="X315" s="343"/>
      <c r="Y315" s="367" t="str">
        <f t="shared" ca="1" si="138"/>
        <v/>
      </c>
      <c r="Z315" s="368" t="str">
        <f t="shared" ca="1" si="139"/>
        <v/>
      </c>
      <c r="AA315" s="369" t="str">
        <f t="shared" ca="1" si="140"/>
        <v/>
      </c>
      <c r="AB315" s="344"/>
      <c r="AC315" s="363" t="e">
        <f t="shared" ca="1" si="141"/>
        <v>#N/A</v>
      </c>
      <c r="AD315" s="376" t="e">
        <f t="shared" ca="1" si="142"/>
        <v>#N/A</v>
      </c>
      <c r="AE315" s="377" t="e">
        <f t="shared" ca="1" si="121"/>
        <v>#N/A</v>
      </c>
      <c r="AF315" s="344"/>
      <c r="AG315" s="359">
        <f t="shared" ca="1" si="143"/>
        <v>7.4904364956460565</v>
      </c>
      <c r="AH315" s="357">
        <f t="shared" ca="1" si="144"/>
        <v>-2.0830310919442145</v>
      </c>
    </row>
    <row r="316" spans="1:34" x14ac:dyDescent="0.2">
      <c r="A316" s="402">
        <f t="shared" ca="1" si="122"/>
        <v>0.1</v>
      </c>
      <c r="B316" s="357">
        <f t="shared" ca="1" si="123"/>
        <v>13.199999999999971</v>
      </c>
      <c r="C316" s="342"/>
      <c r="D316" s="359">
        <f t="shared" ca="1" si="124"/>
        <v>-0.45980021556332507</v>
      </c>
      <c r="E316" s="360">
        <f t="shared" ca="1" si="125"/>
        <v>-7.712531222052954</v>
      </c>
      <c r="F316" s="357">
        <f t="shared" ca="1" si="126"/>
        <v>7.7262250866366635</v>
      </c>
      <c r="G316" s="359">
        <f t="shared" ca="1" si="127"/>
        <v>10.774721697689525</v>
      </c>
      <c r="H316" s="360">
        <f t="shared" ca="1" si="128"/>
        <v>-50.132004255803523</v>
      </c>
      <c r="I316" s="357">
        <f t="shared" ca="1" si="129"/>
        <v>51.276822038486003</v>
      </c>
      <c r="J316" s="359">
        <f t="shared" ca="1" si="130"/>
        <v>163.28008132996979</v>
      </c>
      <c r="K316" s="360">
        <f t="shared" ca="1" si="131"/>
        <v>136.81765120340674</v>
      </c>
      <c r="L316" s="357">
        <f t="shared" ca="1" si="116"/>
        <v>213.02453999466496</v>
      </c>
      <c r="M316" s="359">
        <f t="shared" ca="1" si="132"/>
        <v>-1.3590899344986407</v>
      </c>
      <c r="N316" s="357">
        <f t="shared" ca="1" si="133"/>
        <v>-77.870117225483611</v>
      </c>
      <c r="O316" s="343"/>
      <c r="P316" s="363">
        <f t="shared" ca="1" si="134"/>
        <v>23</v>
      </c>
      <c r="Q316" s="357">
        <f t="shared" ca="1" si="135"/>
        <v>0</v>
      </c>
      <c r="R316" s="359">
        <f t="shared" ca="1" si="136"/>
        <v>0</v>
      </c>
      <c r="S316" s="360">
        <f t="shared" ca="1" si="137"/>
        <v>1.5629999999999982</v>
      </c>
      <c r="T316" s="357">
        <f t="shared" ca="1" si="117"/>
        <v>15.333029999999983</v>
      </c>
      <c r="U316" s="364">
        <f t="shared" ca="1" si="118"/>
        <v>0</v>
      </c>
      <c r="V316" s="359">
        <f t="shared" ca="1" si="119"/>
        <v>1.2083537130218629</v>
      </c>
      <c r="W316" s="357">
        <f t="shared" ca="1" si="120"/>
        <v>3.4574585659798514</v>
      </c>
      <c r="X316" s="343"/>
      <c r="Y316" s="367" t="str">
        <f t="shared" ca="1" si="138"/>
        <v/>
      </c>
      <c r="Z316" s="368" t="str">
        <f t="shared" ca="1" si="139"/>
        <v/>
      </c>
      <c r="AA316" s="369" t="str">
        <f t="shared" ca="1" si="140"/>
        <v/>
      </c>
      <c r="AB316" s="344"/>
      <c r="AC316" s="363" t="e">
        <f t="shared" ca="1" si="141"/>
        <v>#N/A</v>
      </c>
      <c r="AD316" s="376" t="e">
        <f t="shared" ca="1" si="142"/>
        <v>#N/A</v>
      </c>
      <c r="AE316" s="377" t="e">
        <f t="shared" ca="1" si="121"/>
        <v>#N/A</v>
      </c>
      <c r="AF316" s="344"/>
      <c r="AG316" s="359">
        <f t="shared" ca="1" si="143"/>
        <v>7.4351792161055172</v>
      </c>
      <c r="AH316" s="357">
        <f t="shared" ca="1" si="144"/>
        <v>-2.1472753695543472</v>
      </c>
    </row>
    <row r="317" spans="1:34" x14ac:dyDescent="0.2">
      <c r="A317" s="402">
        <f t="shared" ca="1" si="122"/>
        <v>0.1</v>
      </c>
      <c r="B317" s="357">
        <f t="shared" ca="1" si="123"/>
        <v>13.299999999999971</v>
      </c>
      <c r="C317" s="342"/>
      <c r="D317" s="359">
        <f t="shared" ca="1" si="124"/>
        <v>-0.46481803080293838</v>
      </c>
      <c r="E317" s="360">
        <f t="shared" ca="1" si="125"/>
        <v>-7.6473214499466904</v>
      </c>
      <c r="F317" s="357">
        <f t="shared" ca="1" si="126"/>
        <v>7.6614346672522293</v>
      </c>
      <c r="G317" s="359">
        <f t="shared" ca="1" si="127"/>
        <v>10.728239894609231</v>
      </c>
      <c r="H317" s="360">
        <f t="shared" ca="1" si="128"/>
        <v>-50.89673640079819</v>
      </c>
      <c r="I317" s="357">
        <f t="shared" ca="1" si="129"/>
        <v>52.01512191169622</v>
      </c>
      <c r="J317" s="359">
        <f t="shared" ca="1" si="130"/>
        <v>164.35522940958472</v>
      </c>
      <c r="K317" s="360">
        <f t="shared" ca="1" si="131"/>
        <v>131.76621417057666</v>
      </c>
      <c r="L317" s="357">
        <f t="shared" ca="1" si="116"/>
        <v>210.65368886189367</v>
      </c>
      <c r="M317" s="359">
        <f t="shared" ca="1" si="132"/>
        <v>-1.3630529473776554</v>
      </c>
      <c r="N317" s="357">
        <f t="shared" ca="1" si="133"/>
        <v>-78.097181137607137</v>
      </c>
      <c r="O317" s="343"/>
      <c r="P317" s="363">
        <f t="shared" ca="1" si="134"/>
        <v>23</v>
      </c>
      <c r="Q317" s="357">
        <f t="shared" ca="1" si="135"/>
        <v>0</v>
      </c>
      <c r="R317" s="359">
        <f t="shared" ca="1" si="136"/>
        <v>0</v>
      </c>
      <c r="S317" s="360">
        <f t="shared" ca="1" si="137"/>
        <v>1.5629999999999982</v>
      </c>
      <c r="T317" s="357">
        <f t="shared" ca="1" si="117"/>
        <v>15.333029999999983</v>
      </c>
      <c r="U317" s="364">
        <f t="shared" ca="1" si="118"/>
        <v>0</v>
      </c>
      <c r="V317" s="359">
        <f t="shared" ca="1" si="119"/>
        <v>1.2089642870236255</v>
      </c>
      <c r="W317" s="357">
        <f t="shared" ca="1" si="120"/>
        <v>3.5595362012533269</v>
      </c>
      <c r="X317" s="343"/>
      <c r="Y317" s="367" t="str">
        <f t="shared" ca="1" si="138"/>
        <v/>
      </c>
      <c r="Z317" s="368" t="str">
        <f t="shared" ca="1" si="139"/>
        <v/>
      </c>
      <c r="AA317" s="369" t="str">
        <f t="shared" ca="1" si="140"/>
        <v/>
      </c>
      <c r="AB317" s="344"/>
      <c r="AC317" s="363" t="e">
        <f t="shared" ca="1" si="141"/>
        <v>#N/A</v>
      </c>
      <c r="AD317" s="376" t="e">
        <f t="shared" ca="1" si="142"/>
        <v>#N/A</v>
      </c>
      <c r="AE317" s="377" t="e">
        <f t="shared" ca="1" si="121"/>
        <v>#N/A</v>
      </c>
      <c r="AF317" s="344"/>
      <c r="AG317" s="359">
        <f t="shared" ca="1" si="143"/>
        <v>7.3789141274837675</v>
      </c>
      <c r="AH317" s="357">
        <f t="shared" ca="1" si="144"/>
        <v>-2.2120656212283145</v>
      </c>
    </row>
    <row r="318" spans="1:34" x14ac:dyDescent="0.2">
      <c r="A318" s="402">
        <f t="shared" ca="1" si="122"/>
        <v>0.1</v>
      </c>
      <c r="B318" s="357">
        <f t="shared" ca="1" si="123"/>
        <v>13.39999999999997</v>
      </c>
      <c r="C318" s="342"/>
      <c r="D318" s="359">
        <f t="shared" ca="1" si="124"/>
        <v>-0.46971376960299366</v>
      </c>
      <c r="E318" s="360">
        <f t="shared" ca="1" si="125"/>
        <v>-7.5815917848442558</v>
      </c>
      <c r="F318" s="357">
        <f t="shared" ca="1" si="126"/>
        <v>7.5961282912660559</v>
      </c>
      <c r="G318" s="359">
        <f t="shared" ca="1" si="127"/>
        <v>10.681268517648933</v>
      </c>
      <c r="H318" s="360">
        <f t="shared" ca="1" si="128"/>
        <v>-51.654895579282616</v>
      </c>
      <c r="I318" s="357">
        <f t="shared" ca="1" si="129"/>
        <v>52.747679896396477</v>
      </c>
      <c r="J318" s="359">
        <f t="shared" ca="1" si="130"/>
        <v>165.42570483019762</v>
      </c>
      <c r="K318" s="360">
        <f t="shared" ca="1" si="131"/>
        <v>126.63863257157261</v>
      </c>
      <c r="L318" s="357">
        <f t="shared" ca="1" si="116"/>
        <v>208.33388365353687</v>
      </c>
      <c r="M318" s="359">
        <f t="shared" ca="1" si="132"/>
        <v>-1.3668888322666579</v>
      </c>
      <c r="N318" s="357">
        <f t="shared" ca="1" si="133"/>
        <v>-78.316961152445003</v>
      </c>
      <c r="O318" s="343"/>
      <c r="P318" s="363">
        <f t="shared" ca="1" si="134"/>
        <v>23</v>
      </c>
      <c r="Q318" s="357">
        <f t="shared" ca="1" si="135"/>
        <v>0</v>
      </c>
      <c r="R318" s="359">
        <f t="shared" ca="1" si="136"/>
        <v>0</v>
      </c>
      <c r="S318" s="360">
        <f t="shared" ca="1" si="137"/>
        <v>1.5629999999999982</v>
      </c>
      <c r="T318" s="357">
        <f t="shared" ca="1" si="117"/>
        <v>15.333029999999983</v>
      </c>
      <c r="U318" s="364">
        <f t="shared" ca="1" si="118"/>
        <v>0</v>
      </c>
      <c r="V318" s="359">
        <f t="shared" ca="1" si="119"/>
        <v>1.2095843781734006</v>
      </c>
      <c r="W318" s="357">
        <f t="shared" ca="1" si="120"/>
        <v>3.6623816050609079</v>
      </c>
      <c r="X318" s="343"/>
      <c r="Y318" s="367" t="str">
        <f t="shared" ca="1" si="138"/>
        <v/>
      </c>
      <c r="Z318" s="368" t="str">
        <f t="shared" ca="1" si="139"/>
        <v/>
      </c>
      <c r="AA318" s="369" t="str">
        <f t="shared" ca="1" si="140"/>
        <v/>
      </c>
      <c r="AB318" s="344"/>
      <c r="AC318" s="363" t="e">
        <f t="shared" ca="1" si="141"/>
        <v>#N/A</v>
      </c>
      <c r="AD318" s="376" t="e">
        <f t="shared" ca="1" si="142"/>
        <v>#N/A</v>
      </c>
      <c r="AE318" s="377" t="e">
        <f t="shared" ca="1" si="121"/>
        <v>#N/A</v>
      </c>
      <c r="AF318" s="344"/>
      <c r="AG318" s="359">
        <f t="shared" ca="1" si="143"/>
        <v>7.3216992015534768</v>
      </c>
      <c r="AH318" s="357">
        <f t="shared" ca="1" si="144"/>
        <v>-2.2773744089912547</v>
      </c>
    </row>
    <row r="319" spans="1:34" x14ac:dyDescent="0.2">
      <c r="A319" s="402">
        <f t="shared" ca="1" si="122"/>
        <v>0.1</v>
      </c>
      <c r="B319" s="357">
        <f t="shared" ca="1" si="123"/>
        <v>13.49999999999997</v>
      </c>
      <c r="C319" s="342"/>
      <c r="D319" s="359">
        <f t="shared" ca="1" si="124"/>
        <v>-0.47448674749861558</v>
      </c>
      <c r="E319" s="360">
        <f t="shared" ca="1" si="125"/>
        <v>-7.5153696051834444</v>
      </c>
      <c r="F319" s="357">
        <f t="shared" ca="1" si="126"/>
        <v>7.530333191570409</v>
      </c>
      <c r="G319" s="359">
        <f t="shared" ca="1" si="127"/>
        <v>10.63381984289907</v>
      </c>
      <c r="H319" s="360">
        <f t="shared" ca="1" si="128"/>
        <v>-52.40643253980096</v>
      </c>
      <c r="I319" s="357">
        <f t="shared" ca="1" si="129"/>
        <v>53.474407860208636</v>
      </c>
      <c r="J319" s="359">
        <f t="shared" ca="1" si="130"/>
        <v>166.49145924822503</v>
      </c>
      <c r="K319" s="360">
        <f t="shared" ca="1" si="131"/>
        <v>121.43556616561844</v>
      </c>
      <c r="L319" s="357">
        <f t="shared" ca="1" si="116"/>
        <v>206.07280929945046</v>
      </c>
      <c r="M319" s="359">
        <f t="shared" ca="1" si="132"/>
        <v>-1.370603701177382</v>
      </c>
      <c r="N319" s="357">
        <f t="shared" ca="1" si="133"/>
        <v>-78.52980746247384</v>
      </c>
      <c r="O319" s="343"/>
      <c r="P319" s="363">
        <f t="shared" ca="1" si="134"/>
        <v>23</v>
      </c>
      <c r="Q319" s="357">
        <f t="shared" ca="1" si="135"/>
        <v>0</v>
      </c>
      <c r="R319" s="359">
        <f t="shared" ca="1" si="136"/>
        <v>0</v>
      </c>
      <c r="S319" s="360">
        <f t="shared" ca="1" si="137"/>
        <v>1.5629999999999982</v>
      </c>
      <c r="T319" s="357">
        <f t="shared" ca="1" si="117"/>
        <v>15.333029999999983</v>
      </c>
      <c r="U319" s="364">
        <f t="shared" ca="1" si="118"/>
        <v>0</v>
      </c>
      <c r="V319" s="359">
        <f t="shared" ca="1" si="119"/>
        <v>1.2102139209388199</v>
      </c>
      <c r="W319" s="357">
        <f t="shared" ca="1" si="120"/>
        <v>3.7659522873927616</v>
      </c>
      <c r="X319" s="343"/>
      <c r="Y319" s="367" t="str">
        <f t="shared" ca="1" si="138"/>
        <v/>
      </c>
      <c r="Z319" s="368" t="str">
        <f t="shared" ca="1" si="139"/>
        <v/>
      </c>
      <c r="AA319" s="369" t="str">
        <f t="shared" ca="1" si="140"/>
        <v/>
      </c>
      <c r="AB319" s="344"/>
      <c r="AC319" s="363" t="e">
        <f t="shared" ca="1" si="141"/>
        <v>#N/A</v>
      </c>
      <c r="AD319" s="376" t="e">
        <f t="shared" ca="1" si="142"/>
        <v>#N/A</v>
      </c>
      <c r="AE319" s="377" t="e">
        <f t="shared" ca="1" si="121"/>
        <v>#N/A</v>
      </c>
      <c r="AF319" s="344"/>
      <c r="AG319" s="359">
        <f t="shared" ca="1" si="143"/>
        <v>7.2635898411058104</v>
      </c>
      <c r="AH319" s="357">
        <f t="shared" ca="1" si="144"/>
        <v>-2.3431744114273272</v>
      </c>
    </row>
    <row r="320" spans="1:34" x14ac:dyDescent="0.2">
      <c r="A320" s="402">
        <f t="shared" ca="1" si="122"/>
        <v>0.1</v>
      </c>
      <c r="B320" s="357">
        <f t="shared" ca="1" si="123"/>
        <v>13.599999999999969</v>
      </c>
      <c r="C320" s="342"/>
      <c r="D320" s="359">
        <f t="shared" ca="1" si="124"/>
        <v>-0.47913638238107081</v>
      </c>
      <c r="E320" s="360">
        <f t="shared" ca="1" si="125"/>
        <v>-7.4486821601660473</v>
      </c>
      <c r="F320" s="357">
        <f t="shared" ca="1" si="126"/>
        <v>7.4640764730874212</v>
      </c>
      <c r="G320" s="359">
        <f t="shared" ca="1" si="127"/>
        <v>10.585906204660963</v>
      </c>
      <c r="H320" s="360">
        <f t="shared" ca="1" si="128"/>
        <v>-53.151300755817566</v>
      </c>
      <c r="I320" s="357">
        <f t="shared" ca="1" si="129"/>
        <v>54.195222872585845</v>
      </c>
      <c r="J320" s="359">
        <f t="shared" ca="1" si="130"/>
        <v>167.55244555060304</v>
      </c>
      <c r="K320" s="360">
        <f t="shared" ca="1" si="131"/>
        <v>116.15767950083752</v>
      </c>
      <c r="L320" s="357">
        <f t="shared" ca="1" si="116"/>
        <v>203.87846506437867</v>
      </c>
      <c r="M320" s="359">
        <f t="shared" ca="1" si="132"/>
        <v>-1.3742032846798675</v>
      </c>
      <c r="N320" s="357">
        <f t="shared" ca="1" si="133"/>
        <v>-78.736048405171189</v>
      </c>
      <c r="O320" s="343"/>
      <c r="P320" s="363">
        <f t="shared" ca="1" si="134"/>
        <v>23</v>
      </c>
      <c r="Q320" s="357">
        <f t="shared" ca="1" si="135"/>
        <v>0</v>
      </c>
      <c r="R320" s="359">
        <f t="shared" ca="1" si="136"/>
        <v>0</v>
      </c>
      <c r="S320" s="360">
        <f t="shared" ca="1" si="137"/>
        <v>1.5629999999999982</v>
      </c>
      <c r="T320" s="357">
        <f t="shared" ca="1" si="117"/>
        <v>15.333029999999983</v>
      </c>
      <c r="U320" s="364">
        <f t="shared" ca="1" si="118"/>
        <v>0</v>
      </c>
      <c r="V320" s="359">
        <f t="shared" ca="1" si="119"/>
        <v>1.2108528492711581</v>
      </c>
      <c r="W320" s="357">
        <f t="shared" ca="1" si="120"/>
        <v>3.8702060019354079</v>
      </c>
      <c r="X320" s="343"/>
      <c r="Y320" s="367" t="str">
        <f t="shared" ca="1" si="138"/>
        <v/>
      </c>
      <c r="Z320" s="368" t="str">
        <f t="shared" ca="1" si="139"/>
        <v/>
      </c>
      <c r="AA320" s="369" t="str">
        <f t="shared" ca="1" si="140"/>
        <v/>
      </c>
      <c r="AB320" s="344"/>
      <c r="AC320" s="363" t="e">
        <f t="shared" ca="1" si="141"/>
        <v>#N/A</v>
      </c>
      <c r="AD320" s="376" t="e">
        <f t="shared" ca="1" si="142"/>
        <v>#N/A</v>
      </c>
      <c r="AE320" s="377" t="e">
        <f t="shared" ca="1" si="121"/>
        <v>#N/A</v>
      </c>
      <c r="AF320" s="344"/>
      <c r="AG320" s="359">
        <f t="shared" ca="1" si="143"/>
        <v>7.2046390896723622</v>
      </c>
      <c r="AH320" s="357">
        <f t="shared" ca="1" si="144"/>
        <v>-2.409438443629409</v>
      </c>
    </row>
    <row r="321" spans="1:34" x14ac:dyDescent="0.2">
      <c r="A321" s="402">
        <f t="shared" ca="1" si="122"/>
        <v>0.1</v>
      </c>
      <c r="B321" s="357">
        <f t="shared" ca="1" si="123"/>
        <v>13.699999999999969</v>
      </c>
      <c r="C321" s="342"/>
      <c r="D321" s="359">
        <f t="shared" ca="1" si="124"/>
        <v>-0.48366219123475884</v>
      </c>
      <c r="E321" s="360">
        <f t="shared" ca="1" si="125"/>
        <v>-7.3815565494792006</v>
      </c>
      <c r="F321" s="357">
        <f t="shared" ca="1" si="126"/>
        <v>7.397385092611394</v>
      </c>
      <c r="G321" s="359">
        <f t="shared" ca="1" si="127"/>
        <v>10.537539985537487</v>
      </c>
      <c r="H321" s="360">
        <f t="shared" ca="1" si="128"/>
        <v>-53.889456410765483</v>
      </c>
      <c r="I321" s="357">
        <f t="shared" ca="1" si="129"/>
        <v>54.910046996834694</v>
      </c>
      <c r="J321" s="359">
        <f t="shared" ca="1" si="130"/>
        <v>168.60861786011296</v>
      </c>
      <c r="K321" s="360">
        <f t="shared" ca="1" si="131"/>
        <v>110.80564164250836</v>
      </c>
      <c r="L321" s="357">
        <f t="shared" ca="1" si="116"/>
        <v>201.75915403397582</v>
      </c>
      <c r="M321" s="359">
        <f t="shared" ca="1" si="132"/>
        <v>-1.3776929606945136</v>
      </c>
      <c r="N321" s="357">
        <f t="shared" ca="1" si="133"/>
        <v>-78.935992112678449</v>
      </c>
      <c r="O321" s="343"/>
      <c r="P321" s="363">
        <f t="shared" ca="1" si="134"/>
        <v>23</v>
      </c>
      <c r="Q321" s="357">
        <f t="shared" ca="1" si="135"/>
        <v>0</v>
      </c>
      <c r="R321" s="359">
        <f t="shared" ca="1" si="136"/>
        <v>0</v>
      </c>
      <c r="S321" s="360">
        <f t="shared" ca="1" si="137"/>
        <v>1.5629999999999982</v>
      </c>
      <c r="T321" s="357">
        <f t="shared" ca="1" si="117"/>
        <v>15.333029999999983</v>
      </c>
      <c r="U321" s="364">
        <f t="shared" ca="1" si="118"/>
        <v>0</v>
      </c>
      <c r="V321" s="359">
        <f t="shared" ca="1" si="119"/>
        <v>1.2115010966312547</v>
      </c>
      <c r="W321" s="357">
        <f t="shared" ca="1" si="120"/>
        <v>3.975100775530525</v>
      </c>
      <c r="X321" s="343"/>
      <c r="Y321" s="367" t="str">
        <f t="shared" ca="1" si="138"/>
        <v/>
      </c>
      <c r="Z321" s="368" t="str">
        <f t="shared" ca="1" si="139"/>
        <v/>
      </c>
      <c r="AA321" s="369" t="str">
        <f t="shared" ca="1" si="140"/>
        <v/>
      </c>
      <c r="AB321" s="344"/>
      <c r="AC321" s="363" t="e">
        <f t="shared" ca="1" si="141"/>
        <v>#N/A</v>
      </c>
      <c r="AD321" s="376" t="e">
        <f t="shared" ca="1" si="142"/>
        <v>#N/A</v>
      </c>
      <c r="AE321" s="377" t="e">
        <f t="shared" ca="1" si="121"/>
        <v>#N/A</v>
      </c>
      <c r="AF321" s="344"/>
      <c r="AG321" s="359">
        <f t="shared" ca="1" si="143"/>
        <v>7.1448978174082445</v>
      </c>
      <c r="AH321" s="357">
        <f t="shared" ca="1" si="144"/>
        <v>-2.47613947660615</v>
      </c>
    </row>
    <row r="322" spans="1:34" x14ac:dyDescent="0.2">
      <c r="A322" s="402">
        <f t="shared" ca="1" si="122"/>
        <v>0.1</v>
      </c>
      <c r="B322" s="357">
        <f t="shared" ca="1" si="123"/>
        <v>13.799999999999969</v>
      </c>
      <c r="C322" s="342"/>
      <c r="D322" s="359">
        <f t="shared" ca="1" si="124"/>
        <v>-0.48806378701068559</v>
      </c>
      <c r="E322" s="360">
        <f t="shared" ca="1" si="125"/>
        <v>-7.3140197036610424</v>
      </c>
      <c r="F322" s="357">
        <f t="shared" ca="1" si="126"/>
        <v>7.3302858392925696</v>
      </c>
      <c r="G322" s="359">
        <f t="shared" ca="1" si="127"/>
        <v>10.488733606836419</v>
      </c>
      <c r="H322" s="360">
        <f t="shared" ca="1" si="128"/>
        <v>-54.62085838113159</v>
      </c>
      <c r="I322" s="357">
        <f t="shared" ca="1" si="129"/>
        <v>55.618807097660884</v>
      </c>
      <c r="J322" s="359">
        <f t="shared" ca="1" si="130"/>
        <v>169.65993153973164</v>
      </c>
      <c r="K322" s="360">
        <f t="shared" ca="1" si="131"/>
        <v>105.38012590291351</v>
      </c>
      <c r="L322" s="357">
        <f t="shared" ca="1" si="116"/>
        <v>199.72346708732135</v>
      </c>
      <c r="M322" s="359">
        <f t="shared" ca="1" si="132"/>
        <v>-1.381077780760233</v>
      </c>
      <c r="N322" s="357">
        <f t="shared" ca="1" si="133"/>
        <v>-79.129928016855359</v>
      </c>
      <c r="O322" s="343"/>
      <c r="P322" s="363">
        <f t="shared" ca="1" si="134"/>
        <v>23</v>
      </c>
      <c r="Q322" s="357">
        <f t="shared" ca="1" si="135"/>
        <v>0</v>
      </c>
      <c r="R322" s="359">
        <f t="shared" ca="1" si="136"/>
        <v>0</v>
      </c>
      <c r="S322" s="360">
        <f t="shared" ca="1" si="137"/>
        <v>1.5629999999999982</v>
      </c>
      <c r="T322" s="357">
        <f t="shared" ca="1" si="117"/>
        <v>15.333029999999983</v>
      </c>
      <c r="U322" s="364">
        <f t="shared" ca="1" si="118"/>
        <v>0</v>
      </c>
      <c r="V322" s="359">
        <f t="shared" ca="1" si="119"/>
        <v>1.2121585960153269</v>
      </c>
      <c r="W322" s="357">
        <f t="shared" ca="1" si="120"/>
        <v>4.0805949367355376</v>
      </c>
      <c r="X322" s="343"/>
      <c r="Y322" s="367" t="str">
        <f t="shared" ca="1" si="138"/>
        <v/>
      </c>
      <c r="Z322" s="368" t="str">
        <f t="shared" ca="1" si="139"/>
        <v/>
      </c>
      <c r="AA322" s="369" t="str">
        <f t="shared" ca="1" si="140"/>
        <v/>
      </c>
      <c r="AB322" s="344"/>
      <c r="AC322" s="363" t="e">
        <f t="shared" ca="1" si="141"/>
        <v>#N/A</v>
      </c>
      <c r="AD322" s="376" t="e">
        <f t="shared" ca="1" si="142"/>
        <v>#N/A</v>
      </c>
      <c r="AE322" s="377" t="e">
        <f t="shared" ca="1" si="121"/>
        <v>#N/A</v>
      </c>
      <c r="AF322" s="344"/>
      <c r="AG322" s="359">
        <f t="shared" ca="1" si="143"/>
        <v>7.0844148860267424</v>
      </c>
      <c r="AH322" s="357">
        <f t="shared" ca="1" si="144"/>
        <v>-2.5432506561295773</v>
      </c>
    </row>
    <row r="323" spans="1:34" x14ac:dyDescent="0.2">
      <c r="A323" s="402">
        <f t="shared" ca="1" si="122"/>
        <v>0.1</v>
      </c>
      <c r="B323" s="357">
        <f t="shared" ca="1" si="123"/>
        <v>13.899999999999968</v>
      </c>
      <c r="C323" s="342"/>
      <c r="D323" s="359">
        <f t="shared" ca="1" si="124"/>
        <v>-0.49234087561902129</v>
      </c>
      <c r="E323" s="360">
        <f t="shared" ca="1" si="125"/>
        <v>-7.2460983651161683</v>
      </c>
      <c r="F323" s="357">
        <f t="shared" ca="1" si="126"/>
        <v>7.2628053157677659</v>
      </c>
      <c r="G323" s="359">
        <f t="shared" ca="1" si="127"/>
        <v>10.439499519274516</v>
      </c>
      <c r="H323" s="360">
        <f t="shared" ca="1" si="128"/>
        <v>-55.345468217643209</v>
      </c>
      <c r="I323" s="357">
        <f t="shared" ca="1" si="129"/>
        <v>56.321434662507372</v>
      </c>
      <c r="J323" s="359">
        <f t="shared" ca="1" si="130"/>
        <v>170.70634319603718</v>
      </c>
      <c r="K323" s="360">
        <f t="shared" ca="1" si="131"/>
        <v>99.88180957297476</v>
      </c>
      <c r="L323" s="357">
        <f t="shared" ca="1" si="116"/>
        <v>197.78026062005083</v>
      </c>
      <c r="M323" s="359">
        <f t="shared" ca="1" si="132"/>
        <v>-1.3843624940283057</v>
      </c>
      <c r="N323" s="357">
        <f t="shared" ca="1" si="133"/>
        <v>-79.318128224026552</v>
      </c>
      <c r="O323" s="343"/>
      <c r="P323" s="363">
        <f t="shared" ca="1" si="134"/>
        <v>23</v>
      </c>
      <c r="Q323" s="357">
        <f t="shared" ca="1" si="135"/>
        <v>0</v>
      </c>
      <c r="R323" s="359">
        <f t="shared" ca="1" si="136"/>
        <v>0</v>
      </c>
      <c r="S323" s="360">
        <f t="shared" ca="1" si="137"/>
        <v>1.5629999999999982</v>
      </c>
      <c r="T323" s="357">
        <f t="shared" ca="1" si="117"/>
        <v>15.333029999999983</v>
      </c>
      <c r="U323" s="364">
        <f t="shared" ca="1" si="118"/>
        <v>0</v>
      </c>
      <c r="V323" s="359">
        <f t="shared" ca="1" si="119"/>
        <v>1.2128252799806398</v>
      </c>
      <c r="W323" s="357">
        <f t="shared" ca="1" si="120"/>
        <v>4.1866471434644623</v>
      </c>
      <c r="X323" s="343"/>
      <c r="Y323" s="367" t="str">
        <f t="shared" ca="1" si="138"/>
        <v/>
      </c>
      <c r="Z323" s="368" t="str">
        <f t="shared" ca="1" si="139"/>
        <v/>
      </c>
      <c r="AA323" s="369" t="str">
        <f t="shared" ca="1" si="140"/>
        <v/>
      </c>
      <c r="AB323" s="344"/>
      <c r="AC323" s="363" t="e">
        <f t="shared" ca="1" si="141"/>
        <v>#N/A</v>
      </c>
      <c r="AD323" s="376" t="e">
        <f t="shared" ca="1" si="142"/>
        <v>#N/A</v>
      </c>
      <c r="AE323" s="377" t="e">
        <f t="shared" ca="1" si="121"/>
        <v>#N/A</v>
      </c>
      <c r="AF323" s="344"/>
      <c r="AG323" s="359">
        <f t="shared" ca="1" si="143"/>
        <v>7.0232372953044333</v>
      </c>
      <c r="AH323" s="357">
        <f t="shared" ca="1" si="144"/>
        <v>-2.6107453210080247</v>
      </c>
    </row>
    <row r="324" spans="1:34" x14ac:dyDescent="0.2">
      <c r="A324" s="402">
        <f t="shared" ca="1" si="122"/>
        <v>0.1</v>
      </c>
      <c r="B324" s="357">
        <f t="shared" ca="1" si="123"/>
        <v>13.999999999999968</v>
      </c>
      <c r="C324" s="342"/>
      <c r="D324" s="359">
        <f t="shared" ca="1" si="124"/>
        <v>-0.49649325302574021</v>
      </c>
      <c r="E324" s="360">
        <f t="shared" ca="1" si="125"/>
        <v>-7.1778190697862136</v>
      </c>
      <c r="F324" s="357">
        <f t="shared" ca="1" si="126"/>
        <v>7.1949699199431478</v>
      </c>
      <c r="G324" s="359">
        <f t="shared" ca="1" si="127"/>
        <v>10.389850193971942</v>
      </c>
      <c r="H324" s="360">
        <f t="shared" ca="1" si="128"/>
        <v>-56.063250124621831</v>
      </c>
      <c r="I324" s="357">
        <f t="shared" ca="1" si="129"/>
        <v>57.017865635159374</v>
      </c>
      <c r="J324" s="359">
        <f t="shared" ca="1" si="130"/>
        <v>171.74781068169949</v>
      </c>
      <c r="K324" s="360">
        <f t="shared" ca="1" si="131"/>
        <v>94.311373655861502</v>
      </c>
      <c r="L324" s="357">
        <f t="shared" ref="L324:L387" ca="1" si="145">SQRT(pos_x^2+pos_z^2)</f>
        <v>195.93862731685249</v>
      </c>
      <c r="M324" s="359">
        <f t="shared" ca="1" si="132"/>
        <v>-1.3875515692042955</v>
      </c>
      <c r="N324" s="357">
        <f t="shared" ca="1" si="133"/>
        <v>-79.500848772160694</v>
      </c>
      <c r="O324" s="343"/>
      <c r="P324" s="363">
        <f t="shared" ca="1" si="134"/>
        <v>23</v>
      </c>
      <c r="Q324" s="357">
        <f t="shared" ca="1" si="135"/>
        <v>0</v>
      </c>
      <c r="R324" s="359">
        <f t="shared" ca="1" si="136"/>
        <v>0</v>
      </c>
      <c r="S324" s="360">
        <f t="shared" ca="1" si="137"/>
        <v>1.5629999999999982</v>
      </c>
      <c r="T324" s="357">
        <f t="shared" ref="T324:T387" ca="1" si="146">m*g</f>
        <v>15.333029999999983</v>
      </c>
      <c r="U324" s="364">
        <f t="shared" ref="U324:U387" ca="1" si="147">IF(pos_xz&lt;L_rampe,Poids*COS(Beta),0)</f>
        <v>0</v>
      </c>
      <c r="V324" s="359">
        <f t="shared" ref="V324:V387" ca="1" si="148">Rho_moyen*(20000-Alt_rampe-pos_z)/(20000+Alt_rampe+pos_z)</f>
        <v>1.2135010806710307</v>
      </c>
      <c r="W324" s="357">
        <f t="shared" ref="W324:W387" ca="1" si="149">1/2*Rho*Sref*Cx*vit_xz^2</f>
        <v>4.2932164096899044</v>
      </c>
      <c r="X324" s="343"/>
      <c r="Y324" s="367" t="str">
        <f t="shared" ca="1" si="138"/>
        <v/>
      </c>
      <c r="Z324" s="368" t="str">
        <f t="shared" ca="1" si="139"/>
        <v/>
      </c>
      <c r="AA324" s="369" t="str">
        <f t="shared" ca="1" si="140"/>
        <v/>
      </c>
      <c r="AB324" s="344"/>
      <c r="AC324" s="363">
        <f t="shared" ca="1" si="141"/>
        <v>13.999999999999968</v>
      </c>
      <c r="AD324" s="376">
        <f t="shared" ca="1" si="142"/>
        <v>171.74781068169949</v>
      </c>
      <c r="AE324" s="377" t="e">
        <f t="shared" ref="AE324:AE387" ca="1" si="150">IF(t&lt;T_para, pos_z, NA())</f>
        <v>#N/A</v>
      </c>
      <c r="AF324" s="344"/>
      <c r="AG324" s="359">
        <f t="shared" ca="1" si="143"/>
        <v>6.9614103133555751</v>
      </c>
      <c r="AH324" s="357">
        <f t="shared" ca="1" si="144"/>
        <v>-2.6785970207706122</v>
      </c>
    </row>
    <row r="325" spans="1:34" x14ac:dyDescent="0.2">
      <c r="A325" s="402">
        <f t="shared" ref="A325:A388" ca="1" si="151">IF(B324+0.01&lt;=T_ini+ROUNDUP(Temps_fin_propu,0), 0.01, IF(K324&gt;0, 0.1, 0.0001))</f>
        <v>0.1</v>
      </c>
      <c r="B325" s="357">
        <f t="shared" ref="B325:B388" ca="1" si="152">B324+pas</f>
        <v>14.099999999999968</v>
      </c>
      <c r="C325" s="342"/>
      <c r="D325" s="359">
        <f t="shared" ref="D325:D388" ca="1" si="153">IF(AND(L324&lt;L_rampe,Poussee&lt;Poids*SIN(M324)),0,(-W324+Poussee)/m*COS(M324)-U324/m*SIN(M324))</f>
        <v>-0.50052080244045105</v>
      </c>
      <c r="E325" s="360">
        <f t="shared" ref="E325:E388" ca="1" si="154">IF(AND(L324&lt;L_rampe,Poussee&lt;Poids*SIN(M324)),0,(-W324+Poussee)/m*SIN(M324)+U324/m*COS(M324)-Poids/m)</f>
        <v>-7.1092081294804466</v>
      </c>
      <c r="F325" s="357">
        <f t="shared" ref="F325:F388" ca="1" si="155">SQRT(acc_x^2+acc_z^2)</f>
        <v>7.1268058274339499</v>
      </c>
      <c r="G325" s="359">
        <f t="shared" ref="G325:G388" ca="1" si="156">G324+acc_x*pas</f>
        <v>10.339798113727896</v>
      </c>
      <c r="H325" s="360">
        <f t="shared" ref="H325:H388" ca="1" si="157">H324+acc_z*pas</f>
        <v>-56.774170937569878</v>
      </c>
      <c r="I325" s="357">
        <f t="shared" ref="I325:I388" ca="1" si="158">SQRT(vit_x^2+vit_z^2)</f>
        <v>57.70804026027097</v>
      </c>
      <c r="J325" s="359">
        <f t="shared" ref="J325:J388" ca="1" si="159">J324+0.5*(vit_x+G324)*pas*(K324&gt;=0)</f>
        <v>172.78429309708449</v>
      </c>
      <c r="K325" s="360">
        <f t="shared" ref="K325:K388" ca="1" si="160">K324+0.5*(vit_z+H324)*pas</f>
        <v>88.669502602751919</v>
      </c>
      <c r="L325" s="357">
        <f t="shared" ca="1" si="145"/>
        <v>194.20785934889099</v>
      </c>
      <c r="M325" s="359">
        <f t="shared" ref="M325:M388" ca="1" si="161">IF(AND(L324&gt;L_rampe,G325&gt;0),ATAN2(G325,H325),$M$4)</f>
        <v>-1.3906492146363814</v>
      </c>
      <c r="N325" s="357">
        <f t="shared" ref="N325:N388" ca="1" si="162">DEGREES(Beta)</f>
        <v>-79.678330781847194</v>
      </c>
      <c r="O325" s="343"/>
      <c r="P325" s="363">
        <f t="shared" ref="P325:P388" ca="1" si="163">MATCH(t-pas/2-T_ini,CdP_t)</f>
        <v>23</v>
      </c>
      <c r="Q325" s="357">
        <f t="shared" ref="Q325:Q388" ca="1" si="164">(INDEX(CdP,2,i_P+1)-INDEX(CdP,2,i_P+0))/(INDEX(CdP,1,i_P+1)-INDEX(CdP,1,i_P+0))*(t-pas/2-T_ini-INDEX(CdP,1,i_P+0))+INDEX(CdP,2,i_P+0)</f>
        <v>0</v>
      </c>
      <c r="R325" s="359">
        <f t="shared" ref="R325:R388" ca="1" si="165">Poussee/(g*ISP)</f>
        <v>0</v>
      </c>
      <c r="S325" s="360">
        <f t="shared" ref="S325:S388" ca="1" si="166">S324-Débit*pas</f>
        <v>1.5629999999999982</v>
      </c>
      <c r="T325" s="357">
        <f t="shared" ca="1" si="146"/>
        <v>15.333029999999983</v>
      </c>
      <c r="U325" s="364">
        <f t="shared" ca="1" si="147"/>
        <v>0</v>
      </c>
      <c r="V325" s="359">
        <f t="shared" ca="1" si="148"/>
        <v>1.2141859298422628</v>
      </c>
      <c r="W325" s="357">
        <f t="shared" ca="1" si="149"/>
        <v>4.4002621311893613</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t="e">
        <f t="shared" ca="1" si="150"/>
        <v>#N/A</v>
      </c>
      <c r="AF325" s="344"/>
      <c r="AG325" s="359">
        <f t="shared" ref="AG325:AG388" ca="1" si="172">IF(AND(L324&lt;L_rampe,Poussee&lt;Poids*SIN(M324)),0,(-W324+Poussee)/m-Poids*SIN(M324)/m)</f>
        <v>6.8989775925981114</v>
      </c>
      <c r="AH325" s="357">
        <f t="shared" ref="AH325:AH388" ca="1" si="173">IF(AND(L324&lt;L_rampe,Poussee&lt;Poids*SIN(M324)), g*SIN(M324), (-W324+Poussee)/m)</f>
        <v>-2.7467795327510616</v>
      </c>
    </row>
    <row r="326" spans="1:34" x14ac:dyDescent="0.2">
      <c r="A326" s="402">
        <f t="shared" ca="1" si="151"/>
        <v>0.1</v>
      </c>
      <c r="B326" s="357">
        <f t="shared" ca="1" si="152"/>
        <v>14.199999999999967</v>
      </c>
      <c r="C326" s="342"/>
      <c r="D326" s="359">
        <f t="shared" ca="1" si="153"/>
        <v>-0.50442349158434607</v>
      </c>
      <c r="E326" s="360">
        <f t="shared" ca="1" si="154"/>
        <v>-7.0402916148707764</v>
      </c>
      <c r="F326" s="357">
        <f t="shared" ca="1" si="155"/>
        <v>7.0583389746654914</v>
      </c>
      <c r="G326" s="359">
        <f t="shared" ca="1" si="156"/>
        <v>10.289355764569462</v>
      </c>
      <c r="H326" s="360">
        <f t="shared" ca="1" si="157"/>
        <v>-57.478200099056956</v>
      </c>
      <c r="I326" s="357">
        <f t="shared" ca="1" si="158"/>
        <v>58.39190293762578</v>
      </c>
      <c r="J326" s="359">
        <f t="shared" ca="1" si="159"/>
        <v>173.81575079099935</v>
      </c>
      <c r="K326" s="360">
        <f t="shared" ca="1" si="160"/>
        <v>82.956884050920578</v>
      </c>
      <c r="L326" s="357">
        <f t="shared" ca="1" si="145"/>
        <v>192.59740349879243</v>
      </c>
      <c r="M326" s="359">
        <f t="shared" ca="1" si="161"/>
        <v>-1.3936593967272579</v>
      </c>
      <c r="N326" s="357">
        <f t="shared" ca="1" si="162"/>
        <v>-79.850801511220297</v>
      </c>
      <c r="O326" s="343"/>
      <c r="P326" s="363">
        <f t="shared" ca="1" si="163"/>
        <v>23</v>
      </c>
      <c r="Q326" s="357">
        <f t="shared" ca="1" si="164"/>
        <v>0</v>
      </c>
      <c r="R326" s="359">
        <f t="shared" ca="1" si="165"/>
        <v>0</v>
      </c>
      <c r="S326" s="360">
        <f t="shared" ca="1" si="166"/>
        <v>1.5629999999999982</v>
      </c>
      <c r="T326" s="357">
        <f t="shared" ca="1" si="146"/>
        <v>15.333029999999983</v>
      </c>
      <c r="U326" s="364">
        <f t="shared" ca="1" si="147"/>
        <v>0</v>
      </c>
      <c r="V326" s="359">
        <f t="shared" ca="1" si="148"/>
        <v>1.2148797588871905</v>
      </c>
      <c r="W326" s="357">
        <f t="shared" ca="1" si="149"/>
        <v>4.5077441103212434</v>
      </c>
      <c r="X326" s="343"/>
      <c r="Y326" s="367" t="str">
        <f t="shared" ca="1" si="167"/>
        <v/>
      </c>
      <c r="Z326" s="368" t="str">
        <f t="shared" ca="1" si="168"/>
        <v/>
      </c>
      <c r="AA326" s="369" t="str">
        <f t="shared" ca="1" si="169"/>
        <v/>
      </c>
      <c r="AB326" s="344"/>
      <c r="AC326" s="363" t="e">
        <f t="shared" ca="1" si="170"/>
        <v>#N/A</v>
      </c>
      <c r="AD326" s="376" t="e">
        <f t="shared" ca="1" si="171"/>
        <v>#N/A</v>
      </c>
      <c r="AE326" s="377" t="e">
        <f t="shared" ca="1" si="150"/>
        <v>#N/A</v>
      </c>
      <c r="AF326" s="344"/>
      <c r="AG326" s="359">
        <f t="shared" ca="1" si="172"/>
        <v>6.8359812730947374</v>
      </c>
      <c r="AH326" s="357">
        <f t="shared" ca="1" si="173"/>
        <v>-2.8152668785600552</v>
      </c>
    </row>
    <row r="327" spans="1:34" x14ac:dyDescent="0.2">
      <c r="A327" s="402">
        <f t="shared" ca="1" si="151"/>
        <v>0.1</v>
      </c>
      <c r="B327" s="357">
        <f t="shared" ca="1" si="152"/>
        <v>14.299999999999967</v>
      </c>
      <c r="C327" s="342"/>
      <c r="D327" s="359">
        <f t="shared" ca="1" si="153"/>
        <v>-0.50820137002878807</v>
      </c>
      <c r="E327" s="360">
        <f t="shared" ca="1" si="154"/>
        <v>-6.9710953391549086</v>
      </c>
      <c r="F327" s="357">
        <f t="shared" ca="1" si="155"/>
        <v>6.9895950426391966</v>
      </c>
      <c r="G327" s="359">
        <f t="shared" ca="1" si="156"/>
        <v>10.238535627566584</v>
      </c>
      <c r="H327" s="360">
        <f t="shared" ca="1" si="157"/>
        <v>-58.17530963297245</v>
      </c>
      <c r="I327" s="357">
        <f t="shared" ca="1" si="158"/>
        <v>59.069402085082658</v>
      </c>
      <c r="J327" s="359">
        <f t="shared" ca="1" si="159"/>
        <v>174.84214536060614</v>
      </c>
      <c r="K327" s="360">
        <f t="shared" ca="1" si="160"/>
        <v>77.174208564319102</v>
      </c>
      <c r="L327" s="357">
        <f t="shared" ca="1" si="145"/>
        <v>191.11680789985047</v>
      </c>
      <c r="M327" s="359">
        <f t="shared" ca="1" si="161"/>
        <v>-1.3965858568280127</v>
      </c>
      <c r="N327" s="357">
        <f t="shared" ca="1" si="162"/>
        <v>-80.018475323906969</v>
      </c>
      <c r="O327" s="343"/>
      <c r="P327" s="363">
        <f t="shared" ca="1" si="163"/>
        <v>23</v>
      </c>
      <c r="Q327" s="357">
        <f t="shared" ca="1" si="164"/>
        <v>0</v>
      </c>
      <c r="R327" s="359">
        <f t="shared" ca="1" si="165"/>
        <v>0</v>
      </c>
      <c r="S327" s="360">
        <f t="shared" ca="1" si="166"/>
        <v>1.5629999999999982</v>
      </c>
      <c r="T327" s="357">
        <f t="shared" ca="1" si="146"/>
        <v>15.333029999999983</v>
      </c>
      <c r="U327" s="364">
        <f t="shared" ca="1" si="147"/>
        <v>0</v>
      </c>
      <c r="V327" s="359">
        <f t="shared" ca="1" si="148"/>
        <v>1.2155824988607247</v>
      </c>
      <c r="W327" s="357">
        <f t="shared" ca="1" si="149"/>
        <v>4.6156225798183241</v>
      </c>
      <c r="X327" s="343"/>
      <c r="Y327" s="367" t="str">
        <f t="shared" ca="1" si="167"/>
        <v/>
      </c>
      <c r="Z327" s="368" t="str">
        <f t="shared" ca="1" si="168"/>
        <v/>
      </c>
      <c r="AA327" s="369" t="str">
        <f t="shared" ca="1" si="169"/>
        <v/>
      </c>
      <c r="AB327" s="344"/>
      <c r="AC327" s="363" t="e">
        <f t="shared" ca="1" si="170"/>
        <v>#N/A</v>
      </c>
      <c r="AD327" s="376" t="e">
        <f t="shared" ca="1" si="171"/>
        <v>#N/A</v>
      </c>
      <c r="AE327" s="377" t="e">
        <f t="shared" ca="1" si="150"/>
        <v>#N/A</v>
      </c>
      <c r="AF327" s="344"/>
      <c r="AG327" s="359">
        <f t="shared" ca="1" si="172"/>
        <v>6.7724620747453361</v>
      </c>
      <c r="AH327" s="357">
        <f t="shared" ca="1" si="173"/>
        <v>-2.8840333399368192</v>
      </c>
    </row>
    <row r="328" spans="1:34" x14ac:dyDescent="0.2">
      <c r="A328" s="402">
        <f t="shared" ca="1" si="151"/>
        <v>0.1</v>
      </c>
      <c r="B328" s="357">
        <f t="shared" ca="1" si="152"/>
        <v>14.399999999999967</v>
      </c>
      <c r="C328" s="342"/>
      <c r="D328" s="359">
        <f t="shared" ca="1" si="153"/>
        <v>-0.51185456659646322</v>
      </c>
      <c r="E328" s="360">
        <f t="shared" ca="1" si="154"/>
        <v>-6.9016448423906693</v>
      </c>
      <c r="F328" s="357">
        <f t="shared" ca="1" si="155"/>
        <v>6.9205994413665772</v>
      </c>
      <c r="G328" s="359">
        <f t="shared" ca="1" si="156"/>
        <v>10.187350170906939</v>
      </c>
      <c r="H328" s="360">
        <f t="shared" ca="1" si="157"/>
        <v>-58.865474117211519</v>
      </c>
      <c r="I328" s="357">
        <f t="shared" ca="1" si="158"/>
        <v>59.740490009279107</v>
      </c>
      <c r="J328" s="359">
        <f t="shared" ca="1" si="159"/>
        <v>175.86343965052981</v>
      </c>
      <c r="K328" s="360">
        <f t="shared" ca="1" si="160"/>
        <v>71.32216937680991</v>
      </c>
      <c r="L328" s="357">
        <f t="shared" ca="1" si="145"/>
        <v>189.77566032115368</v>
      </c>
      <c r="M328" s="359">
        <f t="shared" ca="1" si="161"/>
        <v>-1.3994321267558116</v>
      </c>
      <c r="N328" s="357">
        <f t="shared" ca="1" si="162"/>
        <v>-80.18155457812486</v>
      </c>
      <c r="O328" s="343"/>
      <c r="P328" s="363">
        <f t="shared" ca="1" si="163"/>
        <v>23</v>
      </c>
      <c r="Q328" s="357">
        <f t="shared" ca="1" si="164"/>
        <v>0</v>
      </c>
      <c r="R328" s="359">
        <f t="shared" ca="1" si="165"/>
        <v>0</v>
      </c>
      <c r="S328" s="360">
        <f t="shared" ca="1" si="166"/>
        <v>1.5629999999999982</v>
      </c>
      <c r="T328" s="357">
        <f t="shared" ca="1" si="146"/>
        <v>15.333029999999983</v>
      </c>
      <c r="U328" s="364">
        <f t="shared" ca="1" si="147"/>
        <v>0</v>
      </c>
      <c r="V328" s="359">
        <f t="shared" ca="1" si="148"/>
        <v>1.2162940805045825</v>
      </c>
      <c r="W328" s="357">
        <f t="shared" ca="1" si="149"/>
        <v>4.7238582255884545</v>
      </c>
      <c r="X328" s="343"/>
      <c r="Y328" s="367" t="str">
        <f t="shared" ca="1" si="167"/>
        <v/>
      </c>
      <c r="Z328" s="368" t="str">
        <f t="shared" ca="1" si="168"/>
        <v/>
      </c>
      <c r="AA328" s="369" t="str">
        <f t="shared" ca="1" si="169"/>
        <v/>
      </c>
      <c r="AB328" s="344"/>
      <c r="AC328" s="363" t="e">
        <f t="shared" ca="1" si="170"/>
        <v>#N/A</v>
      </c>
      <c r="AD328" s="376" t="e">
        <f t="shared" ca="1" si="171"/>
        <v>#N/A</v>
      </c>
      <c r="AE328" s="377" t="e">
        <f t="shared" ca="1" si="150"/>
        <v>#N/A</v>
      </c>
      <c r="AF328" s="344"/>
      <c r="AG328" s="359">
        <f t="shared" ca="1" si="172"/>
        <v>6.7084593796273815</v>
      </c>
      <c r="AH328" s="357">
        <f t="shared" ca="1" si="173"/>
        <v>-2.95305347397206</v>
      </c>
    </row>
    <row r="329" spans="1:34" x14ac:dyDescent="0.2">
      <c r="A329" s="402">
        <f t="shared" ca="1" si="151"/>
        <v>0.1</v>
      </c>
      <c r="B329" s="357">
        <f t="shared" ca="1" si="152"/>
        <v>14.499999999999966</v>
      </c>
      <c r="C329" s="342"/>
      <c r="D329" s="359">
        <f t="shared" ca="1" si="153"/>
        <v>-0.51538328681822709</v>
      </c>
      <c r="E329" s="360">
        <f t="shared" ca="1" si="154"/>
        <v>-6.8319653765037067</v>
      </c>
      <c r="F329" s="357">
        <f t="shared" ca="1" si="155"/>
        <v>6.851377294973398</v>
      </c>
      <c r="G329" s="359">
        <f t="shared" ca="1" si="156"/>
        <v>10.135811842225117</v>
      </c>
      <c r="H329" s="360">
        <f t="shared" ca="1" si="157"/>
        <v>-59.548670654861887</v>
      </c>
      <c r="I329" s="357">
        <f t="shared" ca="1" si="158"/>
        <v>60.405122783272283</v>
      </c>
      <c r="J329" s="359">
        <f t="shared" ca="1" si="159"/>
        <v>176.87959775118642</v>
      </c>
      <c r="K329" s="360">
        <f t="shared" ca="1" si="160"/>
        <v>65.401462138206242</v>
      </c>
      <c r="L329" s="357">
        <f t="shared" ca="1" si="145"/>
        <v>188.58351823644804</v>
      </c>
      <c r="M329" s="359">
        <f t="shared" ca="1" si="161"/>
        <v>-1.4022015430625232</v>
      </c>
      <c r="N329" s="357">
        <f t="shared" ca="1" si="162"/>
        <v>-80.340230444214143</v>
      </c>
      <c r="O329" s="343"/>
      <c r="P329" s="363">
        <f t="shared" ca="1" si="163"/>
        <v>23</v>
      </c>
      <c r="Q329" s="357">
        <f t="shared" ca="1" si="164"/>
        <v>0</v>
      </c>
      <c r="R329" s="359">
        <f t="shared" ca="1" si="165"/>
        <v>0</v>
      </c>
      <c r="S329" s="360">
        <f t="shared" ca="1" si="166"/>
        <v>1.5629999999999982</v>
      </c>
      <c r="T329" s="357">
        <f t="shared" ca="1" si="146"/>
        <v>15.333029999999983</v>
      </c>
      <c r="U329" s="364">
        <f t="shared" ca="1" si="147"/>
        <v>0</v>
      </c>
      <c r="V329" s="359">
        <f t="shared" ca="1" si="148"/>
        <v>1.2170144342718012</v>
      </c>
      <c r="W329" s="357">
        <f t="shared" ca="1" si="149"/>
        <v>4.832412208514528</v>
      </c>
      <c r="X329" s="343"/>
      <c r="Y329" s="367" t="str">
        <f t="shared" ca="1" si="167"/>
        <v/>
      </c>
      <c r="Z329" s="368" t="str">
        <f t="shared" ca="1" si="168"/>
        <v/>
      </c>
      <c r="AA329" s="369" t="str">
        <f t="shared" ca="1" si="169"/>
        <v/>
      </c>
      <c r="AB329" s="344"/>
      <c r="AC329" s="363" t="e">
        <f t="shared" ca="1" si="170"/>
        <v>#N/A</v>
      </c>
      <c r="AD329" s="376" t="e">
        <f t="shared" ca="1" si="171"/>
        <v>#N/A</v>
      </c>
      <c r="AE329" s="377" t="e">
        <f t="shared" ca="1" si="150"/>
        <v>#N/A</v>
      </c>
      <c r="AF329" s="344"/>
      <c r="AG329" s="359">
        <f t="shared" ca="1" si="172"/>
        <v>6.6440113056247716</v>
      </c>
      <c r="AH329" s="357">
        <f t="shared" ca="1" si="173"/>
        <v>-3.0223021276957516</v>
      </c>
    </row>
    <row r="330" spans="1:34" x14ac:dyDescent="0.2">
      <c r="A330" s="402">
        <f t="shared" ca="1" si="151"/>
        <v>0.1</v>
      </c>
      <c r="B330" s="357">
        <f t="shared" ca="1" si="152"/>
        <v>14.599999999999966</v>
      </c>
      <c r="C330" s="342"/>
      <c r="D330" s="359">
        <f t="shared" ca="1" si="153"/>
        <v>-0.5187878104398429</v>
      </c>
      <c r="E330" s="360">
        <f t="shared" ca="1" si="154"/>
        <v>-6.7620818909699532</v>
      </c>
      <c r="F330" s="357">
        <f t="shared" ca="1" si="155"/>
        <v>6.781953427475357</v>
      </c>
      <c r="G330" s="359">
        <f t="shared" ca="1" si="156"/>
        <v>10.083933061181133</v>
      </c>
      <c r="H330" s="360">
        <f t="shared" ca="1" si="157"/>
        <v>-60.224878843958884</v>
      </c>
      <c r="I330" s="357">
        <f t="shared" ca="1" si="158"/>
        <v>61.063260130391896</v>
      </c>
      <c r="J330" s="359">
        <f t="shared" ca="1" si="159"/>
        <v>177.89058499635672</v>
      </c>
      <c r="K330" s="360">
        <f t="shared" ca="1" si="160"/>
        <v>59.412784663265199</v>
      </c>
      <c r="L330" s="357">
        <f t="shared" ca="1" si="145"/>
        <v>187.5498312763558</v>
      </c>
      <c r="M330" s="359">
        <f t="shared" ca="1" si="161"/>
        <v>-1.40489726016838</v>
      </c>
      <c r="N330" s="357">
        <f t="shared" ca="1" si="162"/>
        <v>-80.494683657140953</v>
      </c>
      <c r="O330" s="343"/>
      <c r="P330" s="363">
        <f t="shared" ca="1" si="163"/>
        <v>23</v>
      </c>
      <c r="Q330" s="357">
        <f t="shared" ca="1" si="164"/>
        <v>0</v>
      </c>
      <c r="R330" s="359">
        <f t="shared" ca="1" si="165"/>
        <v>0</v>
      </c>
      <c r="S330" s="360">
        <f t="shared" ca="1" si="166"/>
        <v>1.5629999999999982</v>
      </c>
      <c r="T330" s="357">
        <f t="shared" ca="1" si="146"/>
        <v>15.333029999999983</v>
      </c>
      <c r="U330" s="364">
        <f t="shared" ca="1" si="147"/>
        <v>0</v>
      </c>
      <c r="V330" s="359">
        <f t="shared" ca="1" si="148"/>
        <v>1.2177434903510092</v>
      </c>
      <c r="W330" s="357">
        <f t="shared" ca="1" si="149"/>
        <v>4.941246185247814</v>
      </c>
      <c r="X330" s="343"/>
      <c r="Y330" s="367" t="str">
        <f t="shared" ca="1" si="167"/>
        <v/>
      </c>
      <c r="Z330" s="368" t="str">
        <f t="shared" ca="1" si="168"/>
        <v/>
      </c>
      <c r="AA330" s="369" t="str">
        <f t="shared" ca="1" si="169"/>
        <v/>
      </c>
      <c r="AB330" s="344"/>
      <c r="AC330" s="363" t="e">
        <f t="shared" ca="1" si="170"/>
        <v>#N/A</v>
      </c>
      <c r="AD330" s="376" t="e">
        <f t="shared" ca="1" si="171"/>
        <v>#N/A</v>
      </c>
      <c r="AE330" s="377" t="e">
        <f t="shared" ca="1" si="150"/>
        <v>#N/A</v>
      </c>
      <c r="AF330" s="344"/>
      <c r="AG330" s="359">
        <f t="shared" ca="1" si="172"/>
        <v>6.5791547723493977</v>
      </c>
      <c r="AH330" s="357">
        <f t="shared" ca="1" si="173"/>
        <v>-3.0917544520246536</v>
      </c>
    </row>
    <row r="331" spans="1:34" x14ac:dyDescent="0.2">
      <c r="A331" s="402">
        <f t="shared" ca="1" si="151"/>
        <v>0.1</v>
      </c>
      <c r="B331" s="357">
        <f t="shared" ca="1" si="152"/>
        <v>14.699999999999966</v>
      </c>
      <c r="C331" s="342"/>
      <c r="D331" s="359">
        <f t="shared" ca="1" si="153"/>
        <v>-0.52206848897374203</v>
      </c>
      <c r="E331" s="360">
        <f t="shared" ca="1" si="154"/>
        <v>-6.6920190191733058</v>
      </c>
      <c r="F331" s="357">
        <f t="shared" ca="1" si="155"/>
        <v>6.7123523492257604</v>
      </c>
      <c r="G331" s="359">
        <f t="shared" ca="1" si="156"/>
        <v>10.031726212283759</v>
      </c>
      <c r="H331" s="360">
        <f t="shared" ca="1" si="157"/>
        <v>-60.894080745876217</v>
      </c>
      <c r="I331" s="357">
        <f t="shared" ca="1" si="158"/>
        <v>61.714865313662592</v>
      </c>
      <c r="J331" s="359">
        <f t="shared" ca="1" si="159"/>
        <v>178.89636796002998</v>
      </c>
      <c r="K331" s="360">
        <f t="shared" ca="1" si="160"/>
        <v>53.356836683773444</v>
      </c>
      <c r="L331" s="357">
        <f t="shared" ca="1" si="145"/>
        <v>186.68385706908165</v>
      </c>
      <c r="M331" s="359">
        <f t="shared" ca="1" si="161"/>
        <v>-1.4075222624632016</v>
      </c>
      <c r="N331" s="357">
        <f t="shared" ca="1" si="162"/>
        <v>-80.645085209846386</v>
      </c>
      <c r="O331" s="343"/>
      <c r="P331" s="363">
        <f t="shared" ca="1" si="163"/>
        <v>23</v>
      </c>
      <c r="Q331" s="357">
        <f t="shared" ca="1" si="164"/>
        <v>0</v>
      </c>
      <c r="R331" s="359">
        <f t="shared" ca="1" si="165"/>
        <v>0</v>
      </c>
      <c r="S331" s="360">
        <f t="shared" ca="1" si="166"/>
        <v>1.5629999999999982</v>
      </c>
      <c r="T331" s="357">
        <f t="shared" ca="1" si="146"/>
        <v>15.333029999999983</v>
      </c>
      <c r="U331" s="364">
        <f t="shared" ca="1" si="147"/>
        <v>0</v>
      </c>
      <c r="V331" s="359">
        <f t="shared" ca="1" si="148"/>
        <v>1.2184811786904373</v>
      </c>
      <c r="W331" s="357">
        <f t="shared" ca="1" si="149"/>
        <v>5.050322327990763</v>
      </c>
      <c r="X331" s="343"/>
      <c r="Y331" s="367" t="str">
        <f t="shared" ca="1" si="167"/>
        <v/>
      </c>
      <c r="Z331" s="368" t="str">
        <f t="shared" ca="1" si="168"/>
        <v/>
      </c>
      <c r="AA331" s="369" t="str">
        <f t="shared" ca="1" si="169"/>
        <v/>
      </c>
      <c r="AB331" s="344"/>
      <c r="AC331" s="363" t="e">
        <f t="shared" ca="1" si="170"/>
        <v>#N/A</v>
      </c>
      <c r="AD331" s="376" t="e">
        <f t="shared" ca="1" si="171"/>
        <v>#N/A</v>
      </c>
      <c r="AE331" s="377" t="e">
        <f t="shared" ca="1" si="150"/>
        <v>#N/A</v>
      </c>
      <c r="AF331" s="344"/>
      <c r="AG331" s="359">
        <f t="shared" ca="1" si="172"/>
        <v>6.5139255602412103</v>
      </c>
      <c r="AH331" s="357">
        <f t="shared" ca="1" si="173"/>
        <v>-3.1613859150657837</v>
      </c>
    </row>
    <row r="332" spans="1:34" x14ac:dyDescent="0.2">
      <c r="A332" s="402">
        <f t="shared" ca="1" si="151"/>
        <v>0.1</v>
      </c>
      <c r="B332" s="357">
        <f t="shared" ca="1" si="152"/>
        <v>14.799999999999965</v>
      </c>
      <c r="C332" s="342"/>
      <c r="D332" s="359">
        <f t="shared" ca="1" si="153"/>
        <v>-0.52522574329173155</v>
      </c>
      <c r="E332" s="360">
        <f t="shared" ca="1" si="154"/>
        <v>-6.6218010654381203</v>
      </c>
      <c r="F332" s="357">
        <f t="shared" ca="1" si="155"/>
        <v>6.6425982440347671</v>
      </c>
      <c r="G332" s="359">
        <f t="shared" ca="1" si="156"/>
        <v>9.979203637954587</v>
      </c>
      <c r="H332" s="360">
        <f t="shared" ca="1" si="157"/>
        <v>-61.556260852420031</v>
      </c>
      <c r="I332" s="357">
        <f t="shared" ca="1" si="158"/>
        <v>62.359905030227118</v>
      </c>
      <c r="J332" s="359">
        <f t="shared" ca="1" si="159"/>
        <v>179.89691445254189</v>
      </c>
      <c r="K332" s="360">
        <f t="shared" ca="1" si="160"/>
        <v>47.23431960385863</v>
      </c>
      <c r="L332" s="357">
        <f t="shared" ca="1" si="145"/>
        <v>185.99457190462479</v>
      </c>
      <c r="M332" s="359">
        <f t="shared" ca="1" si="161"/>
        <v>-1.4100793754673995</v>
      </c>
      <c r="N332" s="357">
        <f t="shared" ca="1" si="162"/>
        <v>-80.791596992724948</v>
      </c>
      <c r="O332" s="343"/>
      <c r="P332" s="363">
        <f t="shared" ca="1" si="163"/>
        <v>23</v>
      </c>
      <c r="Q332" s="357">
        <f t="shared" ca="1" si="164"/>
        <v>0</v>
      </c>
      <c r="R332" s="359">
        <f t="shared" ca="1" si="165"/>
        <v>0</v>
      </c>
      <c r="S332" s="360">
        <f t="shared" ca="1" si="166"/>
        <v>1.5629999999999982</v>
      </c>
      <c r="T332" s="357">
        <f t="shared" ca="1" si="146"/>
        <v>15.333029999999983</v>
      </c>
      <c r="U332" s="364">
        <f t="shared" ca="1" si="147"/>
        <v>0</v>
      </c>
      <c r="V332" s="359">
        <f t="shared" ca="1" si="148"/>
        <v>1.2192274290216536</v>
      </c>
      <c r="W332" s="357">
        <f t="shared" ca="1" si="149"/>
        <v>5.1596033432673529</v>
      </c>
      <c r="X332" s="343"/>
      <c r="Y332" s="367" t="str">
        <f t="shared" ca="1" si="167"/>
        <v/>
      </c>
      <c r="Z332" s="368" t="str">
        <f t="shared" ca="1" si="168"/>
        <v/>
      </c>
      <c r="AA332" s="369" t="str">
        <f t="shared" ca="1" si="169"/>
        <v/>
      </c>
      <c r="AB332" s="344"/>
      <c r="AC332" s="363" t="e">
        <f t="shared" ca="1" si="170"/>
        <v>#N/A</v>
      </c>
      <c r="AD332" s="376" t="e">
        <f t="shared" ca="1" si="171"/>
        <v>#N/A</v>
      </c>
      <c r="AE332" s="377" t="e">
        <f t="shared" ca="1" si="150"/>
        <v>#N/A</v>
      </c>
      <c r="AF332" s="344"/>
      <c r="AG332" s="359">
        <f t="shared" ca="1" si="172"/>
        <v>6.4483583636286559</v>
      </c>
      <c r="AH332" s="357">
        <f t="shared" ca="1" si="173"/>
        <v>-3.2311723147733646</v>
      </c>
    </row>
    <row r="333" spans="1:34" x14ac:dyDescent="0.2">
      <c r="A333" s="402">
        <f t="shared" ca="1" si="151"/>
        <v>0.1</v>
      </c>
      <c r="B333" s="357">
        <f t="shared" ca="1" si="152"/>
        <v>14.899999999999965</v>
      </c>
      <c r="C333" s="342"/>
      <c r="D333" s="359">
        <f t="shared" ca="1" si="153"/>
        <v>-0.528260061255306</v>
      </c>
      <c r="E333" s="360">
        <f t="shared" ca="1" si="154"/>
        <v>-6.5514519927351547</v>
      </c>
      <c r="F333" s="357">
        <f t="shared" ca="1" si="155"/>
        <v>6.5727149569588743</v>
      </c>
      <c r="G333" s="359">
        <f t="shared" ca="1" si="156"/>
        <v>9.9263776318290571</v>
      </c>
      <c r="H333" s="360">
        <f t="shared" ca="1" si="157"/>
        <v>-62.211406051693544</v>
      </c>
      <c r="I333" s="357">
        <f t="shared" ca="1" si="158"/>
        <v>62.998349310266605</v>
      </c>
      <c r="J333" s="359">
        <f t="shared" ca="1" si="159"/>
        <v>180.89219351603109</v>
      </c>
      <c r="K333" s="360">
        <f t="shared" ca="1" si="160"/>
        <v>41.045936258652951</v>
      </c>
      <c r="L333" s="357">
        <f t="shared" ca="1" si="145"/>
        <v>185.49057808522414</v>
      </c>
      <c r="M333" s="359">
        <f t="shared" ca="1" si="161"/>
        <v>-1.4125712761358351</v>
      </c>
      <c r="N333" s="357">
        <f t="shared" ca="1" si="162"/>
        <v>-80.934372383992141</v>
      </c>
      <c r="O333" s="343"/>
      <c r="P333" s="363">
        <f t="shared" ca="1" si="163"/>
        <v>23</v>
      </c>
      <c r="Q333" s="357">
        <f t="shared" ca="1" si="164"/>
        <v>0</v>
      </c>
      <c r="R333" s="359">
        <f t="shared" ca="1" si="165"/>
        <v>0</v>
      </c>
      <c r="S333" s="360">
        <f t="shared" ca="1" si="166"/>
        <v>1.5629999999999982</v>
      </c>
      <c r="T333" s="357">
        <f t="shared" ca="1" si="146"/>
        <v>15.333029999999983</v>
      </c>
      <c r="U333" s="364">
        <f t="shared" ca="1" si="147"/>
        <v>0</v>
      </c>
      <c r="V333" s="359">
        <f t="shared" ca="1" si="148"/>
        <v>1.2199821708830199</v>
      </c>
      <c r="W333" s="357">
        <f t="shared" ca="1" si="149"/>
        <v>5.2690524896810489</v>
      </c>
      <c r="X333" s="343"/>
      <c r="Y333" s="367" t="str">
        <f t="shared" ca="1" si="167"/>
        <v/>
      </c>
      <c r="Z333" s="368" t="str">
        <f t="shared" ca="1" si="168"/>
        <v/>
      </c>
      <c r="AA333" s="369" t="str">
        <f t="shared" ca="1" si="169"/>
        <v/>
      </c>
      <c r="AB333" s="344"/>
      <c r="AC333" s="363" t="e">
        <f t="shared" ca="1" si="170"/>
        <v>#N/A</v>
      </c>
      <c r="AD333" s="376" t="e">
        <f t="shared" ca="1" si="171"/>
        <v>#N/A</v>
      </c>
      <c r="AE333" s="377" t="e">
        <f t="shared" ca="1" si="150"/>
        <v>#N/A</v>
      </c>
      <c r="AF333" s="344"/>
      <c r="AG333" s="359">
        <f t="shared" ca="1" si="172"/>
        <v>6.3824868384408715</v>
      </c>
      <c r="AH333" s="357">
        <f t="shared" ca="1" si="173"/>
        <v>-3.3010897909580033</v>
      </c>
    </row>
    <row r="334" spans="1:34" x14ac:dyDescent="0.2">
      <c r="A334" s="402">
        <f t="shared" ca="1" si="151"/>
        <v>0.1</v>
      </c>
      <c r="B334" s="357">
        <f t="shared" ca="1" si="152"/>
        <v>14.999999999999964</v>
      </c>
      <c r="C334" s="342"/>
      <c r="D334" s="359">
        <f t="shared" ca="1" si="153"/>
        <v>-0.53117199538080462</v>
      </c>
      <c r="E334" s="360">
        <f t="shared" ca="1" si="154"/>
        <v>-6.4809954110586689</v>
      </c>
      <c r="F334" s="357">
        <f t="shared" ca="1" si="155"/>
        <v>6.502725982758335</v>
      </c>
      <c r="G334" s="359">
        <f t="shared" ca="1" si="156"/>
        <v>9.8732604322909765</v>
      </c>
      <c r="H334" s="360">
        <f t="shared" ca="1" si="157"/>
        <v>-62.859505592799408</v>
      </c>
      <c r="I334" s="357">
        <f t="shared" ca="1" si="158"/>
        <v>63.630171419972008</v>
      </c>
      <c r="J334" s="359">
        <f t="shared" ca="1" si="159"/>
        <v>181.88217541923709</v>
      </c>
      <c r="K334" s="360">
        <f t="shared" ca="1" si="160"/>
        <v>34.792390676428305</v>
      </c>
      <c r="L334" s="357">
        <f t="shared" ca="1" si="145"/>
        <v>185.18001021766725</v>
      </c>
      <c r="M334" s="359">
        <f t="shared" ca="1" si="161"/>
        <v>-1.4150005023794168</v>
      </c>
      <c r="N334" s="357">
        <f t="shared" ca="1" si="162"/>
        <v>-81.073556795231781</v>
      </c>
      <c r="O334" s="343"/>
      <c r="P334" s="363">
        <f t="shared" ca="1" si="163"/>
        <v>23</v>
      </c>
      <c r="Q334" s="357">
        <f t="shared" ca="1" si="164"/>
        <v>0</v>
      </c>
      <c r="R334" s="359">
        <f t="shared" ca="1" si="165"/>
        <v>0</v>
      </c>
      <c r="S334" s="360">
        <f t="shared" ca="1" si="166"/>
        <v>1.5629999999999982</v>
      </c>
      <c r="T334" s="357">
        <f t="shared" ca="1" si="146"/>
        <v>15.333029999999983</v>
      </c>
      <c r="U334" s="364">
        <f t="shared" ca="1" si="147"/>
        <v>0</v>
      </c>
      <c r="V334" s="359">
        <f t="shared" ca="1" si="148"/>
        <v>1.2207453336428422</v>
      </c>
      <c r="W334" s="357">
        <f t="shared" ca="1" si="149"/>
        <v>5.3786335946621415</v>
      </c>
      <c r="X334" s="343"/>
      <c r="Y334" s="367" t="str">
        <f t="shared" ca="1" si="167"/>
        <v/>
      </c>
      <c r="Z334" s="368" t="str">
        <f t="shared" ca="1" si="168"/>
        <v/>
      </c>
      <c r="AA334" s="369" t="str">
        <f t="shared" ca="1" si="169"/>
        <v/>
      </c>
      <c r="AB334" s="344"/>
      <c r="AC334" s="363">
        <f t="shared" ca="1" si="170"/>
        <v>14.999999999999964</v>
      </c>
      <c r="AD334" s="376">
        <f t="shared" ca="1" si="171"/>
        <v>181.88217541923709</v>
      </c>
      <c r="AE334" s="377" t="e">
        <f t="shared" ca="1" si="150"/>
        <v>#N/A</v>
      </c>
      <c r="AF334" s="344"/>
      <c r="AG334" s="359">
        <f t="shared" ca="1" si="172"/>
        <v>6.31634364518316</v>
      </c>
      <c r="AH334" s="357">
        <f t="shared" ca="1" si="173"/>
        <v>-3.371114836648148</v>
      </c>
    </row>
    <row r="335" spans="1:34" x14ac:dyDescent="0.2">
      <c r="A335" s="402">
        <f t="shared" ca="1" si="151"/>
        <v>0.1</v>
      </c>
      <c r="B335" s="357">
        <f t="shared" ca="1" si="152"/>
        <v>15.099999999999964</v>
      </c>
      <c r="C335" s="342"/>
      <c r="D335" s="359">
        <f t="shared" ca="1" si="153"/>
        <v>-0.53396216053721901</v>
      </c>
      <c r="E335" s="360">
        <f t="shared" ca="1" si="154"/>
        <v>-6.4104545664714854</v>
      </c>
      <c r="F335" s="357">
        <f t="shared" ca="1" si="155"/>
        <v>6.4326544550193816</v>
      </c>
      <c r="G335" s="359">
        <f t="shared" ca="1" si="156"/>
        <v>9.8198642162372547</v>
      </c>
      <c r="H335" s="360">
        <f t="shared" ca="1" si="157"/>
        <v>-63.500551049446557</v>
      </c>
      <c r="I335" s="357">
        <f t="shared" ca="1" si="158"/>
        <v>64.255347768171845</v>
      </c>
      <c r="J335" s="359">
        <f t="shared" ca="1" si="159"/>
        <v>182.86683165166349</v>
      </c>
      <c r="K335" s="360">
        <f t="shared" ca="1" si="160"/>
        <v>28.474387844316006</v>
      </c>
      <c r="L335" s="357">
        <f t="shared" ca="1" si="145"/>
        <v>185.07044302488274</v>
      </c>
      <c r="M335" s="359">
        <f t="shared" ca="1" si="161"/>
        <v>-1.4173694618720445</v>
      </c>
      <c r="N335" s="357">
        <f t="shared" ca="1" si="162"/>
        <v>-81.209288175996804</v>
      </c>
      <c r="O335" s="343"/>
      <c r="P335" s="363">
        <f t="shared" ca="1" si="163"/>
        <v>23</v>
      </c>
      <c r="Q335" s="357">
        <f t="shared" ca="1" si="164"/>
        <v>0</v>
      </c>
      <c r="R335" s="359">
        <f t="shared" ca="1" si="165"/>
        <v>0</v>
      </c>
      <c r="S335" s="360">
        <f t="shared" ca="1" si="166"/>
        <v>1.5629999999999982</v>
      </c>
      <c r="T335" s="357">
        <f t="shared" ca="1" si="146"/>
        <v>15.333029999999983</v>
      </c>
      <c r="U335" s="364">
        <f t="shared" ca="1" si="147"/>
        <v>0</v>
      </c>
      <c r="V335" s="359">
        <f t="shared" ca="1" si="148"/>
        <v>1.2215168465222239</v>
      </c>
      <c r="W335" s="357">
        <f t="shared" ca="1" si="149"/>
        <v>5.4883110702082076</v>
      </c>
      <c r="X335" s="343"/>
      <c r="Y335" s="367" t="str">
        <f t="shared" ca="1" si="167"/>
        <v/>
      </c>
      <c r="Z335" s="368" t="str">
        <f t="shared" ca="1" si="168"/>
        <v/>
      </c>
      <c r="AA335" s="369" t="str">
        <f t="shared" ca="1" si="169"/>
        <v/>
      </c>
      <c r="AB335" s="344"/>
      <c r="AC335" s="363" t="e">
        <f t="shared" ca="1" si="170"/>
        <v>#N/A</v>
      </c>
      <c r="AD335" s="376" t="e">
        <f t="shared" ca="1" si="171"/>
        <v>#N/A</v>
      </c>
      <c r="AE335" s="377" t="e">
        <f t="shared" ca="1" si="150"/>
        <v>#N/A</v>
      </c>
      <c r="AF335" s="344"/>
      <c r="AG335" s="359">
        <f t="shared" ca="1" si="172"/>
        <v>6.2499604877176846</v>
      </c>
      <c r="AH335" s="357">
        <f t="shared" ca="1" si="173"/>
        <v>-3.4412243088049572</v>
      </c>
    </row>
    <row r="336" spans="1:34" x14ac:dyDescent="0.2">
      <c r="A336" s="402">
        <f t="shared" ca="1" si="151"/>
        <v>0.1</v>
      </c>
      <c r="B336" s="357">
        <f t="shared" ca="1" si="152"/>
        <v>15.199999999999964</v>
      </c>
      <c r="C336" s="342"/>
      <c r="D336" s="359">
        <f t="shared" ca="1" si="153"/>
        <v>-0.536631231674912</v>
      </c>
      <c r="E336" s="360">
        <f t="shared" ca="1" si="154"/>
        <v>-6.3398523308138559</v>
      </c>
      <c r="F336" s="357">
        <f t="shared" ca="1" si="155"/>
        <v>6.3625231359370957</v>
      </c>
      <c r="G336" s="359">
        <f t="shared" ca="1" si="156"/>
        <v>9.766201093069764</v>
      </c>
      <c r="H336" s="360">
        <f t="shared" ca="1" si="157"/>
        <v>-64.134536282527947</v>
      </c>
      <c r="I336" s="357">
        <f t="shared" ca="1" si="158"/>
        <v>64.873857816266565</v>
      </c>
      <c r="J336" s="359">
        <f t="shared" ca="1" si="159"/>
        <v>183.84613491712884</v>
      </c>
      <c r="K336" s="360">
        <f t="shared" ca="1" si="160"/>
        <v>22.092633477717278</v>
      </c>
      <c r="L336" s="357">
        <f t="shared" ca="1" si="145"/>
        <v>185.16880346847816</v>
      </c>
      <c r="M336" s="359">
        <f t="shared" ca="1" si="161"/>
        <v>-1.4196804402039949</v>
      </c>
      <c r="N336" s="357">
        <f t="shared" ca="1" si="162"/>
        <v>-81.341697480963745</v>
      </c>
      <c r="O336" s="343"/>
      <c r="P336" s="363">
        <f t="shared" ca="1" si="163"/>
        <v>23</v>
      </c>
      <c r="Q336" s="357">
        <f t="shared" ca="1" si="164"/>
        <v>0</v>
      </c>
      <c r="R336" s="359">
        <f t="shared" ca="1" si="165"/>
        <v>0</v>
      </c>
      <c r="S336" s="360">
        <f t="shared" ca="1" si="166"/>
        <v>1.5629999999999982</v>
      </c>
      <c r="T336" s="357">
        <f t="shared" ca="1" si="146"/>
        <v>15.333029999999983</v>
      </c>
      <c r="U336" s="364">
        <f t="shared" ca="1" si="147"/>
        <v>0</v>
      </c>
      <c r="V336" s="359">
        <f t="shared" ca="1" si="148"/>
        <v>1.2222966386175886</v>
      </c>
      <c r="W336" s="357">
        <f t="shared" ca="1" si="149"/>
        <v>5.5980499276228883</v>
      </c>
      <c r="X336" s="343"/>
      <c r="Y336" s="367" t="str">
        <f t="shared" ca="1" si="167"/>
        <v/>
      </c>
      <c r="Z336" s="368" t="str">
        <f t="shared" ca="1" si="168"/>
        <v/>
      </c>
      <c r="AA336" s="369" t="str">
        <f t="shared" ca="1" si="169"/>
        <v/>
      </c>
      <c r="AB336" s="344"/>
      <c r="AC336" s="363" t="e">
        <f t="shared" ca="1" si="170"/>
        <v>#N/A</v>
      </c>
      <c r="AD336" s="376" t="e">
        <f t="shared" ca="1" si="171"/>
        <v>#N/A</v>
      </c>
      <c r="AE336" s="377" t="e">
        <f t="shared" ca="1" si="150"/>
        <v>#N/A</v>
      </c>
      <c r="AF336" s="344"/>
      <c r="AG336" s="359">
        <f t="shared" ca="1" si="172"/>
        <v>6.1833681483296479</v>
      </c>
      <c r="AH336" s="357">
        <f t="shared" ca="1" si="173"/>
        <v>-3.5113954383929711</v>
      </c>
    </row>
    <row r="337" spans="1:34" x14ac:dyDescent="0.2">
      <c r="A337" s="402">
        <f t="shared" ca="1" si="151"/>
        <v>0.1</v>
      </c>
      <c r="B337" s="357">
        <f t="shared" ca="1" si="152"/>
        <v>15.299999999999963</v>
      </c>
      <c r="C337" s="342"/>
      <c r="D337" s="359">
        <f t="shared" ca="1" si="153"/>
        <v>-0.53917994158389682</v>
      </c>
      <c r="E337" s="360">
        <f t="shared" ca="1" si="154"/>
        <v>-6.2692111920711708</v>
      </c>
      <c r="F337" s="357">
        <f t="shared" ca="1" si="155"/>
        <v>6.2923544067540282</v>
      </c>
      <c r="G337" s="359">
        <f t="shared" ca="1" si="156"/>
        <v>9.7122830989113744</v>
      </c>
      <c r="H337" s="360">
        <f t="shared" ca="1" si="157"/>
        <v>-64.761457401735058</v>
      </c>
      <c r="I337" s="357">
        <f t="shared" ca="1" si="158"/>
        <v>65.48568399116057</v>
      </c>
      <c r="J337" s="359">
        <f t="shared" ca="1" si="159"/>
        <v>184.8200591267279</v>
      </c>
      <c r="K337" s="360">
        <f t="shared" ca="1" si="160"/>
        <v>15.647833793504127</v>
      </c>
      <c r="L337" s="357">
        <f t="shared" ca="1" si="145"/>
        <v>185.48129004844756</v>
      </c>
      <c r="M337" s="359">
        <f t="shared" ca="1" si="161"/>
        <v>-1.4219356084370145</v>
      </c>
      <c r="N337" s="357">
        <f t="shared" ca="1" si="162"/>
        <v>-81.470909102807738</v>
      </c>
      <c r="O337" s="343"/>
      <c r="P337" s="363">
        <f t="shared" ca="1" si="163"/>
        <v>23</v>
      </c>
      <c r="Q337" s="357">
        <f t="shared" ca="1" si="164"/>
        <v>0</v>
      </c>
      <c r="R337" s="359">
        <f t="shared" ca="1" si="165"/>
        <v>0</v>
      </c>
      <c r="S337" s="360">
        <f t="shared" ca="1" si="166"/>
        <v>1.5629999999999982</v>
      </c>
      <c r="T337" s="357">
        <f t="shared" ca="1" si="146"/>
        <v>15.333029999999983</v>
      </c>
      <c r="U337" s="364">
        <f t="shared" ca="1" si="147"/>
        <v>0</v>
      </c>
      <c r="V337" s="359">
        <f t="shared" ca="1" si="148"/>
        <v>1.2230846389228853</v>
      </c>
      <c r="W337" s="357">
        <f t="shared" ca="1" si="149"/>
        <v>5.7078157912601855</v>
      </c>
      <c r="X337" s="343"/>
      <c r="Y337" s="367" t="str">
        <f t="shared" ca="1" si="167"/>
        <v/>
      </c>
      <c r="Z337" s="368" t="str">
        <f t="shared" ca="1" si="168"/>
        <v/>
      </c>
      <c r="AA337" s="369" t="str">
        <f t="shared" ca="1" si="169"/>
        <v/>
      </c>
      <c r="AB337" s="344"/>
      <c r="AC337" s="363" t="e">
        <f t="shared" ca="1" si="170"/>
        <v>#N/A</v>
      </c>
      <c r="AD337" s="376" t="e">
        <f t="shared" ca="1" si="171"/>
        <v>#N/A</v>
      </c>
      <c r="AE337" s="377" t="e">
        <f t="shared" ca="1" si="150"/>
        <v>#N/A</v>
      </c>
      <c r="AF337" s="344"/>
      <c r="AG337" s="359">
        <f t="shared" ca="1" si="172"/>
        <v>6.1165965195053467</v>
      </c>
      <c r="AH337" s="357">
        <f t="shared" ca="1" si="173"/>
        <v>-3.5816058398099138</v>
      </c>
    </row>
    <row r="338" spans="1:34" x14ac:dyDescent="0.2">
      <c r="A338" s="402">
        <f t="shared" ca="1" si="151"/>
        <v>0.1</v>
      </c>
      <c r="B338" s="357">
        <f t="shared" ca="1" si="152"/>
        <v>15.399999999999963</v>
      </c>
      <c r="C338" s="342"/>
      <c r="D338" s="359">
        <f t="shared" ca="1" si="153"/>
        <v>-0.54160907868070562</v>
      </c>
      <c r="E338" s="360">
        <f t="shared" ca="1" si="154"/>
        <v>-6.1985532453944865</v>
      </c>
      <c r="F338" s="357">
        <f t="shared" ca="1" si="155"/>
        <v>6.2221702588485863</v>
      </c>
      <c r="G338" s="359">
        <f t="shared" ca="1" si="156"/>
        <v>9.6581221910433044</v>
      </c>
      <c r="H338" s="360">
        <f t="shared" ca="1" si="157"/>
        <v>-65.381312726274501</v>
      </c>
      <c r="I338" s="357">
        <f t="shared" ca="1" si="158"/>
        <v>66.090811600917917</v>
      </c>
      <c r="J338" s="359">
        <f t="shared" ca="1" si="159"/>
        <v>185.78857939122562</v>
      </c>
      <c r="K338" s="360">
        <f t="shared" ca="1" si="160"/>
        <v>9.1406952871036502</v>
      </c>
      <c r="L338" s="357">
        <f t="shared" ca="1" si="145"/>
        <v>186.01330205805559</v>
      </c>
      <c r="M338" s="359">
        <f t="shared" ca="1" si="161"/>
        <v>-1.4241370301111749</v>
      </c>
      <c r="N338" s="357">
        <f t="shared" ca="1" si="162"/>
        <v>-81.597041273665752</v>
      </c>
      <c r="O338" s="343"/>
      <c r="P338" s="363">
        <f t="shared" ca="1" si="163"/>
        <v>23</v>
      </c>
      <c r="Q338" s="357">
        <f t="shared" ca="1" si="164"/>
        <v>0</v>
      </c>
      <c r="R338" s="359">
        <f t="shared" ca="1" si="165"/>
        <v>0</v>
      </c>
      <c r="S338" s="360">
        <f t="shared" ca="1" si="166"/>
        <v>1.5629999999999982</v>
      </c>
      <c r="T338" s="357">
        <f t="shared" ca="1" si="146"/>
        <v>15.333029999999983</v>
      </c>
      <c r="U338" s="364">
        <f t="shared" ca="1" si="147"/>
        <v>0</v>
      </c>
      <c r="V338" s="359">
        <f t="shared" ca="1" si="148"/>
        <v>1.2238807763514463</v>
      </c>
      <c r="W338" s="357">
        <f t="shared" ca="1" si="149"/>
        <v>5.817574911282593</v>
      </c>
      <c r="X338" s="343"/>
      <c r="Y338" s="367" t="str">
        <f t="shared" ca="1" si="167"/>
        <v/>
      </c>
      <c r="Z338" s="368" t="str">
        <f t="shared" ca="1" si="168"/>
        <v/>
      </c>
      <c r="AA338" s="369" t="str">
        <f t="shared" ca="1" si="169"/>
        <v/>
      </c>
      <c r="AB338" s="344"/>
      <c r="AC338" s="363" t="e">
        <f t="shared" ca="1" si="170"/>
        <v>#N/A</v>
      </c>
      <c r="AD338" s="376" t="e">
        <f t="shared" ca="1" si="171"/>
        <v>#N/A</v>
      </c>
      <c r="AE338" s="377" t="e">
        <f t="shared" ca="1" si="150"/>
        <v>#N/A</v>
      </c>
      <c r="AF338" s="344"/>
      <c r="AG338" s="359">
        <f t="shared" ca="1" si="172"/>
        <v>6.0496746328005013</v>
      </c>
      <c r="AH338" s="357">
        <f t="shared" ca="1" si="173"/>
        <v>-3.6518335196802254</v>
      </c>
    </row>
    <row r="339" spans="1:34" x14ac:dyDescent="0.2">
      <c r="A339" s="402">
        <f t="shared" ca="1" si="151"/>
        <v>0.1</v>
      </c>
      <c r="B339" s="357">
        <f t="shared" ca="1" si="152"/>
        <v>15.499999999999963</v>
      </c>
      <c r="C339" s="342"/>
      <c r="D339" s="359">
        <f t="shared" ca="1" si="153"/>
        <v>-0.54391948482314101</v>
      </c>
      <c r="E339" s="360">
        <f t="shared" ca="1" si="154"/>
        <v>-6.1279001847672472</v>
      </c>
      <c r="F339" s="357">
        <f t="shared" ca="1" si="155"/>
        <v>6.1519922854666138</v>
      </c>
      <c r="G339" s="359">
        <f t="shared" ca="1" si="156"/>
        <v>9.6037302425609905</v>
      </c>
      <c r="H339" s="360">
        <f t="shared" ca="1" si="157"/>
        <v>-65.994102744751231</v>
      </c>
      <c r="I339" s="357">
        <f t="shared" ca="1" si="158"/>
        <v>66.689228752900291</v>
      </c>
      <c r="J339" s="359">
        <f t="shared" ca="1" si="159"/>
        <v>186.75167201290583</v>
      </c>
      <c r="K339" s="360">
        <f t="shared" ca="1" si="160"/>
        <v>2.5719245135523625</v>
      </c>
      <c r="L339" s="357">
        <f t="shared" ca="1" si="145"/>
        <v>186.76938131106866</v>
      </c>
      <c r="M339" s="359">
        <f t="shared" ca="1" si="161"/>
        <v>-1.4262866677488661</v>
      </c>
      <c r="N339" s="357">
        <f t="shared" ca="1" si="162"/>
        <v>-81.720206437787937</v>
      </c>
      <c r="O339" s="343"/>
      <c r="P339" s="363">
        <f t="shared" ca="1" si="163"/>
        <v>23</v>
      </c>
      <c r="Q339" s="357">
        <f t="shared" ca="1" si="164"/>
        <v>0</v>
      </c>
      <c r="R339" s="359">
        <f t="shared" ca="1" si="165"/>
        <v>0</v>
      </c>
      <c r="S339" s="360">
        <f t="shared" ca="1" si="166"/>
        <v>1.5629999999999982</v>
      </c>
      <c r="T339" s="357">
        <f t="shared" ca="1" si="146"/>
        <v>15.333029999999983</v>
      </c>
      <c r="U339" s="364">
        <f t="shared" ca="1" si="147"/>
        <v>0</v>
      </c>
      <c r="V339" s="359">
        <f t="shared" ca="1" si="148"/>
        <v>1.2246849797575041</v>
      </c>
      <c r="W339" s="357">
        <f t="shared" ca="1" si="149"/>
        <v>5.9272941754433068</v>
      </c>
      <c r="X339" s="343"/>
      <c r="Y339" s="367" t="str">
        <f t="shared" ca="1" si="167"/>
        <v/>
      </c>
      <c r="Z339" s="368" t="str">
        <f t="shared" ca="1" si="168"/>
        <v/>
      </c>
      <c r="AA339" s="369" t="str">
        <f t="shared" ca="1" si="169"/>
        <v/>
      </c>
      <c r="AB339" s="344"/>
      <c r="AC339" s="363" t="e">
        <f t="shared" ca="1" si="170"/>
        <v>#N/A</v>
      </c>
      <c r="AD339" s="376" t="e">
        <f t="shared" ca="1" si="171"/>
        <v>#N/A</v>
      </c>
      <c r="AE339" s="377" t="e">
        <f t="shared" ca="1" si="150"/>
        <v>#N/A</v>
      </c>
      <c r="AF339" s="344"/>
      <c r="AG339" s="359">
        <f t="shared" ca="1" si="172"/>
        <v>5.9826306851353586</v>
      </c>
      <c r="AH339" s="357">
        <f t="shared" ca="1" si="173"/>
        <v>-3.7220568850176581</v>
      </c>
    </row>
    <row r="340" spans="1:34" x14ac:dyDescent="0.2">
      <c r="A340" s="402">
        <f t="shared" ca="1" si="151"/>
        <v>0.1</v>
      </c>
      <c r="B340" s="357">
        <f t="shared" ca="1" si="152"/>
        <v>15.599999999999962</v>
      </c>
      <c r="C340" s="342"/>
      <c r="D340" s="359">
        <f t="shared" ca="1" si="153"/>
        <v>-0.54611205315249489</v>
      </c>
      <c r="E340" s="360">
        <f t="shared" ca="1" si="154"/>
        <v>-6.0572732953104991</v>
      </c>
      <c r="F340" s="357">
        <f t="shared" ca="1" si="155"/>
        <v>6.0818416740885439</v>
      </c>
      <c r="G340" s="359">
        <f t="shared" ca="1" si="156"/>
        <v>9.5491190372457417</v>
      </c>
      <c r="H340" s="360">
        <f t="shared" ca="1" si="157"/>
        <v>-66.599830074282281</v>
      </c>
      <c r="I340" s="357">
        <f t="shared" ca="1" si="158"/>
        <v>67.280926274173453</v>
      </c>
      <c r="J340" s="359">
        <f t="shared" ca="1" si="159"/>
        <v>187.70931447689617</v>
      </c>
      <c r="K340" s="360">
        <f t="shared" ca="1" si="160"/>
        <v>-4.0577721273993133</v>
      </c>
      <c r="L340" s="357">
        <f t="shared" ca="1" si="145"/>
        <v>187.75316843138546</v>
      </c>
      <c r="M340" s="359">
        <f t="shared" ca="1" si="161"/>
        <v>-1.4283863888971153</v>
      </c>
      <c r="N340" s="357">
        <f t="shared" ca="1" si="162"/>
        <v>-81.840511597736977</v>
      </c>
      <c r="O340" s="343"/>
      <c r="P340" s="363">
        <f t="shared" ca="1" si="163"/>
        <v>23</v>
      </c>
      <c r="Q340" s="357">
        <f t="shared" ca="1" si="164"/>
        <v>0</v>
      </c>
      <c r="R340" s="359">
        <f t="shared" ca="1" si="165"/>
        <v>0</v>
      </c>
      <c r="S340" s="360">
        <f t="shared" ca="1" si="166"/>
        <v>1.5629999999999982</v>
      </c>
      <c r="T340" s="357">
        <f t="shared" ca="1" si="146"/>
        <v>15.333029999999983</v>
      </c>
      <c r="U340" s="364">
        <f t="shared" ca="1" si="147"/>
        <v>0</v>
      </c>
      <c r="V340" s="359">
        <f t="shared" ca="1" si="148"/>
        <v>1.2254971779573491</v>
      </c>
      <c r="W340" s="357">
        <f t="shared" ca="1" si="149"/>
        <v>6.0369411199038465</v>
      </c>
      <c r="X340" s="343"/>
      <c r="Y340" s="367" t="str">
        <f t="shared" ca="1" si="167"/>
        <v>Impact balistique</v>
      </c>
      <c r="Z340" s="368" t="str">
        <f t="shared" ca="1" si="168"/>
        <v/>
      </c>
      <c r="AA340" s="369" t="str">
        <f t="shared" ca="1" si="169"/>
        <v/>
      </c>
      <c r="AB340" s="344"/>
      <c r="AC340" s="363" t="e">
        <f t="shared" ca="1" si="170"/>
        <v>#N/A</v>
      </c>
      <c r="AD340" s="376" t="e">
        <f t="shared" ca="1" si="171"/>
        <v>#N/A</v>
      </c>
      <c r="AE340" s="377" t="e">
        <f t="shared" ca="1" si="150"/>
        <v>#N/A</v>
      </c>
      <c r="AF340" s="344"/>
      <c r="AG340" s="359">
        <f t="shared" ca="1" si="172"/>
        <v>5.9154920628155363</v>
      </c>
      <c r="AH340" s="357">
        <f t="shared" ca="1" si="173"/>
        <v>-3.7922547507634765</v>
      </c>
    </row>
    <row r="341" spans="1:34" x14ac:dyDescent="0.2">
      <c r="A341" s="402">
        <f t="shared" ca="1" si="151"/>
        <v>1E-4</v>
      </c>
      <c r="B341" s="357">
        <f t="shared" ca="1" si="152"/>
        <v>15.600099999999962</v>
      </c>
      <c r="C341" s="342"/>
      <c r="D341" s="359">
        <f t="shared" ca="1" si="153"/>
        <v>-0.54818772596300225</v>
      </c>
      <c r="E341" s="360">
        <f t="shared" ca="1" si="154"/>
        <v>-5.9866934462183075</v>
      </c>
      <c r="F341" s="357">
        <f t="shared" ca="1" si="155"/>
        <v>6.011739199423884</v>
      </c>
      <c r="G341" s="359">
        <f t="shared" ca="1" si="156"/>
        <v>9.5490642184731449</v>
      </c>
      <c r="H341" s="360">
        <f t="shared" ca="1" si="157"/>
        <v>-66.600428743626907</v>
      </c>
      <c r="I341" s="357">
        <f t="shared" ca="1" si="158"/>
        <v>67.281511102853869</v>
      </c>
      <c r="J341" s="359">
        <f t="shared" ca="1" si="159"/>
        <v>187.70931447689617</v>
      </c>
      <c r="K341" s="360">
        <f t="shared" ca="1" si="160"/>
        <v>-4.0644321403402088</v>
      </c>
      <c r="L341" s="357">
        <f t="shared" ca="1" si="145"/>
        <v>187.75331248744914</v>
      </c>
      <c r="M341" s="359">
        <f t="shared" ca="1" si="161"/>
        <v>-1.4283884582979305</v>
      </c>
      <c r="N341" s="357">
        <f t="shared" ca="1" si="162"/>
        <v>-81.840630165669808</v>
      </c>
      <c r="O341" s="343"/>
      <c r="P341" s="363">
        <f t="shared" ca="1" si="163"/>
        <v>23</v>
      </c>
      <c r="Q341" s="357">
        <f t="shared" ca="1" si="164"/>
        <v>0</v>
      </c>
      <c r="R341" s="359">
        <f t="shared" ca="1" si="165"/>
        <v>0</v>
      </c>
      <c r="S341" s="360">
        <f t="shared" ca="1" si="166"/>
        <v>1.5629999999999982</v>
      </c>
      <c r="T341" s="357">
        <f t="shared" ca="1" si="146"/>
        <v>15.333029999999983</v>
      </c>
      <c r="U341" s="364">
        <f t="shared" ca="1" si="147"/>
        <v>0</v>
      </c>
      <c r="V341" s="359">
        <f t="shared" ca="1" si="148"/>
        <v>1.2254979941403614</v>
      </c>
      <c r="W341" s="357">
        <f t="shared" ca="1" si="149"/>
        <v>6.0370500913304044</v>
      </c>
      <c r="X341" s="343"/>
      <c r="Y341" s="367" t="str">
        <f t="shared" ca="1" si="167"/>
        <v/>
      </c>
      <c r="Z341" s="368" t="str">
        <f t="shared" ca="1" si="168"/>
        <v/>
      </c>
      <c r="AA341" s="369" t="str">
        <f t="shared" ca="1" si="169"/>
        <v/>
      </c>
      <c r="AB341" s="344"/>
      <c r="AC341" s="363" t="e">
        <f t="shared" ca="1" si="170"/>
        <v>#N/A</v>
      </c>
      <c r="AD341" s="376" t="e">
        <f t="shared" ca="1" si="171"/>
        <v>#N/A</v>
      </c>
      <c r="AE341" s="377" t="e">
        <f t="shared" ca="1" si="150"/>
        <v>#N/A</v>
      </c>
      <c r="AF341" s="344"/>
      <c r="AG341" s="359">
        <f t="shared" ca="1" si="172"/>
        <v>5.8482853635447345</v>
      </c>
      <c r="AH341" s="357">
        <f t="shared" ca="1" si="173"/>
        <v>-3.86240634670752</v>
      </c>
    </row>
    <row r="342" spans="1:34" x14ac:dyDescent="0.2">
      <c r="A342" s="402">
        <f t="shared" ca="1" si="151"/>
        <v>1E-4</v>
      </c>
      <c r="B342" s="357">
        <f t="shared" ca="1" si="152"/>
        <v>15.600199999999962</v>
      </c>
      <c r="C342" s="342"/>
      <c r="D342" s="359">
        <f t="shared" ca="1" si="153"/>
        <v>-0.54818970907504427</v>
      </c>
      <c r="E342" s="360">
        <f t="shared" ca="1" si="154"/>
        <v>-5.9866232981644121</v>
      </c>
      <c r="F342" s="357">
        <f t="shared" ca="1" si="155"/>
        <v>6.0116695244549767</v>
      </c>
      <c r="G342" s="359">
        <f t="shared" ca="1" si="156"/>
        <v>9.5490093995022374</v>
      </c>
      <c r="H342" s="360">
        <f t="shared" ca="1" si="157"/>
        <v>-66.601027405956728</v>
      </c>
      <c r="I342" s="357">
        <f t="shared" ca="1" si="158"/>
        <v>67.282095924850481</v>
      </c>
      <c r="J342" s="359">
        <f t="shared" ca="1" si="159"/>
        <v>187.70931447689617</v>
      </c>
      <c r="K342" s="360">
        <f t="shared" ca="1" si="160"/>
        <v>-4.0710922131476881</v>
      </c>
      <c r="L342" s="357">
        <f t="shared" ca="1" si="145"/>
        <v>187.75345678094519</v>
      </c>
      <c r="M342" s="359">
        <f t="shared" ca="1" si="161"/>
        <v>-1.4283905276508908</v>
      </c>
      <c r="N342" s="357">
        <f t="shared" ca="1" si="162"/>
        <v>-81.840748730860753</v>
      </c>
      <c r="O342" s="343"/>
      <c r="P342" s="363">
        <f t="shared" ca="1" si="163"/>
        <v>23</v>
      </c>
      <c r="Q342" s="357">
        <f t="shared" ca="1" si="164"/>
        <v>0</v>
      </c>
      <c r="R342" s="359">
        <f t="shared" ca="1" si="165"/>
        <v>0</v>
      </c>
      <c r="S342" s="360">
        <f t="shared" ca="1" si="166"/>
        <v>1.5629999999999982</v>
      </c>
      <c r="T342" s="357">
        <f t="shared" ca="1" si="146"/>
        <v>15.333029999999983</v>
      </c>
      <c r="U342" s="364">
        <f t="shared" ca="1" si="147"/>
        <v>0</v>
      </c>
      <c r="V342" s="359">
        <f t="shared" ca="1" si="148"/>
        <v>1.2254988103312534</v>
      </c>
      <c r="W342" s="357">
        <f t="shared" ca="1" si="149"/>
        <v>6.0371590626483753</v>
      </c>
      <c r="X342" s="343"/>
      <c r="Y342" s="367" t="str">
        <f t="shared" ca="1" si="167"/>
        <v/>
      </c>
      <c r="Z342" s="368" t="str">
        <f t="shared" ca="1" si="168"/>
        <v/>
      </c>
      <c r="AA342" s="369" t="str">
        <f t="shared" ca="1" si="169"/>
        <v/>
      </c>
      <c r="AB342" s="344"/>
      <c r="AC342" s="363" t="e">
        <f t="shared" ca="1" si="170"/>
        <v>#N/A</v>
      </c>
      <c r="AD342" s="376" t="e">
        <f t="shared" ca="1" si="171"/>
        <v>#N/A</v>
      </c>
      <c r="AE342" s="377" t="e">
        <f t="shared" ca="1" si="150"/>
        <v>#N/A</v>
      </c>
      <c r="AF342" s="344"/>
      <c r="AG342" s="359">
        <f t="shared" ca="1" si="172"/>
        <v>5.8482185253978631</v>
      </c>
      <c r="AH342" s="357">
        <f t="shared" ca="1" si="173"/>
        <v>-3.8624760661103079</v>
      </c>
    </row>
    <row r="343" spans="1:34" x14ac:dyDescent="0.2">
      <c r="A343" s="402">
        <f t="shared" ca="1" si="151"/>
        <v>1E-4</v>
      </c>
      <c r="B343" s="357">
        <f t="shared" ca="1" si="152"/>
        <v>15.600299999999962</v>
      </c>
      <c r="C343" s="342"/>
      <c r="D343" s="359">
        <f t="shared" ca="1" si="153"/>
        <v>-0.54819169207221563</v>
      </c>
      <c r="E343" s="360">
        <f t="shared" ca="1" si="154"/>
        <v>-5.9865531501809404</v>
      </c>
      <c r="F343" s="357">
        <f t="shared" ca="1" si="155"/>
        <v>6.0115998495573821</v>
      </c>
      <c r="G343" s="359">
        <f t="shared" ca="1" si="156"/>
        <v>9.5489545803330298</v>
      </c>
      <c r="H343" s="360">
        <f t="shared" ca="1" si="157"/>
        <v>-66.601626061271745</v>
      </c>
      <c r="I343" s="357">
        <f t="shared" ca="1" si="158"/>
        <v>67.282680740163244</v>
      </c>
      <c r="J343" s="359">
        <f t="shared" ca="1" si="159"/>
        <v>187.70931447689617</v>
      </c>
      <c r="K343" s="360">
        <f t="shared" ca="1" si="160"/>
        <v>-4.0777523458210494</v>
      </c>
      <c r="L343" s="357">
        <f t="shared" ca="1" si="145"/>
        <v>187.75360131187938</v>
      </c>
      <c r="M343" s="359">
        <f t="shared" ca="1" si="161"/>
        <v>-1.4283925969559983</v>
      </c>
      <c r="N343" s="357">
        <f t="shared" ca="1" si="162"/>
        <v>-81.840867293309941</v>
      </c>
      <c r="O343" s="343"/>
      <c r="P343" s="363">
        <f t="shared" ca="1" si="163"/>
        <v>23</v>
      </c>
      <c r="Q343" s="357">
        <f t="shared" ca="1" si="164"/>
        <v>0</v>
      </c>
      <c r="R343" s="359">
        <f t="shared" ca="1" si="165"/>
        <v>0</v>
      </c>
      <c r="S343" s="360">
        <f t="shared" ca="1" si="166"/>
        <v>1.5629999999999982</v>
      </c>
      <c r="T343" s="357">
        <f t="shared" ca="1" si="146"/>
        <v>15.333029999999983</v>
      </c>
      <c r="U343" s="364">
        <f t="shared" ca="1" si="147"/>
        <v>0</v>
      </c>
      <c r="V343" s="359">
        <f t="shared" ca="1" si="148"/>
        <v>1.2254996265300258</v>
      </c>
      <c r="W343" s="357">
        <f t="shared" ca="1" si="149"/>
        <v>6.0372680338577265</v>
      </c>
      <c r="X343" s="343"/>
      <c r="Y343" s="367" t="str">
        <f t="shared" ca="1" si="167"/>
        <v/>
      </c>
      <c r="Z343" s="368" t="str">
        <f t="shared" ca="1" si="168"/>
        <v/>
      </c>
      <c r="AA343" s="369" t="str">
        <f t="shared" ca="1" si="169"/>
        <v/>
      </c>
      <c r="AB343" s="344"/>
      <c r="AC343" s="363" t="e">
        <f t="shared" ca="1" si="170"/>
        <v>#N/A</v>
      </c>
      <c r="AD343" s="376" t="e">
        <f t="shared" ca="1" si="171"/>
        <v>#N/A</v>
      </c>
      <c r="AE343" s="377" t="e">
        <f t="shared" ca="1" si="150"/>
        <v>#N/A</v>
      </c>
      <c r="AF343" s="344"/>
      <c r="AG343" s="359">
        <f t="shared" ca="1" si="172"/>
        <v>5.8481516872122503</v>
      </c>
      <c r="AH343" s="357">
        <f t="shared" ca="1" si="173"/>
        <v>-3.8625457854436229</v>
      </c>
    </row>
    <row r="344" spans="1:34" x14ac:dyDescent="0.2">
      <c r="A344" s="402">
        <f t="shared" ca="1" si="151"/>
        <v>1E-4</v>
      </c>
      <c r="B344" s="357">
        <f t="shared" ca="1" si="152"/>
        <v>15.600399999999961</v>
      </c>
      <c r="C344" s="342"/>
      <c r="D344" s="359">
        <f t="shared" ca="1" si="153"/>
        <v>-0.54819367495451554</v>
      </c>
      <c r="E344" s="360">
        <f t="shared" ca="1" si="154"/>
        <v>-5.9864830022679127</v>
      </c>
      <c r="F344" s="357">
        <f t="shared" ca="1" si="155"/>
        <v>6.0115301747311207</v>
      </c>
      <c r="G344" s="359">
        <f t="shared" ca="1" si="156"/>
        <v>9.5488997609655346</v>
      </c>
      <c r="H344" s="360">
        <f t="shared" ca="1" si="157"/>
        <v>-66.602224709571971</v>
      </c>
      <c r="I344" s="357">
        <f t="shared" ca="1" si="158"/>
        <v>67.283265548792201</v>
      </c>
      <c r="J344" s="359">
        <f t="shared" ca="1" si="159"/>
        <v>187.70931447689617</v>
      </c>
      <c r="K344" s="360">
        <f t="shared" ca="1" si="160"/>
        <v>-4.0844125383595919</v>
      </c>
      <c r="L344" s="357">
        <f t="shared" ca="1" si="145"/>
        <v>187.75374608025751</v>
      </c>
      <c r="M344" s="359">
        <f t="shared" ca="1" si="161"/>
        <v>-1.4283946662132543</v>
      </c>
      <c r="N344" s="357">
        <f t="shared" ca="1" si="162"/>
        <v>-81.840985853017443</v>
      </c>
      <c r="O344" s="343"/>
      <c r="P344" s="363">
        <f t="shared" ca="1" si="163"/>
        <v>23</v>
      </c>
      <c r="Q344" s="357">
        <f t="shared" ca="1" si="164"/>
        <v>0</v>
      </c>
      <c r="R344" s="359">
        <f t="shared" ca="1" si="165"/>
        <v>0</v>
      </c>
      <c r="S344" s="360">
        <f t="shared" ca="1" si="166"/>
        <v>1.5629999999999982</v>
      </c>
      <c r="T344" s="357">
        <f t="shared" ca="1" si="146"/>
        <v>15.333029999999983</v>
      </c>
      <c r="U344" s="364">
        <f t="shared" ca="1" si="147"/>
        <v>0</v>
      </c>
      <c r="V344" s="359">
        <f t="shared" ca="1" si="148"/>
        <v>1.2255004427366785</v>
      </c>
      <c r="W344" s="357">
        <f t="shared" ca="1" si="149"/>
        <v>6.0373770049584339</v>
      </c>
      <c r="X344" s="343"/>
      <c r="Y344" s="367" t="str">
        <f t="shared" ca="1" si="167"/>
        <v/>
      </c>
      <c r="Z344" s="368" t="str">
        <f t="shared" ca="1" si="168"/>
        <v/>
      </c>
      <c r="AA344" s="369" t="str">
        <f t="shared" ca="1" si="169"/>
        <v/>
      </c>
      <c r="AB344" s="344"/>
      <c r="AC344" s="363" t="e">
        <f t="shared" ca="1" si="170"/>
        <v>#N/A</v>
      </c>
      <c r="AD344" s="376" t="e">
        <f t="shared" ca="1" si="171"/>
        <v>#N/A</v>
      </c>
      <c r="AE344" s="377" t="e">
        <f t="shared" ca="1" si="150"/>
        <v>#N/A</v>
      </c>
      <c r="AF344" s="344"/>
      <c r="AG344" s="359">
        <f t="shared" ca="1" si="172"/>
        <v>5.8480848489879254</v>
      </c>
      <c r="AH344" s="357">
        <f t="shared" ca="1" si="173"/>
        <v>-3.8626155047074433</v>
      </c>
    </row>
    <row r="345" spans="1:34" x14ac:dyDescent="0.2">
      <c r="A345" s="402">
        <f t="shared" ca="1" si="151"/>
        <v>1E-4</v>
      </c>
      <c r="B345" s="357">
        <f t="shared" ca="1" si="152"/>
        <v>15.600499999999961</v>
      </c>
      <c r="C345" s="342"/>
      <c r="D345" s="359">
        <f t="shared" ca="1" si="153"/>
        <v>-0.54819565772194745</v>
      </c>
      <c r="E345" s="360">
        <f t="shared" ca="1" si="154"/>
        <v>-5.9864128544253452</v>
      </c>
      <c r="F345" s="357">
        <f t="shared" ca="1" si="155"/>
        <v>6.0114604999762085</v>
      </c>
      <c r="G345" s="359">
        <f t="shared" ca="1" si="156"/>
        <v>9.5488449413997625</v>
      </c>
      <c r="H345" s="360">
        <f t="shared" ca="1" si="157"/>
        <v>-66.602823350857406</v>
      </c>
      <c r="I345" s="357">
        <f t="shared" ca="1" si="158"/>
        <v>67.28385035073731</v>
      </c>
      <c r="J345" s="359">
        <f t="shared" ca="1" si="159"/>
        <v>187.70931447689617</v>
      </c>
      <c r="K345" s="360">
        <f t="shared" ca="1" si="160"/>
        <v>-4.0910727907626132</v>
      </c>
      <c r="L345" s="357">
        <f t="shared" ca="1" si="145"/>
        <v>187.75389108608542</v>
      </c>
      <c r="M345" s="359">
        <f t="shared" ca="1" si="161"/>
        <v>-1.428396735422661</v>
      </c>
      <c r="N345" s="357">
        <f t="shared" ca="1" si="162"/>
        <v>-81.841104409983373</v>
      </c>
      <c r="O345" s="343"/>
      <c r="P345" s="363">
        <f t="shared" ca="1" si="163"/>
        <v>23</v>
      </c>
      <c r="Q345" s="357">
        <f t="shared" ca="1" si="164"/>
        <v>0</v>
      </c>
      <c r="R345" s="359">
        <f t="shared" ca="1" si="165"/>
        <v>0</v>
      </c>
      <c r="S345" s="360">
        <f t="shared" ca="1" si="166"/>
        <v>1.5629999999999982</v>
      </c>
      <c r="T345" s="357">
        <f t="shared" ca="1" si="146"/>
        <v>15.333029999999983</v>
      </c>
      <c r="U345" s="364">
        <f t="shared" ca="1" si="147"/>
        <v>0</v>
      </c>
      <c r="V345" s="359">
        <f t="shared" ca="1" si="148"/>
        <v>1.2255012589512111</v>
      </c>
      <c r="W345" s="357">
        <f t="shared" ca="1" si="149"/>
        <v>6.0374859759504602</v>
      </c>
      <c r="X345" s="343"/>
      <c r="Y345" s="367" t="str">
        <f t="shared" ca="1" si="167"/>
        <v/>
      </c>
      <c r="Z345" s="368" t="str">
        <f t="shared" ca="1" si="168"/>
        <v/>
      </c>
      <c r="AA345" s="369" t="str">
        <f t="shared" ca="1" si="169"/>
        <v/>
      </c>
      <c r="AB345" s="344"/>
      <c r="AC345" s="363" t="e">
        <f t="shared" ca="1" si="170"/>
        <v>#N/A</v>
      </c>
      <c r="AD345" s="376" t="e">
        <f t="shared" ca="1" si="171"/>
        <v>#N/A</v>
      </c>
      <c r="AE345" s="377" t="e">
        <f t="shared" ca="1" si="150"/>
        <v>#N/A</v>
      </c>
      <c r="AF345" s="344"/>
      <c r="AG345" s="359">
        <f t="shared" ca="1" si="172"/>
        <v>5.8480180107249105</v>
      </c>
      <c r="AH345" s="357">
        <f t="shared" ca="1" si="173"/>
        <v>-3.8626852239017535</v>
      </c>
    </row>
    <row r="346" spans="1:34" x14ac:dyDescent="0.2">
      <c r="A346" s="402">
        <f t="shared" ca="1" si="151"/>
        <v>1E-4</v>
      </c>
      <c r="B346" s="357">
        <f t="shared" ca="1" si="152"/>
        <v>15.600599999999961</v>
      </c>
      <c r="C346" s="342"/>
      <c r="D346" s="359">
        <f t="shared" ca="1" si="153"/>
        <v>-0.54819764037450991</v>
      </c>
      <c r="E346" s="360">
        <f t="shared" ca="1" si="154"/>
        <v>-5.9863427066532608</v>
      </c>
      <c r="F346" s="357">
        <f t="shared" ca="1" si="155"/>
        <v>6.0113908252926693</v>
      </c>
      <c r="G346" s="359">
        <f t="shared" ca="1" si="156"/>
        <v>9.5487901216357258</v>
      </c>
      <c r="H346" s="360">
        <f t="shared" ca="1" si="157"/>
        <v>-66.603421985128065</v>
      </c>
      <c r="I346" s="357">
        <f t="shared" ca="1" si="158"/>
        <v>67.284435145998572</v>
      </c>
      <c r="J346" s="359">
        <f t="shared" ca="1" si="159"/>
        <v>187.70931447689617</v>
      </c>
      <c r="K346" s="360">
        <f t="shared" ca="1" si="160"/>
        <v>-4.0977331030294124</v>
      </c>
      <c r="L346" s="357">
        <f t="shared" ca="1" si="145"/>
        <v>187.75403632936886</v>
      </c>
      <c r="M346" s="359">
        <f t="shared" ca="1" si="161"/>
        <v>-1.42839880458422</v>
      </c>
      <c r="N346" s="357">
        <f t="shared" ca="1" si="162"/>
        <v>-81.84122296420783</v>
      </c>
      <c r="O346" s="343"/>
      <c r="P346" s="363">
        <f t="shared" ca="1" si="163"/>
        <v>23</v>
      </c>
      <c r="Q346" s="357">
        <f t="shared" ca="1" si="164"/>
        <v>0</v>
      </c>
      <c r="R346" s="359">
        <f t="shared" ca="1" si="165"/>
        <v>0</v>
      </c>
      <c r="S346" s="360">
        <f t="shared" ca="1" si="166"/>
        <v>1.5629999999999982</v>
      </c>
      <c r="T346" s="357">
        <f t="shared" ca="1" si="146"/>
        <v>15.333029999999983</v>
      </c>
      <c r="U346" s="364">
        <f t="shared" ca="1" si="147"/>
        <v>0</v>
      </c>
      <c r="V346" s="359">
        <f t="shared" ca="1" si="148"/>
        <v>1.2255020751736241</v>
      </c>
      <c r="W346" s="357">
        <f t="shared" ca="1" si="149"/>
        <v>6.0375949468337771</v>
      </c>
      <c r="X346" s="343"/>
      <c r="Y346" s="367" t="str">
        <f t="shared" ca="1" si="167"/>
        <v/>
      </c>
      <c r="Z346" s="368" t="str">
        <f t="shared" ca="1" si="168"/>
        <v/>
      </c>
      <c r="AA346" s="369" t="str">
        <f t="shared" ca="1" si="169"/>
        <v/>
      </c>
      <c r="AB346" s="344"/>
      <c r="AC346" s="363" t="e">
        <f t="shared" ca="1" si="170"/>
        <v>#N/A</v>
      </c>
      <c r="AD346" s="376" t="e">
        <f t="shared" ca="1" si="171"/>
        <v>#N/A</v>
      </c>
      <c r="AE346" s="377" t="e">
        <f t="shared" ca="1" si="150"/>
        <v>#N/A</v>
      </c>
      <c r="AF346" s="344"/>
      <c r="AG346" s="359">
        <f t="shared" ca="1" si="172"/>
        <v>5.8479511724232296</v>
      </c>
      <c r="AH346" s="357">
        <f t="shared" ca="1" si="173"/>
        <v>-3.8627549430265304</v>
      </c>
    </row>
    <row r="347" spans="1:34" x14ac:dyDescent="0.2">
      <c r="A347" s="402">
        <f t="shared" ca="1" si="151"/>
        <v>1E-4</v>
      </c>
      <c r="B347" s="357">
        <f t="shared" ca="1" si="152"/>
        <v>15.600699999999961</v>
      </c>
      <c r="C347" s="342"/>
      <c r="D347" s="359">
        <f t="shared" ca="1" si="153"/>
        <v>-0.5481996229122047</v>
      </c>
      <c r="E347" s="360">
        <f t="shared" ca="1" si="154"/>
        <v>-5.9862725589516783</v>
      </c>
      <c r="F347" s="357">
        <f t="shared" ca="1" si="155"/>
        <v>6.0113211506805184</v>
      </c>
      <c r="G347" s="359">
        <f t="shared" ca="1" si="156"/>
        <v>9.5487353016734353</v>
      </c>
      <c r="H347" s="360">
        <f t="shared" ca="1" si="157"/>
        <v>-66.604020612383962</v>
      </c>
      <c r="I347" s="357">
        <f t="shared" ca="1" si="158"/>
        <v>67.285019934576027</v>
      </c>
      <c r="J347" s="359">
        <f t="shared" ca="1" si="159"/>
        <v>187.70931447689617</v>
      </c>
      <c r="K347" s="360">
        <f t="shared" ca="1" si="160"/>
        <v>-4.1043934751592879</v>
      </c>
      <c r="L347" s="357">
        <f t="shared" ca="1" si="145"/>
        <v>187.75418181011369</v>
      </c>
      <c r="M347" s="359">
        <f t="shared" ca="1" si="161"/>
        <v>-1.4284008736979328</v>
      </c>
      <c r="N347" s="357">
        <f t="shared" ca="1" si="162"/>
        <v>-81.841341515690914</v>
      </c>
      <c r="O347" s="343"/>
      <c r="P347" s="363">
        <f t="shared" ca="1" si="163"/>
        <v>23</v>
      </c>
      <c r="Q347" s="357">
        <f t="shared" ca="1" si="164"/>
        <v>0</v>
      </c>
      <c r="R347" s="359">
        <f t="shared" ca="1" si="165"/>
        <v>0</v>
      </c>
      <c r="S347" s="360">
        <f t="shared" ca="1" si="166"/>
        <v>1.5629999999999982</v>
      </c>
      <c r="T347" s="357">
        <f t="shared" ca="1" si="146"/>
        <v>15.333029999999983</v>
      </c>
      <c r="U347" s="364">
        <f t="shared" ca="1" si="147"/>
        <v>0</v>
      </c>
      <c r="V347" s="359">
        <f t="shared" ca="1" si="148"/>
        <v>1.2255028914039168</v>
      </c>
      <c r="W347" s="357">
        <f t="shared" ca="1" si="149"/>
        <v>6.0377039176083569</v>
      </c>
      <c r="X347" s="343"/>
      <c r="Y347" s="367" t="str">
        <f t="shared" ca="1" si="167"/>
        <v/>
      </c>
      <c r="Z347" s="368" t="str">
        <f t="shared" ca="1" si="168"/>
        <v/>
      </c>
      <c r="AA347" s="369" t="str">
        <f t="shared" ca="1" si="169"/>
        <v/>
      </c>
      <c r="AB347" s="344"/>
      <c r="AC347" s="363" t="e">
        <f t="shared" ca="1" si="170"/>
        <v>#N/A</v>
      </c>
      <c r="AD347" s="376" t="e">
        <f t="shared" ca="1" si="171"/>
        <v>#N/A</v>
      </c>
      <c r="AE347" s="377" t="e">
        <f t="shared" ca="1" si="150"/>
        <v>#N/A</v>
      </c>
      <c r="AF347" s="344"/>
      <c r="AG347" s="359">
        <f t="shared" ca="1" si="172"/>
        <v>5.8478843340829094</v>
      </c>
      <c r="AH347" s="357">
        <f t="shared" ca="1" si="173"/>
        <v>-3.8628246620817559</v>
      </c>
    </row>
    <row r="348" spans="1:34" x14ac:dyDescent="0.2">
      <c r="A348" s="402">
        <f t="shared" ca="1" si="151"/>
        <v>1E-4</v>
      </c>
      <c r="B348" s="357">
        <f t="shared" ca="1" si="152"/>
        <v>15.60079999999996</v>
      </c>
      <c r="C348" s="342"/>
      <c r="D348" s="359">
        <f t="shared" ca="1" si="153"/>
        <v>-0.54820160533503381</v>
      </c>
      <c r="E348" s="360">
        <f t="shared" ca="1" si="154"/>
        <v>-5.9862024113206171</v>
      </c>
      <c r="F348" s="357">
        <f t="shared" ca="1" si="155"/>
        <v>6.0112514761397797</v>
      </c>
      <c r="G348" s="359">
        <f t="shared" ca="1" si="156"/>
        <v>9.5486804815129016</v>
      </c>
      <c r="H348" s="360">
        <f t="shared" ca="1" si="157"/>
        <v>-66.604619232625097</v>
      </c>
      <c r="I348" s="357">
        <f t="shared" ca="1" si="158"/>
        <v>67.285604716469621</v>
      </c>
      <c r="J348" s="359">
        <f t="shared" ca="1" si="159"/>
        <v>187.70931447689617</v>
      </c>
      <c r="K348" s="360">
        <f t="shared" ca="1" si="160"/>
        <v>-4.111053907151538</v>
      </c>
      <c r="L348" s="357">
        <f t="shared" ca="1" si="145"/>
        <v>187.75432752832569</v>
      </c>
      <c r="M348" s="359">
        <f t="shared" ca="1" si="161"/>
        <v>-1.4284029427638012</v>
      </c>
      <c r="N348" s="357">
        <f t="shared" ca="1" si="162"/>
        <v>-81.841460064432709</v>
      </c>
      <c r="O348" s="343"/>
      <c r="P348" s="363">
        <f t="shared" ca="1" si="163"/>
        <v>23</v>
      </c>
      <c r="Q348" s="357">
        <f t="shared" ca="1" si="164"/>
        <v>0</v>
      </c>
      <c r="R348" s="359">
        <f t="shared" ca="1" si="165"/>
        <v>0</v>
      </c>
      <c r="S348" s="360">
        <f t="shared" ca="1" si="166"/>
        <v>1.5629999999999982</v>
      </c>
      <c r="T348" s="357">
        <f t="shared" ca="1" si="146"/>
        <v>15.333029999999983</v>
      </c>
      <c r="U348" s="364">
        <f t="shared" ca="1" si="147"/>
        <v>0</v>
      </c>
      <c r="V348" s="359">
        <f t="shared" ca="1" si="148"/>
        <v>1.2255037076420898</v>
      </c>
      <c r="W348" s="357">
        <f t="shared" ca="1" si="149"/>
        <v>6.0378128882741668</v>
      </c>
      <c r="X348" s="343"/>
      <c r="Y348" s="367" t="str">
        <f t="shared" ca="1" si="167"/>
        <v/>
      </c>
      <c r="Z348" s="368" t="str">
        <f t="shared" ca="1" si="168"/>
        <v/>
      </c>
      <c r="AA348" s="369" t="str">
        <f t="shared" ca="1" si="169"/>
        <v/>
      </c>
      <c r="AB348" s="344"/>
      <c r="AC348" s="363" t="e">
        <f t="shared" ca="1" si="170"/>
        <v>#N/A</v>
      </c>
      <c r="AD348" s="376" t="e">
        <f t="shared" ca="1" si="171"/>
        <v>#N/A</v>
      </c>
      <c r="AE348" s="377" t="e">
        <f t="shared" ca="1" si="150"/>
        <v>#N/A</v>
      </c>
      <c r="AF348" s="344"/>
      <c r="AG348" s="359">
        <f t="shared" ca="1" si="172"/>
        <v>5.847817495703973</v>
      </c>
      <c r="AH348" s="357">
        <f t="shared" ca="1" si="173"/>
        <v>-3.8628943810674112</v>
      </c>
    </row>
    <row r="349" spans="1:34" x14ac:dyDescent="0.2">
      <c r="A349" s="402">
        <f t="shared" ca="1" si="151"/>
        <v>1E-4</v>
      </c>
      <c r="B349" s="357">
        <f t="shared" ca="1" si="152"/>
        <v>15.60089999999996</v>
      </c>
      <c r="C349" s="342"/>
      <c r="D349" s="359">
        <f t="shared" ca="1" si="153"/>
        <v>-0.54820358764299781</v>
      </c>
      <c r="E349" s="360">
        <f t="shared" ca="1" si="154"/>
        <v>-5.9861322637600951</v>
      </c>
      <c r="F349" s="357">
        <f t="shared" ca="1" si="155"/>
        <v>6.0111818016704683</v>
      </c>
      <c r="G349" s="359">
        <f t="shared" ca="1" si="156"/>
        <v>9.5486256611541371</v>
      </c>
      <c r="H349" s="360">
        <f t="shared" ca="1" si="157"/>
        <v>-66.60521784585147</v>
      </c>
      <c r="I349" s="357">
        <f t="shared" ca="1" si="158"/>
        <v>67.286189491679366</v>
      </c>
      <c r="J349" s="359">
        <f t="shared" ca="1" si="159"/>
        <v>187.70931447689617</v>
      </c>
      <c r="K349" s="360">
        <f t="shared" ca="1" si="160"/>
        <v>-4.1177143990054619</v>
      </c>
      <c r="L349" s="357">
        <f t="shared" ca="1" si="145"/>
        <v>187.7544734840107</v>
      </c>
      <c r="M349" s="359">
        <f t="shared" ca="1" si="161"/>
        <v>-1.428405011781827</v>
      </c>
      <c r="N349" s="357">
        <f t="shared" ca="1" si="162"/>
        <v>-81.841578610433316</v>
      </c>
      <c r="O349" s="343"/>
      <c r="P349" s="363">
        <f t="shared" ca="1" si="163"/>
        <v>23</v>
      </c>
      <c r="Q349" s="357">
        <f t="shared" ca="1" si="164"/>
        <v>0</v>
      </c>
      <c r="R349" s="359">
        <f t="shared" ca="1" si="165"/>
        <v>0</v>
      </c>
      <c r="S349" s="360">
        <f t="shared" ca="1" si="166"/>
        <v>1.5629999999999982</v>
      </c>
      <c r="T349" s="357">
        <f t="shared" ca="1" si="146"/>
        <v>15.333029999999983</v>
      </c>
      <c r="U349" s="364">
        <f t="shared" ca="1" si="147"/>
        <v>0</v>
      </c>
      <c r="V349" s="359">
        <f t="shared" ca="1" si="148"/>
        <v>1.2255045238881423</v>
      </c>
      <c r="W349" s="357">
        <f t="shared" ca="1" si="149"/>
        <v>6.0379218588311732</v>
      </c>
      <c r="X349" s="343"/>
      <c r="Y349" s="367" t="str">
        <f t="shared" ca="1" si="167"/>
        <v/>
      </c>
      <c r="Z349" s="368" t="str">
        <f t="shared" ca="1" si="168"/>
        <v/>
      </c>
      <c r="AA349" s="369" t="str">
        <f t="shared" ca="1" si="169"/>
        <v/>
      </c>
      <c r="AB349" s="344"/>
      <c r="AC349" s="363" t="e">
        <f t="shared" ca="1" si="170"/>
        <v>#N/A</v>
      </c>
      <c r="AD349" s="376" t="e">
        <f t="shared" ca="1" si="171"/>
        <v>#N/A</v>
      </c>
      <c r="AE349" s="377" t="e">
        <f t="shared" ca="1" si="150"/>
        <v>#N/A</v>
      </c>
      <c r="AF349" s="344"/>
      <c r="AG349" s="359">
        <f t="shared" ca="1" si="172"/>
        <v>5.8477506572864462</v>
      </c>
      <c r="AH349" s="357">
        <f t="shared" ca="1" si="173"/>
        <v>-3.8629640999834765</v>
      </c>
    </row>
    <row r="350" spans="1:34" x14ac:dyDescent="0.2">
      <c r="A350" s="402">
        <f t="shared" ca="1" si="151"/>
        <v>1E-4</v>
      </c>
      <c r="B350" s="357">
        <f t="shared" ca="1" si="152"/>
        <v>15.60099999999996</v>
      </c>
      <c r="C350" s="342"/>
      <c r="D350" s="359">
        <f t="shared" ca="1" si="153"/>
        <v>-0.54820556983609747</v>
      </c>
      <c r="E350" s="360">
        <f t="shared" ca="1" si="154"/>
        <v>-5.9860621162701362</v>
      </c>
      <c r="F350" s="357">
        <f t="shared" ca="1" si="155"/>
        <v>6.0111121272726082</v>
      </c>
      <c r="G350" s="359">
        <f t="shared" ca="1" si="156"/>
        <v>9.5485708405971543</v>
      </c>
      <c r="H350" s="360">
        <f t="shared" ca="1" si="157"/>
        <v>-66.605816452063095</v>
      </c>
      <c r="I350" s="357">
        <f t="shared" ca="1" si="158"/>
        <v>67.286774260205263</v>
      </c>
      <c r="J350" s="359">
        <f t="shared" ca="1" si="159"/>
        <v>187.70931447689617</v>
      </c>
      <c r="K350" s="360">
        <f t="shared" ca="1" si="160"/>
        <v>-4.124374950720358</v>
      </c>
      <c r="L350" s="357">
        <f t="shared" ca="1" si="145"/>
        <v>187.75461967717447</v>
      </c>
      <c r="M350" s="359">
        <f t="shared" ca="1" si="161"/>
        <v>-1.4284070807520117</v>
      </c>
      <c r="N350" s="357">
        <f t="shared" ca="1" si="162"/>
        <v>-81.841697153692834</v>
      </c>
      <c r="O350" s="343"/>
      <c r="P350" s="363">
        <f t="shared" ca="1" si="163"/>
        <v>23</v>
      </c>
      <c r="Q350" s="357">
        <f t="shared" ca="1" si="164"/>
        <v>0</v>
      </c>
      <c r="R350" s="359">
        <f t="shared" ca="1" si="165"/>
        <v>0</v>
      </c>
      <c r="S350" s="360">
        <f t="shared" ca="1" si="166"/>
        <v>1.5629999999999982</v>
      </c>
      <c r="T350" s="357">
        <f t="shared" ca="1" si="146"/>
        <v>15.333029999999983</v>
      </c>
      <c r="U350" s="364">
        <f t="shared" ca="1" si="147"/>
        <v>0</v>
      </c>
      <c r="V350" s="359">
        <f t="shared" ca="1" si="148"/>
        <v>1.2255053401420744</v>
      </c>
      <c r="W350" s="357">
        <f t="shared" ca="1" si="149"/>
        <v>6.0380308292793456</v>
      </c>
      <c r="X350" s="343"/>
      <c r="Y350" s="367" t="str">
        <f t="shared" ca="1" si="167"/>
        <v/>
      </c>
      <c r="Z350" s="368" t="str">
        <f t="shared" ca="1" si="168"/>
        <v/>
      </c>
      <c r="AA350" s="369" t="str">
        <f t="shared" ca="1" si="169"/>
        <v/>
      </c>
      <c r="AB350" s="344"/>
      <c r="AC350" s="363" t="e">
        <f t="shared" ca="1" si="170"/>
        <v>#N/A</v>
      </c>
      <c r="AD350" s="376" t="e">
        <f t="shared" ca="1" si="171"/>
        <v>#N/A</v>
      </c>
      <c r="AE350" s="377" t="e">
        <f t="shared" ca="1" si="150"/>
        <v>#N/A</v>
      </c>
      <c r="AF350" s="344"/>
      <c r="AG350" s="359">
        <f t="shared" ca="1" si="172"/>
        <v>5.8476838188303564</v>
      </c>
      <c r="AH350" s="357">
        <f t="shared" ca="1" si="173"/>
        <v>-3.8630338188299298</v>
      </c>
    </row>
    <row r="351" spans="1:34" x14ac:dyDescent="0.2">
      <c r="A351" s="402">
        <f t="shared" ca="1" si="151"/>
        <v>1E-4</v>
      </c>
      <c r="B351" s="357">
        <f t="shared" ca="1" si="152"/>
        <v>15.60109999999996</v>
      </c>
      <c r="C351" s="342"/>
      <c r="D351" s="359">
        <f t="shared" ca="1" si="153"/>
        <v>-0.54820755191433423</v>
      </c>
      <c r="E351" s="360">
        <f t="shared" ca="1" si="154"/>
        <v>-5.9859919688507599</v>
      </c>
      <c r="F351" s="357">
        <f t="shared" ca="1" si="155"/>
        <v>6.0110424529462199</v>
      </c>
      <c r="G351" s="359">
        <f t="shared" ca="1" si="156"/>
        <v>9.5485160198419621</v>
      </c>
      <c r="H351" s="360">
        <f t="shared" ca="1" si="157"/>
        <v>-66.606415051259987</v>
      </c>
      <c r="I351" s="357">
        <f t="shared" ca="1" si="158"/>
        <v>67.287359022047312</v>
      </c>
      <c r="J351" s="359">
        <f t="shared" ca="1" si="159"/>
        <v>187.70931447689617</v>
      </c>
      <c r="K351" s="360">
        <f t="shared" ca="1" si="160"/>
        <v>-4.1310355622955237</v>
      </c>
      <c r="L351" s="357">
        <f t="shared" ca="1" si="145"/>
        <v>187.7547661078228</v>
      </c>
      <c r="M351" s="359">
        <f t="shared" ca="1" si="161"/>
        <v>-1.4284091496743576</v>
      </c>
      <c r="N351" s="357">
        <f t="shared" ca="1" si="162"/>
        <v>-81.841815694211405</v>
      </c>
      <c r="O351" s="343"/>
      <c r="P351" s="363">
        <f t="shared" ca="1" si="163"/>
        <v>23</v>
      </c>
      <c r="Q351" s="357">
        <f t="shared" ca="1" si="164"/>
        <v>0</v>
      </c>
      <c r="R351" s="359">
        <f t="shared" ca="1" si="165"/>
        <v>0</v>
      </c>
      <c r="S351" s="360">
        <f t="shared" ca="1" si="166"/>
        <v>1.5629999999999982</v>
      </c>
      <c r="T351" s="357">
        <f t="shared" ca="1" si="146"/>
        <v>15.333029999999983</v>
      </c>
      <c r="U351" s="364">
        <f t="shared" ca="1" si="147"/>
        <v>0</v>
      </c>
      <c r="V351" s="359">
        <f t="shared" ca="1" si="148"/>
        <v>1.2255061564038865</v>
      </c>
      <c r="W351" s="357">
        <f t="shared" ca="1" si="149"/>
        <v>6.0381397996186594</v>
      </c>
      <c r="X351" s="343"/>
      <c r="Y351" s="367" t="str">
        <f t="shared" ca="1" si="167"/>
        <v/>
      </c>
      <c r="Z351" s="368" t="str">
        <f t="shared" ca="1" si="168"/>
        <v/>
      </c>
      <c r="AA351" s="369" t="str">
        <f t="shared" ca="1" si="169"/>
        <v/>
      </c>
      <c r="AB351" s="344"/>
      <c r="AC351" s="363" t="e">
        <f t="shared" ca="1" si="170"/>
        <v>#N/A</v>
      </c>
      <c r="AD351" s="376" t="e">
        <f t="shared" ca="1" si="171"/>
        <v>#N/A</v>
      </c>
      <c r="AE351" s="377" t="e">
        <f t="shared" ca="1" si="150"/>
        <v>#N/A</v>
      </c>
      <c r="AF351" s="344"/>
      <c r="AG351" s="359">
        <f t="shared" ca="1" si="172"/>
        <v>5.8476169803357267</v>
      </c>
      <c r="AH351" s="357">
        <f t="shared" ca="1" si="173"/>
        <v>-3.8631035376067517</v>
      </c>
    </row>
    <row r="352" spans="1:34" x14ac:dyDescent="0.2">
      <c r="A352" s="402">
        <f t="shared" ca="1" si="151"/>
        <v>1E-4</v>
      </c>
      <c r="B352" s="357">
        <f t="shared" ca="1" si="152"/>
        <v>15.60119999999996</v>
      </c>
      <c r="C352" s="342"/>
      <c r="D352" s="359">
        <f t="shared" ca="1" si="153"/>
        <v>-0.54820953387770788</v>
      </c>
      <c r="E352" s="360">
        <f t="shared" ca="1" si="154"/>
        <v>-5.9859218215019805</v>
      </c>
      <c r="F352" s="357">
        <f t="shared" ca="1" si="155"/>
        <v>6.0109727786913165</v>
      </c>
      <c r="G352" s="359">
        <f t="shared" ca="1" si="156"/>
        <v>9.5484611988885746</v>
      </c>
      <c r="H352" s="360">
        <f t="shared" ca="1" si="157"/>
        <v>-66.60701364344213</v>
      </c>
      <c r="I352" s="357">
        <f t="shared" ca="1" si="158"/>
        <v>67.287943777205484</v>
      </c>
      <c r="J352" s="359">
        <f t="shared" ca="1" si="159"/>
        <v>187.70931447689617</v>
      </c>
      <c r="K352" s="360">
        <f t="shared" ca="1" si="160"/>
        <v>-4.1376962337302592</v>
      </c>
      <c r="L352" s="357">
        <f t="shared" ca="1" si="145"/>
        <v>187.75491277596154</v>
      </c>
      <c r="M352" s="359">
        <f t="shared" ca="1" si="161"/>
        <v>-1.4284112185488658</v>
      </c>
      <c r="N352" s="357">
        <f t="shared" ca="1" si="162"/>
        <v>-81.841934231989057</v>
      </c>
      <c r="O352" s="343"/>
      <c r="P352" s="363">
        <f t="shared" ca="1" si="163"/>
        <v>23</v>
      </c>
      <c r="Q352" s="357">
        <f t="shared" ca="1" si="164"/>
        <v>0</v>
      </c>
      <c r="R352" s="359">
        <f t="shared" ca="1" si="165"/>
        <v>0</v>
      </c>
      <c r="S352" s="360">
        <f t="shared" ca="1" si="166"/>
        <v>1.5629999999999982</v>
      </c>
      <c r="T352" s="357">
        <f t="shared" ca="1" si="146"/>
        <v>15.333029999999983</v>
      </c>
      <c r="U352" s="364">
        <f t="shared" ca="1" si="147"/>
        <v>0</v>
      </c>
      <c r="V352" s="359">
        <f t="shared" ca="1" si="148"/>
        <v>1.2255069726735783</v>
      </c>
      <c r="W352" s="357">
        <f t="shared" ca="1" si="149"/>
        <v>6.0382487698490737</v>
      </c>
      <c r="X352" s="343"/>
      <c r="Y352" s="367" t="str">
        <f t="shared" ca="1" si="167"/>
        <v/>
      </c>
      <c r="Z352" s="368" t="str">
        <f t="shared" ca="1" si="168"/>
        <v/>
      </c>
      <c r="AA352" s="369" t="str">
        <f t="shared" ca="1" si="169"/>
        <v/>
      </c>
      <c r="AB352" s="344"/>
      <c r="AC352" s="363" t="e">
        <f t="shared" ca="1" si="170"/>
        <v>#N/A</v>
      </c>
      <c r="AD352" s="376" t="e">
        <f t="shared" ca="1" si="171"/>
        <v>#N/A</v>
      </c>
      <c r="AE352" s="377" t="e">
        <f t="shared" ca="1" si="150"/>
        <v>#N/A</v>
      </c>
      <c r="AF352" s="344"/>
      <c r="AG352" s="359">
        <f t="shared" ca="1" si="172"/>
        <v>5.8475501418025786</v>
      </c>
      <c r="AH352" s="357">
        <f t="shared" ca="1" si="173"/>
        <v>-3.8631732563139263</v>
      </c>
    </row>
    <row r="353" spans="1:34" x14ac:dyDescent="0.2">
      <c r="A353" s="402">
        <f t="shared" ca="1" si="151"/>
        <v>1E-4</v>
      </c>
      <c r="B353" s="357">
        <f t="shared" ca="1" si="152"/>
        <v>15.601299999999959</v>
      </c>
      <c r="C353" s="342"/>
      <c r="D353" s="359">
        <f t="shared" ca="1" si="153"/>
        <v>-0.54821151572622073</v>
      </c>
      <c r="E353" s="360">
        <f t="shared" ca="1" si="154"/>
        <v>-5.9858516742238264</v>
      </c>
      <c r="F353" s="357">
        <f t="shared" ca="1" si="155"/>
        <v>6.0109031045079266</v>
      </c>
      <c r="G353" s="359">
        <f t="shared" ca="1" si="156"/>
        <v>9.5484063777370025</v>
      </c>
      <c r="H353" s="360">
        <f t="shared" ca="1" si="157"/>
        <v>-66.607612228609554</v>
      </c>
      <c r="I353" s="357">
        <f t="shared" ca="1" si="158"/>
        <v>67.288528525679808</v>
      </c>
      <c r="J353" s="359">
        <f t="shared" ca="1" si="159"/>
        <v>187.70931447689617</v>
      </c>
      <c r="K353" s="360">
        <f t="shared" ca="1" si="160"/>
        <v>-4.1443569650238619</v>
      </c>
      <c r="L353" s="357">
        <f t="shared" ca="1" si="145"/>
        <v>187.75505968159644</v>
      </c>
      <c r="M353" s="359">
        <f t="shared" ca="1" si="161"/>
        <v>-1.4284132873755382</v>
      </c>
      <c r="N353" s="357">
        <f t="shared" ca="1" si="162"/>
        <v>-81.842052767025933</v>
      </c>
      <c r="O353" s="343"/>
      <c r="P353" s="363">
        <f t="shared" ca="1" si="163"/>
        <v>23</v>
      </c>
      <c r="Q353" s="357">
        <f t="shared" ca="1" si="164"/>
        <v>0</v>
      </c>
      <c r="R353" s="359">
        <f t="shared" ca="1" si="165"/>
        <v>0</v>
      </c>
      <c r="S353" s="360">
        <f t="shared" ca="1" si="166"/>
        <v>1.5629999999999982</v>
      </c>
      <c r="T353" s="357">
        <f t="shared" ca="1" si="146"/>
        <v>15.333029999999983</v>
      </c>
      <c r="U353" s="364">
        <f t="shared" ca="1" si="147"/>
        <v>0</v>
      </c>
      <c r="V353" s="359">
        <f t="shared" ca="1" si="148"/>
        <v>1.2255077889511496</v>
      </c>
      <c r="W353" s="357">
        <f t="shared" ca="1" si="149"/>
        <v>6.0383577399705661</v>
      </c>
      <c r="X353" s="343"/>
      <c r="Y353" s="367" t="str">
        <f t="shared" ca="1" si="167"/>
        <v/>
      </c>
      <c r="Z353" s="368" t="str">
        <f t="shared" ca="1" si="168"/>
        <v/>
      </c>
      <c r="AA353" s="369" t="str">
        <f t="shared" ca="1" si="169"/>
        <v/>
      </c>
      <c r="AB353" s="344"/>
      <c r="AC353" s="363" t="e">
        <f t="shared" ca="1" si="170"/>
        <v>#N/A</v>
      </c>
      <c r="AD353" s="376" t="e">
        <f t="shared" ca="1" si="171"/>
        <v>#N/A</v>
      </c>
      <c r="AE353" s="377" t="e">
        <f t="shared" ca="1" si="150"/>
        <v>#N/A</v>
      </c>
      <c r="AF353" s="344"/>
      <c r="AG353" s="359">
        <f t="shared" ca="1" si="172"/>
        <v>5.8474833032309448</v>
      </c>
      <c r="AH353" s="357">
        <f t="shared" ca="1" si="173"/>
        <v>-3.8632429749514272</v>
      </c>
    </row>
    <row r="354" spans="1:34" x14ac:dyDescent="0.2">
      <c r="A354" s="402">
        <f t="shared" ca="1" si="151"/>
        <v>1E-4</v>
      </c>
      <c r="B354" s="357">
        <f t="shared" ca="1" si="152"/>
        <v>15.601399999999959</v>
      </c>
      <c r="C354" s="342"/>
      <c r="D354" s="359">
        <f t="shared" ca="1" si="153"/>
        <v>-0.5482134974598738</v>
      </c>
      <c r="E354" s="360">
        <f t="shared" ca="1" si="154"/>
        <v>-5.9857815270163108</v>
      </c>
      <c r="F354" s="357">
        <f t="shared" ca="1" si="155"/>
        <v>6.0108334303960627</v>
      </c>
      <c r="G354" s="359">
        <f t="shared" ca="1" si="156"/>
        <v>9.5483515563872565</v>
      </c>
      <c r="H354" s="360">
        <f t="shared" ca="1" si="157"/>
        <v>-66.608210806762258</v>
      </c>
      <c r="I354" s="357">
        <f t="shared" ca="1" si="158"/>
        <v>67.28911326747027</v>
      </c>
      <c r="J354" s="359">
        <f t="shared" ca="1" si="159"/>
        <v>187.70931447689617</v>
      </c>
      <c r="K354" s="360">
        <f t="shared" ca="1" si="160"/>
        <v>-4.1510177561756301</v>
      </c>
      <c r="L354" s="357">
        <f t="shared" ca="1" si="145"/>
        <v>187.75520682473331</v>
      </c>
      <c r="M354" s="359">
        <f t="shared" ca="1" si="161"/>
        <v>-1.4284153561543764</v>
      </c>
      <c r="N354" s="357">
        <f t="shared" ca="1" si="162"/>
        <v>-81.842171299322104</v>
      </c>
      <c r="O354" s="343"/>
      <c r="P354" s="363">
        <f t="shared" ca="1" si="163"/>
        <v>23</v>
      </c>
      <c r="Q354" s="357">
        <f t="shared" ca="1" si="164"/>
        <v>0</v>
      </c>
      <c r="R354" s="359">
        <f t="shared" ca="1" si="165"/>
        <v>0</v>
      </c>
      <c r="S354" s="360">
        <f t="shared" ca="1" si="166"/>
        <v>1.5629999999999982</v>
      </c>
      <c r="T354" s="357">
        <f t="shared" ca="1" si="146"/>
        <v>15.333029999999983</v>
      </c>
      <c r="U354" s="364">
        <f t="shared" ca="1" si="147"/>
        <v>0</v>
      </c>
      <c r="V354" s="359">
        <f t="shared" ca="1" si="148"/>
        <v>1.2255086052366</v>
      </c>
      <c r="W354" s="357">
        <f t="shared" ca="1" si="149"/>
        <v>6.0384667099831031</v>
      </c>
      <c r="X354" s="343"/>
      <c r="Y354" s="367" t="str">
        <f t="shared" ca="1" si="167"/>
        <v/>
      </c>
      <c r="Z354" s="368" t="str">
        <f t="shared" ca="1" si="168"/>
        <v/>
      </c>
      <c r="AA354" s="369" t="str">
        <f t="shared" ca="1" si="169"/>
        <v/>
      </c>
      <c r="AB354" s="344"/>
      <c r="AC354" s="363" t="e">
        <f t="shared" ca="1" si="170"/>
        <v>#N/A</v>
      </c>
      <c r="AD354" s="376" t="e">
        <f t="shared" ca="1" si="171"/>
        <v>#N/A</v>
      </c>
      <c r="AE354" s="377" t="e">
        <f t="shared" ca="1" si="150"/>
        <v>#N/A</v>
      </c>
      <c r="AF354" s="344"/>
      <c r="AG354" s="359">
        <f t="shared" ca="1" si="172"/>
        <v>5.847416464620844</v>
      </c>
      <c r="AH354" s="357">
        <f t="shared" ca="1" si="173"/>
        <v>-3.8633126935192408</v>
      </c>
    </row>
    <row r="355" spans="1:34" x14ac:dyDescent="0.2">
      <c r="A355" s="402">
        <f t="shared" ca="1" si="151"/>
        <v>1E-4</v>
      </c>
      <c r="B355" s="357">
        <f t="shared" ca="1" si="152"/>
        <v>15.601499999999959</v>
      </c>
      <c r="C355" s="342"/>
      <c r="D355" s="359">
        <f t="shared" ca="1" si="153"/>
        <v>-0.54821547907866808</v>
      </c>
      <c r="E355" s="360">
        <f t="shared" ca="1" si="154"/>
        <v>-5.9857113798794552</v>
      </c>
      <c r="F355" s="357">
        <f t="shared" ca="1" si="155"/>
        <v>6.0107637563557486</v>
      </c>
      <c r="G355" s="359">
        <f t="shared" ca="1" si="156"/>
        <v>9.548296734839349</v>
      </c>
      <c r="H355" s="360">
        <f t="shared" ca="1" si="157"/>
        <v>-66.608809377900243</v>
      </c>
      <c r="I355" s="357">
        <f t="shared" ca="1" si="158"/>
        <v>67.289698002576841</v>
      </c>
      <c r="J355" s="359">
        <f t="shared" ca="1" si="159"/>
        <v>187.70931447689617</v>
      </c>
      <c r="K355" s="360">
        <f t="shared" ca="1" si="160"/>
        <v>-4.157678607184863</v>
      </c>
      <c r="L355" s="357">
        <f t="shared" ca="1" si="145"/>
        <v>187.75535420537796</v>
      </c>
      <c r="M355" s="359">
        <f t="shared" ca="1" si="161"/>
        <v>-1.4284174248853825</v>
      </c>
      <c r="N355" s="357">
        <f t="shared" ca="1" si="162"/>
        <v>-81.842289828877711</v>
      </c>
      <c r="O355" s="343"/>
      <c r="P355" s="363">
        <f t="shared" ca="1" si="163"/>
        <v>23</v>
      </c>
      <c r="Q355" s="357">
        <f t="shared" ca="1" si="164"/>
        <v>0</v>
      </c>
      <c r="R355" s="359">
        <f t="shared" ca="1" si="165"/>
        <v>0</v>
      </c>
      <c r="S355" s="360">
        <f t="shared" ca="1" si="166"/>
        <v>1.5629999999999982</v>
      </c>
      <c r="T355" s="357">
        <f t="shared" ca="1" si="146"/>
        <v>15.333029999999983</v>
      </c>
      <c r="U355" s="364">
        <f t="shared" ca="1" si="147"/>
        <v>0</v>
      </c>
      <c r="V355" s="359">
        <f t="shared" ca="1" si="148"/>
        <v>1.2255094215299303</v>
      </c>
      <c r="W355" s="357">
        <f t="shared" ca="1" si="149"/>
        <v>6.0385756798866508</v>
      </c>
      <c r="X355" s="343"/>
      <c r="Y355" s="367" t="str">
        <f t="shared" ca="1" si="167"/>
        <v/>
      </c>
      <c r="Z355" s="368" t="str">
        <f t="shared" ca="1" si="168"/>
        <v/>
      </c>
      <c r="AA355" s="369" t="str">
        <f t="shared" ca="1" si="169"/>
        <v/>
      </c>
      <c r="AB355" s="344"/>
      <c r="AC355" s="363" t="e">
        <f t="shared" ca="1" si="170"/>
        <v>#N/A</v>
      </c>
      <c r="AD355" s="376" t="e">
        <f t="shared" ca="1" si="171"/>
        <v>#N/A</v>
      </c>
      <c r="AE355" s="377" t="e">
        <f t="shared" ca="1" si="150"/>
        <v>#N/A</v>
      </c>
      <c r="AF355" s="344"/>
      <c r="AG355" s="359">
        <f t="shared" ca="1" si="172"/>
        <v>5.8473496259723046</v>
      </c>
      <c r="AH355" s="357">
        <f t="shared" ca="1" si="173"/>
        <v>-3.8633824120173448</v>
      </c>
    </row>
    <row r="356" spans="1:34" x14ac:dyDescent="0.2">
      <c r="A356" s="402">
        <f t="shared" ca="1" si="151"/>
        <v>1E-4</v>
      </c>
      <c r="B356" s="357">
        <f t="shared" ca="1" si="152"/>
        <v>15.601599999999959</v>
      </c>
      <c r="C356" s="342"/>
      <c r="D356" s="359">
        <f t="shared" ca="1" si="153"/>
        <v>-0.54821746058260379</v>
      </c>
      <c r="E356" s="360">
        <f t="shared" ca="1" si="154"/>
        <v>-5.9856412328132818</v>
      </c>
      <c r="F356" s="357">
        <f t="shared" ca="1" si="155"/>
        <v>6.0106940823870039</v>
      </c>
      <c r="G356" s="359">
        <f t="shared" ca="1" si="156"/>
        <v>9.5482419130932907</v>
      </c>
      <c r="H356" s="360">
        <f t="shared" ca="1" si="157"/>
        <v>-66.609407942023523</v>
      </c>
      <c r="I356" s="357">
        <f t="shared" ca="1" si="158"/>
        <v>67.290282730999564</v>
      </c>
      <c r="J356" s="359">
        <f t="shared" ca="1" si="159"/>
        <v>187.70931447689617</v>
      </c>
      <c r="K356" s="360">
        <f t="shared" ca="1" si="160"/>
        <v>-4.1643395180508591</v>
      </c>
      <c r="L356" s="357">
        <f t="shared" ca="1" si="145"/>
        <v>187.75550182353618</v>
      </c>
      <c r="M356" s="359">
        <f t="shared" ca="1" si="161"/>
        <v>-1.4284194935685579</v>
      </c>
      <c r="N356" s="357">
        <f t="shared" ca="1" si="162"/>
        <v>-81.842408355692811</v>
      </c>
      <c r="O356" s="343"/>
      <c r="P356" s="363">
        <f t="shared" ca="1" si="163"/>
        <v>23</v>
      </c>
      <c r="Q356" s="357">
        <f t="shared" ca="1" si="164"/>
        <v>0</v>
      </c>
      <c r="R356" s="359">
        <f t="shared" ca="1" si="165"/>
        <v>0</v>
      </c>
      <c r="S356" s="360">
        <f t="shared" ca="1" si="166"/>
        <v>1.5629999999999982</v>
      </c>
      <c r="T356" s="357">
        <f t="shared" ca="1" si="146"/>
        <v>15.333029999999983</v>
      </c>
      <c r="U356" s="364">
        <f t="shared" ca="1" si="147"/>
        <v>0</v>
      </c>
      <c r="V356" s="359">
        <f t="shared" ca="1" si="148"/>
        <v>1.2255102378311395</v>
      </c>
      <c r="W356" s="357">
        <f t="shared" ca="1" si="149"/>
        <v>6.0386846496811826</v>
      </c>
      <c r="X356" s="343"/>
      <c r="Y356" s="367" t="str">
        <f t="shared" ca="1" si="167"/>
        <v/>
      </c>
      <c r="Z356" s="368" t="str">
        <f t="shared" ca="1" si="168"/>
        <v/>
      </c>
      <c r="AA356" s="369" t="str">
        <f t="shared" ca="1" si="169"/>
        <v/>
      </c>
      <c r="AB356" s="344"/>
      <c r="AC356" s="363" t="e">
        <f t="shared" ca="1" si="170"/>
        <v>#N/A</v>
      </c>
      <c r="AD356" s="376" t="e">
        <f t="shared" ca="1" si="171"/>
        <v>#N/A</v>
      </c>
      <c r="AE356" s="377" t="e">
        <f t="shared" ca="1" si="150"/>
        <v>#N/A</v>
      </c>
      <c r="AF356" s="344"/>
      <c r="AG356" s="359">
        <f t="shared" ca="1" si="172"/>
        <v>5.8472827872853479</v>
      </c>
      <c r="AH356" s="357">
        <f t="shared" ca="1" si="173"/>
        <v>-3.8634521304457183</v>
      </c>
    </row>
    <row r="357" spans="1:34" x14ac:dyDescent="0.2">
      <c r="A357" s="402">
        <f t="shared" ca="1" si="151"/>
        <v>1E-4</v>
      </c>
      <c r="B357" s="357">
        <f t="shared" ca="1" si="152"/>
        <v>15.601699999999958</v>
      </c>
      <c r="C357" s="342"/>
      <c r="D357" s="359">
        <f t="shared" ca="1" si="153"/>
        <v>-0.54821944197168249</v>
      </c>
      <c r="E357" s="360">
        <f t="shared" ca="1" si="154"/>
        <v>-5.9855710858178064</v>
      </c>
      <c r="F357" s="357">
        <f t="shared" ca="1" si="155"/>
        <v>6.0106244084898446</v>
      </c>
      <c r="G357" s="359">
        <f t="shared" ca="1" si="156"/>
        <v>9.548187091149094</v>
      </c>
      <c r="H357" s="360">
        <f t="shared" ca="1" si="157"/>
        <v>-66.610006499132112</v>
      </c>
      <c r="I357" s="357">
        <f t="shared" ca="1" si="158"/>
        <v>67.290867452738411</v>
      </c>
      <c r="J357" s="359">
        <f t="shared" ca="1" si="159"/>
        <v>187.70931447689617</v>
      </c>
      <c r="K357" s="360">
        <f t="shared" ca="1" si="160"/>
        <v>-4.1710004887729166</v>
      </c>
      <c r="L357" s="357">
        <f t="shared" ca="1" si="145"/>
        <v>187.75564967921375</v>
      </c>
      <c r="M357" s="359">
        <f t="shared" ca="1" si="161"/>
        <v>-1.4284215622039045</v>
      </c>
      <c r="N357" s="357">
        <f t="shared" ca="1" si="162"/>
        <v>-81.842526879767519</v>
      </c>
      <c r="O357" s="343"/>
      <c r="P357" s="363">
        <f t="shared" ca="1" si="163"/>
        <v>23</v>
      </c>
      <c r="Q357" s="357">
        <f t="shared" ca="1" si="164"/>
        <v>0</v>
      </c>
      <c r="R357" s="359">
        <f t="shared" ca="1" si="165"/>
        <v>0</v>
      </c>
      <c r="S357" s="360">
        <f t="shared" ca="1" si="166"/>
        <v>1.5629999999999982</v>
      </c>
      <c r="T357" s="357">
        <f t="shared" ca="1" si="146"/>
        <v>15.333029999999983</v>
      </c>
      <c r="U357" s="364">
        <f t="shared" ca="1" si="147"/>
        <v>0</v>
      </c>
      <c r="V357" s="359">
        <f t="shared" ca="1" si="148"/>
        <v>1.2255110541402281</v>
      </c>
      <c r="W357" s="357">
        <f t="shared" ca="1" si="149"/>
        <v>6.0387936193666683</v>
      </c>
      <c r="X357" s="343"/>
      <c r="Y357" s="367" t="str">
        <f t="shared" ca="1" si="167"/>
        <v/>
      </c>
      <c r="Z357" s="368" t="str">
        <f t="shared" ca="1" si="168"/>
        <v/>
      </c>
      <c r="AA357" s="369" t="str">
        <f t="shared" ca="1" si="169"/>
        <v/>
      </c>
      <c r="AB357" s="344"/>
      <c r="AC357" s="363" t="e">
        <f t="shared" ca="1" si="170"/>
        <v>#N/A</v>
      </c>
      <c r="AD357" s="376" t="e">
        <f t="shared" ca="1" si="171"/>
        <v>#N/A</v>
      </c>
      <c r="AE357" s="377" t="e">
        <f t="shared" ca="1" si="150"/>
        <v>#N/A</v>
      </c>
      <c r="AF357" s="344"/>
      <c r="AG357" s="359">
        <f t="shared" ca="1" si="172"/>
        <v>5.8472159485600006</v>
      </c>
      <c r="AH357" s="357">
        <f t="shared" ca="1" si="173"/>
        <v>-3.8635218488043441</v>
      </c>
    </row>
    <row r="358" spans="1:34" x14ac:dyDescent="0.2">
      <c r="A358" s="402">
        <f t="shared" ca="1" si="151"/>
        <v>1E-4</v>
      </c>
      <c r="B358" s="357">
        <f t="shared" ca="1" si="152"/>
        <v>15.601799999999958</v>
      </c>
      <c r="C358" s="342"/>
      <c r="D358" s="359">
        <f t="shared" ca="1" si="153"/>
        <v>-0.54822142324590528</v>
      </c>
      <c r="E358" s="360">
        <f t="shared" ca="1" si="154"/>
        <v>-5.9855009388930505</v>
      </c>
      <c r="F358" s="357">
        <f t="shared" ca="1" si="155"/>
        <v>6.0105547346642938</v>
      </c>
      <c r="G358" s="359">
        <f t="shared" ca="1" si="156"/>
        <v>9.5481322690067696</v>
      </c>
      <c r="H358" s="360">
        <f t="shared" ca="1" si="157"/>
        <v>-66.610605049225995</v>
      </c>
      <c r="I358" s="357">
        <f t="shared" ca="1" si="158"/>
        <v>67.291452167793352</v>
      </c>
      <c r="J358" s="359">
        <f t="shared" ca="1" si="159"/>
        <v>187.70931447689617</v>
      </c>
      <c r="K358" s="360">
        <f t="shared" ca="1" si="160"/>
        <v>-4.1776615193503348</v>
      </c>
      <c r="L358" s="357">
        <f t="shared" ca="1" si="145"/>
        <v>187.75579777241649</v>
      </c>
      <c r="M358" s="359">
        <f t="shared" ca="1" si="161"/>
        <v>-1.4284236307914238</v>
      </c>
      <c r="N358" s="357">
        <f t="shared" ca="1" si="162"/>
        <v>-81.842645401101919</v>
      </c>
      <c r="O358" s="343"/>
      <c r="P358" s="363">
        <f t="shared" ca="1" si="163"/>
        <v>23</v>
      </c>
      <c r="Q358" s="357">
        <f t="shared" ca="1" si="164"/>
        <v>0</v>
      </c>
      <c r="R358" s="359">
        <f t="shared" ca="1" si="165"/>
        <v>0</v>
      </c>
      <c r="S358" s="360">
        <f t="shared" ca="1" si="166"/>
        <v>1.5629999999999982</v>
      </c>
      <c r="T358" s="357">
        <f t="shared" ca="1" si="146"/>
        <v>15.333029999999983</v>
      </c>
      <c r="U358" s="364">
        <f t="shared" ca="1" si="147"/>
        <v>0</v>
      </c>
      <c r="V358" s="359">
        <f t="shared" ca="1" si="148"/>
        <v>1.2255118704571963</v>
      </c>
      <c r="W358" s="357">
        <f t="shared" ca="1" si="149"/>
        <v>6.0389025889430732</v>
      </c>
      <c r="X358" s="343"/>
      <c r="Y358" s="367" t="str">
        <f t="shared" ca="1" si="167"/>
        <v/>
      </c>
      <c r="Z358" s="368" t="str">
        <f t="shared" ca="1" si="168"/>
        <v/>
      </c>
      <c r="AA358" s="369" t="str">
        <f t="shared" ca="1" si="169"/>
        <v/>
      </c>
      <c r="AB358" s="344"/>
      <c r="AC358" s="363" t="e">
        <f t="shared" ca="1" si="170"/>
        <v>#N/A</v>
      </c>
      <c r="AD358" s="376" t="e">
        <f t="shared" ca="1" si="171"/>
        <v>#N/A</v>
      </c>
      <c r="AE358" s="377" t="e">
        <f t="shared" ca="1" si="150"/>
        <v>#N/A</v>
      </c>
      <c r="AF358" s="344"/>
      <c r="AG358" s="359">
        <f t="shared" ca="1" si="172"/>
        <v>5.8471491097962911</v>
      </c>
      <c r="AH358" s="357">
        <f t="shared" ca="1" si="173"/>
        <v>-3.8635915670932022</v>
      </c>
    </row>
    <row r="359" spans="1:34" x14ac:dyDescent="0.2">
      <c r="A359" s="402">
        <f t="shared" ca="1" si="151"/>
        <v>1E-4</v>
      </c>
      <c r="B359" s="357">
        <f t="shared" ca="1" si="152"/>
        <v>15.601899999999958</v>
      </c>
      <c r="C359" s="342"/>
      <c r="D359" s="359">
        <f t="shared" ca="1" si="153"/>
        <v>-0.54822340440527362</v>
      </c>
      <c r="E359" s="360">
        <f t="shared" ca="1" si="154"/>
        <v>-5.9854307920390344</v>
      </c>
      <c r="F359" s="357">
        <f t="shared" ca="1" si="155"/>
        <v>6.0104850609103693</v>
      </c>
      <c r="G359" s="359">
        <f t="shared" ca="1" si="156"/>
        <v>9.5480774466663298</v>
      </c>
      <c r="H359" s="360">
        <f t="shared" ca="1" si="157"/>
        <v>-66.611203592305202</v>
      </c>
      <c r="I359" s="357">
        <f t="shared" ca="1" si="158"/>
        <v>67.292036876164417</v>
      </c>
      <c r="J359" s="359">
        <f t="shared" ca="1" si="159"/>
        <v>187.70931447689617</v>
      </c>
      <c r="K359" s="360">
        <f t="shared" ca="1" si="160"/>
        <v>-4.1843226097824111</v>
      </c>
      <c r="L359" s="357">
        <f t="shared" ca="1" si="145"/>
        <v>187.75594610315017</v>
      </c>
      <c r="M359" s="359">
        <f t="shared" ca="1" si="161"/>
        <v>-1.4284256993311177</v>
      </c>
      <c r="N359" s="357">
        <f t="shared" ca="1" si="162"/>
        <v>-81.842763919696139</v>
      </c>
      <c r="O359" s="343"/>
      <c r="P359" s="363">
        <f t="shared" ca="1" si="163"/>
        <v>23</v>
      </c>
      <c r="Q359" s="357">
        <f t="shared" ca="1" si="164"/>
        <v>0</v>
      </c>
      <c r="R359" s="359">
        <f t="shared" ca="1" si="165"/>
        <v>0</v>
      </c>
      <c r="S359" s="360">
        <f t="shared" ca="1" si="166"/>
        <v>1.5629999999999982</v>
      </c>
      <c r="T359" s="357">
        <f t="shared" ca="1" si="146"/>
        <v>15.333029999999983</v>
      </c>
      <c r="U359" s="364">
        <f t="shared" ca="1" si="147"/>
        <v>0</v>
      </c>
      <c r="V359" s="359">
        <f t="shared" ca="1" si="148"/>
        <v>1.2255126867820429</v>
      </c>
      <c r="W359" s="357">
        <f t="shared" ca="1" si="149"/>
        <v>6.0390115584103636</v>
      </c>
      <c r="X359" s="343"/>
      <c r="Y359" s="367" t="str">
        <f t="shared" ca="1" si="167"/>
        <v/>
      </c>
      <c r="Z359" s="368" t="str">
        <f t="shared" ca="1" si="168"/>
        <v/>
      </c>
      <c r="AA359" s="369" t="str">
        <f t="shared" ca="1" si="169"/>
        <v/>
      </c>
      <c r="AB359" s="344"/>
      <c r="AC359" s="363" t="e">
        <f t="shared" ca="1" si="170"/>
        <v>#N/A</v>
      </c>
      <c r="AD359" s="376" t="e">
        <f t="shared" ca="1" si="171"/>
        <v>#N/A</v>
      </c>
      <c r="AE359" s="377" t="e">
        <f t="shared" ca="1" si="150"/>
        <v>#N/A</v>
      </c>
      <c r="AF359" s="344"/>
      <c r="AG359" s="359">
        <f t="shared" ca="1" si="172"/>
        <v>5.8470822709942389</v>
      </c>
      <c r="AH359" s="357">
        <f t="shared" ca="1" si="173"/>
        <v>-3.8636612853122716</v>
      </c>
    </row>
    <row r="360" spans="1:34" x14ac:dyDescent="0.2">
      <c r="A360" s="402">
        <f t="shared" ca="1" si="151"/>
        <v>1E-4</v>
      </c>
      <c r="B360" s="357">
        <f t="shared" ca="1" si="152"/>
        <v>15.601999999999958</v>
      </c>
      <c r="C360" s="342"/>
      <c r="D360" s="359">
        <f t="shared" ca="1" si="153"/>
        <v>-0.54822538544978672</v>
      </c>
      <c r="E360" s="360">
        <f t="shared" ca="1" si="154"/>
        <v>-5.9853606452557813</v>
      </c>
      <c r="F360" s="357">
        <f t="shared" ca="1" si="155"/>
        <v>6.0104153872280968</v>
      </c>
      <c r="G360" s="359">
        <f t="shared" ca="1" si="156"/>
        <v>9.5480226241277855</v>
      </c>
      <c r="H360" s="360">
        <f t="shared" ca="1" si="157"/>
        <v>-66.611802128369732</v>
      </c>
      <c r="I360" s="357">
        <f t="shared" ca="1" si="158"/>
        <v>67.292621577851605</v>
      </c>
      <c r="J360" s="359">
        <f t="shared" ca="1" si="159"/>
        <v>187.70931447689617</v>
      </c>
      <c r="K360" s="360">
        <f t="shared" ca="1" si="160"/>
        <v>-4.1909837600684448</v>
      </c>
      <c r="L360" s="357">
        <f t="shared" ca="1" si="145"/>
        <v>187.75609467142061</v>
      </c>
      <c r="M360" s="359">
        <f t="shared" ca="1" si="161"/>
        <v>-1.428427767822988</v>
      </c>
      <c r="N360" s="357">
        <f t="shared" ca="1" si="162"/>
        <v>-81.842882435550266</v>
      </c>
      <c r="O360" s="343"/>
      <c r="P360" s="363">
        <f t="shared" ca="1" si="163"/>
        <v>23</v>
      </c>
      <c r="Q360" s="357">
        <f t="shared" ca="1" si="164"/>
        <v>0</v>
      </c>
      <c r="R360" s="359">
        <f t="shared" ca="1" si="165"/>
        <v>0</v>
      </c>
      <c r="S360" s="360">
        <f t="shared" ca="1" si="166"/>
        <v>1.5629999999999982</v>
      </c>
      <c r="T360" s="357">
        <f t="shared" ca="1" si="146"/>
        <v>15.333029999999983</v>
      </c>
      <c r="U360" s="364">
        <f t="shared" ca="1" si="147"/>
        <v>0</v>
      </c>
      <c r="V360" s="359">
        <f t="shared" ca="1" si="148"/>
        <v>1.2255135031147693</v>
      </c>
      <c r="W360" s="357">
        <f t="shared" ca="1" si="149"/>
        <v>6.03912052776852</v>
      </c>
      <c r="X360" s="343"/>
      <c r="Y360" s="367" t="str">
        <f t="shared" ca="1" si="167"/>
        <v/>
      </c>
      <c r="Z360" s="368" t="str">
        <f t="shared" ca="1" si="168"/>
        <v/>
      </c>
      <c r="AA360" s="369" t="str">
        <f t="shared" ca="1" si="169"/>
        <v/>
      </c>
      <c r="AB360" s="344"/>
      <c r="AC360" s="363" t="e">
        <f t="shared" ca="1" si="170"/>
        <v>#N/A</v>
      </c>
      <c r="AD360" s="376" t="e">
        <f t="shared" ca="1" si="171"/>
        <v>#N/A</v>
      </c>
      <c r="AE360" s="377" t="e">
        <f t="shared" ca="1" si="150"/>
        <v>#N/A</v>
      </c>
      <c r="AF360" s="344"/>
      <c r="AG360" s="359">
        <f t="shared" ca="1" si="172"/>
        <v>5.8470154321538761</v>
      </c>
      <c r="AH360" s="357">
        <f t="shared" ca="1" si="173"/>
        <v>-3.8637310034615298</v>
      </c>
    </row>
    <row r="361" spans="1:34" x14ac:dyDescent="0.2">
      <c r="A361" s="402">
        <f t="shared" ca="1" si="151"/>
        <v>1E-4</v>
      </c>
      <c r="B361" s="357">
        <f t="shared" ca="1" si="152"/>
        <v>15.602099999999957</v>
      </c>
      <c r="C361" s="342"/>
      <c r="D361" s="359">
        <f t="shared" ca="1" si="153"/>
        <v>-0.54822736637944769</v>
      </c>
      <c r="E361" s="360">
        <f t="shared" ca="1" si="154"/>
        <v>-5.9852904985433044</v>
      </c>
      <c r="F361" s="357">
        <f t="shared" ca="1" si="155"/>
        <v>6.0103457136174869</v>
      </c>
      <c r="G361" s="359">
        <f t="shared" ca="1" si="156"/>
        <v>9.5479678013911471</v>
      </c>
      <c r="H361" s="360">
        <f t="shared" ca="1" si="157"/>
        <v>-66.612400657419585</v>
      </c>
      <c r="I361" s="357">
        <f t="shared" ca="1" si="158"/>
        <v>67.293206272854874</v>
      </c>
      <c r="J361" s="359">
        <f t="shared" ca="1" si="159"/>
        <v>187.70931447689617</v>
      </c>
      <c r="K361" s="360">
        <f t="shared" ca="1" si="160"/>
        <v>-4.1976449702077341</v>
      </c>
      <c r="L361" s="357">
        <f t="shared" ca="1" si="145"/>
        <v>187.75624347723357</v>
      </c>
      <c r="M361" s="359">
        <f t="shared" ca="1" si="161"/>
        <v>-1.428429836267036</v>
      </c>
      <c r="N361" s="357">
        <f t="shared" ca="1" si="162"/>
        <v>-81.843000948664383</v>
      </c>
      <c r="O361" s="343"/>
      <c r="P361" s="363">
        <f t="shared" ca="1" si="163"/>
        <v>23</v>
      </c>
      <c r="Q361" s="357">
        <f t="shared" ca="1" si="164"/>
        <v>0</v>
      </c>
      <c r="R361" s="359">
        <f t="shared" ca="1" si="165"/>
        <v>0</v>
      </c>
      <c r="S361" s="360">
        <f t="shared" ca="1" si="166"/>
        <v>1.5629999999999982</v>
      </c>
      <c r="T361" s="357">
        <f t="shared" ca="1" si="146"/>
        <v>15.333029999999983</v>
      </c>
      <c r="U361" s="364">
        <f t="shared" ca="1" si="147"/>
        <v>0</v>
      </c>
      <c r="V361" s="359">
        <f t="shared" ca="1" si="148"/>
        <v>1.2255143194553744</v>
      </c>
      <c r="W361" s="357">
        <f t="shared" ca="1" si="149"/>
        <v>6.039229497017498</v>
      </c>
      <c r="X361" s="343"/>
      <c r="Y361" s="367" t="str">
        <f t="shared" ca="1" si="167"/>
        <v/>
      </c>
      <c r="Z361" s="368" t="str">
        <f t="shared" ca="1" si="168"/>
        <v/>
      </c>
      <c r="AA361" s="369" t="str">
        <f t="shared" ca="1" si="169"/>
        <v/>
      </c>
      <c r="AB361" s="344"/>
      <c r="AC361" s="363" t="e">
        <f t="shared" ca="1" si="170"/>
        <v>#N/A</v>
      </c>
      <c r="AD361" s="376" t="e">
        <f t="shared" ca="1" si="171"/>
        <v>#N/A</v>
      </c>
      <c r="AE361" s="377" t="e">
        <f t="shared" ca="1" si="150"/>
        <v>#N/A</v>
      </c>
      <c r="AF361" s="344"/>
      <c r="AG361" s="359">
        <f t="shared" ca="1" si="172"/>
        <v>5.8469485932752194</v>
      </c>
      <c r="AH361" s="357">
        <f t="shared" ca="1" si="173"/>
        <v>-3.8638007215409642</v>
      </c>
    </row>
    <row r="362" spans="1:34" x14ac:dyDescent="0.2">
      <c r="A362" s="402">
        <f t="shared" ca="1" si="151"/>
        <v>1E-4</v>
      </c>
      <c r="B362" s="357">
        <f t="shared" ca="1" si="152"/>
        <v>15.602199999999957</v>
      </c>
      <c r="C362" s="342"/>
      <c r="D362" s="359">
        <f t="shared" ca="1" si="153"/>
        <v>-0.54822934719425676</v>
      </c>
      <c r="E362" s="360">
        <f t="shared" ca="1" si="154"/>
        <v>-5.9852203519016296</v>
      </c>
      <c r="F362" s="357">
        <f t="shared" ca="1" si="155"/>
        <v>6.0102760400785673</v>
      </c>
      <c r="G362" s="359">
        <f t="shared" ca="1" si="156"/>
        <v>9.5479129784564272</v>
      </c>
      <c r="H362" s="360">
        <f t="shared" ca="1" si="157"/>
        <v>-66.612999179454775</v>
      </c>
      <c r="I362" s="357">
        <f t="shared" ca="1" si="158"/>
        <v>67.293790961174267</v>
      </c>
      <c r="J362" s="359">
        <f t="shared" ca="1" si="159"/>
        <v>187.70931447689617</v>
      </c>
      <c r="K362" s="360">
        <f t="shared" ca="1" si="160"/>
        <v>-4.2043062401995774</v>
      </c>
      <c r="L362" s="357">
        <f t="shared" ca="1" si="145"/>
        <v>187.75639252059483</v>
      </c>
      <c r="M362" s="359">
        <f t="shared" ca="1" si="161"/>
        <v>-1.4284319046632639</v>
      </c>
      <c r="N362" s="357">
        <f t="shared" ca="1" si="162"/>
        <v>-81.84311945903859</v>
      </c>
      <c r="O362" s="343"/>
      <c r="P362" s="363">
        <f t="shared" ca="1" si="163"/>
        <v>23</v>
      </c>
      <c r="Q362" s="357">
        <f t="shared" ca="1" si="164"/>
        <v>0</v>
      </c>
      <c r="R362" s="359">
        <f t="shared" ca="1" si="165"/>
        <v>0</v>
      </c>
      <c r="S362" s="360">
        <f t="shared" ca="1" si="166"/>
        <v>1.5629999999999982</v>
      </c>
      <c r="T362" s="357">
        <f t="shared" ca="1" si="146"/>
        <v>15.333029999999983</v>
      </c>
      <c r="U362" s="364">
        <f t="shared" ca="1" si="147"/>
        <v>0</v>
      </c>
      <c r="V362" s="359">
        <f t="shared" ca="1" si="148"/>
        <v>1.2255151358038585</v>
      </c>
      <c r="W362" s="357">
        <f t="shared" ca="1" si="149"/>
        <v>6.039338466157278</v>
      </c>
      <c r="X362" s="343"/>
      <c r="Y362" s="367" t="str">
        <f t="shared" ca="1" si="167"/>
        <v/>
      </c>
      <c r="Z362" s="368" t="str">
        <f t="shared" ca="1" si="168"/>
        <v/>
      </c>
      <c r="AA362" s="369" t="str">
        <f t="shared" ca="1" si="169"/>
        <v/>
      </c>
      <c r="AB362" s="344"/>
      <c r="AC362" s="363" t="e">
        <f t="shared" ca="1" si="170"/>
        <v>#N/A</v>
      </c>
      <c r="AD362" s="376" t="e">
        <f t="shared" ca="1" si="171"/>
        <v>#N/A</v>
      </c>
      <c r="AE362" s="377" t="e">
        <f t="shared" ca="1" si="150"/>
        <v>#N/A</v>
      </c>
      <c r="AF362" s="344"/>
      <c r="AG362" s="359">
        <f t="shared" ca="1" si="172"/>
        <v>5.8468817543583</v>
      </c>
      <c r="AH362" s="357">
        <f t="shared" ca="1" si="173"/>
        <v>-3.863870439550547</v>
      </c>
    </row>
    <row r="363" spans="1:34" x14ac:dyDescent="0.2">
      <c r="A363" s="402">
        <f t="shared" ca="1" si="151"/>
        <v>1E-4</v>
      </c>
      <c r="B363" s="357">
        <f t="shared" ca="1" si="152"/>
        <v>15.602299999999957</v>
      </c>
      <c r="C363" s="342"/>
      <c r="D363" s="359">
        <f t="shared" ca="1" si="153"/>
        <v>-0.54823132789421503</v>
      </c>
      <c r="E363" s="360">
        <f t="shared" ca="1" si="154"/>
        <v>-5.985150205330771</v>
      </c>
      <c r="F363" s="357">
        <f t="shared" ca="1" si="155"/>
        <v>6.0102063666113512</v>
      </c>
      <c r="G363" s="359">
        <f t="shared" ca="1" si="156"/>
        <v>9.5478581553236381</v>
      </c>
      <c r="H363" s="360">
        <f t="shared" ca="1" si="157"/>
        <v>-66.613597694475303</v>
      </c>
      <c r="I363" s="357">
        <f t="shared" ca="1" si="158"/>
        <v>67.294375642809754</v>
      </c>
      <c r="J363" s="359">
        <f t="shared" ca="1" si="159"/>
        <v>187.70931447689617</v>
      </c>
      <c r="K363" s="360">
        <f t="shared" ca="1" si="160"/>
        <v>-4.210967570043274</v>
      </c>
      <c r="L363" s="357">
        <f t="shared" ca="1" si="145"/>
        <v>187.75654180151022</v>
      </c>
      <c r="M363" s="359">
        <f t="shared" ca="1" si="161"/>
        <v>-1.4284339730116731</v>
      </c>
      <c r="N363" s="357">
        <f t="shared" ca="1" si="162"/>
        <v>-81.843237966673001</v>
      </c>
      <c r="O363" s="343"/>
      <c r="P363" s="363">
        <f t="shared" ca="1" si="163"/>
        <v>23</v>
      </c>
      <c r="Q363" s="357">
        <f t="shared" ca="1" si="164"/>
        <v>0</v>
      </c>
      <c r="R363" s="359">
        <f t="shared" ca="1" si="165"/>
        <v>0</v>
      </c>
      <c r="S363" s="360">
        <f t="shared" ca="1" si="166"/>
        <v>1.5629999999999982</v>
      </c>
      <c r="T363" s="357">
        <f t="shared" ca="1" si="146"/>
        <v>15.333029999999983</v>
      </c>
      <c r="U363" s="364">
        <f t="shared" ca="1" si="147"/>
        <v>0</v>
      </c>
      <c r="V363" s="359">
        <f t="shared" ca="1" si="148"/>
        <v>1.2255159521602215</v>
      </c>
      <c r="W363" s="357">
        <f t="shared" ca="1" si="149"/>
        <v>6.0394474351878245</v>
      </c>
      <c r="X363" s="343"/>
      <c r="Y363" s="367" t="str">
        <f t="shared" ca="1" si="167"/>
        <v/>
      </c>
      <c r="Z363" s="368" t="str">
        <f t="shared" ca="1" si="168"/>
        <v/>
      </c>
      <c r="AA363" s="369" t="str">
        <f t="shared" ca="1" si="169"/>
        <v/>
      </c>
      <c r="AB363" s="344"/>
      <c r="AC363" s="363" t="e">
        <f t="shared" ca="1" si="170"/>
        <v>#N/A</v>
      </c>
      <c r="AD363" s="376" t="e">
        <f t="shared" ca="1" si="171"/>
        <v>#N/A</v>
      </c>
      <c r="AE363" s="377" t="e">
        <f t="shared" ca="1" si="150"/>
        <v>#N/A</v>
      </c>
      <c r="AF363" s="344"/>
      <c r="AG363" s="359">
        <f t="shared" ca="1" si="172"/>
        <v>5.8468149154031401</v>
      </c>
      <c r="AH363" s="357">
        <f t="shared" ca="1" si="173"/>
        <v>-3.8639401574902656</v>
      </c>
    </row>
    <row r="364" spans="1:34" x14ac:dyDescent="0.2">
      <c r="A364" s="402">
        <f t="shared" ca="1" si="151"/>
        <v>1E-4</v>
      </c>
      <c r="B364" s="357">
        <f t="shared" ca="1" si="152"/>
        <v>15.602399999999957</v>
      </c>
      <c r="C364" s="342"/>
      <c r="D364" s="359">
        <f t="shared" ca="1" si="153"/>
        <v>-0.54823330847932361</v>
      </c>
      <c r="E364" s="360">
        <f t="shared" ca="1" si="154"/>
        <v>-5.9850800588307518</v>
      </c>
      <c r="F364" s="357">
        <f t="shared" ca="1" si="155"/>
        <v>6.0101366932158617</v>
      </c>
      <c r="G364" s="359">
        <f t="shared" ca="1" si="156"/>
        <v>9.5478033319927906</v>
      </c>
      <c r="H364" s="360">
        <f t="shared" ca="1" si="157"/>
        <v>-66.614196202481182</v>
      </c>
      <c r="I364" s="357">
        <f t="shared" ca="1" si="158"/>
        <v>67.294960317761323</v>
      </c>
      <c r="J364" s="359">
        <f t="shared" ca="1" si="159"/>
        <v>187.70931447689617</v>
      </c>
      <c r="K364" s="360">
        <f t="shared" ca="1" si="160"/>
        <v>-4.2176289597381222</v>
      </c>
      <c r="L364" s="357">
        <f t="shared" ca="1" si="145"/>
        <v>187.75669131998549</v>
      </c>
      <c r="M364" s="359">
        <f t="shared" ca="1" si="161"/>
        <v>-1.4284360413122654</v>
      </c>
      <c r="N364" s="357">
        <f t="shared" ca="1" si="162"/>
        <v>-81.843356471567716</v>
      </c>
      <c r="O364" s="343"/>
      <c r="P364" s="363">
        <f t="shared" ca="1" si="163"/>
        <v>23</v>
      </c>
      <c r="Q364" s="357">
        <f t="shared" ca="1" si="164"/>
        <v>0</v>
      </c>
      <c r="R364" s="359">
        <f t="shared" ca="1" si="165"/>
        <v>0</v>
      </c>
      <c r="S364" s="360">
        <f t="shared" ca="1" si="166"/>
        <v>1.5629999999999982</v>
      </c>
      <c r="T364" s="357">
        <f t="shared" ca="1" si="146"/>
        <v>15.333029999999983</v>
      </c>
      <c r="U364" s="364">
        <f t="shared" ca="1" si="147"/>
        <v>0</v>
      </c>
      <c r="V364" s="359">
        <f t="shared" ca="1" si="148"/>
        <v>1.2255167685244626</v>
      </c>
      <c r="W364" s="357">
        <f t="shared" ca="1" si="149"/>
        <v>6.0395564041090992</v>
      </c>
      <c r="X364" s="343"/>
      <c r="Y364" s="367" t="str">
        <f t="shared" ca="1" si="167"/>
        <v/>
      </c>
      <c r="Z364" s="368" t="str">
        <f t="shared" ca="1" si="168"/>
        <v/>
      </c>
      <c r="AA364" s="369" t="str">
        <f t="shared" ca="1" si="169"/>
        <v/>
      </c>
      <c r="AB364" s="344"/>
      <c r="AC364" s="363" t="e">
        <f t="shared" ca="1" si="170"/>
        <v>#N/A</v>
      </c>
      <c r="AD364" s="376" t="e">
        <f t="shared" ca="1" si="171"/>
        <v>#N/A</v>
      </c>
      <c r="AE364" s="377" t="e">
        <f t="shared" ca="1" si="150"/>
        <v>#N/A</v>
      </c>
      <c r="AF364" s="344"/>
      <c r="AG364" s="359">
        <f t="shared" ca="1" si="172"/>
        <v>5.8467480764097655</v>
      </c>
      <c r="AH364" s="357">
        <f t="shared" ca="1" si="173"/>
        <v>-3.8640098753600971</v>
      </c>
    </row>
    <row r="365" spans="1:34" x14ac:dyDescent="0.2">
      <c r="A365" s="402">
        <f t="shared" ca="1" si="151"/>
        <v>1E-4</v>
      </c>
      <c r="B365" s="357">
        <f t="shared" ca="1" si="152"/>
        <v>15.602499999999957</v>
      </c>
      <c r="C365" s="342"/>
      <c r="D365" s="359">
        <f t="shared" ca="1" si="153"/>
        <v>-0.54823528894958273</v>
      </c>
      <c r="E365" s="360">
        <f t="shared" ca="1" si="154"/>
        <v>-5.9850099124015959</v>
      </c>
      <c r="F365" s="357">
        <f t="shared" ca="1" si="155"/>
        <v>6.0100670198921238</v>
      </c>
      <c r="G365" s="359">
        <f t="shared" ca="1" si="156"/>
        <v>9.5477485084638953</v>
      </c>
      <c r="H365" s="360">
        <f t="shared" ca="1" si="157"/>
        <v>-66.614794703472427</v>
      </c>
      <c r="I365" s="357">
        <f t="shared" ca="1" si="158"/>
        <v>67.295544986029</v>
      </c>
      <c r="J365" s="359">
        <f t="shared" ca="1" si="159"/>
        <v>187.70931447689617</v>
      </c>
      <c r="K365" s="360">
        <f t="shared" ca="1" si="160"/>
        <v>-4.2242904092834195</v>
      </c>
      <c r="L365" s="357">
        <f t="shared" ca="1" si="145"/>
        <v>187.75684107602649</v>
      </c>
      <c r="M365" s="359">
        <f t="shared" ca="1" si="161"/>
        <v>-1.4284381095650427</v>
      </c>
      <c r="N365" s="357">
        <f t="shared" ca="1" si="162"/>
        <v>-81.84347497372282</v>
      </c>
      <c r="O365" s="343"/>
      <c r="P365" s="363">
        <f t="shared" ca="1" si="163"/>
        <v>23</v>
      </c>
      <c r="Q365" s="357">
        <f t="shared" ca="1" si="164"/>
        <v>0</v>
      </c>
      <c r="R365" s="359">
        <f t="shared" ca="1" si="165"/>
        <v>0</v>
      </c>
      <c r="S365" s="360">
        <f t="shared" ca="1" si="166"/>
        <v>1.5629999999999982</v>
      </c>
      <c r="T365" s="357">
        <f t="shared" ca="1" si="146"/>
        <v>15.333029999999983</v>
      </c>
      <c r="U365" s="364">
        <f t="shared" ca="1" si="147"/>
        <v>0</v>
      </c>
      <c r="V365" s="359">
        <f t="shared" ca="1" si="148"/>
        <v>1.2255175848965829</v>
      </c>
      <c r="W365" s="357">
        <f t="shared" ca="1" si="149"/>
        <v>6.0396653729210854</v>
      </c>
      <c r="X365" s="343"/>
      <c r="Y365" s="367" t="str">
        <f t="shared" ca="1" si="167"/>
        <v/>
      </c>
      <c r="Z365" s="368" t="str">
        <f t="shared" ca="1" si="168"/>
        <v/>
      </c>
      <c r="AA365" s="369" t="str">
        <f t="shared" ca="1" si="169"/>
        <v/>
      </c>
      <c r="AB365" s="344"/>
      <c r="AC365" s="363" t="e">
        <f t="shared" ca="1" si="170"/>
        <v>#N/A</v>
      </c>
      <c r="AD365" s="376" t="e">
        <f t="shared" ca="1" si="171"/>
        <v>#N/A</v>
      </c>
      <c r="AE365" s="377" t="e">
        <f t="shared" ca="1" si="150"/>
        <v>#N/A</v>
      </c>
      <c r="AF365" s="344"/>
      <c r="AG365" s="359">
        <f t="shared" ca="1" si="172"/>
        <v>5.8466812373782027</v>
      </c>
      <c r="AH365" s="357">
        <f t="shared" ca="1" si="173"/>
        <v>-3.8640795931600169</v>
      </c>
    </row>
    <row r="366" spans="1:34" x14ac:dyDescent="0.2">
      <c r="A366" s="402">
        <f t="shared" ca="1" si="151"/>
        <v>1E-4</v>
      </c>
      <c r="B366" s="357">
        <f t="shared" ca="1" si="152"/>
        <v>15.602599999999956</v>
      </c>
      <c r="C366" s="342"/>
      <c r="D366" s="359">
        <f t="shared" ca="1" si="153"/>
        <v>-0.54823726930499439</v>
      </c>
      <c r="E366" s="360">
        <f t="shared" ca="1" si="154"/>
        <v>-5.9849397660433148</v>
      </c>
      <c r="F366" s="357">
        <f t="shared" ca="1" si="155"/>
        <v>6.0099973466401462</v>
      </c>
      <c r="G366" s="359">
        <f t="shared" ca="1" si="156"/>
        <v>9.5476936847369647</v>
      </c>
      <c r="H366" s="360">
        <f t="shared" ca="1" si="157"/>
        <v>-66.615393197449038</v>
      </c>
      <c r="I366" s="357">
        <f t="shared" ca="1" si="158"/>
        <v>67.296129647612759</v>
      </c>
      <c r="J366" s="359">
        <f t="shared" ca="1" si="159"/>
        <v>187.70931447689617</v>
      </c>
      <c r="K366" s="360">
        <f t="shared" ca="1" si="160"/>
        <v>-4.2309519186784659</v>
      </c>
      <c r="L366" s="357">
        <f t="shared" ca="1" si="145"/>
        <v>187.7569910696389</v>
      </c>
      <c r="M366" s="359">
        <f t="shared" ca="1" si="161"/>
        <v>-1.4284401777700066</v>
      </c>
      <c r="N366" s="357">
        <f t="shared" ca="1" si="162"/>
        <v>-81.843593473138412</v>
      </c>
      <c r="O366" s="343"/>
      <c r="P366" s="363">
        <f t="shared" ca="1" si="163"/>
        <v>23</v>
      </c>
      <c r="Q366" s="357">
        <f t="shared" ca="1" si="164"/>
        <v>0</v>
      </c>
      <c r="R366" s="359">
        <f t="shared" ca="1" si="165"/>
        <v>0</v>
      </c>
      <c r="S366" s="360">
        <f t="shared" ca="1" si="166"/>
        <v>1.5629999999999982</v>
      </c>
      <c r="T366" s="357">
        <f t="shared" ca="1" si="146"/>
        <v>15.333029999999983</v>
      </c>
      <c r="U366" s="364">
        <f t="shared" ca="1" si="147"/>
        <v>0</v>
      </c>
      <c r="V366" s="359">
        <f t="shared" ca="1" si="148"/>
        <v>1.2255184012765821</v>
      </c>
      <c r="W366" s="357">
        <f t="shared" ca="1" si="149"/>
        <v>6.0397743416237448</v>
      </c>
      <c r="X366" s="343"/>
      <c r="Y366" s="367" t="str">
        <f t="shared" ca="1" si="167"/>
        <v/>
      </c>
      <c r="Z366" s="368" t="str">
        <f t="shared" ca="1" si="168"/>
        <v/>
      </c>
      <c r="AA366" s="369" t="str">
        <f t="shared" ca="1" si="169"/>
        <v/>
      </c>
      <c r="AB366" s="344"/>
      <c r="AC366" s="363" t="e">
        <f t="shared" ca="1" si="170"/>
        <v>#N/A</v>
      </c>
      <c r="AD366" s="376" t="e">
        <f t="shared" ca="1" si="171"/>
        <v>#N/A</v>
      </c>
      <c r="AE366" s="377" t="e">
        <f t="shared" ca="1" si="150"/>
        <v>#N/A</v>
      </c>
      <c r="AF366" s="344"/>
      <c r="AG366" s="359">
        <f t="shared" ca="1" si="172"/>
        <v>5.8466143983084722</v>
      </c>
      <c r="AH366" s="357">
        <f t="shared" ca="1" si="173"/>
        <v>-3.8641493108900145</v>
      </c>
    </row>
    <row r="367" spans="1:34" x14ac:dyDescent="0.2">
      <c r="A367" s="402">
        <f t="shared" ca="1" si="151"/>
        <v>1E-4</v>
      </c>
      <c r="B367" s="357">
        <f t="shared" ca="1" si="152"/>
        <v>15.602699999999956</v>
      </c>
      <c r="C367" s="342"/>
      <c r="D367" s="359">
        <f t="shared" ca="1" si="153"/>
        <v>-0.5482392495455588</v>
      </c>
      <c r="E367" s="360">
        <f t="shared" ca="1" si="154"/>
        <v>-5.9848696197559317</v>
      </c>
      <c r="F367" s="357">
        <f t="shared" ca="1" si="155"/>
        <v>6.0099276734599556</v>
      </c>
      <c r="G367" s="359">
        <f t="shared" ca="1" si="156"/>
        <v>9.5476388608120093</v>
      </c>
      <c r="H367" s="360">
        <f t="shared" ca="1" si="157"/>
        <v>-66.615991684411014</v>
      </c>
      <c r="I367" s="357">
        <f t="shared" ca="1" si="158"/>
        <v>67.296714302512612</v>
      </c>
      <c r="J367" s="359">
        <f t="shared" ca="1" si="159"/>
        <v>187.70931447689617</v>
      </c>
      <c r="K367" s="360">
        <f t="shared" ca="1" si="160"/>
        <v>-4.2376134879225589</v>
      </c>
      <c r="L367" s="357">
        <f t="shared" ca="1" si="145"/>
        <v>187.75714130082861</v>
      </c>
      <c r="M367" s="359">
        <f t="shared" ca="1" si="161"/>
        <v>-1.4284422459271586</v>
      </c>
      <c r="N367" s="357">
        <f t="shared" ca="1" si="162"/>
        <v>-81.843711969814592</v>
      </c>
      <c r="O367" s="343"/>
      <c r="P367" s="363">
        <f t="shared" ca="1" si="163"/>
        <v>23</v>
      </c>
      <c r="Q367" s="357">
        <f t="shared" ca="1" si="164"/>
        <v>0</v>
      </c>
      <c r="R367" s="359">
        <f t="shared" ca="1" si="165"/>
        <v>0</v>
      </c>
      <c r="S367" s="360">
        <f t="shared" ca="1" si="166"/>
        <v>1.5629999999999982</v>
      </c>
      <c r="T367" s="357">
        <f t="shared" ca="1" si="146"/>
        <v>15.333029999999983</v>
      </c>
      <c r="U367" s="364">
        <f t="shared" ca="1" si="147"/>
        <v>0</v>
      </c>
      <c r="V367" s="359">
        <f t="shared" ca="1" si="148"/>
        <v>1.2255192176644596</v>
      </c>
      <c r="W367" s="357">
        <f t="shared" ca="1" si="149"/>
        <v>6.0398833102170491</v>
      </c>
      <c r="X367" s="343"/>
      <c r="Y367" s="367" t="str">
        <f t="shared" ca="1" si="167"/>
        <v/>
      </c>
      <c r="Z367" s="368" t="str">
        <f t="shared" ca="1" si="168"/>
        <v/>
      </c>
      <c r="AA367" s="369" t="str">
        <f t="shared" ca="1" si="169"/>
        <v/>
      </c>
      <c r="AB367" s="344"/>
      <c r="AC367" s="363" t="e">
        <f t="shared" ca="1" si="170"/>
        <v>#N/A</v>
      </c>
      <c r="AD367" s="376" t="e">
        <f t="shared" ca="1" si="171"/>
        <v>#N/A</v>
      </c>
      <c r="AE367" s="377" t="e">
        <f t="shared" ca="1" si="150"/>
        <v>#N/A</v>
      </c>
      <c r="AF367" s="344"/>
      <c r="AG367" s="359">
        <f t="shared" ca="1" si="172"/>
        <v>5.8465475592006015</v>
      </c>
      <c r="AH367" s="357">
        <f t="shared" ca="1" si="173"/>
        <v>-3.8642190285500653</v>
      </c>
    </row>
    <row r="368" spans="1:34" x14ac:dyDescent="0.2">
      <c r="A368" s="402">
        <f t="shared" ca="1" si="151"/>
        <v>1E-4</v>
      </c>
      <c r="B368" s="357">
        <f t="shared" ca="1" si="152"/>
        <v>15.602799999999956</v>
      </c>
      <c r="C368" s="342"/>
      <c r="D368" s="359">
        <f t="shared" ca="1" si="153"/>
        <v>-0.54824122967127864</v>
      </c>
      <c r="E368" s="360">
        <f t="shared" ca="1" si="154"/>
        <v>-5.9847994735394661</v>
      </c>
      <c r="F368" s="357">
        <f t="shared" ca="1" si="155"/>
        <v>6.009858000351568</v>
      </c>
      <c r="G368" s="359">
        <f t="shared" ca="1" si="156"/>
        <v>9.5475840366890417</v>
      </c>
      <c r="H368" s="360">
        <f t="shared" ca="1" si="157"/>
        <v>-66.616590164358371</v>
      </c>
      <c r="I368" s="357">
        <f t="shared" ca="1" si="158"/>
        <v>67.297298950728532</v>
      </c>
      <c r="J368" s="359">
        <f t="shared" ca="1" si="159"/>
        <v>187.70931447689617</v>
      </c>
      <c r="K368" s="360">
        <f t="shared" ca="1" si="160"/>
        <v>-4.2442751170149977</v>
      </c>
      <c r="L368" s="357">
        <f t="shared" ca="1" si="145"/>
        <v>187.75729176960135</v>
      </c>
      <c r="M368" s="359">
        <f t="shared" ca="1" si="161"/>
        <v>-1.4284443140365009</v>
      </c>
      <c r="N368" s="357">
        <f t="shared" ca="1" si="162"/>
        <v>-81.843830463751473</v>
      </c>
      <c r="O368" s="343"/>
      <c r="P368" s="363">
        <f t="shared" ca="1" si="163"/>
        <v>23</v>
      </c>
      <c r="Q368" s="357">
        <f t="shared" ca="1" si="164"/>
        <v>0</v>
      </c>
      <c r="R368" s="359">
        <f t="shared" ca="1" si="165"/>
        <v>0</v>
      </c>
      <c r="S368" s="360">
        <f t="shared" ca="1" si="166"/>
        <v>1.5629999999999982</v>
      </c>
      <c r="T368" s="357">
        <f t="shared" ca="1" si="146"/>
        <v>15.333029999999983</v>
      </c>
      <c r="U368" s="364">
        <f t="shared" ca="1" si="147"/>
        <v>0</v>
      </c>
      <c r="V368" s="359">
        <f t="shared" ca="1" si="148"/>
        <v>1.2255200340602157</v>
      </c>
      <c r="W368" s="357">
        <f t="shared" ca="1" si="149"/>
        <v>6.0399922787009626</v>
      </c>
      <c r="X368" s="343"/>
      <c r="Y368" s="367" t="str">
        <f t="shared" ca="1" si="167"/>
        <v/>
      </c>
      <c r="Z368" s="368" t="str">
        <f t="shared" ca="1" si="168"/>
        <v/>
      </c>
      <c r="AA368" s="369" t="str">
        <f t="shared" ca="1" si="169"/>
        <v/>
      </c>
      <c r="AB368" s="344"/>
      <c r="AC368" s="363" t="e">
        <f t="shared" ca="1" si="170"/>
        <v>#N/A</v>
      </c>
      <c r="AD368" s="376" t="e">
        <f t="shared" ca="1" si="171"/>
        <v>#N/A</v>
      </c>
      <c r="AE368" s="377" t="e">
        <f t="shared" ca="1" si="150"/>
        <v>#N/A</v>
      </c>
      <c r="AF368" s="344"/>
      <c r="AG368" s="359">
        <f t="shared" ca="1" si="172"/>
        <v>5.8464807200546165</v>
      </c>
      <c r="AH368" s="357">
        <f t="shared" ca="1" si="173"/>
        <v>-3.8642887461401512</v>
      </c>
    </row>
    <row r="369" spans="1:34" x14ac:dyDescent="0.2">
      <c r="A369" s="402">
        <f t="shared" ca="1" si="151"/>
        <v>1E-4</v>
      </c>
      <c r="B369" s="357">
        <f t="shared" ca="1" si="152"/>
        <v>15.602899999999956</v>
      </c>
      <c r="C369" s="342"/>
      <c r="D369" s="359">
        <f t="shared" ca="1" si="153"/>
        <v>-0.54824320968215268</v>
      </c>
      <c r="E369" s="360">
        <f t="shared" ca="1" si="154"/>
        <v>-5.984729327393941</v>
      </c>
      <c r="F369" s="357">
        <f t="shared" ca="1" si="155"/>
        <v>6.0097883273150083</v>
      </c>
      <c r="G369" s="359">
        <f t="shared" ca="1" si="156"/>
        <v>9.5475292123680742</v>
      </c>
      <c r="H369" s="360">
        <f t="shared" ca="1" si="157"/>
        <v>-66.617188637291108</v>
      </c>
      <c r="I369" s="357">
        <f t="shared" ca="1" si="158"/>
        <v>67.297883592260533</v>
      </c>
      <c r="J369" s="359">
        <f t="shared" ca="1" si="159"/>
        <v>187.70931447689617</v>
      </c>
      <c r="K369" s="360">
        <f t="shared" ca="1" si="160"/>
        <v>-4.2509368059550798</v>
      </c>
      <c r="L369" s="357">
        <f t="shared" ca="1" si="145"/>
        <v>187.7574424759629</v>
      </c>
      <c r="M369" s="359">
        <f t="shared" ca="1" si="161"/>
        <v>-1.4284463820980347</v>
      </c>
      <c r="N369" s="357">
        <f t="shared" ca="1" si="162"/>
        <v>-81.843948954949141</v>
      </c>
      <c r="O369" s="343"/>
      <c r="P369" s="363">
        <f t="shared" ca="1" si="163"/>
        <v>23</v>
      </c>
      <c r="Q369" s="357">
        <f t="shared" ca="1" si="164"/>
        <v>0</v>
      </c>
      <c r="R369" s="359">
        <f t="shared" ca="1" si="165"/>
        <v>0</v>
      </c>
      <c r="S369" s="360">
        <f t="shared" ca="1" si="166"/>
        <v>1.5629999999999982</v>
      </c>
      <c r="T369" s="357">
        <f t="shared" ca="1" si="146"/>
        <v>15.333029999999983</v>
      </c>
      <c r="U369" s="364">
        <f t="shared" ca="1" si="147"/>
        <v>0</v>
      </c>
      <c r="V369" s="359">
        <f t="shared" ca="1" si="148"/>
        <v>1.22552085046385</v>
      </c>
      <c r="W369" s="357">
        <f t="shared" ca="1" si="149"/>
        <v>6.040101247075456</v>
      </c>
      <c r="X369" s="343"/>
      <c r="Y369" s="367" t="str">
        <f t="shared" ca="1" si="167"/>
        <v/>
      </c>
      <c r="Z369" s="368" t="str">
        <f t="shared" ca="1" si="168"/>
        <v/>
      </c>
      <c r="AA369" s="369" t="str">
        <f t="shared" ca="1" si="169"/>
        <v/>
      </c>
      <c r="AB369" s="344"/>
      <c r="AC369" s="363" t="e">
        <f t="shared" ca="1" si="170"/>
        <v>#N/A</v>
      </c>
      <c r="AD369" s="376" t="e">
        <f t="shared" ca="1" si="171"/>
        <v>#N/A</v>
      </c>
      <c r="AE369" s="377" t="e">
        <f t="shared" ca="1" si="150"/>
        <v>#N/A</v>
      </c>
      <c r="AF369" s="344"/>
      <c r="AG369" s="359">
        <f t="shared" ca="1" si="172"/>
        <v>5.846413880870541</v>
      </c>
      <c r="AH369" s="357">
        <f t="shared" ca="1" si="173"/>
        <v>-3.8643584636602495</v>
      </c>
    </row>
    <row r="370" spans="1:34" x14ac:dyDescent="0.2">
      <c r="A370" s="402">
        <f t="shared" ca="1" si="151"/>
        <v>1E-4</v>
      </c>
      <c r="B370" s="357">
        <f t="shared" ca="1" si="152"/>
        <v>15.602999999999955</v>
      </c>
      <c r="C370" s="342"/>
      <c r="D370" s="359">
        <f t="shared" ca="1" si="153"/>
        <v>-0.54824518957818336</v>
      </c>
      <c r="E370" s="360">
        <f t="shared" ca="1" si="154"/>
        <v>-5.9846591813193744</v>
      </c>
      <c r="F370" s="357">
        <f t="shared" ca="1" si="155"/>
        <v>6.0097186543502934</v>
      </c>
      <c r="G370" s="359">
        <f t="shared" ca="1" si="156"/>
        <v>9.5474743878491157</v>
      </c>
      <c r="H370" s="360">
        <f t="shared" ca="1" si="157"/>
        <v>-66.617787103209238</v>
      </c>
      <c r="I370" s="357">
        <f t="shared" ca="1" si="158"/>
        <v>67.2984682271086</v>
      </c>
      <c r="J370" s="359">
        <f t="shared" ca="1" si="159"/>
        <v>187.70931447689617</v>
      </c>
      <c r="K370" s="360">
        <f t="shared" ca="1" si="160"/>
        <v>-4.2575985547421045</v>
      </c>
      <c r="L370" s="357">
        <f t="shared" ca="1" si="145"/>
        <v>187.75759341991909</v>
      </c>
      <c r="M370" s="359">
        <f t="shared" ca="1" si="161"/>
        <v>-1.4284484501117618</v>
      </c>
      <c r="N370" s="357">
        <f t="shared" ca="1" si="162"/>
        <v>-81.844067443407681</v>
      </c>
      <c r="O370" s="343"/>
      <c r="P370" s="363">
        <f t="shared" ca="1" si="163"/>
        <v>23</v>
      </c>
      <c r="Q370" s="357">
        <f t="shared" ca="1" si="164"/>
        <v>0</v>
      </c>
      <c r="R370" s="359">
        <f t="shared" ca="1" si="165"/>
        <v>0</v>
      </c>
      <c r="S370" s="360">
        <f t="shared" ca="1" si="166"/>
        <v>1.5629999999999982</v>
      </c>
      <c r="T370" s="357">
        <f t="shared" ca="1" si="146"/>
        <v>15.333029999999983</v>
      </c>
      <c r="U370" s="364">
        <f t="shared" ca="1" si="147"/>
        <v>0</v>
      </c>
      <c r="V370" s="359">
        <f t="shared" ca="1" si="148"/>
        <v>1.2255216668753626</v>
      </c>
      <c r="W370" s="357">
        <f t="shared" ca="1" si="149"/>
        <v>6.0402102153404984</v>
      </c>
      <c r="X370" s="343"/>
      <c r="Y370" s="367" t="str">
        <f t="shared" ca="1" si="167"/>
        <v/>
      </c>
      <c r="Z370" s="368" t="str">
        <f t="shared" ca="1" si="168"/>
        <v/>
      </c>
      <c r="AA370" s="369" t="str">
        <f t="shared" ca="1" si="169"/>
        <v/>
      </c>
      <c r="AB370" s="344"/>
      <c r="AC370" s="363" t="e">
        <f t="shared" ca="1" si="170"/>
        <v>#N/A</v>
      </c>
      <c r="AD370" s="376" t="e">
        <f t="shared" ca="1" si="171"/>
        <v>#N/A</v>
      </c>
      <c r="AE370" s="377" t="e">
        <f t="shared" ca="1" si="150"/>
        <v>#N/A</v>
      </c>
      <c r="AF370" s="344"/>
      <c r="AG370" s="359">
        <f t="shared" ca="1" si="172"/>
        <v>5.8463470416484036</v>
      </c>
      <c r="AH370" s="357">
        <f t="shared" ca="1" si="173"/>
        <v>-3.8644281811103411</v>
      </c>
    </row>
    <row r="371" spans="1:34" x14ac:dyDescent="0.2">
      <c r="A371" s="402">
        <f t="shared" ca="1" si="151"/>
        <v>1E-4</v>
      </c>
      <c r="B371" s="357">
        <f t="shared" ca="1" si="152"/>
        <v>15.603099999999955</v>
      </c>
      <c r="C371" s="342"/>
      <c r="D371" s="359">
        <f t="shared" ca="1" si="153"/>
        <v>-0.54824716935937157</v>
      </c>
      <c r="E371" s="360">
        <f t="shared" ca="1" si="154"/>
        <v>-5.9845890353157873</v>
      </c>
      <c r="F371" s="357">
        <f t="shared" ca="1" si="155"/>
        <v>6.0096489814574454</v>
      </c>
      <c r="G371" s="359">
        <f t="shared" ca="1" si="156"/>
        <v>9.5474195631321805</v>
      </c>
      <c r="H371" s="360">
        <f t="shared" ca="1" si="157"/>
        <v>-66.618385562112763</v>
      </c>
      <c r="I371" s="357">
        <f t="shared" ca="1" si="158"/>
        <v>67.299052855272734</v>
      </c>
      <c r="J371" s="359">
        <f t="shared" ca="1" si="159"/>
        <v>187.70931447689617</v>
      </c>
      <c r="K371" s="360">
        <f t="shared" ca="1" si="160"/>
        <v>-4.2642603633753708</v>
      </c>
      <c r="L371" s="357">
        <f t="shared" ca="1" si="145"/>
        <v>187.75774460147562</v>
      </c>
      <c r="M371" s="359">
        <f t="shared" ca="1" si="161"/>
        <v>-1.4284505180776843</v>
      </c>
      <c r="N371" s="357">
        <f t="shared" ca="1" si="162"/>
        <v>-81.844185929127221</v>
      </c>
      <c r="O371" s="343"/>
      <c r="P371" s="363">
        <f t="shared" ca="1" si="163"/>
        <v>23</v>
      </c>
      <c r="Q371" s="357">
        <f t="shared" ca="1" si="164"/>
        <v>0</v>
      </c>
      <c r="R371" s="359">
        <f t="shared" ca="1" si="165"/>
        <v>0</v>
      </c>
      <c r="S371" s="360">
        <f t="shared" ca="1" si="166"/>
        <v>1.5629999999999982</v>
      </c>
      <c r="T371" s="357">
        <f t="shared" ca="1" si="146"/>
        <v>15.333029999999983</v>
      </c>
      <c r="U371" s="364">
        <f t="shared" ca="1" si="147"/>
        <v>0</v>
      </c>
      <c r="V371" s="359">
        <f t="shared" ca="1" si="148"/>
        <v>1.2255224832947538</v>
      </c>
      <c r="W371" s="357">
        <f t="shared" ca="1" si="149"/>
        <v>6.0403191834960648</v>
      </c>
      <c r="X371" s="343"/>
      <c r="Y371" s="367" t="str">
        <f t="shared" ca="1" si="167"/>
        <v/>
      </c>
      <c r="Z371" s="368" t="str">
        <f t="shared" ca="1" si="168"/>
        <v/>
      </c>
      <c r="AA371" s="369" t="str">
        <f t="shared" ca="1" si="169"/>
        <v/>
      </c>
      <c r="AB371" s="344"/>
      <c r="AC371" s="363" t="e">
        <f t="shared" ca="1" si="170"/>
        <v>#N/A</v>
      </c>
      <c r="AD371" s="376" t="e">
        <f t="shared" ca="1" si="171"/>
        <v>#N/A</v>
      </c>
      <c r="AE371" s="377" t="e">
        <f t="shared" ca="1" si="150"/>
        <v>#N/A</v>
      </c>
      <c r="AF371" s="344"/>
      <c r="AG371" s="359">
        <f t="shared" ca="1" si="172"/>
        <v>5.8462802023882245</v>
      </c>
      <c r="AH371" s="357">
        <f t="shared" ca="1" si="173"/>
        <v>-3.8644978984904066</v>
      </c>
    </row>
    <row r="372" spans="1:34" x14ac:dyDescent="0.2">
      <c r="A372" s="402">
        <f t="shared" ca="1" si="151"/>
        <v>1E-4</v>
      </c>
      <c r="B372" s="357">
        <f t="shared" ca="1" si="152"/>
        <v>15.603199999999955</v>
      </c>
      <c r="C372" s="342"/>
      <c r="D372" s="359">
        <f t="shared" ca="1" si="153"/>
        <v>-0.54824914902571797</v>
      </c>
      <c r="E372" s="360">
        <f t="shared" ca="1" si="154"/>
        <v>-5.9845188893831942</v>
      </c>
      <c r="F372" s="357">
        <f t="shared" ca="1" si="155"/>
        <v>6.0095793086364777</v>
      </c>
      <c r="G372" s="359">
        <f t="shared" ca="1" si="156"/>
        <v>9.5473647382172775</v>
      </c>
      <c r="H372" s="360">
        <f t="shared" ca="1" si="157"/>
        <v>-66.618984014001697</v>
      </c>
      <c r="I372" s="357">
        <f t="shared" ca="1" si="158"/>
        <v>67.299637476752935</v>
      </c>
      <c r="J372" s="359">
        <f t="shared" ca="1" si="159"/>
        <v>187.70931447689617</v>
      </c>
      <c r="K372" s="360">
        <f t="shared" ca="1" si="160"/>
        <v>-4.2709222318541764</v>
      </c>
      <c r="L372" s="357">
        <f t="shared" ca="1" si="145"/>
        <v>187.75789602063836</v>
      </c>
      <c r="M372" s="359">
        <f t="shared" ca="1" si="161"/>
        <v>-1.4284525859958035</v>
      </c>
      <c r="N372" s="357">
        <f t="shared" ca="1" si="162"/>
        <v>-81.844304412107817</v>
      </c>
      <c r="O372" s="343"/>
      <c r="P372" s="363">
        <f t="shared" ca="1" si="163"/>
        <v>23</v>
      </c>
      <c r="Q372" s="357">
        <f t="shared" ca="1" si="164"/>
        <v>0</v>
      </c>
      <c r="R372" s="359">
        <f t="shared" ca="1" si="165"/>
        <v>0</v>
      </c>
      <c r="S372" s="360">
        <f t="shared" ca="1" si="166"/>
        <v>1.5629999999999982</v>
      </c>
      <c r="T372" s="357">
        <f t="shared" ca="1" si="146"/>
        <v>15.333029999999983</v>
      </c>
      <c r="U372" s="364">
        <f t="shared" ca="1" si="147"/>
        <v>0</v>
      </c>
      <c r="V372" s="359">
        <f t="shared" ca="1" si="148"/>
        <v>1.2255232997220231</v>
      </c>
      <c r="W372" s="357">
        <f t="shared" ca="1" si="149"/>
        <v>6.0404281515421179</v>
      </c>
      <c r="X372" s="343"/>
      <c r="Y372" s="367" t="str">
        <f t="shared" ca="1" si="167"/>
        <v/>
      </c>
      <c r="Z372" s="368" t="str">
        <f t="shared" ca="1" si="168"/>
        <v/>
      </c>
      <c r="AA372" s="369" t="str">
        <f t="shared" ca="1" si="169"/>
        <v/>
      </c>
      <c r="AB372" s="344"/>
      <c r="AC372" s="363" t="e">
        <f t="shared" ca="1" si="170"/>
        <v>#N/A</v>
      </c>
      <c r="AD372" s="376" t="e">
        <f t="shared" ca="1" si="171"/>
        <v>#N/A</v>
      </c>
      <c r="AE372" s="377" t="e">
        <f t="shared" ca="1" si="150"/>
        <v>#N/A</v>
      </c>
      <c r="AF372" s="344"/>
      <c r="AG372" s="359">
        <f t="shared" ca="1" si="172"/>
        <v>5.8462133630900315</v>
      </c>
      <c r="AH372" s="357">
        <f t="shared" ca="1" si="173"/>
        <v>-3.8645676158004298</v>
      </c>
    </row>
    <row r="373" spans="1:34" x14ac:dyDescent="0.2">
      <c r="A373" s="402">
        <f t="shared" ca="1" si="151"/>
        <v>1E-4</v>
      </c>
      <c r="B373" s="357">
        <f t="shared" ca="1" si="152"/>
        <v>15.603299999999955</v>
      </c>
      <c r="C373" s="342"/>
      <c r="D373" s="359">
        <f t="shared" ca="1" si="153"/>
        <v>-0.54825112857722413</v>
      </c>
      <c r="E373" s="360">
        <f t="shared" ca="1" si="154"/>
        <v>-5.9844487435216198</v>
      </c>
      <c r="F373" s="357">
        <f t="shared" ca="1" si="155"/>
        <v>6.0095096358874152</v>
      </c>
      <c r="G373" s="359">
        <f t="shared" ca="1" si="156"/>
        <v>9.547309913104419</v>
      </c>
      <c r="H373" s="360">
        <f t="shared" ca="1" si="157"/>
        <v>-66.619582458876053</v>
      </c>
      <c r="I373" s="357">
        <f t="shared" ca="1" si="158"/>
        <v>67.300222091549216</v>
      </c>
      <c r="J373" s="359">
        <f t="shared" ca="1" si="159"/>
        <v>187.70931447689617</v>
      </c>
      <c r="K373" s="360">
        <f t="shared" ca="1" si="160"/>
        <v>-4.2775841601778204</v>
      </c>
      <c r="L373" s="357">
        <f t="shared" ca="1" si="145"/>
        <v>187.75804767741303</v>
      </c>
      <c r="M373" s="359">
        <f t="shared" ca="1" si="161"/>
        <v>-1.4284546538661214</v>
      </c>
      <c r="N373" s="357">
        <f t="shared" ca="1" si="162"/>
        <v>-81.844422892349613</v>
      </c>
      <c r="O373" s="343"/>
      <c r="P373" s="363">
        <f t="shared" ca="1" si="163"/>
        <v>23</v>
      </c>
      <c r="Q373" s="357">
        <f t="shared" ca="1" si="164"/>
        <v>0</v>
      </c>
      <c r="R373" s="359">
        <f t="shared" ca="1" si="165"/>
        <v>0</v>
      </c>
      <c r="S373" s="360">
        <f t="shared" ca="1" si="166"/>
        <v>1.5629999999999982</v>
      </c>
      <c r="T373" s="357">
        <f t="shared" ca="1" si="146"/>
        <v>15.333029999999983</v>
      </c>
      <c r="U373" s="364">
        <f t="shared" ca="1" si="147"/>
        <v>0</v>
      </c>
      <c r="V373" s="359">
        <f t="shared" ca="1" si="148"/>
        <v>1.2255241161571704</v>
      </c>
      <c r="W373" s="357">
        <f t="shared" ca="1" si="149"/>
        <v>6.040537119478631</v>
      </c>
      <c r="X373" s="343"/>
      <c r="Y373" s="367" t="str">
        <f t="shared" ca="1" si="167"/>
        <v/>
      </c>
      <c r="Z373" s="368" t="str">
        <f t="shared" ca="1" si="168"/>
        <v/>
      </c>
      <c r="AA373" s="369" t="str">
        <f t="shared" ca="1" si="169"/>
        <v/>
      </c>
      <c r="AB373" s="344"/>
      <c r="AC373" s="363" t="e">
        <f t="shared" ca="1" si="170"/>
        <v>#N/A</v>
      </c>
      <c r="AD373" s="376" t="e">
        <f t="shared" ca="1" si="171"/>
        <v>#N/A</v>
      </c>
      <c r="AE373" s="377" t="e">
        <f t="shared" ca="1" si="150"/>
        <v>#N/A</v>
      </c>
      <c r="AF373" s="344"/>
      <c r="AG373" s="359">
        <f t="shared" ca="1" si="172"/>
        <v>5.8461465237538484</v>
      </c>
      <c r="AH373" s="357">
        <f t="shared" ca="1" si="173"/>
        <v>-3.8646373330403869</v>
      </c>
    </row>
    <row r="374" spans="1:34" x14ac:dyDescent="0.2">
      <c r="A374" s="402">
        <f t="shared" ca="1" si="151"/>
        <v>1E-4</v>
      </c>
      <c r="B374" s="357">
        <f t="shared" ca="1" si="152"/>
        <v>15.603399999999954</v>
      </c>
      <c r="C374" s="342"/>
      <c r="D374" s="359">
        <f t="shared" ca="1" si="153"/>
        <v>-0.54825310801389071</v>
      </c>
      <c r="E374" s="360">
        <f t="shared" ca="1" si="154"/>
        <v>-5.9843785977310819</v>
      </c>
      <c r="F374" s="357">
        <f t="shared" ca="1" si="155"/>
        <v>6.0094399632102764</v>
      </c>
      <c r="G374" s="359">
        <f t="shared" ca="1" si="156"/>
        <v>9.5472550877936175</v>
      </c>
      <c r="H374" s="360">
        <f t="shared" ca="1" si="157"/>
        <v>-66.620180896735832</v>
      </c>
      <c r="I374" s="357">
        <f t="shared" ca="1" si="158"/>
        <v>67.300806699661536</v>
      </c>
      <c r="J374" s="359">
        <f t="shared" ca="1" si="159"/>
        <v>187.70931447689617</v>
      </c>
      <c r="K374" s="360">
        <f t="shared" ca="1" si="160"/>
        <v>-4.2842461483456011</v>
      </c>
      <c r="L374" s="357">
        <f t="shared" ca="1" si="145"/>
        <v>187.75819957180542</v>
      </c>
      <c r="M374" s="359">
        <f t="shared" ca="1" si="161"/>
        <v>-1.4284567216886395</v>
      </c>
      <c r="N374" s="357">
        <f t="shared" ca="1" si="162"/>
        <v>-81.844541369852692</v>
      </c>
      <c r="O374" s="343"/>
      <c r="P374" s="363">
        <f t="shared" ca="1" si="163"/>
        <v>23</v>
      </c>
      <c r="Q374" s="357">
        <f t="shared" ca="1" si="164"/>
        <v>0</v>
      </c>
      <c r="R374" s="359">
        <f t="shared" ca="1" si="165"/>
        <v>0</v>
      </c>
      <c r="S374" s="360">
        <f t="shared" ca="1" si="166"/>
        <v>1.5629999999999982</v>
      </c>
      <c r="T374" s="357">
        <f t="shared" ca="1" si="146"/>
        <v>15.333029999999983</v>
      </c>
      <c r="U374" s="364">
        <f t="shared" ca="1" si="147"/>
        <v>0</v>
      </c>
      <c r="V374" s="359">
        <f t="shared" ca="1" si="148"/>
        <v>1.225524932600196</v>
      </c>
      <c r="W374" s="357">
        <f t="shared" ca="1" si="149"/>
        <v>6.0406460873055687</v>
      </c>
      <c r="X374" s="343"/>
      <c r="Y374" s="367" t="str">
        <f t="shared" ca="1" si="167"/>
        <v/>
      </c>
      <c r="Z374" s="368" t="str">
        <f t="shared" ca="1" si="168"/>
        <v/>
      </c>
      <c r="AA374" s="369" t="str">
        <f t="shared" ca="1" si="169"/>
        <v/>
      </c>
      <c r="AB374" s="344"/>
      <c r="AC374" s="363" t="e">
        <f t="shared" ca="1" si="170"/>
        <v>#N/A</v>
      </c>
      <c r="AD374" s="376" t="e">
        <f t="shared" ca="1" si="171"/>
        <v>#N/A</v>
      </c>
      <c r="AE374" s="377" t="e">
        <f t="shared" ca="1" si="150"/>
        <v>#N/A</v>
      </c>
      <c r="AF374" s="344"/>
      <c r="AG374" s="359">
        <f t="shared" ca="1" si="172"/>
        <v>5.8460796843796965</v>
      </c>
      <c r="AH374" s="357">
        <f t="shared" ca="1" si="173"/>
        <v>-3.864707050210261</v>
      </c>
    </row>
    <row r="375" spans="1:34" x14ac:dyDescent="0.2">
      <c r="A375" s="402">
        <f t="shared" ca="1" si="151"/>
        <v>1E-4</v>
      </c>
      <c r="B375" s="357">
        <f t="shared" ca="1" si="152"/>
        <v>15.603499999999954</v>
      </c>
      <c r="C375" s="342"/>
      <c r="D375" s="359">
        <f t="shared" ca="1" si="153"/>
        <v>-0.5482550873357187</v>
      </c>
      <c r="E375" s="360">
        <f t="shared" ca="1" si="154"/>
        <v>-5.9843084520116028</v>
      </c>
      <c r="F375" s="357">
        <f t="shared" ca="1" si="155"/>
        <v>6.0093702906050819</v>
      </c>
      <c r="G375" s="359">
        <f t="shared" ca="1" si="156"/>
        <v>9.5472002622848837</v>
      </c>
      <c r="H375" s="360">
        <f t="shared" ca="1" si="157"/>
        <v>-66.620779327581033</v>
      </c>
      <c r="I375" s="357">
        <f t="shared" ca="1" si="158"/>
        <v>67.301391301089907</v>
      </c>
      <c r="J375" s="359">
        <f t="shared" ca="1" si="159"/>
        <v>187.70931447689617</v>
      </c>
      <c r="K375" s="360">
        <f t="shared" ca="1" si="160"/>
        <v>-4.290908196356817</v>
      </c>
      <c r="L375" s="357">
        <f t="shared" ca="1" si="145"/>
        <v>187.75835170382132</v>
      </c>
      <c r="M375" s="359">
        <f t="shared" ca="1" si="161"/>
        <v>-1.4284587894633596</v>
      </c>
      <c r="N375" s="357">
        <f t="shared" ca="1" si="162"/>
        <v>-81.844659844617127</v>
      </c>
      <c r="O375" s="343"/>
      <c r="P375" s="363">
        <f t="shared" ca="1" si="163"/>
        <v>23</v>
      </c>
      <c r="Q375" s="357">
        <f t="shared" ca="1" si="164"/>
        <v>0</v>
      </c>
      <c r="R375" s="359">
        <f t="shared" ca="1" si="165"/>
        <v>0</v>
      </c>
      <c r="S375" s="360">
        <f t="shared" ca="1" si="166"/>
        <v>1.5629999999999982</v>
      </c>
      <c r="T375" s="357">
        <f t="shared" ca="1" si="146"/>
        <v>15.333029999999983</v>
      </c>
      <c r="U375" s="364">
        <f t="shared" ca="1" si="147"/>
        <v>0</v>
      </c>
      <c r="V375" s="359">
        <f t="shared" ca="1" si="148"/>
        <v>1.2255257490510993</v>
      </c>
      <c r="W375" s="357">
        <f t="shared" ca="1" si="149"/>
        <v>6.0407550550229017</v>
      </c>
      <c r="X375" s="343"/>
      <c r="Y375" s="367" t="str">
        <f t="shared" ca="1" si="167"/>
        <v/>
      </c>
      <c r="Z375" s="368" t="str">
        <f t="shared" ca="1" si="168"/>
        <v/>
      </c>
      <c r="AA375" s="369" t="str">
        <f t="shared" ca="1" si="169"/>
        <v/>
      </c>
      <c r="AB375" s="344"/>
      <c r="AC375" s="363" t="e">
        <f t="shared" ca="1" si="170"/>
        <v>#N/A</v>
      </c>
      <c r="AD375" s="376" t="e">
        <f t="shared" ca="1" si="171"/>
        <v>#N/A</v>
      </c>
      <c r="AE375" s="377" t="e">
        <f t="shared" ca="1" si="150"/>
        <v>#N/A</v>
      </c>
      <c r="AF375" s="344"/>
      <c r="AG375" s="359">
        <f t="shared" ca="1" si="172"/>
        <v>5.8460128449676088</v>
      </c>
      <c r="AH375" s="357">
        <f t="shared" ca="1" si="173"/>
        <v>-3.8647767673100293</v>
      </c>
    </row>
    <row r="376" spans="1:34" x14ac:dyDescent="0.2">
      <c r="A376" s="402">
        <f t="shared" ca="1" si="151"/>
        <v>1E-4</v>
      </c>
      <c r="B376" s="357">
        <f t="shared" ca="1" si="152"/>
        <v>15.603599999999954</v>
      </c>
      <c r="C376" s="342"/>
      <c r="D376" s="359">
        <f t="shared" ca="1" si="153"/>
        <v>-0.54825706654270911</v>
      </c>
      <c r="E376" s="360">
        <f t="shared" ca="1" si="154"/>
        <v>-5.984238306363201</v>
      </c>
      <c r="F376" s="357">
        <f t="shared" ca="1" si="155"/>
        <v>6.0093006180718511</v>
      </c>
      <c r="G376" s="359">
        <f t="shared" ca="1" si="156"/>
        <v>9.54714543657823</v>
      </c>
      <c r="H376" s="360">
        <f t="shared" ca="1" si="157"/>
        <v>-66.621377751411671</v>
      </c>
      <c r="I376" s="357">
        <f t="shared" ca="1" si="158"/>
        <v>67.301975895834346</v>
      </c>
      <c r="J376" s="359">
        <f t="shared" ca="1" si="159"/>
        <v>187.70931447689617</v>
      </c>
      <c r="K376" s="360">
        <f t="shared" ca="1" si="160"/>
        <v>-4.2975703042107662</v>
      </c>
      <c r="L376" s="357">
        <f t="shared" ca="1" si="145"/>
        <v>187.7585040734665</v>
      </c>
      <c r="M376" s="359">
        <f t="shared" ca="1" si="161"/>
        <v>-1.4284608571902835</v>
      </c>
      <c r="N376" s="357">
        <f t="shared" ca="1" si="162"/>
        <v>-81.844778316643058</v>
      </c>
      <c r="O376" s="343"/>
      <c r="P376" s="363">
        <f t="shared" ca="1" si="163"/>
        <v>23</v>
      </c>
      <c r="Q376" s="357">
        <f t="shared" ca="1" si="164"/>
        <v>0</v>
      </c>
      <c r="R376" s="359">
        <f t="shared" ca="1" si="165"/>
        <v>0</v>
      </c>
      <c r="S376" s="360">
        <f t="shared" ca="1" si="166"/>
        <v>1.5629999999999982</v>
      </c>
      <c r="T376" s="357">
        <f t="shared" ca="1" si="146"/>
        <v>15.333029999999983</v>
      </c>
      <c r="U376" s="364">
        <f t="shared" ca="1" si="147"/>
        <v>0</v>
      </c>
      <c r="V376" s="359">
        <f t="shared" ca="1" si="148"/>
        <v>1.2255265655098808</v>
      </c>
      <c r="W376" s="357">
        <f t="shared" ca="1" si="149"/>
        <v>6.040864022630605</v>
      </c>
      <c r="X376" s="343"/>
      <c r="Y376" s="367" t="str">
        <f t="shared" ca="1" si="167"/>
        <v/>
      </c>
      <c r="Z376" s="368" t="str">
        <f t="shared" ca="1" si="168"/>
        <v/>
      </c>
      <c r="AA376" s="369" t="str">
        <f t="shared" ca="1" si="169"/>
        <v/>
      </c>
      <c r="AB376" s="344"/>
      <c r="AC376" s="363" t="e">
        <f t="shared" ca="1" si="170"/>
        <v>#N/A</v>
      </c>
      <c r="AD376" s="376" t="e">
        <f t="shared" ca="1" si="171"/>
        <v>#N/A</v>
      </c>
      <c r="AE376" s="377" t="e">
        <f t="shared" ca="1" si="150"/>
        <v>#N/A</v>
      </c>
      <c r="AF376" s="344"/>
      <c r="AG376" s="359">
        <f t="shared" ca="1" si="172"/>
        <v>5.8459460055176073</v>
      </c>
      <c r="AH376" s="357">
        <f t="shared" ca="1" si="173"/>
        <v>-3.8648464843396728</v>
      </c>
    </row>
    <row r="377" spans="1:34" x14ac:dyDescent="0.2">
      <c r="A377" s="402">
        <f t="shared" ca="1" si="151"/>
        <v>1E-4</v>
      </c>
      <c r="B377" s="357">
        <f t="shared" ca="1" si="152"/>
        <v>15.603699999999954</v>
      </c>
      <c r="C377" s="342"/>
      <c r="D377" s="359">
        <f t="shared" ca="1" si="153"/>
        <v>-0.54825904563486338</v>
      </c>
      <c r="E377" s="360">
        <f t="shared" ca="1" si="154"/>
        <v>-5.9841681607858925</v>
      </c>
      <c r="F377" s="357">
        <f t="shared" ca="1" si="155"/>
        <v>6.0092309456106001</v>
      </c>
      <c r="G377" s="359">
        <f t="shared" ca="1" si="156"/>
        <v>9.547090610673667</v>
      </c>
      <c r="H377" s="360">
        <f t="shared" ca="1" si="157"/>
        <v>-66.621976168227746</v>
      </c>
      <c r="I377" s="357">
        <f t="shared" ca="1" si="158"/>
        <v>67.302560483894808</v>
      </c>
      <c r="J377" s="359">
        <f t="shared" ca="1" si="159"/>
        <v>187.70931447689617</v>
      </c>
      <c r="K377" s="360">
        <f t="shared" ca="1" si="160"/>
        <v>-4.3042324719067482</v>
      </c>
      <c r="L377" s="357">
        <f t="shared" ca="1" si="145"/>
        <v>187.75865668074672</v>
      </c>
      <c r="M377" s="359">
        <f t="shared" ca="1" si="161"/>
        <v>-1.428462924869413</v>
      </c>
      <c r="N377" s="357">
        <f t="shared" ca="1" si="162"/>
        <v>-81.844896785930558</v>
      </c>
      <c r="O377" s="343"/>
      <c r="P377" s="363">
        <f t="shared" ca="1" si="163"/>
        <v>23</v>
      </c>
      <c r="Q377" s="357">
        <f t="shared" ca="1" si="164"/>
        <v>0</v>
      </c>
      <c r="R377" s="359">
        <f t="shared" ca="1" si="165"/>
        <v>0</v>
      </c>
      <c r="S377" s="360">
        <f t="shared" ca="1" si="166"/>
        <v>1.5629999999999982</v>
      </c>
      <c r="T377" s="357">
        <f t="shared" ca="1" si="146"/>
        <v>15.333029999999983</v>
      </c>
      <c r="U377" s="364">
        <f t="shared" ca="1" si="147"/>
        <v>0</v>
      </c>
      <c r="V377" s="359">
        <f t="shared" ca="1" si="148"/>
        <v>1.22552738197654</v>
      </c>
      <c r="W377" s="357">
        <f t="shared" ca="1" si="149"/>
        <v>6.0409729901286369</v>
      </c>
      <c r="X377" s="343"/>
      <c r="Y377" s="367" t="str">
        <f t="shared" ca="1" si="167"/>
        <v/>
      </c>
      <c r="Z377" s="368" t="str">
        <f t="shared" ca="1" si="168"/>
        <v/>
      </c>
      <c r="AA377" s="369" t="str">
        <f t="shared" ca="1" si="169"/>
        <v/>
      </c>
      <c r="AB377" s="344"/>
      <c r="AC377" s="363" t="e">
        <f t="shared" ca="1" si="170"/>
        <v>#N/A</v>
      </c>
      <c r="AD377" s="376" t="e">
        <f t="shared" ca="1" si="171"/>
        <v>#N/A</v>
      </c>
      <c r="AE377" s="377" t="e">
        <f t="shared" ca="1" si="150"/>
        <v>#N/A</v>
      </c>
      <c r="AF377" s="344"/>
      <c r="AG377" s="359">
        <f t="shared" ca="1" si="172"/>
        <v>5.8458791660297127</v>
      </c>
      <c r="AH377" s="357">
        <f t="shared" ca="1" si="173"/>
        <v>-3.864916201299176</v>
      </c>
    </row>
    <row r="378" spans="1:34" x14ac:dyDescent="0.2">
      <c r="A378" s="402">
        <f t="shared" ca="1" si="151"/>
        <v>1E-4</v>
      </c>
      <c r="B378" s="357">
        <f t="shared" ca="1" si="152"/>
        <v>15.603799999999953</v>
      </c>
      <c r="C378" s="342"/>
      <c r="D378" s="359">
        <f t="shared" ca="1" si="153"/>
        <v>-0.54826102461218129</v>
      </c>
      <c r="E378" s="360">
        <f t="shared" ca="1" si="154"/>
        <v>-5.9840980152797059</v>
      </c>
      <c r="F378" s="357">
        <f t="shared" ca="1" si="155"/>
        <v>6.0091612732213564</v>
      </c>
      <c r="G378" s="359">
        <f t="shared" ca="1" si="156"/>
        <v>9.5470357845712055</v>
      </c>
      <c r="H378" s="360">
        <f t="shared" ca="1" si="157"/>
        <v>-66.622574578029273</v>
      </c>
      <c r="I378" s="357">
        <f t="shared" ca="1" si="158"/>
        <v>67.303145065271323</v>
      </c>
      <c r="J378" s="359">
        <f t="shared" ca="1" si="159"/>
        <v>187.70931447689617</v>
      </c>
      <c r="K378" s="360">
        <f t="shared" ca="1" si="160"/>
        <v>-4.3108946994440611</v>
      </c>
      <c r="L378" s="357">
        <f t="shared" ca="1" si="145"/>
        <v>187.75880952566777</v>
      </c>
      <c r="M378" s="359">
        <f t="shared" ca="1" si="161"/>
        <v>-1.4284649925007493</v>
      </c>
      <c r="N378" s="357">
        <f t="shared" ca="1" si="162"/>
        <v>-81.845015252479726</v>
      </c>
      <c r="O378" s="343"/>
      <c r="P378" s="363">
        <f t="shared" ca="1" si="163"/>
        <v>23</v>
      </c>
      <c r="Q378" s="357">
        <f t="shared" ca="1" si="164"/>
        <v>0</v>
      </c>
      <c r="R378" s="359">
        <f t="shared" ca="1" si="165"/>
        <v>0</v>
      </c>
      <c r="S378" s="360">
        <f t="shared" ca="1" si="166"/>
        <v>1.5629999999999982</v>
      </c>
      <c r="T378" s="357">
        <f t="shared" ca="1" si="146"/>
        <v>15.333029999999983</v>
      </c>
      <c r="U378" s="364">
        <f t="shared" ca="1" si="147"/>
        <v>0</v>
      </c>
      <c r="V378" s="359">
        <f t="shared" ca="1" si="148"/>
        <v>1.2255281984510771</v>
      </c>
      <c r="W378" s="357">
        <f t="shared" ca="1" si="149"/>
        <v>6.0410819575169752</v>
      </c>
      <c r="X378" s="343"/>
      <c r="Y378" s="367" t="str">
        <f t="shared" ca="1" si="167"/>
        <v/>
      </c>
      <c r="Z378" s="368" t="str">
        <f t="shared" ca="1" si="168"/>
        <v/>
      </c>
      <c r="AA378" s="369" t="str">
        <f t="shared" ca="1" si="169"/>
        <v/>
      </c>
      <c r="AB378" s="344"/>
      <c r="AC378" s="363" t="e">
        <f t="shared" ca="1" si="170"/>
        <v>#N/A</v>
      </c>
      <c r="AD378" s="376" t="e">
        <f t="shared" ca="1" si="171"/>
        <v>#N/A</v>
      </c>
      <c r="AE378" s="377" t="e">
        <f t="shared" ca="1" si="150"/>
        <v>#N/A</v>
      </c>
      <c r="AF378" s="344"/>
      <c r="AG378" s="359">
        <f t="shared" ca="1" si="172"/>
        <v>5.8458123265039541</v>
      </c>
      <c r="AH378" s="357">
        <f t="shared" ca="1" si="173"/>
        <v>-3.8649859181885118</v>
      </c>
    </row>
    <row r="379" spans="1:34" x14ac:dyDescent="0.2">
      <c r="A379" s="402">
        <f t="shared" ca="1" si="151"/>
        <v>1E-4</v>
      </c>
      <c r="B379" s="357">
        <f t="shared" ca="1" si="152"/>
        <v>15.603899999999953</v>
      </c>
      <c r="C379" s="342"/>
      <c r="D379" s="359">
        <f t="shared" ca="1" si="153"/>
        <v>-0.54826300347466606</v>
      </c>
      <c r="E379" s="360">
        <f t="shared" ca="1" si="154"/>
        <v>-5.9840278698446525</v>
      </c>
      <c r="F379" s="357">
        <f t="shared" ca="1" si="155"/>
        <v>6.0090916009041333</v>
      </c>
      <c r="G379" s="359">
        <f t="shared" ca="1" si="156"/>
        <v>9.5469809582708578</v>
      </c>
      <c r="H379" s="360">
        <f t="shared" ca="1" si="157"/>
        <v>-66.623172980816264</v>
      </c>
      <c r="I379" s="357">
        <f t="shared" ca="1" si="158"/>
        <v>67.303729639963876</v>
      </c>
      <c r="J379" s="359">
        <f t="shared" ca="1" si="159"/>
        <v>187.70931447689617</v>
      </c>
      <c r="K379" s="360">
        <f t="shared" ca="1" si="160"/>
        <v>-4.3175569868220034</v>
      </c>
      <c r="L379" s="357">
        <f t="shared" ca="1" si="145"/>
        <v>187.75896260823544</v>
      </c>
      <c r="M379" s="359">
        <f t="shared" ca="1" si="161"/>
        <v>-1.4284670600842948</v>
      </c>
      <c r="N379" s="357">
        <f t="shared" ca="1" si="162"/>
        <v>-81.845133716290675</v>
      </c>
      <c r="O379" s="343"/>
      <c r="P379" s="363">
        <f t="shared" ca="1" si="163"/>
        <v>23</v>
      </c>
      <c r="Q379" s="357">
        <f t="shared" ca="1" si="164"/>
        <v>0</v>
      </c>
      <c r="R379" s="359">
        <f t="shared" ca="1" si="165"/>
        <v>0</v>
      </c>
      <c r="S379" s="360">
        <f t="shared" ca="1" si="166"/>
        <v>1.5629999999999982</v>
      </c>
      <c r="T379" s="357">
        <f t="shared" ca="1" si="146"/>
        <v>15.333029999999983</v>
      </c>
      <c r="U379" s="364">
        <f t="shared" ca="1" si="147"/>
        <v>0</v>
      </c>
      <c r="V379" s="359">
        <f t="shared" ca="1" si="148"/>
        <v>1.2255290149334919</v>
      </c>
      <c r="W379" s="357">
        <f t="shared" ca="1" si="149"/>
        <v>6.0411909247955862</v>
      </c>
      <c r="X379" s="343"/>
      <c r="Y379" s="367" t="str">
        <f t="shared" ca="1" si="167"/>
        <v/>
      </c>
      <c r="Z379" s="368" t="str">
        <f t="shared" ca="1" si="168"/>
        <v/>
      </c>
      <c r="AA379" s="369" t="str">
        <f t="shared" ca="1" si="169"/>
        <v/>
      </c>
      <c r="AB379" s="344"/>
      <c r="AC379" s="363" t="e">
        <f t="shared" ca="1" si="170"/>
        <v>#N/A</v>
      </c>
      <c r="AD379" s="376" t="e">
        <f t="shared" ca="1" si="171"/>
        <v>#N/A</v>
      </c>
      <c r="AE379" s="377" t="e">
        <f t="shared" ca="1" si="150"/>
        <v>#N/A</v>
      </c>
      <c r="AF379" s="344"/>
      <c r="AG379" s="359">
        <f t="shared" ca="1" si="172"/>
        <v>5.8457454869403556</v>
      </c>
      <c r="AH379" s="357">
        <f t="shared" ca="1" si="173"/>
        <v>-3.8650556350076664</v>
      </c>
    </row>
    <row r="380" spans="1:34" x14ac:dyDescent="0.2">
      <c r="A380" s="402">
        <f t="shared" ca="1" si="151"/>
        <v>1E-4</v>
      </c>
      <c r="B380" s="357">
        <f t="shared" ca="1" si="152"/>
        <v>15.603999999999953</v>
      </c>
      <c r="C380" s="342"/>
      <c r="D380" s="359">
        <f t="shared" ca="1" si="153"/>
        <v>-0.54826498222231645</v>
      </c>
      <c r="E380" s="360">
        <f t="shared" ca="1" si="154"/>
        <v>-5.9839577244807565</v>
      </c>
      <c r="F380" s="357">
        <f t="shared" ca="1" si="155"/>
        <v>6.0090219286589512</v>
      </c>
      <c r="G380" s="359">
        <f t="shared" ca="1" si="156"/>
        <v>9.5469261317726364</v>
      </c>
      <c r="H380" s="360">
        <f t="shared" ca="1" si="157"/>
        <v>-66.623771376588707</v>
      </c>
      <c r="I380" s="357">
        <f t="shared" ca="1" si="158"/>
        <v>67.304314207972467</v>
      </c>
      <c r="J380" s="359">
        <f t="shared" ca="1" si="159"/>
        <v>187.70931447689617</v>
      </c>
      <c r="K380" s="360">
        <f t="shared" ca="1" si="160"/>
        <v>-4.3242193340398734</v>
      </c>
      <c r="L380" s="357">
        <f t="shared" ca="1" si="145"/>
        <v>187.75911592845549</v>
      </c>
      <c r="M380" s="359">
        <f t="shared" ca="1" si="161"/>
        <v>-1.4284691276200507</v>
      </c>
      <c r="N380" s="357">
        <f t="shared" ca="1" si="162"/>
        <v>-81.845252177363477</v>
      </c>
      <c r="O380" s="343"/>
      <c r="P380" s="363">
        <f t="shared" ca="1" si="163"/>
        <v>23</v>
      </c>
      <c r="Q380" s="357">
        <f t="shared" ca="1" si="164"/>
        <v>0</v>
      </c>
      <c r="R380" s="359">
        <f t="shared" ca="1" si="165"/>
        <v>0</v>
      </c>
      <c r="S380" s="360">
        <f t="shared" ca="1" si="166"/>
        <v>1.5629999999999982</v>
      </c>
      <c r="T380" s="357">
        <f t="shared" ca="1" si="146"/>
        <v>15.333029999999983</v>
      </c>
      <c r="U380" s="364">
        <f t="shared" ca="1" si="147"/>
        <v>0</v>
      </c>
      <c r="V380" s="359">
        <f t="shared" ca="1" si="148"/>
        <v>1.2255298314237846</v>
      </c>
      <c r="W380" s="357">
        <f t="shared" ca="1" si="149"/>
        <v>6.0412998919644414</v>
      </c>
      <c r="X380" s="343"/>
      <c r="Y380" s="367" t="str">
        <f t="shared" ca="1" si="167"/>
        <v/>
      </c>
      <c r="Z380" s="368" t="str">
        <f t="shared" ca="1" si="168"/>
        <v/>
      </c>
      <c r="AA380" s="369" t="str">
        <f t="shared" ca="1" si="169"/>
        <v/>
      </c>
      <c r="AB380" s="344"/>
      <c r="AC380" s="363" t="e">
        <f t="shared" ca="1" si="170"/>
        <v>#N/A</v>
      </c>
      <c r="AD380" s="376" t="e">
        <f t="shared" ca="1" si="171"/>
        <v>#N/A</v>
      </c>
      <c r="AE380" s="377" t="e">
        <f t="shared" ca="1" si="150"/>
        <v>#N/A</v>
      </c>
      <c r="AF380" s="344"/>
      <c r="AG380" s="359">
        <f t="shared" ca="1" si="172"/>
        <v>5.845678647338941</v>
      </c>
      <c r="AH380" s="357">
        <f t="shared" ca="1" si="173"/>
        <v>-3.8651253517566175</v>
      </c>
    </row>
    <row r="381" spans="1:34" x14ac:dyDescent="0.2">
      <c r="A381" s="402">
        <f t="shared" ca="1" si="151"/>
        <v>1E-4</v>
      </c>
      <c r="B381" s="357">
        <f t="shared" ca="1" si="152"/>
        <v>15.604099999999953</v>
      </c>
      <c r="C381" s="342"/>
      <c r="D381" s="359">
        <f t="shared" ca="1" si="153"/>
        <v>-0.54826696085513538</v>
      </c>
      <c r="E381" s="360">
        <f t="shared" ca="1" si="154"/>
        <v>-5.9838875791880346</v>
      </c>
      <c r="F381" s="357">
        <f t="shared" ca="1" si="155"/>
        <v>6.0089522564858315</v>
      </c>
      <c r="G381" s="359">
        <f t="shared" ca="1" si="156"/>
        <v>9.5468713050765501</v>
      </c>
      <c r="H381" s="360">
        <f t="shared" ca="1" si="157"/>
        <v>-66.624369765346628</v>
      </c>
      <c r="I381" s="357">
        <f t="shared" ca="1" si="158"/>
        <v>67.304898769297083</v>
      </c>
      <c r="J381" s="359">
        <f t="shared" ca="1" si="159"/>
        <v>187.70931447689617</v>
      </c>
      <c r="K381" s="360">
        <f t="shared" ca="1" si="160"/>
        <v>-4.3308817410969702</v>
      </c>
      <c r="L381" s="357">
        <f t="shared" ca="1" si="145"/>
        <v>187.75926948633366</v>
      </c>
      <c r="M381" s="359">
        <f t="shared" ca="1" si="161"/>
        <v>-1.4284711951080191</v>
      </c>
      <c r="N381" s="357">
        <f t="shared" ca="1" si="162"/>
        <v>-81.845370635698259</v>
      </c>
      <c r="O381" s="343"/>
      <c r="P381" s="363">
        <f t="shared" ca="1" si="163"/>
        <v>23</v>
      </c>
      <c r="Q381" s="357">
        <f t="shared" ca="1" si="164"/>
        <v>0</v>
      </c>
      <c r="R381" s="359">
        <f t="shared" ca="1" si="165"/>
        <v>0</v>
      </c>
      <c r="S381" s="360">
        <f t="shared" ca="1" si="166"/>
        <v>1.5629999999999982</v>
      </c>
      <c r="T381" s="357">
        <f t="shared" ca="1" si="146"/>
        <v>15.333029999999983</v>
      </c>
      <c r="U381" s="364">
        <f t="shared" ca="1" si="147"/>
        <v>0</v>
      </c>
      <c r="V381" s="359">
        <f t="shared" ca="1" si="148"/>
        <v>1.2255306479219543</v>
      </c>
      <c r="W381" s="357">
        <f t="shared" ca="1" si="149"/>
        <v>6.0414088590235027</v>
      </c>
      <c r="X381" s="343"/>
      <c r="Y381" s="367" t="str">
        <f t="shared" ca="1" si="167"/>
        <v/>
      </c>
      <c r="Z381" s="368" t="str">
        <f t="shared" ca="1" si="168"/>
        <v/>
      </c>
      <c r="AA381" s="369" t="str">
        <f t="shared" ca="1" si="169"/>
        <v/>
      </c>
      <c r="AB381" s="344"/>
      <c r="AC381" s="363" t="e">
        <f t="shared" ca="1" si="170"/>
        <v>#N/A</v>
      </c>
      <c r="AD381" s="376" t="e">
        <f t="shared" ca="1" si="171"/>
        <v>#N/A</v>
      </c>
      <c r="AE381" s="377" t="e">
        <f t="shared" ca="1" si="150"/>
        <v>#N/A</v>
      </c>
      <c r="AF381" s="344"/>
      <c r="AG381" s="359">
        <f t="shared" ca="1" si="172"/>
        <v>5.8456118076997363</v>
      </c>
      <c r="AH381" s="357">
        <f t="shared" ca="1" si="173"/>
        <v>-3.8651950684353475</v>
      </c>
    </row>
    <row r="382" spans="1:34" x14ac:dyDescent="0.2">
      <c r="A382" s="402">
        <f t="shared" ca="1" si="151"/>
        <v>1E-4</v>
      </c>
      <c r="B382" s="357">
        <f t="shared" ca="1" si="152"/>
        <v>15.604199999999953</v>
      </c>
      <c r="C382" s="342"/>
      <c r="D382" s="359">
        <f t="shared" ca="1" si="153"/>
        <v>-0.54826893937312204</v>
      </c>
      <c r="E382" s="360">
        <f t="shared" ca="1" si="154"/>
        <v>-5.9838174339665109</v>
      </c>
      <c r="F382" s="357">
        <f t="shared" ca="1" si="155"/>
        <v>6.0088825843847946</v>
      </c>
      <c r="G382" s="359">
        <f t="shared" ca="1" si="156"/>
        <v>9.5468164781826133</v>
      </c>
      <c r="H382" s="360">
        <f t="shared" ca="1" si="157"/>
        <v>-66.62496814709003</v>
      </c>
      <c r="I382" s="357">
        <f t="shared" ca="1" si="158"/>
        <v>67.305483323937736</v>
      </c>
      <c r="J382" s="359">
        <f t="shared" ca="1" si="159"/>
        <v>187.70931447689617</v>
      </c>
      <c r="K382" s="360">
        <f t="shared" ca="1" si="160"/>
        <v>-4.3375442079925923</v>
      </c>
      <c r="L382" s="357">
        <f t="shared" ca="1" si="145"/>
        <v>187.75942328187574</v>
      </c>
      <c r="M382" s="359">
        <f t="shared" ca="1" si="161"/>
        <v>-1.4284732625482015</v>
      </c>
      <c r="N382" s="357">
        <f t="shared" ca="1" si="162"/>
        <v>-81.845489091295107</v>
      </c>
      <c r="O382" s="343"/>
      <c r="P382" s="363">
        <f t="shared" ca="1" si="163"/>
        <v>23</v>
      </c>
      <c r="Q382" s="357">
        <f t="shared" ca="1" si="164"/>
        <v>0</v>
      </c>
      <c r="R382" s="359">
        <f t="shared" ca="1" si="165"/>
        <v>0</v>
      </c>
      <c r="S382" s="360">
        <f t="shared" ca="1" si="166"/>
        <v>1.5629999999999982</v>
      </c>
      <c r="T382" s="357">
        <f t="shared" ca="1" si="146"/>
        <v>15.333029999999983</v>
      </c>
      <c r="U382" s="364">
        <f t="shared" ca="1" si="147"/>
        <v>0</v>
      </c>
      <c r="V382" s="359">
        <f t="shared" ca="1" si="148"/>
        <v>1.2255314644280018</v>
      </c>
      <c r="W382" s="357">
        <f t="shared" ca="1" si="149"/>
        <v>6.0415178259727487</v>
      </c>
      <c r="X382" s="343"/>
      <c r="Y382" s="367" t="str">
        <f t="shared" ca="1" si="167"/>
        <v/>
      </c>
      <c r="Z382" s="368" t="str">
        <f t="shared" ca="1" si="168"/>
        <v/>
      </c>
      <c r="AA382" s="369" t="str">
        <f t="shared" ca="1" si="169"/>
        <v/>
      </c>
      <c r="AB382" s="344"/>
      <c r="AC382" s="363" t="e">
        <f t="shared" ca="1" si="170"/>
        <v>#N/A</v>
      </c>
      <c r="AD382" s="376" t="e">
        <f t="shared" ca="1" si="171"/>
        <v>#N/A</v>
      </c>
      <c r="AE382" s="377" t="e">
        <f t="shared" ca="1" si="150"/>
        <v>#N/A</v>
      </c>
      <c r="AF382" s="344"/>
      <c r="AG382" s="359">
        <f t="shared" ca="1" si="172"/>
        <v>5.8455449680227698</v>
      </c>
      <c r="AH382" s="357">
        <f t="shared" ca="1" si="173"/>
        <v>-3.8652647850438324</v>
      </c>
    </row>
    <row r="383" spans="1:34" x14ac:dyDescent="0.2">
      <c r="A383" s="402">
        <f t="shared" ca="1" si="151"/>
        <v>1E-4</v>
      </c>
      <c r="B383" s="357">
        <f t="shared" ca="1" si="152"/>
        <v>15.604299999999952</v>
      </c>
      <c r="C383" s="342"/>
      <c r="D383" s="359">
        <f t="shared" ca="1" si="153"/>
        <v>-0.54827091777627879</v>
      </c>
      <c r="E383" s="360">
        <f t="shared" ca="1" si="154"/>
        <v>-5.9837472888162022</v>
      </c>
      <c r="F383" s="357">
        <f t="shared" ca="1" si="155"/>
        <v>6.0088129123558582</v>
      </c>
      <c r="G383" s="359">
        <f t="shared" ca="1" si="156"/>
        <v>9.5467616510908364</v>
      </c>
      <c r="H383" s="360">
        <f t="shared" ca="1" si="157"/>
        <v>-66.625566521818911</v>
      </c>
      <c r="I383" s="357">
        <f t="shared" ca="1" si="158"/>
        <v>67.306067871894399</v>
      </c>
      <c r="J383" s="359">
        <f t="shared" ca="1" si="159"/>
        <v>187.70931447689617</v>
      </c>
      <c r="K383" s="360">
        <f t="shared" ca="1" si="160"/>
        <v>-4.344206734726038</v>
      </c>
      <c r="L383" s="357">
        <f t="shared" ca="1" si="145"/>
        <v>187.75957731508754</v>
      </c>
      <c r="M383" s="359">
        <f t="shared" ca="1" si="161"/>
        <v>-1.4284753299405997</v>
      </c>
      <c r="N383" s="357">
        <f t="shared" ca="1" si="162"/>
        <v>-81.84560754415412</v>
      </c>
      <c r="O383" s="343"/>
      <c r="P383" s="363">
        <f t="shared" ca="1" si="163"/>
        <v>23</v>
      </c>
      <c r="Q383" s="357">
        <f t="shared" ca="1" si="164"/>
        <v>0</v>
      </c>
      <c r="R383" s="359">
        <f t="shared" ca="1" si="165"/>
        <v>0</v>
      </c>
      <c r="S383" s="360">
        <f t="shared" ca="1" si="166"/>
        <v>1.5629999999999982</v>
      </c>
      <c r="T383" s="357">
        <f t="shared" ca="1" si="146"/>
        <v>15.333029999999983</v>
      </c>
      <c r="U383" s="364">
        <f t="shared" ca="1" si="147"/>
        <v>0</v>
      </c>
      <c r="V383" s="359">
        <f t="shared" ca="1" si="148"/>
        <v>1.2255322809419269</v>
      </c>
      <c r="W383" s="357">
        <f t="shared" ca="1" si="149"/>
        <v>6.0416267928121412</v>
      </c>
      <c r="X383" s="343"/>
      <c r="Y383" s="367" t="str">
        <f t="shared" ca="1" si="167"/>
        <v/>
      </c>
      <c r="Z383" s="368" t="str">
        <f t="shared" ca="1" si="168"/>
        <v/>
      </c>
      <c r="AA383" s="369" t="str">
        <f t="shared" ca="1" si="169"/>
        <v/>
      </c>
      <c r="AB383" s="344"/>
      <c r="AC383" s="363" t="e">
        <f t="shared" ca="1" si="170"/>
        <v>#N/A</v>
      </c>
      <c r="AD383" s="376" t="e">
        <f t="shared" ca="1" si="171"/>
        <v>#N/A</v>
      </c>
      <c r="AE383" s="377" t="e">
        <f t="shared" ca="1" si="150"/>
        <v>#N/A</v>
      </c>
      <c r="AF383" s="344"/>
      <c r="AG383" s="359">
        <f t="shared" ca="1" si="172"/>
        <v>5.8454781283080601</v>
      </c>
      <c r="AH383" s="357">
        <f t="shared" ca="1" si="173"/>
        <v>-3.8653345015820575</v>
      </c>
    </row>
    <row r="384" spans="1:34" x14ac:dyDescent="0.2">
      <c r="A384" s="402">
        <f t="shared" ca="1" si="151"/>
        <v>1E-4</v>
      </c>
      <c r="B384" s="357">
        <f t="shared" ca="1" si="152"/>
        <v>15.604399999999952</v>
      </c>
      <c r="C384" s="342"/>
      <c r="D384" s="359">
        <f t="shared" ca="1" si="153"/>
        <v>-0.54827289606460605</v>
      </c>
      <c r="E384" s="360">
        <f t="shared" ca="1" si="154"/>
        <v>-5.9836771437371299</v>
      </c>
      <c r="F384" s="357">
        <f t="shared" ca="1" si="155"/>
        <v>6.0087432403990446</v>
      </c>
      <c r="G384" s="359">
        <f t="shared" ca="1" si="156"/>
        <v>9.5467068238012303</v>
      </c>
      <c r="H384" s="360">
        <f t="shared" ca="1" si="157"/>
        <v>-66.626164889533285</v>
      </c>
      <c r="I384" s="357">
        <f t="shared" ca="1" si="158"/>
        <v>67.306652413167086</v>
      </c>
      <c r="J384" s="359">
        <f t="shared" ca="1" si="159"/>
        <v>187.70931447689617</v>
      </c>
      <c r="K384" s="360">
        <f t="shared" ca="1" si="160"/>
        <v>-4.3508693212966056</v>
      </c>
      <c r="L384" s="357">
        <f t="shared" ca="1" si="145"/>
        <v>187.75973158597481</v>
      </c>
      <c r="M384" s="359">
        <f t="shared" ca="1" si="161"/>
        <v>-1.4284773972852152</v>
      </c>
      <c r="N384" s="357">
        <f t="shared" ca="1" si="162"/>
        <v>-81.845725994275384</v>
      </c>
      <c r="O384" s="343"/>
      <c r="P384" s="363">
        <f t="shared" ca="1" si="163"/>
        <v>23</v>
      </c>
      <c r="Q384" s="357">
        <f t="shared" ca="1" si="164"/>
        <v>0</v>
      </c>
      <c r="R384" s="359">
        <f t="shared" ca="1" si="165"/>
        <v>0</v>
      </c>
      <c r="S384" s="360">
        <f t="shared" ca="1" si="166"/>
        <v>1.5629999999999982</v>
      </c>
      <c r="T384" s="357">
        <f t="shared" ca="1" si="146"/>
        <v>15.333029999999983</v>
      </c>
      <c r="U384" s="364">
        <f t="shared" ca="1" si="147"/>
        <v>0</v>
      </c>
      <c r="V384" s="359">
        <f t="shared" ca="1" si="148"/>
        <v>1.2255330974637291</v>
      </c>
      <c r="W384" s="357">
        <f t="shared" ca="1" si="149"/>
        <v>6.0417357595416528</v>
      </c>
      <c r="X384" s="343"/>
      <c r="Y384" s="367" t="str">
        <f t="shared" ca="1" si="167"/>
        <v/>
      </c>
      <c r="Z384" s="368" t="str">
        <f t="shared" ca="1" si="168"/>
        <v/>
      </c>
      <c r="AA384" s="369" t="str">
        <f t="shared" ca="1" si="169"/>
        <v/>
      </c>
      <c r="AB384" s="344"/>
      <c r="AC384" s="363" t="e">
        <f t="shared" ca="1" si="170"/>
        <v>#N/A</v>
      </c>
      <c r="AD384" s="376" t="e">
        <f t="shared" ca="1" si="171"/>
        <v>#N/A</v>
      </c>
      <c r="AE384" s="377" t="e">
        <f t="shared" ca="1" si="150"/>
        <v>#N/A</v>
      </c>
      <c r="AF384" s="344"/>
      <c r="AG384" s="359">
        <f t="shared" ca="1" si="172"/>
        <v>5.8454112885556384</v>
      </c>
      <c r="AH384" s="357">
        <f t="shared" ca="1" si="173"/>
        <v>-3.8654042180499988</v>
      </c>
    </row>
    <row r="385" spans="1:34" x14ac:dyDescent="0.2">
      <c r="A385" s="402">
        <f t="shared" ca="1" si="151"/>
        <v>1E-4</v>
      </c>
      <c r="B385" s="357">
        <f t="shared" ca="1" si="152"/>
        <v>15.604499999999952</v>
      </c>
      <c r="C385" s="342"/>
      <c r="D385" s="359">
        <f t="shared" ca="1" si="153"/>
        <v>-0.54827487423810561</v>
      </c>
      <c r="E385" s="360">
        <f t="shared" ca="1" si="154"/>
        <v>-5.9836069987293126</v>
      </c>
      <c r="F385" s="357">
        <f t="shared" ca="1" si="155"/>
        <v>6.0086735685143706</v>
      </c>
      <c r="G385" s="359">
        <f t="shared" ca="1" si="156"/>
        <v>9.5466519963138072</v>
      </c>
      <c r="H385" s="360">
        <f t="shared" ca="1" si="157"/>
        <v>-66.626763250233154</v>
      </c>
      <c r="I385" s="357">
        <f t="shared" ca="1" si="158"/>
        <v>67.307236947755783</v>
      </c>
      <c r="J385" s="359">
        <f t="shared" ca="1" si="159"/>
        <v>187.70931447689617</v>
      </c>
      <c r="K385" s="360">
        <f t="shared" ca="1" si="160"/>
        <v>-4.3575319677035935</v>
      </c>
      <c r="L385" s="357">
        <f t="shared" ca="1" si="145"/>
        <v>187.75988609454325</v>
      </c>
      <c r="M385" s="359">
        <f t="shared" ca="1" si="161"/>
        <v>-1.42847946458205</v>
      </c>
      <c r="N385" s="357">
        <f t="shared" ca="1" si="162"/>
        <v>-81.845844441659025</v>
      </c>
      <c r="O385" s="343"/>
      <c r="P385" s="363">
        <f t="shared" ca="1" si="163"/>
        <v>23</v>
      </c>
      <c r="Q385" s="357">
        <f t="shared" ca="1" si="164"/>
        <v>0</v>
      </c>
      <c r="R385" s="359">
        <f t="shared" ca="1" si="165"/>
        <v>0</v>
      </c>
      <c r="S385" s="360">
        <f t="shared" ca="1" si="166"/>
        <v>1.5629999999999982</v>
      </c>
      <c r="T385" s="357">
        <f t="shared" ca="1" si="146"/>
        <v>15.333029999999983</v>
      </c>
      <c r="U385" s="364">
        <f t="shared" ca="1" si="147"/>
        <v>0</v>
      </c>
      <c r="V385" s="359">
        <f t="shared" ca="1" si="148"/>
        <v>1.2255339139934085</v>
      </c>
      <c r="W385" s="357">
        <f t="shared" ca="1" si="149"/>
        <v>6.0418447261612505</v>
      </c>
      <c r="X385" s="343"/>
      <c r="Y385" s="367" t="str">
        <f t="shared" ca="1" si="167"/>
        <v/>
      </c>
      <c r="Z385" s="368" t="str">
        <f t="shared" ca="1" si="168"/>
        <v/>
      </c>
      <c r="AA385" s="369" t="str">
        <f t="shared" ca="1" si="169"/>
        <v/>
      </c>
      <c r="AB385" s="344"/>
      <c r="AC385" s="363" t="e">
        <f t="shared" ca="1" si="170"/>
        <v>#N/A</v>
      </c>
      <c r="AD385" s="376" t="e">
        <f t="shared" ca="1" si="171"/>
        <v>#N/A</v>
      </c>
      <c r="AE385" s="377" t="e">
        <f t="shared" ca="1" si="150"/>
        <v>#N/A</v>
      </c>
      <c r="AF385" s="344"/>
      <c r="AG385" s="359">
        <f t="shared" ca="1" si="172"/>
        <v>5.8453444487655251</v>
      </c>
      <c r="AH385" s="357">
        <f t="shared" ca="1" si="173"/>
        <v>-3.865473934447639</v>
      </c>
    </row>
    <row r="386" spans="1:34" x14ac:dyDescent="0.2">
      <c r="A386" s="402">
        <f t="shared" ca="1" si="151"/>
        <v>1E-4</v>
      </c>
      <c r="B386" s="357">
        <f t="shared" ca="1" si="152"/>
        <v>15.604599999999952</v>
      </c>
      <c r="C386" s="342"/>
      <c r="D386" s="359">
        <f t="shared" ca="1" si="153"/>
        <v>-0.54827685229677714</v>
      </c>
      <c r="E386" s="360">
        <f t="shared" ca="1" si="154"/>
        <v>-5.9835368537927724</v>
      </c>
      <c r="F386" s="357">
        <f t="shared" ca="1" si="155"/>
        <v>6.0086038967018602</v>
      </c>
      <c r="G386" s="359">
        <f t="shared" ca="1" si="156"/>
        <v>9.546597168628578</v>
      </c>
      <c r="H386" s="360">
        <f t="shared" ca="1" si="157"/>
        <v>-66.62736160391853</v>
      </c>
      <c r="I386" s="357">
        <f t="shared" ca="1" si="158"/>
        <v>67.307821475660504</v>
      </c>
      <c r="J386" s="359">
        <f t="shared" ca="1" si="159"/>
        <v>187.70931447689617</v>
      </c>
      <c r="K386" s="360">
        <f t="shared" ca="1" si="160"/>
        <v>-4.3641946739463009</v>
      </c>
      <c r="L386" s="357">
        <f t="shared" ca="1" si="145"/>
        <v>187.76004084079869</v>
      </c>
      <c r="M386" s="359">
        <f t="shared" ca="1" si="161"/>
        <v>-1.4284815318311055</v>
      </c>
      <c r="N386" s="357">
        <f t="shared" ca="1" si="162"/>
        <v>-81.845962886305102</v>
      </c>
      <c r="O386" s="343"/>
      <c r="P386" s="363">
        <f t="shared" ca="1" si="163"/>
        <v>23</v>
      </c>
      <c r="Q386" s="357">
        <f t="shared" ca="1" si="164"/>
        <v>0</v>
      </c>
      <c r="R386" s="359">
        <f t="shared" ca="1" si="165"/>
        <v>0</v>
      </c>
      <c r="S386" s="360">
        <f t="shared" ca="1" si="166"/>
        <v>1.5629999999999982</v>
      </c>
      <c r="T386" s="357">
        <f t="shared" ca="1" si="146"/>
        <v>15.333029999999983</v>
      </c>
      <c r="U386" s="364">
        <f t="shared" ca="1" si="147"/>
        <v>0</v>
      </c>
      <c r="V386" s="359">
        <f t="shared" ca="1" si="148"/>
        <v>1.2255347305309654</v>
      </c>
      <c r="W386" s="357">
        <f t="shared" ca="1" si="149"/>
        <v>6.0419536926709085</v>
      </c>
      <c r="X386" s="343"/>
      <c r="Y386" s="367" t="str">
        <f t="shared" ca="1" si="167"/>
        <v/>
      </c>
      <c r="Z386" s="368" t="str">
        <f t="shared" ca="1" si="168"/>
        <v/>
      </c>
      <c r="AA386" s="369" t="str">
        <f t="shared" ca="1" si="169"/>
        <v/>
      </c>
      <c r="AB386" s="344"/>
      <c r="AC386" s="363" t="e">
        <f t="shared" ca="1" si="170"/>
        <v>#N/A</v>
      </c>
      <c r="AD386" s="376" t="e">
        <f t="shared" ca="1" si="171"/>
        <v>#N/A</v>
      </c>
      <c r="AE386" s="377" t="e">
        <f t="shared" ca="1" si="150"/>
        <v>#N/A</v>
      </c>
      <c r="AF386" s="344"/>
      <c r="AG386" s="359">
        <f t="shared" ca="1" si="172"/>
        <v>5.8452776089377476</v>
      </c>
      <c r="AH386" s="357">
        <f t="shared" ca="1" si="173"/>
        <v>-3.8655436507749568</v>
      </c>
    </row>
    <row r="387" spans="1:34" x14ac:dyDescent="0.2">
      <c r="A387" s="402">
        <f t="shared" ca="1" si="151"/>
        <v>1E-4</v>
      </c>
      <c r="B387" s="357">
        <f t="shared" ca="1" si="152"/>
        <v>15.604699999999951</v>
      </c>
      <c r="C387" s="342"/>
      <c r="D387" s="359">
        <f t="shared" ca="1" si="153"/>
        <v>-0.54827883024062385</v>
      </c>
      <c r="E387" s="360">
        <f t="shared" ca="1" si="154"/>
        <v>-5.9834667089275246</v>
      </c>
      <c r="F387" s="357">
        <f t="shared" ca="1" si="155"/>
        <v>6.0085342249615259</v>
      </c>
      <c r="G387" s="359">
        <f t="shared" ca="1" si="156"/>
        <v>9.5465423407455532</v>
      </c>
      <c r="H387" s="360">
        <f t="shared" ca="1" si="157"/>
        <v>-66.627959950589428</v>
      </c>
      <c r="I387" s="357">
        <f t="shared" ca="1" si="158"/>
        <v>67.308405996881234</v>
      </c>
      <c r="J387" s="359">
        <f t="shared" ca="1" si="159"/>
        <v>187.70931447689617</v>
      </c>
      <c r="K387" s="360">
        <f t="shared" ca="1" si="160"/>
        <v>-4.3708574400240261</v>
      </c>
      <c r="L387" s="357">
        <f t="shared" ca="1" si="145"/>
        <v>187.76019582474694</v>
      </c>
      <c r="M387" s="359">
        <f t="shared" ca="1" si="161"/>
        <v>-1.4284835990323839</v>
      </c>
      <c r="N387" s="357">
        <f t="shared" ca="1" si="162"/>
        <v>-81.846081328213756</v>
      </c>
      <c r="O387" s="343"/>
      <c r="P387" s="363">
        <f t="shared" ca="1" si="163"/>
        <v>23</v>
      </c>
      <c r="Q387" s="357">
        <f t="shared" ca="1" si="164"/>
        <v>0</v>
      </c>
      <c r="R387" s="359">
        <f t="shared" ca="1" si="165"/>
        <v>0</v>
      </c>
      <c r="S387" s="360">
        <f t="shared" ca="1" si="166"/>
        <v>1.5629999999999982</v>
      </c>
      <c r="T387" s="357">
        <f t="shared" ca="1" si="146"/>
        <v>15.333029999999983</v>
      </c>
      <c r="U387" s="364">
        <f t="shared" ca="1" si="147"/>
        <v>0</v>
      </c>
      <c r="V387" s="359">
        <f t="shared" ca="1" si="148"/>
        <v>1.2255355470763991</v>
      </c>
      <c r="W387" s="357">
        <f t="shared" ca="1" si="149"/>
        <v>6.0420626590705933</v>
      </c>
      <c r="X387" s="343"/>
      <c r="Y387" s="367" t="str">
        <f t="shared" ca="1" si="167"/>
        <v/>
      </c>
      <c r="Z387" s="368" t="str">
        <f t="shared" ca="1" si="168"/>
        <v/>
      </c>
      <c r="AA387" s="369" t="str">
        <f t="shared" ca="1" si="169"/>
        <v/>
      </c>
      <c r="AB387" s="344"/>
      <c r="AC387" s="363" t="e">
        <f t="shared" ca="1" si="170"/>
        <v>#N/A</v>
      </c>
      <c r="AD387" s="376" t="e">
        <f t="shared" ca="1" si="171"/>
        <v>#N/A</v>
      </c>
      <c r="AE387" s="377" t="e">
        <f t="shared" ca="1" si="150"/>
        <v>#N/A</v>
      </c>
      <c r="AF387" s="344"/>
      <c r="AG387" s="359">
        <f t="shared" ca="1" si="172"/>
        <v>5.8452107690723274</v>
      </c>
      <c r="AH387" s="357">
        <f t="shared" ca="1" si="173"/>
        <v>-3.8656133670319357</v>
      </c>
    </row>
    <row r="388" spans="1:34" x14ac:dyDescent="0.2">
      <c r="A388" s="402">
        <f t="shared" ca="1" si="151"/>
        <v>1E-4</v>
      </c>
      <c r="B388" s="357">
        <f t="shared" ca="1" si="152"/>
        <v>15.604799999999951</v>
      </c>
      <c r="C388" s="342"/>
      <c r="D388" s="359">
        <f t="shared" ca="1" si="153"/>
        <v>-0.54828080806964441</v>
      </c>
      <c r="E388" s="360">
        <f t="shared" ca="1" si="154"/>
        <v>-5.9833965641335913</v>
      </c>
      <c r="F388" s="357">
        <f t="shared" ca="1" si="155"/>
        <v>6.0084645532933925</v>
      </c>
      <c r="G388" s="359">
        <f t="shared" ca="1" si="156"/>
        <v>9.546487512664747</v>
      </c>
      <c r="H388" s="360">
        <f t="shared" ca="1" si="157"/>
        <v>-66.628558290245849</v>
      </c>
      <c r="I388" s="357">
        <f t="shared" ca="1" si="158"/>
        <v>67.30899051141796</v>
      </c>
      <c r="J388" s="359">
        <f t="shared" ca="1" si="159"/>
        <v>187.70931447689617</v>
      </c>
      <c r="K388" s="360">
        <f t="shared" ca="1" si="160"/>
        <v>-4.3775202659360675</v>
      </c>
      <c r="L388" s="357">
        <f t="shared" ref="L388:L451" ca="1" si="174">SQRT(pos_x^2+pos_z^2)</f>
        <v>187.76035104639365</v>
      </c>
      <c r="M388" s="359">
        <f t="shared" ca="1" si="161"/>
        <v>-1.4284856661858865</v>
      </c>
      <c r="N388" s="357">
        <f t="shared" ca="1" si="162"/>
        <v>-81.846199767385073</v>
      </c>
      <c r="O388" s="343"/>
      <c r="P388" s="363">
        <f t="shared" ca="1" si="163"/>
        <v>23</v>
      </c>
      <c r="Q388" s="357">
        <f t="shared" ca="1" si="164"/>
        <v>0</v>
      </c>
      <c r="R388" s="359">
        <f t="shared" ca="1" si="165"/>
        <v>0</v>
      </c>
      <c r="S388" s="360">
        <f t="shared" ca="1" si="166"/>
        <v>1.5629999999999982</v>
      </c>
      <c r="T388" s="357">
        <f t="shared" ref="T388:T451" ca="1" si="175">m*g</f>
        <v>15.333029999999983</v>
      </c>
      <c r="U388" s="364">
        <f t="shared" ref="U388:U451" ca="1" si="176">IF(pos_xz&lt;L_rampe,Poids*COS(Beta),0)</f>
        <v>0</v>
      </c>
      <c r="V388" s="359">
        <f t="shared" ref="V388:V451" ca="1" si="177">Rho_moyen*(20000-Alt_rampe-pos_z)/(20000+Alt_rampe+pos_z)</f>
        <v>1.2255363636297101</v>
      </c>
      <c r="W388" s="357">
        <f t="shared" ref="W388:W451" ca="1" si="178">1/2*Rho*Sref*Cx*vit_xz^2</f>
        <v>6.0421716253602691</v>
      </c>
      <c r="X388" s="343"/>
      <c r="Y388" s="367" t="str">
        <f t="shared" ca="1" si="167"/>
        <v/>
      </c>
      <c r="Z388" s="368" t="str">
        <f t="shared" ca="1" si="168"/>
        <v/>
      </c>
      <c r="AA388" s="369" t="str">
        <f t="shared" ca="1" si="169"/>
        <v/>
      </c>
      <c r="AB388" s="344"/>
      <c r="AC388" s="363" t="e">
        <f t="shared" ca="1" si="170"/>
        <v>#N/A</v>
      </c>
      <c r="AD388" s="376" t="e">
        <f t="shared" ca="1" si="171"/>
        <v>#N/A</v>
      </c>
      <c r="AE388" s="377" t="e">
        <f t="shared" ref="AE388:AE451" ca="1" si="179">IF(t&lt;T_para, pos_z, NA())</f>
        <v>#N/A</v>
      </c>
      <c r="AF388" s="344"/>
      <c r="AG388" s="359">
        <f t="shared" ca="1" si="172"/>
        <v>5.8451439291692928</v>
      </c>
      <c r="AH388" s="357">
        <f t="shared" ca="1" si="173"/>
        <v>-3.8656830832185545</v>
      </c>
    </row>
    <row r="389" spans="1:34" x14ac:dyDescent="0.2">
      <c r="A389" s="402">
        <f t="shared" ref="A389:A452" ca="1" si="180">IF(B388+0.01&lt;=T_ini+ROUNDUP(Temps_fin_propu,0), 0.01, IF(K388&gt;0, 0.1, 0.0001))</f>
        <v>1E-4</v>
      </c>
      <c r="B389" s="357">
        <f t="shared" ref="B389:B452" ca="1" si="181">B388+pas</f>
        <v>15.604899999999951</v>
      </c>
      <c r="C389" s="342"/>
      <c r="D389" s="359">
        <f t="shared" ref="D389:D452" ca="1" si="182">IF(AND(L388&lt;L_rampe,Poussee&lt;Poids*SIN(M388)),0,(-W388+Poussee)/m*COS(M388)-U388/m*SIN(M388))</f>
        <v>-0.54828278578384082</v>
      </c>
      <c r="E389" s="360">
        <f t="shared" ref="E389:E452" ca="1" si="183">IF(AND(L388&lt;L_rampe,Poussee&lt;Poids*SIN(M388)),0,(-W388+Poussee)/m*SIN(M388)+U388/m*COS(M388)-Poids/m)</f>
        <v>-5.9833264194109965</v>
      </c>
      <c r="F389" s="357">
        <f t="shared" ref="F389:F452" ca="1" si="184">SQRT(acc_x^2+acc_z^2)</f>
        <v>6.0083948816974821</v>
      </c>
      <c r="G389" s="359">
        <f t="shared" ref="G389:G452" ca="1" si="185">G388+acc_x*pas</f>
        <v>9.5464326843861684</v>
      </c>
      <c r="H389" s="360">
        <f t="shared" ref="H389:H452" ca="1" si="186">H388+acc_z*pas</f>
        <v>-66.629156622887791</v>
      </c>
      <c r="I389" s="357">
        <f t="shared" ref="I389:I452" ca="1" si="187">SQRT(vit_x^2+vit_z^2)</f>
        <v>67.309575019270682</v>
      </c>
      <c r="J389" s="359">
        <f t="shared" ref="J389:J452" ca="1" si="188">J388+0.5*(vit_x+G388)*pas*(K388&gt;=0)</f>
        <v>187.70931447689617</v>
      </c>
      <c r="K389" s="360">
        <f t="shared" ref="K389:K452" ca="1" si="189">K388+0.5*(vit_z+H388)*pas</f>
        <v>-4.3841831516817242</v>
      </c>
      <c r="L389" s="357">
        <f t="shared" ca="1" si="174"/>
        <v>187.76050650574467</v>
      </c>
      <c r="M389" s="359">
        <f t="shared" ref="M389:M452" ca="1" si="190">IF(AND(L388&gt;L_rampe,G389&gt;0),ATAN2(G389,H389),$M$4)</f>
        <v>-1.428487733291615</v>
      </c>
      <c r="N389" s="357">
        <f t="shared" ref="N389:N452" ca="1" si="191">DEGREES(Beta)</f>
        <v>-81.846318203819123</v>
      </c>
      <c r="O389" s="343"/>
      <c r="P389" s="363">
        <f t="shared" ref="P389:P452" ca="1" si="192">MATCH(t-pas/2-T_ini,CdP_t)</f>
        <v>23</v>
      </c>
      <c r="Q389" s="357">
        <f t="shared" ref="Q389:Q452" ca="1" si="193">(INDEX(CdP,2,i_P+1)-INDEX(CdP,2,i_P+0))/(INDEX(CdP,1,i_P+1)-INDEX(CdP,1,i_P+0))*(t-pas/2-T_ini-INDEX(CdP,1,i_P+0))+INDEX(CdP,2,i_P+0)</f>
        <v>0</v>
      </c>
      <c r="R389" s="359">
        <f t="shared" ref="R389:R452" ca="1" si="194">Poussee/(g*ISP)</f>
        <v>0</v>
      </c>
      <c r="S389" s="360">
        <f t="shared" ref="S389:S452" ca="1" si="195">S388-Débit*pas</f>
        <v>1.5629999999999982</v>
      </c>
      <c r="T389" s="357">
        <f t="shared" ca="1" si="175"/>
        <v>15.333029999999983</v>
      </c>
      <c r="U389" s="364">
        <f t="shared" ca="1" si="176"/>
        <v>0</v>
      </c>
      <c r="V389" s="359">
        <f t="shared" ca="1" si="177"/>
        <v>1.2255371801908981</v>
      </c>
      <c r="W389" s="357">
        <f t="shared" ca="1" si="178"/>
        <v>6.0422805915399094</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t="e">
        <f t="shared" ca="1" si="179"/>
        <v>#N/A</v>
      </c>
      <c r="AF389" s="344"/>
      <c r="AG389" s="359">
        <f t="shared" ref="AG389:AG452" ca="1" si="201">IF(AND(L388&lt;L_rampe,Poussee&lt;Poids*SIN(M388)),0,(-W388+Poussee)/m-Poids*SIN(M388)/m)</f>
        <v>5.8450770892286705</v>
      </c>
      <c r="AH389" s="357">
        <f t="shared" ref="AH389:AH452" ca="1" si="202">IF(AND(L388&lt;L_rampe,Poussee&lt;Poids*SIN(M388)), g*SIN(M388), (-W388+Poussee)/m)</f>
        <v>-3.8657527993347895</v>
      </c>
    </row>
    <row r="390" spans="1:34" x14ac:dyDescent="0.2">
      <c r="A390" s="402">
        <f t="shared" ca="1" si="180"/>
        <v>1E-4</v>
      </c>
      <c r="B390" s="357">
        <f t="shared" ca="1" si="181"/>
        <v>15.604999999999951</v>
      </c>
      <c r="C390" s="342"/>
      <c r="D390" s="359">
        <f t="shared" ca="1" si="182"/>
        <v>-0.54828476338321441</v>
      </c>
      <c r="E390" s="360">
        <f t="shared" ca="1" si="183"/>
        <v>-5.9832562747597544</v>
      </c>
      <c r="F390" s="357">
        <f t="shared" ca="1" si="184"/>
        <v>6.00832521017381</v>
      </c>
      <c r="G390" s="359">
        <f t="shared" ca="1" si="185"/>
        <v>9.5463778559098298</v>
      </c>
      <c r="H390" s="360">
        <f t="shared" ca="1" si="186"/>
        <v>-66.62975494851527</v>
      </c>
      <c r="I390" s="357">
        <f t="shared" ca="1" si="187"/>
        <v>67.310159520439413</v>
      </c>
      <c r="J390" s="359">
        <f t="shared" ca="1" si="188"/>
        <v>187.70931447689617</v>
      </c>
      <c r="K390" s="360">
        <f t="shared" ca="1" si="189"/>
        <v>-4.3908460972602947</v>
      </c>
      <c r="L390" s="357">
        <f t="shared" ca="1" si="174"/>
        <v>187.76066220280575</v>
      </c>
      <c r="M390" s="359">
        <f t="shared" ca="1" si="190"/>
        <v>-1.4284898003495714</v>
      </c>
      <c r="N390" s="357">
        <f t="shared" ca="1" si="191"/>
        <v>-81.846436637516035</v>
      </c>
      <c r="O390" s="343"/>
      <c r="P390" s="363">
        <f t="shared" ca="1" si="192"/>
        <v>23</v>
      </c>
      <c r="Q390" s="357">
        <f t="shared" ca="1" si="193"/>
        <v>0</v>
      </c>
      <c r="R390" s="359">
        <f t="shared" ca="1" si="194"/>
        <v>0</v>
      </c>
      <c r="S390" s="360">
        <f t="shared" ca="1" si="195"/>
        <v>1.5629999999999982</v>
      </c>
      <c r="T390" s="357">
        <f t="shared" ca="1" si="175"/>
        <v>15.333029999999983</v>
      </c>
      <c r="U390" s="364">
        <f t="shared" ca="1" si="176"/>
        <v>0</v>
      </c>
      <c r="V390" s="359">
        <f t="shared" ca="1" si="177"/>
        <v>1.2255379967599631</v>
      </c>
      <c r="W390" s="357">
        <f t="shared" ca="1" si="178"/>
        <v>6.0423895576094884</v>
      </c>
      <c r="X390" s="343"/>
      <c r="Y390" s="367" t="str">
        <f t="shared" ca="1" si="196"/>
        <v/>
      </c>
      <c r="Z390" s="368" t="str">
        <f t="shared" ca="1" si="197"/>
        <v/>
      </c>
      <c r="AA390" s="369" t="str">
        <f t="shared" ca="1" si="198"/>
        <v/>
      </c>
      <c r="AB390" s="344"/>
      <c r="AC390" s="363" t="e">
        <f t="shared" ca="1" si="199"/>
        <v>#N/A</v>
      </c>
      <c r="AD390" s="376" t="e">
        <f t="shared" ca="1" si="200"/>
        <v>#N/A</v>
      </c>
      <c r="AE390" s="377" t="e">
        <f t="shared" ca="1" si="179"/>
        <v>#N/A</v>
      </c>
      <c r="AF390" s="344"/>
      <c r="AG390" s="359">
        <f t="shared" ca="1" si="201"/>
        <v>5.8450102492504818</v>
      </c>
      <c r="AH390" s="357">
        <f t="shared" ca="1" si="202"/>
        <v>-3.8658225153806249</v>
      </c>
    </row>
    <row r="391" spans="1:34" x14ac:dyDescent="0.2">
      <c r="A391" s="402">
        <f t="shared" ca="1" si="180"/>
        <v>1E-4</v>
      </c>
      <c r="B391" s="357">
        <f t="shared" ca="1" si="181"/>
        <v>15.60509999999995</v>
      </c>
      <c r="C391" s="342"/>
      <c r="D391" s="359">
        <f t="shared" ca="1" si="182"/>
        <v>-0.54828674086776652</v>
      </c>
      <c r="E391" s="360">
        <f t="shared" ca="1" si="183"/>
        <v>-5.9831861301798845</v>
      </c>
      <c r="F391" s="357">
        <f t="shared" ca="1" si="184"/>
        <v>6.0082555387223948</v>
      </c>
      <c r="G391" s="359">
        <f t="shared" ca="1" si="185"/>
        <v>9.5463230272357436</v>
      </c>
      <c r="H391" s="360">
        <f t="shared" ca="1" si="186"/>
        <v>-66.630353267128285</v>
      </c>
      <c r="I391" s="357">
        <f t="shared" ca="1" si="187"/>
        <v>67.310744014924126</v>
      </c>
      <c r="J391" s="359">
        <f t="shared" ca="1" si="188"/>
        <v>187.70931447689617</v>
      </c>
      <c r="K391" s="360">
        <f t="shared" ca="1" si="189"/>
        <v>-4.3975091026710773</v>
      </c>
      <c r="L391" s="357">
        <f t="shared" ca="1" si="174"/>
        <v>187.76081813758262</v>
      </c>
      <c r="M391" s="359">
        <f t="shared" ca="1" si="190"/>
        <v>-1.4284918673597573</v>
      </c>
      <c r="N391" s="357">
        <f t="shared" ca="1" si="191"/>
        <v>-81.846555068475894</v>
      </c>
      <c r="O391" s="343"/>
      <c r="P391" s="363">
        <f t="shared" ca="1" si="192"/>
        <v>23</v>
      </c>
      <c r="Q391" s="357">
        <f t="shared" ca="1" si="193"/>
        <v>0</v>
      </c>
      <c r="R391" s="359">
        <f t="shared" ca="1" si="194"/>
        <v>0</v>
      </c>
      <c r="S391" s="360">
        <f t="shared" ca="1" si="195"/>
        <v>1.5629999999999982</v>
      </c>
      <c r="T391" s="357">
        <f t="shared" ca="1" si="175"/>
        <v>15.333029999999983</v>
      </c>
      <c r="U391" s="364">
        <f t="shared" ca="1" si="176"/>
        <v>0</v>
      </c>
      <c r="V391" s="359">
        <f t="shared" ca="1" si="177"/>
        <v>1.2255388133369047</v>
      </c>
      <c r="W391" s="357">
        <f t="shared" ca="1" si="178"/>
        <v>6.0424985235689643</v>
      </c>
      <c r="X391" s="343"/>
      <c r="Y391" s="367" t="str">
        <f t="shared" ca="1" si="196"/>
        <v/>
      </c>
      <c r="Z391" s="368" t="str">
        <f t="shared" ca="1" si="197"/>
        <v/>
      </c>
      <c r="AA391" s="369" t="str">
        <f t="shared" ca="1" si="198"/>
        <v/>
      </c>
      <c r="AB391" s="344"/>
      <c r="AC391" s="363" t="e">
        <f t="shared" ca="1" si="199"/>
        <v>#N/A</v>
      </c>
      <c r="AD391" s="376" t="e">
        <f t="shared" ca="1" si="200"/>
        <v>#N/A</v>
      </c>
      <c r="AE391" s="377" t="e">
        <f t="shared" ca="1" si="179"/>
        <v>#N/A</v>
      </c>
      <c r="AF391" s="344"/>
      <c r="AG391" s="359">
        <f t="shared" ca="1" si="201"/>
        <v>5.8449434092347508</v>
      </c>
      <c r="AH391" s="357">
        <f t="shared" ca="1" si="202"/>
        <v>-3.8658922313560433</v>
      </c>
    </row>
    <row r="392" spans="1:34" x14ac:dyDescent="0.2">
      <c r="A392" s="402">
        <f t="shared" ca="1" si="180"/>
        <v>1E-4</v>
      </c>
      <c r="B392" s="357">
        <f t="shared" ca="1" si="181"/>
        <v>15.60519999999995</v>
      </c>
      <c r="C392" s="342"/>
      <c r="D392" s="359">
        <f t="shared" ca="1" si="182"/>
        <v>-0.54828871823749659</v>
      </c>
      <c r="E392" s="360">
        <f t="shared" ca="1" si="183"/>
        <v>-5.9831159856714127</v>
      </c>
      <c r="F392" s="357">
        <f t="shared" ca="1" si="184"/>
        <v>6.0081858673432631</v>
      </c>
      <c r="G392" s="359">
        <f t="shared" ca="1" si="185"/>
        <v>9.5462681983639204</v>
      </c>
      <c r="H392" s="360">
        <f t="shared" ca="1" si="186"/>
        <v>-66.630951578726851</v>
      </c>
      <c r="I392" s="357">
        <f t="shared" ca="1" si="187"/>
        <v>67.311328502724834</v>
      </c>
      <c r="J392" s="359">
        <f t="shared" ca="1" si="188"/>
        <v>187.70931447689617</v>
      </c>
      <c r="K392" s="360">
        <f t="shared" ca="1" si="189"/>
        <v>-4.4041721679133703</v>
      </c>
      <c r="L392" s="357">
        <f t="shared" ca="1" si="174"/>
        <v>187.76097431008105</v>
      </c>
      <c r="M392" s="359">
        <f t="shared" ca="1" si="190"/>
        <v>-1.4284939343221743</v>
      </c>
      <c r="N392" s="357">
        <f t="shared" ca="1" si="191"/>
        <v>-81.846673496698799</v>
      </c>
      <c r="O392" s="343"/>
      <c r="P392" s="363">
        <f t="shared" ca="1" si="192"/>
        <v>23</v>
      </c>
      <c r="Q392" s="357">
        <f t="shared" ca="1" si="193"/>
        <v>0</v>
      </c>
      <c r="R392" s="359">
        <f t="shared" ca="1" si="194"/>
        <v>0</v>
      </c>
      <c r="S392" s="360">
        <f t="shared" ca="1" si="195"/>
        <v>1.5629999999999982</v>
      </c>
      <c r="T392" s="357">
        <f t="shared" ca="1" si="175"/>
        <v>15.333029999999983</v>
      </c>
      <c r="U392" s="364">
        <f t="shared" ca="1" si="176"/>
        <v>0</v>
      </c>
      <c r="V392" s="359">
        <f t="shared" ca="1" si="177"/>
        <v>1.2255396299217236</v>
      </c>
      <c r="W392" s="357">
        <f t="shared" ca="1" si="178"/>
        <v>6.042607489418315</v>
      </c>
      <c r="X392" s="343"/>
      <c r="Y392" s="367" t="str">
        <f t="shared" ca="1" si="196"/>
        <v/>
      </c>
      <c r="Z392" s="368" t="str">
        <f t="shared" ca="1" si="197"/>
        <v/>
      </c>
      <c r="AA392" s="369" t="str">
        <f t="shared" ca="1" si="198"/>
        <v/>
      </c>
      <c r="AB392" s="344"/>
      <c r="AC392" s="363" t="e">
        <f t="shared" ca="1" si="199"/>
        <v>#N/A</v>
      </c>
      <c r="AD392" s="376" t="e">
        <f t="shared" ca="1" si="200"/>
        <v>#N/A</v>
      </c>
      <c r="AE392" s="377" t="e">
        <f t="shared" ca="1" si="179"/>
        <v>#N/A</v>
      </c>
      <c r="AF392" s="344"/>
      <c r="AG392" s="359">
        <f t="shared" ca="1" si="201"/>
        <v>5.8448765691815083</v>
      </c>
      <c r="AH392" s="357">
        <f t="shared" ca="1" si="202"/>
        <v>-3.8659619472610181</v>
      </c>
    </row>
    <row r="393" spans="1:34" x14ac:dyDescent="0.2">
      <c r="A393" s="402">
        <f t="shared" ca="1" si="180"/>
        <v>1E-4</v>
      </c>
      <c r="B393" s="357">
        <f t="shared" ca="1" si="181"/>
        <v>15.60529999999995</v>
      </c>
      <c r="C393" s="342"/>
      <c r="D393" s="359">
        <f t="shared" ca="1" si="182"/>
        <v>-0.54829069549240728</v>
      </c>
      <c r="E393" s="360">
        <f t="shared" ca="1" si="183"/>
        <v>-5.983045841234353</v>
      </c>
      <c r="F393" s="357">
        <f t="shared" ca="1" si="184"/>
        <v>6.0081161960364273</v>
      </c>
      <c r="G393" s="359">
        <f t="shared" ca="1" si="185"/>
        <v>9.5462133692943709</v>
      </c>
      <c r="H393" s="360">
        <f t="shared" ca="1" si="186"/>
        <v>-66.631549883310981</v>
      </c>
      <c r="I393" s="357">
        <f t="shared" ca="1" si="187"/>
        <v>67.311912983841538</v>
      </c>
      <c r="J393" s="359">
        <f t="shared" ca="1" si="188"/>
        <v>187.70931447689617</v>
      </c>
      <c r="K393" s="360">
        <f t="shared" ca="1" si="189"/>
        <v>-4.410835292986472</v>
      </c>
      <c r="L393" s="357">
        <f t="shared" ca="1" si="174"/>
        <v>187.76113072030685</v>
      </c>
      <c r="M393" s="359">
        <f t="shared" ca="1" si="190"/>
        <v>-1.4284960012368244</v>
      </c>
      <c r="N393" s="357">
        <f t="shared" ca="1" si="191"/>
        <v>-81.846791922184863</v>
      </c>
      <c r="O393" s="343"/>
      <c r="P393" s="363">
        <f t="shared" ca="1" si="192"/>
        <v>23</v>
      </c>
      <c r="Q393" s="357">
        <f t="shared" ca="1" si="193"/>
        <v>0</v>
      </c>
      <c r="R393" s="359">
        <f t="shared" ca="1" si="194"/>
        <v>0</v>
      </c>
      <c r="S393" s="360">
        <f t="shared" ca="1" si="195"/>
        <v>1.5629999999999982</v>
      </c>
      <c r="T393" s="357">
        <f t="shared" ca="1" si="175"/>
        <v>15.333029999999983</v>
      </c>
      <c r="U393" s="364">
        <f t="shared" ca="1" si="176"/>
        <v>0</v>
      </c>
      <c r="V393" s="359">
        <f t="shared" ca="1" si="177"/>
        <v>1.2255404465144191</v>
      </c>
      <c r="W393" s="357">
        <f t="shared" ca="1" si="178"/>
        <v>6.0427164551575085</v>
      </c>
      <c r="X393" s="343"/>
      <c r="Y393" s="367" t="str">
        <f t="shared" ca="1" si="196"/>
        <v/>
      </c>
      <c r="Z393" s="368" t="str">
        <f t="shared" ca="1" si="197"/>
        <v/>
      </c>
      <c r="AA393" s="369" t="str">
        <f t="shared" ca="1" si="198"/>
        <v/>
      </c>
      <c r="AB393" s="344"/>
      <c r="AC393" s="363" t="e">
        <f t="shared" ca="1" si="199"/>
        <v>#N/A</v>
      </c>
      <c r="AD393" s="376" t="e">
        <f t="shared" ca="1" si="200"/>
        <v>#N/A</v>
      </c>
      <c r="AE393" s="377" t="e">
        <f t="shared" ca="1" si="179"/>
        <v>#N/A</v>
      </c>
      <c r="AF393" s="344"/>
      <c r="AG393" s="359">
        <f t="shared" ca="1" si="201"/>
        <v>5.8448097290907732</v>
      </c>
      <c r="AH393" s="357">
        <f t="shared" ca="1" si="202"/>
        <v>-3.8660316630955358</v>
      </c>
    </row>
    <row r="394" spans="1:34" x14ac:dyDescent="0.2">
      <c r="A394" s="402">
        <f t="shared" ca="1" si="180"/>
        <v>1E-4</v>
      </c>
      <c r="B394" s="357">
        <f t="shared" ca="1" si="181"/>
        <v>15.60539999999995</v>
      </c>
      <c r="C394" s="342"/>
      <c r="D394" s="359">
        <f t="shared" ca="1" si="182"/>
        <v>-0.54829267263249848</v>
      </c>
      <c r="E394" s="360">
        <f t="shared" ca="1" si="183"/>
        <v>-5.982975696868726</v>
      </c>
      <c r="F394" s="357">
        <f t="shared" ca="1" si="184"/>
        <v>6.0080465248019097</v>
      </c>
      <c r="G394" s="359">
        <f t="shared" ca="1" si="185"/>
        <v>9.5461585400271076</v>
      </c>
      <c r="H394" s="360">
        <f t="shared" ca="1" si="186"/>
        <v>-66.632148180880662</v>
      </c>
      <c r="I394" s="357">
        <f t="shared" ca="1" si="187"/>
        <v>67.312497458274194</v>
      </c>
      <c r="J394" s="359">
        <f t="shared" ca="1" si="188"/>
        <v>187.70931447689617</v>
      </c>
      <c r="K394" s="360">
        <f t="shared" ca="1" si="189"/>
        <v>-4.4174984778896818</v>
      </c>
      <c r="L394" s="357">
        <f t="shared" ca="1" si="174"/>
        <v>187.76128736826573</v>
      </c>
      <c r="M394" s="359">
        <f t="shared" ca="1" si="190"/>
        <v>-1.4284980681037089</v>
      </c>
      <c r="N394" s="357">
        <f t="shared" ca="1" si="191"/>
        <v>-81.846910344934159</v>
      </c>
      <c r="O394" s="343"/>
      <c r="P394" s="363">
        <f t="shared" ca="1" si="192"/>
        <v>23</v>
      </c>
      <c r="Q394" s="357">
        <f t="shared" ca="1" si="193"/>
        <v>0</v>
      </c>
      <c r="R394" s="359">
        <f t="shared" ca="1" si="194"/>
        <v>0</v>
      </c>
      <c r="S394" s="360">
        <f t="shared" ca="1" si="195"/>
        <v>1.5629999999999982</v>
      </c>
      <c r="T394" s="357">
        <f t="shared" ca="1" si="175"/>
        <v>15.333029999999983</v>
      </c>
      <c r="U394" s="364">
        <f t="shared" ca="1" si="176"/>
        <v>0</v>
      </c>
      <c r="V394" s="359">
        <f t="shared" ca="1" si="177"/>
        <v>1.2255412631149911</v>
      </c>
      <c r="W394" s="357">
        <f t="shared" ca="1" si="178"/>
        <v>6.0428254207865066</v>
      </c>
      <c r="X394" s="343"/>
      <c r="Y394" s="367" t="str">
        <f t="shared" ca="1" si="196"/>
        <v/>
      </c>
      <c r="Z394" s="368" t="str">
        <f t="shared" ca="1" si="197"/>
        <v/>
      </c>
      <c r="AA394" s="369" t="str">
        <f t="shared" ca="1" si="198"/>
        <v/>
      </c>
      <c r="AB394" s="344"/>
      <c r="AC394" s="363" t="e">
        <f t="shared" ca="1" si="199"/>
        <v>#N/A</v>
      </c>
      <c r="AD394" s="376" t="e">
        <f t="shared" ca="1" si="200"/>
        <v>#N/A</v>
      </c>
      <c r="AE394" s="377" t="e">
        <f t="shared" ca="1" si="179"/>
        <v>#N/A</v>
      </c>
      <c r="AF394" s="344"/>
      <c r="AG394" s="359">
        <f t="shared" ca="1" si="201"/>
        <v>5.844742888962573</v>
      </c>
      <c r="AH394" s="357">
        <f t="shared" ca="1" si="202"/>
        <v>-3.8661013788595748</v>
      </c>
    </row>
    <row r="395" spans="1:34" x14ac:dyDescent="0.2">
      <c r="A395" s="402">
        <f t="shared" ca="1" si="180"/>
        <v>1E-4</v>
      </c>
      <c r="B395" s="357">
        <f t="shared" ca="1" si="181"/>
        <v>15.60549999999995</v>
      </c>
      <c r="C395" s="342"/>
      <c r="D395" s="359">
        <f t="shared" ca="1" si="182"/>
        <v>-0.54829464965777186</v>
      </c>
      <c r="E395" s="360">
        <f t="shared" ca="1" si="183"/>
        <v>-5.9829055525745565</v>
      </c>
      <c r="F395" s="357">
        <f t="shared" ca="1" si="184"/>
        <v>6.0079768536397342</v>
      </c>
      <c r="G395" s="359">
        <f t="shared" ca="1" si="185"/>
        <v>9.5461037105621411</v>
      </c>
      <c r="H395" s="360">
        <f t="shared" ca="1" si="186"/>
        <v>-66.632746471435922</v>
      </c>
      <c r="I395" s="357">
        <f t="shared" ca="1" si="187"/>
        <v>67.313081926022861</v>
      </c>
      <c r="J395" s="359">
        <f t="shared" ca="1" si="188"/>
        <v>187.70931447689617</v>
      </c>
      <c r="K395" s="360">
        <f t="shared" ca="1" si="189"/>
        <v>-4.4241617226222978</v>
      </c>
      <c r="L395" s="357">
        <f t="shared" ca="1" si="174"/>
        <v>187.76144425396342</v>
      </c>
      <c r="M395" s="359">
        <f t="shared" ca="1" si="190"/>
        <v>-1.4285001349228297</v>
      </c>
      <c r="N395" s="357">
        <f t="shared" ca="1" si="191"/>
        <v>-81.847028764946799</v>
      </c>
      <c r="O395" s="343"/>
      <c r="P395" s="363">
        <f t="shared" ca="1" si="192"/>
        <v>23</v>
      </c>
      <c r="Q395" s="357">
        <f t="shared" ca="1" si="193"/>
        <v>0</v>
      </c>
      <c r="R395" s="359">
        <f t="shared" ca="1" si="194"/>
        <v>0</v>
      </c>
      <c r="S395" s="360">
        <f t="shared" ca="1" si="195"/>
        <v>1.5629999999999982</v>
      </c>
      <c r="T395" s="357">
        <f t="shared" ca="1" si="175"/>
        <v>15.333029999999983</v>
      </c>
      <c r="U395" s="364">
        <f t="shared" ca="1" si="176"/>
        <v>0</v>
      </c>
      <c r="V395" s="359">
        <f t="shared" ca="1" si="177"/>
        <v>1.2255420797234393</v>
      </c>
      <c r="W395" s="357">
        <f t="shared" ca="1" si="178"/>
        <v>6.0429343863052889</v>
      </c>
      <c r="X395" s="343"/>
      <c r="Y395" s="367" t="str">
        <f t="shared" ca="1" si="196"/>
        <v/>
      </c>
      <c r="Z395" s="368" t="str">
        <f t="shared" ca="1" si="197"/>
        <v/>
      </c>
      <c r="AA395" s="369" t="str">
        <f t="shared" ca="1" si="198"/>
        <v/>
      </c>
      <c r="AB395" s="344"/>
      <c r="AC395" s="363" t="e">
        <f t="shared" ca="1" si="199"/>
        <v>#N/A</v>
      </c>
      <c r="AD395" s="376" t="e">
        <f t="shared" ca="1" si="200"/>
        <v>#N/A</v>
      </c>
      <c r="AE395" s="377" t="e">
        <f t="shared" ca="1" si="179"/>
        <v>#N/A</v>
      </c>
      <c r="AF395" s="344"/>
      <c r="AG395" s="359">
        <f t="shared" ca="1" si="201"/>
        <v>5.844676048796936</v>
      </c>
      <c r="AH395" s="357">
        <f t="shared" ca="1" si="202"/>
        <v>-3.8661710945531116</v>
      </c>
    </row>
    <row r="396" spans="1:34" x14ac:dyDescent="0.2">
      <c r="A396" s="402">
        <f t="shared" ca="1" si="180"/>
        <v>1E-4</v>
      </c>
      <c r="B396" s="357">
        <f t="shared" ca="1" si="181"/>
        <v>15.605599999999949</v>
      </c>
      <c r="C396" s="342"/>
      <c r="D396" s="359">
        <f t="shared" ca="1" si="182"/>
        <v>-0.54829662656822953</v>
      </c>
      <c r="E396" s="360">
        <f t="shared" ca="1" si="183"/>
        <v>-5.9828354083518569</v>
      </c>
      <c r="F396" s="357">
        <f t="shared" ca="1" si="184"/>
        <v>6.0079071825499133</v>
      </c>
      <c r="G396" s="359">
        <f t="shared" ca="1" si="185"/>
        <v>9.5460488808994839</v>
      </c>
      <c r="H396" s="360">
        <f t="shared" ca="1" si="186"/>
        <v>-66.633344754976761</v>
      </c>
      <c r="I396" s="357">
        <f t="shared" ca="1" si="187"/>
        <v>67.31366638708748</v>
      </c>
      <c r="J396" s="359">
        <f t="shared" ca="1" si="188"/>
        <v>187.70931447689617</v>
      </c>
      <c r="K396" s="360">
        <f t="shared" ca="1" si="189"/>
        <v>-4.4308250271836185</v>
      </c>
      <c r="L396" s="357">
        <f t="shared" ca="1" si="174"/>
        <v>187.76160137740575</v>
      </c>
      <c r="M396" s="359">
        <f t="shared" ca="1" si="190"/>
        <v>-1.4285022016941888</v>
      </c>
      <c r="N396" s="357">
        <f t="shared" ca="1" si="191"/>
        <v>-81.847147182222898</v>
      </c>
      <c r="O396" s="343"/>
      <c r="P396" s="363">
        <f t="shared" ca="1" si="192"/>
        <v>23</v>
      </c>
      <c r="Q396" s="357">
        <f t="shared" ca="1" si="193"/>
        <v>0</v>
      </c>
      <c r="R396" s="359">
        <f t="shared" ca="1" si="194"/>
        <v>0</v>
      </c>
      <c r="S396" s="360">
        <f t="shared" ca="1" si="195"/>
        <v>1.5629999999999982</v>
      </c>
      <c r="T396" s="357">
        <f t="shared" ca="1" si="175"/>
        <v>15.333029999999983</v>
      </c>
      <c r="U396" s="364">
        <f t="shared" ca="1" si="176"/>
        <v>0</v>
      </c>
      <c r="V396" s="359">
        <f t="shared" ca="1" si="177"/>
        <v>1.2255428963397645</v>
      </c>
      <c r="W396" s="357">
        <f t="shared" ca="1" si="178"/>
        <v>6.0430433517138171</v>
      </c>
      <c r="X396" s="343"/>
      <c r="Y396" s="367" t="str">
        <f t="shared" ca="1" si="196"/>
        <v/>
      </c>
      <c r="Z396" s="368" t="str">
        <f t="shared" ca="1" si="197"/>
        <v/>
      </c>
      <c r="AA396" s="369" t="str">
        <f t="shared" ca="1" si="198"/>
        <v/>
      </c>
      <c r="AB396" s="344"/>
      <c r="AC396" s="363" t="e">
        <f t="shared" ca="1" si="199"/>
        <v>#N/A</v>
      </c>
      <c r="AD396" s="376" t="e">
        <f t="shared" ca="1" si="200"/>
        <v>#N/A</v>
      </c>
      <c r="AE396" s="377" t="e">
        <f t="shared" ca="1" si="179"/>
        <v>#N/A</v>
      </c>
      <c r="AF396" s="344"/>
      <c r="AG396" s="359">
        <f t="shared" ca="1" si="201"/>
        <v>5.8446092085938801</v>
      </c>
      <c r="AH396" s="357">
        <f t="shared" ca="1" si="202"/>
        <v>-3.8662408101761332</v>
      </c>
    </row>
    <row r="397" spans="1:34" x14ac:dyDescent="0.2">
      <c r="A397" s="402">
        <f t="shared" ca="1" si="180"/>
        <v>1E-4</v>
      </c>
      <c r="B397" s="357">
        <f t="shared" ca="1" si="181"/>
        <v>15.605699999999949</v>
      </c>
      <c r="C397" s="342"/>
      <c r="D397" s="359">
        <f t="shared" ca="1" si="182"/>
        <v>-0.54829860336386949</v>
      </c>
      <c r="E397" s="360">
        <f t="shared" ca="1" si="183"/>
        <v>-5.982765264200653</v>
      </c>
      <c r="F397" s="357">
        <f t="shared" ca="1" si="184"/>
        <v>6.0078375115324718</v>
      </c>
      <c r="G397" s="359">
        <f t="shared" ca="1" si="185"/>
        <v>9.5459940510391483</v>
      </c>
      <c r="H397" s="360">
        <f t="shared" ca="1" si="186"/>
        <v>-66.633943031503179</v>
      </c>
      <c r="I397" s="357">
        <f t="shared" ca="1" si="187"/>
        <v>67.31425084146808</v>
      </c>
      <c r="J397" s="359">
        <f t="shared" ca="1" si="188"/>
        <v>187.70931447689617</v>
      </c>
      <c r="K397" s="360">
        <f t="shared" ca="1" si="189"/>
        <v>-4.4374883915729422</v>
      </c>
      <c r="L397" s="357">
        <f t="shared" ca="1" si="174"/>
        <v>187.76175873859842</v>
      </c>
      <c r="M397" s="359">
        <f t="shared" ca="1" si="190"/>
        <v>-1.4285042684177875</v>
      </c>
      <c r="N397" s="357">
        <f t="shared" ca="1" si="191"/>
        <v>-81.847265596762526</v>
      </c>
      <c r="O397" s="343"/>
      <c r="P397" s="363">
        <f t="shared" ca="1" si="192"/>
        <v>23</v>
      </c>
      <c r="Q397" s="357">
        <f t="shared" ca="1" si="193"/>
        <v>0</v>
      </c>
      <c r="R397" s="359">
        <f t="shared" ca="1" si="194"/>
        <v>0</v>
      </c>
      <c r="S397" s="360">
        <f t="shared" ca="1" si="195"/>
        <v>1.5629999999999982</v>
      </c>
      <c r="T397" s="357">
        <f t="shared" ca="1" si="175"/>
        <v>15.333029999999983</v>
      </c>
      <c r="U397" s="364">
        <f t="shared" ca="1" si="176"/>
        <v>0</v>
      </c>
      <c r="V397" s="359">
        <f t="shared" ca="1" si="177"/>
        <v>1.2255437129639661</v>
      </c>
      <c r="W397" s="357">
        <f t="shared" ca="1" si="178"/>
        <v>6.0431523170120638</v>
      </c>
      <c r="X397" s="343"/>
      <c r="Y397" s="367" t="str">
        <f t="shared" ca="1" si="196"/>
        <v/>
      </c>
      <c r="Z397" s="368" t="str">
        <f t="shared" ca="1" si="197"/>
        <v/>
      </c>
      <c r="AA397" s="369" t="str">
        <f t="shared" ca="1" si="198"/>
        <v/>
      </c>
      <c r="AB397" s="344"/>
      <c r="AC397" s="363" t="e">
        <f t="shared" ca="1" si="199"/>
        <v>#N/A</v>
      </c>
      <c r="AD397" s="376" t="e">
        <f t="shared" ca="1" si="200"/>
        <v>#N/A</v>
      </c>
      <c r="AE397" s="377" t="e">
        <f t="shared" ca="1" si="179"/>
        <v>#N/A</v>
      </c>
      <c r="AF397" s="344"/>
      <c r="AG397" s="359">
        <f t="shared" ca="1" si="201"/>
        <v>5.8445423683534354</v>
      </c>
      <c r="AH397" s="357">
        <f t="shared" ca="1" si="202"/>
        <v>-3.8663105257286143</v>
      </c>
    </row>
    <row r="398" spans="1:34" x14ac:dyDescent="0.2">
      <c r="A398" s="402">
        <f t="shared" ca="1" si="180"/>
        <v>1E-4</v>
      </c>
      <c r="B398" s="357">
        <f t="shared" ca="1" si="181"/>
        <v>15.605799999999949</v>
      </c>
      <c r="C398" s="342"/>
      <c r="D398" s="359">
        <f t="shared" ca="1" si="182"/>
        <v>-0.54830058004469551</v>
      </c>
      <c r="E398" s="360">
        <f t="shared" ca="1" si="183"/>
        <v>-5.9826951201209617</v>
      </c>
      <c r="F398" s="357">
        <f t="shared" ca="1" si="184"/>
        <v>6.0077678405874275</v>
      </c>
      <c r="G398" s="359">
        <f t="shared" ca="1" si="185"/>
        <v>9.5459392209811433</v>
      </c>
      <c r="H398" s="360">
        <f t="shared" ca="1" si="186"/>
        <v>-66.63454130101519</v>
      </c>
      <c r="I398" s="357">
        <f t="shared" ca="1" si="187"/>
        <v>67.314835289164634</v>
      </c>
      <c r="J398" s="359">
        <f t="shared" ca="1" si="188"/>
        <v>187.70931447689617</v>
      </c>
      <c r="K398" s="360">
        <f t="shared" ca="1" si="189"/>
        <v>-4.4441518157895681</v>
      </c>
      <c r="L398" s="357">
        <f t="shared" ca="1" si="174"/>
        <v>187.76191633754723</v>
      </c>
      <c r="M398" s="359">
        <f t="shared" ca="1" si="190"/>
        <v>-1.4285063350936276</v>
      </c>
      <c r="N398" s="357">
        <f t="shared" ca="1" si="191"/>
        <v>-81.847384008565783</v>
      </c>
      <c r="O398" s="343"/>
      <c r="P398" s="363">
        <f t="shared" ca="1" si="192"/>
        <v>23</v>
      </c>
      <c r="Q398" s="357">
        <f t="shared" ca="1" si="193"/>
        <v>0</v>
      </c>
      <c r="R398" s="359">
        <f t="shared" ca="1" si="194"/>
        <v>0</v>
      </c>
      <c r="S398" s="360">
        <f t="shared" ca="1" si="195"/>
        <v>1.5629999999999982</v>
      </c>
      <c r="T398" s="357">
        <f t="shared" ca="1" si="175"/>
        <v>15.333029999999983</v>
      </c>
      <c r="U398" s="364">
        <f t="shared" ca="1" si="176"/>
        <v>0</v>
      </c>
      <c r="V398" s="359">
        <f t="shared" ca="1" si="177"/>
        <v>1.2255445295960441</v>
      </c>
      <c r="W398" s="357">
        <f t="shared" ca="1" si="178"/>
        <v>6.043261282199996</v>
      </c>
      <c r="X398" s="343"/>
      <c r="Y398" s="367" t="str">
        <f t="shared" ca="1" si="196"/>
        <v/>
      </c>
      <c r="Z398" s="368" t="str">
        <f t="shared" ca="1" si="197"/>
        <v/>
      </c>
      <c r="AA398" s="369" t="str">
        <f t="shared" ca="1" si="198"/>
        <v/>
      </c>
      <c r="AB398" s="344"/>
      <c r="AC398" s="363" t="e">
        <f t="shared" ca="1" si="199"/>
        <v>#N/A</v>
      </c>
      <c r="AD398" s="376" t="e">
        <f t="shared" ca="1" si="200"/>
        <v>#N/A</v>
      </c>
      <c r="AE398" s="377" t="e">
        <f t="shared" ca="1" si="179"/>
        <v>#N/A</v>
      </c>
      <c r="AF398" s="344"/>
      <c r="AG398" s="359">
        <f t="shared" ca="1" si="201"/>
        <v>5.8444755280756242</v>
      </c>
      <c r="AH398" s="357">
        <f t="shared" ca="1" si="202"/>
        <v>-3.8663802412105381</v>
      </c>
    </row>
    <row r="399" spans="1:34" x14ac:dyDescent="0.2">
      <c r="A399" s="402">
        <f t="shared" ca="1" si="180"/>
        <v>1E-4</v>
      </c>
      <c r="B399" s="357">
        <f t="shared" ca="1" si="181"/>
        <v>15.605899999999949</v>
      </c>
      <c r="C399" s="342"/>
      <c r="D399" s="359">
        <f t="shared" ca="1" si="182"/>
        <v>-0.54830255661070826</v>
      </c>
      <c r="E399" s="360">
        <f t="shared" ca="1" si="183"/>
        <v>-5.9826249761128043</v>
      </c>
      <c r="F399" s="357">
        <f t="shared" ca="1" si="184"/>
        <v>6.0076981697148009</v>
      </c>
      <c r="G399" s="359">
        <f t="shared" ca="1" si="185"/>
        <v>9.5458843907254831</v>
      </c>
      <c r="H399" s="360">
        <f t="shared" ca="1" si="186"/>
        <v>-66.635139563512794</v>
      </c>
      <c r="I399" s="357">
        <f t="shared" ca="1" si="187"/>
        <v>67.315419730177155</v>
      </c>
      <c r="J399" s="359">
        <f t="shared" ca="1" si="188"/>
        <v>187.70931447689617</v>
      </c>
      <c r="K399" s="360">
        <f t="shared" ca="1" si="189"/>
        <v>-4.4508152998327946</v>
      </c>
      <c r="L399" s="357">
        <f t="shared" ca="1" si="174"/>
        <v>187.76207417425789</v>
      </c>
      <c r="M399" s="359">
        <f t="shared" ca="1" si="190"/>
        <v>-1.4285084017217111</v>
      </c>
      <c r="N399" s="357">
        <f t="shared" ca="1" si="191"/>
        <v>-81.847502417632782</v>
      </c>
      <c r="O399" s="343"/>
      <c r="P399" s="363">
        <f t="shared" ca="1" si="192"/>
        <v>23</v>
      </c>
      <c r="Q399" s="357">
        <f t="shared" ca="1" si="193"/>
        <v>0</v>
      </c>
      <c r="R399" s="359">
        <f t="shared" ca="1" si="194"/>
        <v>0</v>
      </c>
      <c r="S399" s="360">
        <f t="shared" ca="1" si="195"/>
        <v>1.5629999999999982</v>
      </c>
      <c r="T399" s="357">
        <f t="shared" ca="1" si="175"/>
        <v>15.333029999999983</v>
      </c>
      <c r="U399" s="364">
        <f t="shared" ca="1" si="176"/>
        <v>0</v>
      </c>
      <c r="V399" s="359">
        <f t="shared" ca="1" si="177"/>
        <v>1.225545346235998</v>
      </c>
      <c r="W399" s="357">
        <f t="shared" ca="1" si="178"/>
        <v>6.0433702472775837</v>
      </c>
      <c r="X399" s="343"/>
      <c r="Y399" s="367" t="str">
        <f t="shared" ca="1" si="196"/>
        <v/>
      </c>
      <c r="Z399" s="368" t="str">
        <f t="shared" ca="1" si="197"/>
        <v/>
      </c>
      <c r="AA399" s="369" t="str">
        <f t="shared" ca="1" si="198"/>
        <v/>
      </c>
      <c r="AB399" s="344"/>
      <c r="AC399" s="363" t="e">
        <f t="shared" ca="1" si="199"/>
        <v>#N/A</v>
      </c>
      <c r="AD399" s="376" t="e">
        <f t="shared" ca="1" si="200"/>
        <v>#N/A</v>
      </c>
      <c r="AE399" s="377" t="e">
        <f t="shared" ca="1" si="179"/>
        <v>#N/A</v>
      </c>
      <c r="AF399" s="344"/>
      <c r="AG399" s="359">
        <f t="shared" ca="1" si="201"/>
        <v>5.844408687760474</v>
      </c>
      <c r="AH399" s="357">
        <f t="shared" ca="1" si="202"/>
        <v>-3.8664499566218828</v>
      </c>
    </row>
    <row r="400" spans="1:34" x14ac:dyDescent="0.2">
      <c r="A400" s="402">
        <f t="shared" ca="1" si="180"/>
        <v>1E-4</v>
      </c>
      <c r="B400" s="357">
        <f t="shared" ca="1" si="181"/>
        <v>15.605999999999948</v>
      </c>
      <c r="C400" s="342"/>
      <c r="D400" s="359">
        <f t="shared" ca="1" si="182"/>
        <v>-0.54830453306190685</v>
      </c>
      <c r="E400" s="360">
        <f t="shared" ca="1" si="183"/>
        <v>-5.9825548321761985</v>
      </c>
      <c r="F400" s="357">
        <f t="shared" ca="1" si="184"/>
        <v>6.0076284989146105</v>
      </c>
      <c r="G400" s="359">
        <f t="shared" ca="1" si="185"/>
        <v>9.5458295602721766</v>
      </c>
      <c r="H400" s="360">
        <f t="shared" ca="1" si="186"/>
        <v>-66.635737818996006</v>
      </c>
      <c r="I400" s="357">
        <f t="shared" ca="1" si="187"/>
        <v>67.316004164505642</v>
      </c>
      <c r="J400" s="359">
        <f t="shared" ca="1" si="188"/>
        <v>187.70931447689617</v>
      </c>
      <c r="K400" s="360">
        <f t="shared" ca="1" si="189"/>
        <v>-4.4574788437019199</v>
      </c>
      <c r="L400" s="357">
        <f t="shared" ca="1" si="174"/>
        <v>187.76223224873618</v>
      </c>
      <c r="M400" s="359">
        <f t="shared" ca="1" si="190"/>
        <v>-1.4285104683020393</v>
      </c>
      <c r="N400" s="357">
        <f t="shared" ca="1" si="191"/>
        <v>-81.847620823963624</v>
      </c>
      <c r="O400" s="343"/>
      <c r="P400" s="363">
        <f t="shared" ca="1" si="192"/>
        <v>23</v>
      </c>
      <c r="Q400" s="357">
        <f t="shared" ca="1" si="193"/>
        <v>0</v>
      </c>
      <c r="R400" s="359">
        <f t="shared" ca="1" si="194"/>
        <v>0</v>
      </c>
      <c r="S400" s="360">
        <f t="shared" ca="1" si="195"/>
        <v>1.5629999999999982</v>
      </c>
      <c r="T400" s="357">
        <f t="shared" ca="1" si="175"/>
        <v>15.333029999999983</v>
      </c>
      <c r="U400" s="364">
        <f t="shared" ca="1" si="176"/>
        <v>0</v>
      </c>
      <c r="V400" s="359">
        <f t="shared" ca="1" si="177"/>
        <v>1.2255461628838284</v>
      </c>
      <c r="W400" s="357">
        <f t="shared" ca="1" si="178"/>
        <v>6.0434792122447973</v>
      </c>
      <c r="X400" s="343"/>
      <c r="Y400" s="367" t="str">
        <f t="shared" ca="1" si="196"/>
        <v/>
      </c>
      <c r="Z400" s="368" t="str">
        <f t="shared" ca="1" si="197"/>
        <v/>
      </c>
      <c r="AA400" s="369" t="str">
        <f t="shared" ca="1" si="198"/>
        <v/>
      </c>
      <c r="AB400" s="344"/>
      <c r="AC400" s="363" t="e">
        <f t="shared" ca="1" si="199"/>
        <v>#N/A</v>
      </c>
      <c r="AD400" s="376" t="e">
        <f t="shared" ca="1" si="200"/>
        <v>#N/A</v>
      </c>
      <c r="AE400" s="377" t="e">
        <f t="shared" ca="1" si="179"/>
        <v>#N/A</v>
      </c>
      <c r="AF400" s="344"/>
      <c r="AG400" s="359">
        <f t="shared" ca="1" si="201"/>
        <v>5.8443418474080104</v>
      </c>
      <c r="AH400" s="357">
        <f t="shared" ca="1" si="202"/>
        <v>-3.8665196719626302</v>
      </c>
    </row>
    <row r="401" spans="1:34" x14ac:dyDescent="0.2">
      <c r="A401" s="402">
        <f t="shared" ca="1" si="180"/>
        <v>1E-4</v>
      </c>
      <c r="B401" s="357">
        <f t="shared" ca="1" si="181"/>
        <v>15.606099999999948</v>
      </c>
      <c r="C401" s="342"/>
      <c r="D401" s="359">
        <f t="shared" ca="1" si="182"/>
        <v>-0.54830650939829473</v>
      </c>
      <c r="E401" s="360">
        <f t="shared" ca="1" si="183"/>
        <v>-5.9824846883111666</v>
      </c>
      <c r="F401" s="357">
        <f t="shared" ca="1" si="184"/>
        <v>6.0075588281868786</v>
      </c>
      <c r="G401" s="359">
        <f t="shared" ca="1" si="185"/>
        <v>9.5457747296212361</v>
      </c>
      <c r="H401" s="360">
        <f t="shared" ca="1" si="186"/>
        <v>-66.636336067464839</v>
      </c>
      <c r="I401" s="357">
        <f t="shared" ca="1" si="187"/>
        <v>67.316588592150083</v>
      </c>
      <c r="J401" s="359">
        <f t="shared" ca="1" si="188"/>
        <v>187.70931447689617</v>
      </c>
      <c r="K401" s="360">
        <f t="shared" ca="1" si="189"/>
        <v>-4.4641424473962426</v>
      </c>
      <c r="L401" s="357">
        <f t="shared" ca="1" si="174"/>
        <v>187.76239056098785</v>
      </c>
      <c r="M401" s="359">
        <f t="shared" ca="1" si="190"/>
        <v>-1.4285125348346142</v>
      </c>
      <c r="N401" s="357">
        <f t="shared" ca="1" si="191"/>
        <v>-81.847739227558378</v>
      </c>
      <c r="O401" s="343"/>
      <c r="P401" s="363">
        <f t="shared" ca="1" si="192"/>
        <v>23</v>
      </c>
      <c r="Q401" s="357">
        <f t="shared" ca="1" si="193"/>
        <v>0</v>
      </c>
      <c r="R401" s="359">
        <f t="shared" ca="1" si="194"/>
        <v>0</v>
      </c>
      <c r="S401" s="360">
        <f t="shared" ca="1" si="195"/>
        <v>1.5629999999999982</v>
      </c>
      <c r="T401" s="357">
        <f t="shared" ca="1" si="175"/>
        <v>15.333029999999983</v>
      </c>
      <c r="U401" s="364">
        <f t="shared" ca="1" si="176"/>
        <v>0</v>
      </c>
      <c r="V401" s="359">
        <f t="shared" ca="1" si="177"/>
        <v>1.2255469795395351</v>
      </c>
      <c r="W401" s="357">
        <f t="shared" ca="1" si="178"/>
        <v>6.043588177101606</v>
      </c>
      <c r="X401" s="343"/>
      <c r="Y401" s="367" t="str">
        <f t="shared" ca="1" si="196"/>
        <v/>
      </c>
      <c r="Z401" s="368" t="str">
        <f t="shared" ca="1" si="197"/>
        <v/>
      </c>
      <c r="AA401" s="369" t="str">
        <f t="shared" ca="1" si="198"/>
        <v/>
      </c>
      <c r="AB401" s="344"/>
      <c r="AC401" s="363" t="e">
        <f t="shared" ca="1" si="199"/>
        <v>#N/A</v>
      </c>
      <c r="AD401" s="376" t="e">
        <f t="shared" ca="1" si="200"/>
        <v>#N/A</v>
      </c>
      <c r="AE401" s="377" t="e">
        <f t="shared" ca="1" si="179"/>
        <v>#N/A</v>
      </c>
      <c r="AF401" s="344"/>
      <c r="AG401" s="359">
        <f t="shared" ca="1" si="201"/>
        <v>5.8442750070182541</v>
      </c>
      <c r="AH401" s="357">
        <f t="shared" ca="1" si="202"/>
        <v>-3.8665893872327604</v>
      </c>
    </row>
    <row r="402" spans="1:34" x14ac:dyDescent="0.2">
      <c r="A402" s="402">
        <f t="shared" ca="1" si="180"/>
        <v>1E-4</v>
      </c>
      <c r="B402" s="357">
        <f t="shared" ca="1" si="181"/>
        <v>15.606199999999948</v>
      </c>
      <c r="C402" s="342"/>
      <c r="D402" s="359">
        <f t="shared" ca="1" si="182"/>
        <v>-0.548308485619872</v>
      </c>
      <c r="E402" s="360">
        <f t="shared" ca="1" si="183"/>
        <v>-5.9824145445177273</v>
      </c>
      <c r="F402" s="357">
        <f t="shared" ca="1" si="184"/>
        <v>6.0074891575316229</v>
      </c>
      <c r="G402" s="359">
        <f t="shared" ca="1" si="185"/>
        <v>9.5457198987726741</v>
      </c>
      <c r="H402" s="360">
        <f t="shared" ca="1" si="186"/>
        <v>-66.636934308919294</v>
      </c>
      <c r="I402" s="357">
        <f t="shared" ca="1" si="187"/>
        <v>67.317173013110477</v>
      </c>
      <c r="J402" s="359">
        <f t="shared" ca="1" si="188"/>
        <v>187.70931447689617</v>
      </c>
      <c r="K402" s="360">
        <f t="shared" ca="1" si="189"/>
        <v>-4.4708061109150616</v>
      </c>
      <c r="L402" s="357">
        <f t="shared" ca="1" si="174"/>
        <v>187.76254911101867</v>
      </c>
      <c r="M402" s="359">
        <f t="shared" ca="1" si="190"/>
        <v>-1.4285146013194374</v>
      </c>
      <c r="N402" s="357">
        <f t="shared" ca="1" si="191"/>
        <v>-81.847857628417188</v>
      </c>
      <c r="O402" s="343"/>
      <c r="P402" s="363">
        <f t="shared" ca="1" si="192"/>
        <v>23</v>
      </c>
      <c r="Q402" s="357">
        <f t="shared" ca="1" si="193"/>
        <v>0</v>
      </c>
      <c r="R402" s="359">
        <f t="shared" ca="1" si="194"/>
        <v>0</v>
      </c>
      <c r="S402" s="360">
        <f t="shared" ca="1" si="195"/>
        <v>1.5629999999999982</v>
      </c>
      <c r="T402" s="357">
        <f t="shared" ca="1" si="175"/>
        <v>15.333029999999983</v>
      </c>
      <c r="U402" s="364">
        <f t="shared" ca="1" si="176"/>
        <v>0</v>
      </c>
      <c r="V402" s="359">
        <f t="shared" ca="1" si="177"/>
        <v>1.225547796203118</v>
      </c>
      <c r="W402" s="357">
        <f t="shared" ca="1" si="178"/>
        <v>6.0436971418479812</v>
      </c>
      <c r="X402" s="343"/>
      <c r="Y402" s="367" t="str">
        <f t="shared" ca="1" si="196"/>
        <v/>
      </c>
      <c r="Z402" s="368" t="str">
        <f t="shared" ca="1" si="197"/>
        <v/>
      </c>
      <c r="AA402" s="369" t="str">
        <f t="shared" ca="1" si="198"/>
        <v/>
      </c>
      <c r="AB402" s="344"/>
      <c r="AC402" s="363" t="e">
        <f t="shared" ca="1" si="199"/>
        <v>#N/A</v>
      </c>
      <c r="AD402" s="376" t="e">
        <f t="shared" ca="1" si="200"/>
        <v>#N/A</v>
      </c>
      <c r="AE402" s="377" t="e">
        <f t="shared" ca="1" si="179"/>
        <v>#N/A</v>
      </c>
      <c r="AF402" s="344"/>
      <c r="AG402" s="359">
        <f t="shared" ca="1" si="201"/>
        <v>5.8442081665912324</v>
      </c>
      <c r="AH402" s="357">
        <f t="shared" ca="1" si="202"/>
        <v>-3.8666591024322541</v>
      </c>
    </row>
    <row r="403" spans="1:34" x14ac:dyDescent="0.2">
      <c r="A403" s="402">
        <f t="shared" ca="1" si="180"/>
        <v>1E-4</v>
      </c>
      <c r="B403" s="357">
        <f t="shared" ca="1" si="181"/>
        <v>15.606299999999948</v>
      </c>
      <c r="C403" s="342"/>
      <c r="D403" s="359">
        <f t="shared" ca="1" si="182"/>
        <v>-0.54831046172663944</v>
      </c>
      <c r="E403" s="360">
        <f t="shared" ca="1" si="183"/>
        <v>-5.9823444007958972</v>
      </c>
      <c r="F403" s="357">
        <f t="shared" ca="1" si="184"/>
        <v>6.0074194869488595</v>
      </c>
      <c r="G403" s="359">
        <f t="shared" ca="1" si="185"/>
        <v>9.5456650677265014</v>
      </c>
      <c r="H403" s="360">
        <f t="shared" ca="1" si="186"/>
        <v>-66.63753254335937</v>
      </c>
      <c r="I403" s="357">
        <f t="shared" ca="1" si="187"/>
        <v>67.317757427386823</v>
      </c>
      <c r="J403" s="359">
        <f t="shared" ca="1" si="188"/>
        <v>187.70931447689617</v>
      </c>
      <c r="K403" s="360">
        <f t="shared" ca="1" si="189"/>
        <v>-4.4774698342576755</v>
      </c>
      <c r="L403" s="357">
        <f t="shared" ca="1" si="174"/>
        <v>187.76270789883432</v>
      </c>
      <c r="M403" s="359">
        <f t="shared" ca="1" si="190"/>
        <v>-1.4285166677565109</v>
      </c>
      <c r="N403" s="357">
        <f t="shared" ca="1" si="191"/>
        <v>-81.847976026540124</v>
      </c>
      <c r="O403" s="343"/>
      <c r="P403" s="363">
        <f t="shared" ca="1" si="192"/>
        <v>23</v>
      </c>
      <c r="Q403" s="357">
        <f t="shared" ca="1" si="193"/>
        <v>0</v>
      </c>
      <c r="R403" s="359">
        <f t="shared" ca="1" si="194"/>
        <v>0</v>
      </c>
      <c r="S403" s="360">
        <f t="shared" ca="1" si="195"/>
        <v>1.5629999999999982</v>
      </c>
      <c r="T403" s="357">
        <f t="shared" ca="1" si="175"/>
        <v>15.333029999999983</v>
      </c>
      <c r="U403" s="364">
        <f t="shared" ca="1" si="176"/>
        <v>0</v>
      </c>
      <c r="V403" s="359">
        <f t="shared" ca="1" si="177"/>
        <v>1.2255486128745767</v>
      </c>
      <c r="W403" s="357">
        <f t="shared" ca="1" si="178"/>
        <v>6.0438061064838857</v>
      </c>
      <c r="X403" s="343"/>
      <c r="Y403" s="367" t="str">
        <f t="shared" ca="1" si="196"/>
        <v/>
      </c>
      <c r="Z403" s="368" t="str">
        <f t="shared" ca="1" si="197"/>
        <v/>
      </c>
      <c r="AA403" s="369" t="str">
        <f t="shared" ca="1" si="198"/>
        <v/>
      </c>
      <c r="AB403" s="344"/>
      <c r="AC403" s="363" t="e">
        <f t="shared" ca="1" si="199"/>
        <v>#N/A</v>
      </c>
      <c r="AD403" s="376" t="e">
        <f t="shared" ca="1" si="200"/>
        <v>#N/A</v>
      </c>
      <c r="AE403" s="377" t="e">
        <f t="shared" ca="1" si="179"/>
        <v>#N/A</v>
      </c>
      <c r="AF403" s="344"/>
      <c r="AG403" s="359">
        <f t="shared" ca="1" si="201"/>
        <v>5.8441413261269695</v>
      </c>
      <c r="AH403" s="357">
        <f t="shared" ca="1" si="202"/>
        <v>-3.8667288175610928</v>
      </c>
    </row>
    <row r="404" spans="1:34" x14ac:dyDescent="0.2">
      <c r="A404" s="402">
        <f t="shared" ca="1" si="180"/>
        <v>1E-4</v>
      </c>
      <c r="B404" s="357">
        <f t="shared" ca="1" si="181"/>
        <v>15.606399999999947</v>
      </c>
      <c r="C404" s="342"/>
      <c r="D404" s="359">
        <f t="shared" ca="1" si="182"/>
        <v>-0.54831243771859739</v>
      </c>
      <c r="E404" s="360">
        <f t="shared" ca="1" si="183"/>
        <v>-5.9822742571457006</v>
      </c>
      <c r="F404" s="357">
        <f t="shared" ca="1" si="184"/>
        <v>6.007349816438615</v>
      </c>
      <c r="G404" s="359">
        <f t="shared" ca="1" si="185"/>
        <v>9.5456102364827302</v>
      </c>
      <c r="H404" s="360">
        <f t="shared" ca="1" si="186"/>
        <v>-66.638130770785082</v>
      </c>
      <c r="I404" s="357">
        <f t="shared" ca="1" si="187"/>
        <v>67.318341834979108</v>
      </c>
      <c r="J404" s="359">
        <f t="shared" ca="1" si="188"/>
        <v>187.70931447689617</v>
      </c>
      <c r="K404" s="360">
        <f t="shared" ca="1" si="189"/>
        <v>-4.4841336174233826</v>
      </c>
      <c r="L404" s="357">
        <f t="shared" ca="1" si="174"/>
        <v>187.76286692444066</v>
      </c>
      <c r="M404" s="359">
        <f t="shared" ca="1" si="190"/>
        <v>-1.4285187341458359</v>
      </c>
      <c r="N404" s="357">
        <f t="shared" ca="1" si="191"/>
        <v>-81.848094421927271</v>
      </c>
      <c r="O404" s="343"/>
      <c r="P404" s="363">
        <f t="shared" ca="1" si="192"/>
        <v>23</v>
      </c>
      <c r="Q404" s="357">
        <f t="shared" ca="1" si="193"/>
        <v>0</v>
      </c>
      <c r="R404" s="359">
        <f t="shared" ca="1" si="194"/>
        <v>0</v>
      </c>
      <c r="S404" s="360">
        <f t="shared" ca="1" si="195"/>
        <v>1.5629999999999982</v>
      </c>
      <c r="T404" s="357">
        <f t="shared" ca="1" si="175"/>
        <v>15.333029999999983</v>
      </c>
      <c r="U404" s="364">
        <f t="shared" ca="1" si="176"/>
        <v>0</v>
      </c>
      <c r="V404" s="359">
        <f t="shared" ca="1" si="177"/>
        <v>1.2255494295539113</v>
      </c>
      <c r="W404" s="357">
        <f t="shared" ca="1" si="178"/>
        <v>6.0439150710092928</v>
      </c>
      <c r="X404" s="343"/>
      <c r="Y404" s="367" t="str">
        <f t="shared" ca="1" si="196"/>
        <v/>
      </c>
      <c r="Z404" s="368" t="str">
        <f t="shared" ca="1" si="197"/>
        <v/>
      </c>
      <c r="AA404" s="369" t="str">
        <f t="shared" ca="1" si="198"/>
        <v/>
      </c>
      <c r="AB404" s="344"/>
      <c r="AC404" s="363" t="e">
        <f t="shared" ca="1" si="199"/>
        <v>#N/A</v>
      </c>
      <c r="AD404" s="376" t="e">
        <f t="shared" ca="1" si="200"/>
        <v>#N/A</v>
      </c>
      <c r="AE404" s="377" t="e">
        <f t="shared" ca="1" si="179"/>
        <v>#N/A</v>
      </c>
      <c r="AF404" s="344"/>
      <c r="AG404" s="359">
        <f t="shared" ca="1" si="201"/>
        <v>5.8440744856254927</v>
      </c>
      <c r="AH404" s="357">
        <f t="shared" ca="1" si="202"/>
        <v>-3.8667985326192533</v>
      </c>
    </row>
    <row r="405" spans="1:34" x14ac:dyDescent="0.2">
      <c r="A405" s="402">
        <f t="shared" ca="1" si="180"/>
        <v>1E-4</v>
      </c>
      <c r="B405" s="357">
        <f t="shared" ca="1" si="181"/>
        <v>15.606499999999947</v>
      </c>
      <c r="C405" s="342"/>
      <c r="D405" s="359">
        <f t="shared" ca="1" si="182"/>
        <v>-0.54831441359574873</v>
      </c>
      <c r="E405" s="360">
        <f t="shared" ca="1" si="183"/>
        <v>-5.9822041135671569</v>
      </c>
      <c r="F405" s="357">
        <f t="shared" ca="1" si="184"/>
        <v>6.0072801460009053</v>
      </c>
      <c r="G405" s="359">
        <f t="shared" ca="1" si="185"/>
        <v>9.5455554050413713</v>
      </c>
      <c r="H405" s="360">
        <f t="shared" ca="1" si="186"/>
        <v>-66.638728991196444</v>
      </c>
      <c r="I405" s="357">
        <f t="shared" ca="1" si="187"/>
        <v>67.318926235887332</v>
      </c>
      <c r="J405" s="359">
        <f t="shared" ca="1" si="188"/>
        <v>187.70931447689617</v>
      </c>
      <c r="K405" s="360">
        <f t="shared" ca="1" si="189"/>
        <v>-4.490797460411482</v>
      </c>
      <c r="L405" s="357">
        <f t="shared" ca="1" si="174"/>
        <v>187.76302618784331</v>
      </c>
      <c r="M405" s="359">
        <f t="shared" ca="1" si="190"/>
        <v>-1.4285208004874144</v>
      </c>
      <c r="N405" s="357">
        <f t="shared" ca="1" si="191"/>
        <v>-81.848212814578758</v>
      </c>
      <c r="O405" s="343"/>
      <c r="P405" s="363">
        <f t="shared" ca="1" si="192"/>
        <v>23</v>
      </c>
      <c r="Q405" s="357">
        <f t="shared" ca="1" si="193"/>
        <v>0</v>
      </c>
      <c r="R405" s="359">
        <f t="shared" ca="1" si="194"/>
        <v>0</v>
      </c>
      <c r="S405" s="360">
        <f t="shared" ca="1" si="195"/>
        <v>1.5629999999999982</v>
      </c>
      <c r="T405" s="357">
        <f t="shared" ca="1" si="175"/>
        <v>15.333029999999983</v>
      </c>
      <c r="U405" s="364">
        <f t="shared" ca="1" si="176"/>
        <v>0</v>
      </c>
      <c r="V405" s="359">
        <f t="shared" ca="1" si="177"/>
        <v>1.2255502462411216</v>
      </c>
      <c r="W405" s="357">
        <f t="shared" ca="1" si="178"/>
        <v>6.0440240354241688</v>
      </c>
      <c r="X405" s="343"/>
      <c r="Y405" s="367" t="str">
        <f t="shared" ca="1" si="196"/>
        <v/>
      </c>
      <c r="Z405" s="368" t="str">
        <f t="shared" ca="1" si="197"/>
        <v/>
      </c>
      <c r="AA405" s="369" t="str">
        <f t="shared" ca="1" si="198"/>
        <v/>
      </c>
      <c r="AB405" s="344"/>
      <c r="AC405" s="363" t="e">
        <f t="shared" ca="1" si="199"/>
        <v>#N/A</v>
      </c>
      <c r="AD405" s="376" t="e">
        <f t="shared" ca="1" si="200"/>
        <v>#N/A</v>
      </c>
      <c r="AE405" s="377" t="e">
        <f t="shared" ca="1" si="179"/>
        <v>#N/A</v>
      </c>
      <c r="AF405" s="344"/>
      <c r="AG405" s="359">
        <f t="shared" ca="1" si="201"/>
        <v>5.8440076450868244</v>
      </c>
      <c r="AH405" s="357">
        <f t="shared" ca="1" si="202"/>
        <v>-3.866868247606718</v>
      </c>
    </row>
    <row r="406" spans="1:34" x14ac:dyDescent="0.2">
      <c r="A406" s="402">
        <f t="shared" ca="1" si="180"/>
        <v>1E-4</v>
      </c>
      <c r="B406" s="357">
        <f t="shared" ca="1" si="181"/>
        <v>15.606599999999947</v>
      </c>
      <c r="C406" s="342"/>
      <c r="D406" s="359">
        <f t="shared" ca="1" si="182"/>
        <v>-0.5483163893580929</v>
      </c>
      <c r="E406" s="360">
        <f t="shared" ca="1" si="183"/>
        <v>-5.9821339700602856</v>
      </c>
      <c r="F406" s="357">
        <f t="shared" ca="1" si="184"/>
        <v>6.0072104756357527</v>
      </c>
      <c r="G406" s="359">
        <f t="shared" ca="1" si="185"/>
        <v>9.5455005734024354</v>
      </c>
      <c r="H406" s="360">
        <f t="shared" ca="1" si="186"/>
        <v>-66.639327204593457</v>
      </c>
      <c r="I406" s="357">
        <f t="shared" ca="1" si="187"/>
        <v>67.319510630111495</v>
      </c>
      <c r="J406" s="359">
        <f t="shared" ca="1" si="188"/>
        <v>187.70931447689617</v>
      </c>
      <c r="K406" s="360">
        <f t="shared" ca="1" si="189"/>
        <v>-4.4974613632212712</v>
      </c>
      <c r="L406" s="357">
        <f t="shared" ca="1" si="174"/>
        <v>187.76318568904813</v>
      </c>
      <c r="M406" s="359">
        <f t="shared" ca="1" si="190"/>
        <v>-1.4285228667812482</v>
      </c>
      <c r="N406" s="357">
        <f t="shared" ca="1" si="191"/>
        <v>-81.84833120449467</v>
      </c>
      <c r="O406" s="343"/>
      <c r="P406" s="363">
        <f t="shared" ca="1" si="192"/>
        <v>23</v>
      </c>
      <c r="Q406" s="357">
        <f t="shared" ca="1" si="193"/>
        <v>0</v>
      </c>
      <c r="R406" s="359">
        <f t="shared" ca="1" si="194"/>
        <v>0</v>
      </c>
      <c r="S406" s="360">
        <f t="shared" ca="1" si="195"/>
        <v>1.5629999999999982</v>
      </c>
      <c r="T406" s="357">
        <f t="shared" ca="1" si="175"/>
        <v>15.333029999999983</v>
      </c>
      <c r="U406" s="364">
        <f t="shared" ca="1" si="176"/>
        <v>0</v>
      </c>
      <c r="V406" s="359">
        <f t="shared" ca="1" si="177"/>
        <v>1.2255510629362079</v>
      </c>
      <c r="W406" s="357">
        <f t="shared" ca="1" si="178"/>
        <v>6.0441329997284843</v>
      </c>
      <c r="X406" s="343"/>
      <c r="Y406" s="367" t="str">
        <f t="shared" ca="1" si="196"/>
        <v/>
      </c>
      <c r="Z406" s="368" t="str">
        <f t="shared" ca="1" si="197"/>
        <v/>
      </c>
      <c r="AA406" s="369" t="str">
        <f t="shared" ca="1" si="198"/>
        <v/>
      </c>
      <c r="AB406" s="344"/>
      <c r="AC406" s="363" t="e">
        <f t="shared" ca="1" si="199"/>
        <v>#N/A</v>
      </c>
      <c r="AD406" s="376" t="e">
        <f t="shared" ca="1" si="200"/>
        <v>#N/A</v>
      </c>
      <c r="AE406" s="377" t="e">
        <f t="shared" ca="1" si="179"/>
        <v>#N/A</v>
      </c>
      <c r="AF406" s="344"/>
      <c r="AG406" s="359">
        <f t="shared" ca="1" si="201"/>
        <v>5.8439408045109928</v>
      </c>
      <c r="AH406" s="357">
        <f t="shared" ca="1" si="202"/>
        <v>-3.866937962523465</v>
      </c>
    </row>
    <row r="407" spans="1:34" x14ac:dyDescent="0.2">
      <c r="A407" s="402">
        <f t="shared" ca="1" si="180"/>
        <v>1E-4</v>
      </c>
      <c r="B407" s="357">
        <f t="shared" ca="1" si="181"/>
        <v>15.606699999999947</v>
      </c>
      <c r="C407" s="342"/>
      <c r="D407" s="359">
        <f t="shared" ca="1" si="182"/>
        <v>-0.54831836500563114</v>
      </c>
      <c r="E407" s="360">
        <f t="shared" ca="1" si="183"/>
        <v>-5.9820638266251072</v>
      </c>
      <c r="F407" s="357">
        <f t="shared" ca="1" si="184"/>
        <v>6.0071408053431767</v>
      </c>
      <c r="G407" s="359">
        <f t="shared" ca="1" si="185"/>
        <v>9.5454457415659348</v>
      </c>
      <c r="H407" s="360">
        <f t="shared" ca="1" si="186"/>
        <v>-66.639925410976119</v>
      </c>
      <c r="I407" s="357">
        <f t="shared" ca="1" si="187"/>
        <v>67.32009501765161</v>
      </c>
      <c r="J407" s="359">
        <f t="shared" ca="1" si="188"/>
        <v>187.70931447689617</v>
      </c>
      <c r="K407" s="360">
        <f t="shared" ca="1" si="189"/>
        <v>-4.5041253258520495</v>
      </c>
      <c r="L407" s="357">
        <f t="shared" ca="1" si="174"/>
        <v>187.7633454280608</v>
      </c>
      <c r="M407" s="359">
        <f t="shared" ca="1" si="190"/>
        <v>-1.4285249330273389</v>
      </c>
      <c r="N407" s="357">
        <f t="shared" ca="1" si="191"/>
        <v>-81.848449591675092</v>
      </c>
      <c r="O407" s="343"/>
      <c r="P407" s="363">
        <f t="shared" ca="1" si="192"/>
        <v>23</v>
      </c>
      <c r="Q407" s="357">
        <f t="shared" ca="1" si="193"/>
        <v>0</v>
      </c>
      <c r="R407" s="359">
        <f t="shared" ca="1" si="194"/>
        <v>0</v>
      </c>
      <c r="S407" s="360">
        <f t="shared" ca="1" si="195"/>
        <v>1.5629999999999982</v>
      </c>
      <c r="T407" s="357">
        <f t="shared" ca="1" si="175"/>
        <v>15.333029999999983</v>
      </c>
      <c r="U407" s="364">
        <f t="shared" ca="1" si="176"/>
        <v>0</v>
      </c>
      <c r="V407" s="359">
        <f t="shared" ca="1" si="177"/>
        <v>1.22555187963917</v>
      </c>
      <c r="W407" s="357">
        <f t="shared" ca="1" si="178"/>
        <v>6.0442419639222154</v>
      </c>
      <c r="X407" s="343"/>
      <c r="Y407" s="367" t="str">
        <f t="shared" ca="1" si="196"/>
        <v/>
      </c>
      <c r="Z407" s="368" t="str">
        <f t="shared" ca="1" si="197"/>
        <v/>
      </c>
      <c r="AA407" s="369" t="str">
        <f t="shared" ca="1" si="198"/>
        <v/>
      </c>
      <c r="AB407" s="344"/>
      <c r="AC407" s="363" t="e">
        <f t="shared" ca="1" si="199"/>
        <v>#N/A</v>
      </c>
      <c r="AD407" s="376" t="e">
        <f t="shared" ca="1" si="200"/>
        <v>#N/A</v>
      </c>
      <c r="AE407" s="377" t="e">
        <f t="shared" ca="1" si="179"/>
        <v>#N/A</v>
      </c>
      <c r="AF407" s="344"/>
      <c r="AG407" s="359">
        <f t="shared" ca="1" si="201"/>
        <v>5.8438739638980204</v>
      </c>
      <c r="AH407" s="357">
        <f t="shared" ca="1" si="202"/>
        <v>-3.8670076773694761</v>
      </c>
    </row>
    <row r="408" spans="1:34" x14ac:dyDescent="0.2">
      <c r="A408" s="402">
        <f t="shared" ca="1" si="180"/>
        <v>1E-4</v>
      </c>
      <c r="B408" s="357">
        <f t="shared" ca="1" si="181"/>
        <v>15.606799999999946</v>
      </c>
      <c r="C408" s="342"/>
      <c r="D408" s="359">
        <f t="shared" ca="1" si="182"/>
        <v>-0.54832034053836565</v>
      </c>
      <c r="E408" s="360">
        <f t="shared" ca="1" si="183"/>
        <v>-5.9819936832616358</v>
      </c>
      <c r="F408" s="357">
        <f t="shared" ca="1" si="184"/>
        <v>6.0070711351231907</v>
      </c>
      <c r="G408" s="359">
        <f t="shared" ca="1" si="185"/>
        <v>9.5453909095318803</v>
      </c>
      <c r="H408" s="360">
        <f t="shared" ca="1" si="186"/>
        <v>-66.640523610344445</v>
      </c>
      <c r="I408" s="357">
        <f t="shared" ca="1" si="187"/>
        <v>67.320679398507622</v>
      </c>
      <c r="J408" s="359">
        <f t="shared" ca="1" si="188"/>
        <v>187.70931447689617</v>
      </c>
      <c r="K408" s="360">
        <f t="shared" ca="1" si="189"/>
        <v>-4.5107893483031152</v>
      </c>
      <c r="L408" s="357">
        <f t="shared" ca="1" si="174"/>
        <v>187.76350540488707</v>
      </c>
      <c r="M408" s="359">
        <f t="shared" ca="1" si="190"/>
        <v>-1.4285269992256882</v>
      </c>
      <c r="N408" s="357">
        <f t="shared" ca="1" si="191"/>
        <v>-81.848567976120151</v>
      </c>
      <c r="O408" s="343"/>
      <c r="P408" s="363">
        <f t="shared" ca="1" si="192"/>
        <v>23</v>
      </c>
      <c r="Q408" s="357">
        <f t="shared" ca="1" si="193"/>
        <v>0</v>
      </c>
      <c r="R408" s="359">
        <f t="shared" ca="1" si="194"/>
        <v>0</v>
      </c>
      <c r="S408" s="360">
        <f t="shared" ca="1" si="195"/>
        <v>1.5629999999999982</v>
      </c>
      <c r="T408" s="357">
        <f t="shared" ca="1" si="175"/>
        <v>15.333029999999983</v>
      </c>
      <c r="U408" s="364">
        <f t="shared" ca="1" si="176"/>
        <v>0</v>
      </c>
      <c r="V408" s="359">
        <f t="shared" ca="1" si="177"/>
        <v>1.2255526963500076</v>
      </c>
      <c r="W408" s="357">
        <f t="shared" ca="1" si="178"/>
        <v>6.0443509280053176</v>
      </c>
      <c r="X408" s="343"/>
      <c r="Y408" s="367" t="str">
        <f t="shared" ca="1" si="196"/>
        <v/>
      </c>
      <c r="Z408" s="368" t="str">
        <f t="shared" ca="1" si="197"/>
        <v/>
      </c>
      <c r="AA408" s="369" t="str">
        <f t="shared" ca="1" si="198"/>
        <v/>
      </c>
      <c r="AB408" s="344"/>
      <c r="AC408" s="363" t="e">
        <f t="shared" ca="1" si="199"/>
        <v>#N/A</v>
      </c>
      <c r="AD408" s="376" t="e">
        <f t="shared" ca="1" si="200"/>
        <v>#N/A</v>
      </c>
      <c r="AE408" s="377" t="e">
        <f t="shared" ca="1" si="179"/>
        <v>#N/A</v>
      </c>
      <c r="AF408" s="344"/>
      <c r="AG408" s="359">
        <f t="shared" ca="1" si="201"/>
        <v>5.8438071232479274</v>
      </c>
      <c r="AH408" s="357">
        <f t="shared" ca="1" si="202"/>
        <v>-3.8670773921447359</v>
      </c>
    </row>
    <row r="409" spans="1:34" x14ac:dyDescent="0.2">
      <c r="A409" s="402">
        <f t="shared" ca="1" si="180"/>
        <v>1E-4</v>
      </c>
      <c r="B409" s="357">
        <f t="shared" ca="1" si="181"/>
        <v>15.606899999999946</v>
      </c>
      <c r="C409" s="342"/>
      <c r="D409" s="359">
        <f t="shared" ca="1" si="182"/>
        <v>-0.54832231595629588</v>
      </c>
      <c r="E409" s="360">
        <f t="shared" ca="1" si="183"/>
        <v>-5.9819235399699</v>
      </c>
      <c r="F409" s="357">
        <f t="shared" ca="1" si="184"/>
        <v>6.0070014649758239</v>
      </c>
      <c r="G409" s="359">
        <f t="shared" ca="1" si="185"/>
        <v>9.5453360773002842</v>
      </c>
      <c r="H409" s="360">
        <f t="shared" ca="1" si="186"/>
        <v>-66.641121802698436</v>
      </c>
      <c r="I409" s="357">
        <f t="shared" ca="1" si="187"/>
        <v>67.321263772679586</v>
      </c>
      <c r="J409" s="359">
        <f t="shared" ca="1" si="188"/>
        <v>187.70931447689617</v>
      </c>
      <c r="K409" s="360">
        <f t="shared" ca="1" si="189"/>
        <v>-4.5174534305737675</v>
      </c>
      <c r="L409" s="357">
        <f t="shared" ca="1" si="174"/>
        <v>187.76366561953276</v>
      </c>
      <c r="M409" s="359">
        <f t="shared" ca="1" si="190"/>
        <v>-1.4285290653762976</v>
      </c>
      <c r="N409" s="357">
        <f t="shared" ca="1" si="191"/>
        <v>-81.848686357829919</v>
      </c>
      <c r="O409" s="343"/>
      <c r="P409" s="363">
        <f t="shared" ca="1" si="192"/>
        <v>23</v>
      </c>
      <c r="Q409" s="357">
        <f t="shared" ca="1" si="193"/>
        <v>0</v>
      </c>
      <c r="R409" s="359">
        <f t="shared" ca="1" si="194"/>
        <v>0</v>
      </c>
      <c r="S409" s="360">
        <f t="shared" ca="1" si="195"/>
        <v>1.5629999999999982</v>
      </c>
      <c r="T409" s="357">
        <f t="shared" ca="1" si="175"/>
        <v>15.333029999999983</v>
      </c>
      <c r="U409" s="364">
        <f t="shared" ca="1" si="176"/>
        <v>0</v>
      </c>
      <c r="V409" s="359">
        <f t="shared" ca="1" si="177"/>
        <v>1.225553513068721</v>
      </c>
      <c r="W409" s="357">
        <f t="shared" ca="1" si="178"/>
        <v>6.0444598919777732</v>
      </c>
      <c r="X409" s="343"/>
      <c r="Y409" s="367" t="str">
        <f t="shared" ca="1" si="196"/>
        <v/>
      </c>
      <c r="Z409" s="368" t="str">
        <f t="shared" ca="1" si="197"/>
        <v/>
      </c>
      <c r="AA409" s="369" t="str">
        <f t="shared" ca="1" si="198"/>
        <v/>
      </c>
      <c r="AB409" s="344"/>
      <c r="AC409" s="363" t="e">
        <f t="shared" ca="1" si="199"/>
        <v>#N/A</v>
      </c>
      <c r="AD409" s="376" t="e">
        <f t="shared" ca="1" si="200"/>
        <v>#N/A</v>
      </c>
      <c r="AE409" s="377" t="e">
        <f t="shared" ca="1" si="179"/>
        <v>#N/A</v>
      </c>
      <c r="AF409" s="344"/>
      <c r="AG409" s="359">
        <f t="shared" ca="1" si="201"/>
        <v>5.8437402825607503</v>
      </c>
      <c r="AH409" s="357">
        <f t="shared" ca="1" si="202"/>
        <v>-3.8671471068492163</v>
      </c>
    </row>
    <row r="410" spans="1:34" x14ac:dyDescent="0.2">
      <c r="A410" s="402">
        <f t="shared" ca="1" si="180"/>
        <v>1E-4</v>
      </c>
      <c r="B410" s="357">
        <f t="shared" ca="1" si="181"/>
        <v>15.606999999999946</v>
      </c>
      <c r="C410" s="342"/>
      <c r="D410" s="359">
        <f t="shared" ca="1" si="182"/>
        <v>-0.54832429125942461</v>
      </c>
      <c r="E410" s="360">
        <f t="shared" ca="1" si="183"/>
        <v>-5.9818533967499121</v>
      </c>
      <c r="F410" s="357">
        <f t="shared" ca="1" si="184"/>
        <v>6.0069317949010888</v>
      </c>
      <c r="G410" s="359">
        <f t="shared" ca="1" si="185"/>
        <v>9.545281244871159</v>
      </c>
      <c r="H410" s="360">
        <f t="shared" ca="1" si="186"/>
        <v>-66.641719988038105</v>
      </c>
      <c r="I410" s="357">
        <f t="shared" ca="1" si="187"/>
        <v>67.321848140167447</v>
      </c>
      <c r="J410" s="359">
        <f t="shared" ca="1" si="188"/>
        <v>187.70931447689617</v>
      </c>
      <c r="K410" s="360">
        <f t="shared" ca="1" si="189"/>
        <v>-4.5241175726633047</v>
      </c>
      <c r="L410" s="357">
        <f t="shared" ca="1" si="174"/>
        <v>187.7638260720035</v>
      </c>
      <c r="M410" s="359">
        <f t="shared" ca="1" si="190"/>
        <v>-1.4285311314791693</v>
      </c>
      <c r="N410" s="357">
        <f t="shared" ca="1" si="191"/>
        <v>-81.848804736804496</v>
      </c>
      <c r="O410" s="343"/>
      <c r="P410" s="363">
        <f t="shared" ca="1" si="192"/>
        <v>23</v>
      </c>
      <c r="Q410" s="357">
        <f t="shared" ca="1" si="193"/>
        <v>0</v>
      </c>
      <c r="R410" s="359">
        <f t="shared" ca="1" si="194"/>
        <v>0</v>
      </c>
      <c r="S410" s="360">
        <f t="shared" ca="1" si="195"/>
        <v>1.5629999999999982</v>
      </c>
      <c r="T410" s="357">
        <f t="shared" ca="1" si="175"/>
        <v>15.333029999999983</v>
      </c>
      <c r="U410" s="364">
        <f t="shared" ca="1" si="176"/>
        <v>0</v>
      </c>
      <c r="V410" s="359">
        <f t="shared" ca="1" si="177"/>
        <v>1.2255543297953095</v>
      </c>
      <c r="W410" s="357">
        <f t="shared" ca="1" si="178"/>
        <v>6.0445688558395396</v>
      </c>
      <c r="X410" s="343"/>
      <c r="Y410" s="367" t="str">
        <f t="shared" ca="1" si="196"/>
        <v/>
      </c>
      <c r="Z410" s="368" t="str">
        <f t="shared" ca="1" si="197"/>
        <v/>
      </c>
      <c r="AA410" s="369" t="str">
        <f t="shared" ca="1" si="198"/>
        <v/>
      </c>
      <c r="AB410" s="344"/>
      <c r="AC410" s="363" t="e">
        <f t="shared" ca="1" si="199"/>
        <v>#N/A</v>
      </c>
      <c r="AD410" s="376" t="e">
        <f t="shared" ca="1" si="200"/>
        <v>#N/A</v>
      </c>
      <c r="AE410" s="377" t="e">
        <f t="shared" ca="1" si="179"/>
        <v>#N/A</v>
      </c>
      <c r="AF410" s="344"/>
      <c r="AG410" s="359">
        <f t="shared" ca="1" si="201"/>
        <v>5.8436734418365051</v>
      </c>
      <c r="AH410" s="357">
        <f t="shared" ca="1" si="202"/>
        <v>-3.8672168214829048</v>
      </c>
    </row>
    <row r="411" spans="1:34" x14ac:dyDescent="0.2">
      <c r="A411" s="402">
        <f t="shared" ca="1" si="180"/>
        <v>1E-4</v>
      </c>
      <c r="B411" s="357">
        <f t="shared" ca="1" si="181"/>
        <v>15.607099999999946</v>
      </c>
      <c r="C411" s="342"/>
      <c r="D411" s="359">
        <f t="shared" ca="1" si="182"/>
        <v>-0.54832626644775095</v>
      </c>
      <c r="E411" s="360">
        <f t="shared" ca="1" si="183"/>
        <v>-5.9817832536016979</v>
      </c>
      <c r="F411" s="357">
        <f t="shared" ca="1" si="184"/>
        <v>6.0068621248990093</v>
      </c>
      <c r="G411" s="359">
        <f t="shared" ca="1" si="185"/>
        <v>9.5452264122445136</v>
      </c>
      <c r="H411" s="360">
        <f t="shared" ca="1" si="186"/>
        <v>-66.642318166363467</v>
      </c>
      <c r="I411" s="357">
        <f t="shared" ca="1" si="187"/>
        <v>67.322432500971246</v>
      </c>
      <c r="J411" s="359">
        <f t="shared" ca="1" si="188"/>
        <v>187.70931447689617</v>
      </c>
      <c r="K411" s="360">
        <f t="shared" ca="1" si="189"/>
        <v>-4.5307817745710244</v>
      </c>
      <c r="L411" s="357">
        <f t="shared" ca="1" si="174"/>
        <v>187.76398676230511</v>
      </c>
      <c r="M411" s="359">
        <f t="shared" ca="1" si="190"/>
        <v>-1.4285331975343047</v>
      </c>
      <c r="N411" s="357">
        <f t="shared" ca="1" si="191"/>
        <v>-81.848923113043995</v>
      </c>
      <c r="O411" s="343"/>
      <c r="P411" s="363">
        <f t="shared" ca="1" si="192"/>
        <v>23</v>
      </c>
      <c r="Q411" s="357">
        <f t="shared" ca="1" si="193"/>
        <v>0</v>
      </c>
      <c r="R411" s="359">
        <f t="shared" ca="1" si="194"/>
        <v>0</v>
      </c>
      <c r="S411" s="360">
        <f t="shared" ca="1" si="195"/>
        <v>1.5629999999999982</v>
      </c>
      <c r="T411" s="357">
        <f t="shared" ca="1" si="175"/>
        <v>15.333029999999983</v>
      </c>
      <c r="U411" s="364">
        <f t="shared" ca="1" si="176"/>
        <v>0</v>
      </c>
      <c r="V411" s="359">
        <f t="shared" ca="1" si="177"/>
        <v>1.225555146529774</v>
      </c>
      <c r="W411" s="357">
        <f t="shared" ca="1" si="178"/>
        <v>6.0446778195905981</v>
      </c>
      <c r="X411" s="343"/>
      <c r="Y411" s="367" t="str">
        <f t="shared" ca="1" si="196"/>
        <v/>
      </c>
      <c r="Z411" s="368" t="str">
        <f t="shared" ca="1" si="197"/>
        <v/>
      </c>
      <c r="AA411" s="369" t="str">
        <f t="shared" ca="1" si="198"/>
        <v/>
      </c>
      <c r="AB411" s="344"/>
      <c r="AC411" s="363" t="e">
        <f t="shared" ca="1" si="199"/>
        <v>#N/A</v>
      </c>
      <c r="AD411" s="376" t="e">
        <f t="shared" ca="1" si="200"/>
        <v>#N/A</v>
      </c>
      <c r="AE411" s="377" t="e">
        <f t="shared" ca="1" si="179"/>
        <v>#N/A</v>
      </c>
      <c r="AF411" s="344"/>
      <c r="AG411" s="359">
        <f t="shared" ca="1" si="201"/>
        <v>5.843606601075221</v>
      </c>
      <c r="AH411" s="357">
        <f t="shared" ca="1" si="202"/>
        <v>-3.8672865360457753</v>
      </c>
    </row>
    <row r="412" spans="1:34" x14ac:dyDescent="0.2">
      <c r="A412" s="402">
        <f t="shared" ca="1" si="180"/>
        <v>1E-4</v>
      </c>
      <c r="B412" s="357">
        <f t="shared" ca="1" si="181"/>
        <v>15.607199999999946</v>
      </c>
      <c r="C412" s="342"/>
      <c r="D412" s="359">
        <f t="shared" ca="1" si="182"/>
        <v>-0.54832824152127746</v>
      </c>
      <c r="E412" s="360">
        <f t="shared" ca="1" si="183"/>
        <v>-5.9817131105252717</v>
      </c>
      <c r="F412" s="357">
        <f t="shared" ca="1" si="184"/>
        <v>6.0067924549696015</v>
      </c>
      <c r="G412" s="359">
        <f t="shared" ca="1" si="185"/>
        <v>9.5451715794203622</v>
      </c>
      <c r="H412" s="360">
        <f t="shared" ca="1" si="186"/>
        <v>-66.642916337674521</v>
      </c>
      <c r="I412" s="357">
        <f t="shared" ca="1" si="187"/>
        <v>67.323016855090955</v>
      </c>
      <c r="J412" s="359">
        <f t="shared" ca="1" si="188"/>
        <v>187.70931447689617</v>
      </c>
      <c r="K412" s="360">
        <f t="shared" ca="1" si="189"/>
        <v>-4.5374460362962266</v>
      </c>
      <c r="L412" s="357">
        <f t="shared" ca="1" si="174"/>
        <v>187.76414769044328</v>
      </c>
      <c r="M412" s="359">
        <f t="shared" ca="1" si="190"/>
        <v>-1.4285352635417057</v>
      </c>
      <c r="N412" s="357">
        <f t="shared" ca="1" si="191"/>
        <v>-81.849041486548515</v>
      </c>
      <c r="O412" s="343"/>
      <c r="P412" s="363">
        <f t="shared" ca="1" si="192"/>
        <v>23</v>
      </c>
      <c r="Q412" s="357">
        <f t="shared" ca="1" si="193"/>
        <v>0</v>
      </c>
      <c r="R412" s="359">
        <f t="shared" ca="1" si="194"/>
        <v>0</v>
      </c>
      <c r="S412" s="360">
        <f t="shared" ca="1" si="195"/>
        <v>1.5629999999999982</v>
      </c>
      <c r="T412" s="357">
        <f t="shared" ca="1" si="175"/>
        <v>15.333029999999983</v>
      </c>
      <c r="U412" s="364">
        <f t="shared" ca="1" si="176"/>
        <v>0</v>
      </c>
      <c r="V412" s="359">
        <f t="shared" ca="1" si="177"/>
        <v>1.2255559632721134</v>
      </c>
      <c r="W412" s="357">
        <f t="shared" ca="1" si="178"/>
        <v>6.044786783230907</v>
      </c>
      <c r="X412" s="343"/>
      <c r="Y412" s="367" t="str">
        <f t="shared" ca="1" si="196"/>
        <v/>
      </c>
      <c r="Z412" s="368" t="str">
        <f t="shared" ca="1" si="197"/>
        <v/>
      </c>
      <c r="AA412" s="369" t="str">
        <f t="shared" ca="1" si="198"/>
        <v/>
      </c>
      <c r="AB412" s="344"/>
      <c r="AC412" s="363" t="e">
        <f t="shared" ca="1" si="199"/>
        <v>#N/A</v>
      </c>
      <c r="AD412" s="376" t="e">
        <f t="shared" ca="1" si="200"/>
        <v>#N/A</v>
      </c>
      <c r="AE412" s="377" t="e">
        <f t="shared" ca="1" si="179"/>
        <v>#N/A</v>
      </c>
      <c r="AF412" s="344"/>
      <c r="AG412" s="359">
        <f t="shared" ca="1" si="201"/>
        <v>5.8435397602769168</v>
      </c>
      <c r="AH412" s="357">
        <f t="shared" ca="1" si="202"/>
        <v>-3.8673562505378154</v>
      </c>
    </row>
    <row r="413" spans="1:34" x14ac:dyDescent="0.2">
      <c r="A413" s="402">
        <f t="shared" ca="1" si="180"/>
        <v>1E-4</v>
      </c>
      <c r="B413" s="357">
        <f t="shared" ca="1" si="181"/>
        <v>15.607299999999945</v>
      </c>
      <c r="C413" s="342"/>
      <c r="D413" s="359">
        <f t="shared" ca="1" si="182"/>
        <v>-0.54833021648000402</v>
      </c>
      <c r="E413" s="360">
        <f t="shared" ca="1" si="183"/>
        <v>-5.9816429675206599</v>
      </c>
      <c r="F413" s="357">
        <f t="shared" ca="1" si="184"/>
        <v>6.0067227851128919</v>
      </c>
      <c r="G413" s="359">
        <f t="shared" ca="1" si="185"/>
        <v>9.5451167463987137</v>
      </c>
      <c r="H413" s="360">
        <f t="shared" ca="1" si="186"/>
        <v>-66.643514501971268</v>
      </c>
      <c r="I413" s="357">
        <f t="shared" ca="1" si="187"/>
        <v>67.323601202526561</v>
      </c>
      <c r="J413" s="359">
        <f t="shared" ca="1" si="188"/>
        <v>187.70931447689617</v>
      </c>
      <c r="K413" s="360">
        <f t="shared" ca="1" si="189"/>
        <v>-4.5441103578382087</v>
      </c>
      <c r="L413" s="357">
        <f t="shared" ca="1" si="174"/>
        <v>187.76430885642381</v>
      </c>
      <c r="M413" s="359">
        <f t="shared" ca="1" si="190"/>
        <v>-1.4285373295013737</v>
      </c>
      <c r="N413" s="357">
        <f t="shared" ca="1" si="191"/>
        <v>-81.849159857318142</v>
      </c>
      <c r="O413" s="343"/>
      <c r="P413" s="363">
        <f t="shared" ca="1" si="192"/>
        <v>23</v>
      </c>
      <c r="Q413" s="357">
        <f t="shared" ca="1" si="193"/>
        <v>0</v>
      </c>
      <c r="R413" s="359">
        <f t="shared" ca="1" si="194"/>
        <v>0</v>
      </c>
      <c r="S413" s="360">
        <f t="shared" ca="1" si="195"/>
        <v>1.5629999999999982</v>
      </c>
      <c r="T413" s="357">
        <f t="shared" ca="1" si="175"/>
        <v>15.333029999999983</v>
      </c>
      <c r="U413" s="364">
        <f t="shared" ca="1" si="176"/>
        <v>0</v>
      </c>
      <c r="V413" s="359">
        <f t="shared" ca="1" si="177"/>
        <v>1.2255567800223286</v>
      </c>
      <c r="W413" s="357">
        <f t="shared" ca="1" si="178"/>
        <v>6.0448957467604432</v>
      </c>
      <c r="X413" s="343"/>
      <c r="Y413" s="367" t="str">
        <f t="shared" ca="1" si="196"/>
        <v/>
      </c>
      <c r="Z413" s="368" t="str">
        <f t="shared" ca="1" si="197"/>
        <v/>
      </c>
      <c r="AA413" s="369" t="str">
        <f t="shared" ca="1" si="198"/>
        <v/>
      </c>
      <c r="AB413" s="344"/>
      <c r="AC413" s="363" t="e">
        <f t="shared" ca="1" si="199"/>
        <v>#N/A</v>
      </c>
      <c r="AD413" s="376" t="e">
        <f t="shared" ca="1" si="200"/>
        <v>#N/A</v>
      </c>
      <c r="AE413" s="377" t="e">
        <f t="shared" ca="1" si="179"/>
        <v>#N/A</v>
      </c>
      <c r="AF413" s="344"/>
      <c r="AG413" s="359">
        <f t="shared" ca="1" si="201"/>
        <v>5.8434729194416262</v>
      </c>
      <c r="AH413" s="357">
        <f t="shared" ca="1" si="202"/>
        <v>-3.8674259649589979</v>
      </c>
    </row>
    <row r="414" spans="1:34" x14ac:dyDescent="0.2">
      <c r="A414" s="402">
        <f t="shared" ca="1" si="180"/>
        <v>1E-4</v>
      </c>
      <c r="B414" s="357">
        <f t="shared" ca="1" si="181"/>
        <v>15.607399999999945</v>
      </c>
      <c r="C414" s="342"/>
      <c r="D414" s="359">
        <f t="shared" ca="1" si="182"/>
        <v>-0.54833219132393296</v>
      </c>
      <c r="E414" s="360">
        <f t="shared" ca="1" si="183"/>
        <v>-5.9815728245878743</v>
      </c>
      <c r="F414" s="357">
        <f t="shared" ca="1" si="184"/>
        <v>6.0066531153288905</v>
      </c>
      <c r="G414" s="359">
        <f t="shared" ca="1" si="185"/>
        <v>9.5450619131795804</v>
      </c>
      <c r="H414" s="360">
        <f t="shared" ca="1" si="186"/>
        <v>-66.644112659253722</v>
      </c>
      <c r="I414" s="357">
        <f t="shared" ca="1" si="187"/>
        <v>67.324185543278091</v>
      </c>
      <c r="J414" s="359">
        <f t="shared" ca="1" si="188"/>
        <v>187.70931447689617</v>
      </c>
      <c r="K414" s="360">
        <f t="shared" ca="1" si="189"/>
        <v>-4.5507747391962701</v>
      </c>
      <c r="L414" s="357">
        <f t="shared" ca="1" si="174"/>
        <v>187.76447026025238</v>
      </c>
      <c r="M414" s="359">
        <f t="shared" ca="1" si="190"/>
        <v>-1.4285393954133108</v>
      </c>
      <c r="N414" s="357">
        <f t="shared" ca="1" si="191"/>
        <v>-81.849278225352975</v>
      </c>
      <c r="O414" s="343"/>
      <c r="P414" s="363">
        <f t="shared" ca="1" si="192"/>
        <v>23</v>
      </c>
      <c r="Q414" s="357">
        <f t="shared" ca="1" si="193"/>
        <v>0</v>
      </c>
      <c r="R414" s="359">
        <f t="shared" ca="1" si="194"/>
        <v>0</v>
      </c>
      <c r="S414" s="360">
        <f t="shared" ca="1" si="195"/>
        <v>1.5629999999999982</v>
      </c>
      <c r="T414" s="357">
        <f t="shared" ca="1" si="175"/>
        <v>15.333029999999983</v>
      </c>
      <c r="U414" s="364">
        <f t="shared" ca="1" si="176"/>
        <v>0</v>
      </c>
      <c r="V414" s="359">
        <f t="shared" ca="1" si="177"/>
        <v>1.2255575967804186</v>
      </c>
      <c r="W414" s="357">
        <f t="shared" ca="1" si="178"/>
        <v>6.0450047101791711</v>
      </c>
      <c r="X414" s="343"/>
      <c r="Y414" s="367" t="str">
        <f t="shared" ca="1" si="196"/>
        <v/>
      </c>
      <c r="Z414" s="368" t="str">
        <f t="shared" ca="1" si="197"/>
        <v/>
      </c>
      <c r="AA414" s="369" t="str">
        <f t="shared" ca="1" si="198"/>
        <v/>
      </c>
      <c r="AB414" s="344"/>
      <c r="AC414" s="363" t="e">
        <f t="shared" ca="1" si="199"/>
        <v>#N/A</v>
      </c>
      <c r="AD414" s="376" t="e">
        <f t="shared" ca="1" si="200"/>
        <v>#N/A</v>
      </c>
      <c r="AE414" s="377" t="e">
        <f t="shared" ca="1" si="179"/>
        <v>#N/A</v>
      </c>
      <c r="AF414" s="344"/>
      <c r="AG414" s="359">
        <f t="shared" ca="1" si="201"/>
        <v>5.8434060785693678</v>
      </c>
      <c r="AH414" s="357">
        <f t="shared" ca="1" si="202"/>
        <v>-3.8674956793093092</v>
      </c>
    </row>
    <row r="415" spans="1:34" x14ac:dyDescent="0.2">
      <c r="A415" s="402">
        <f t="shared" ca="1" si="180"/>
        <v>1E-4</v>
      </c>
      <c r="B415" s="357">
        <f t="shared" ca="1" si="181"/>
        <v>15.607499999999945</v>
      </c>
      <c r="C415" s="342"/>
      <c r="D415" s="359">
        <f t="shared" ca="1" si="182"/>
        <v>-0.54833416605306362</v>
      </c>
      <c r="E415" s="360">
        <f t="shared" ca="1" si="183"/>
        <v>-5.9815026817269414</v>
      </c>
      <c r="F415" s="357">
        <f t="shared" ca="1" si="184"/>
        <v>6.0065834456176255</v>
      </c>
      <c r="G415" s="359">
        <f t="shared" ca="1" si="185"/>
        <v>9.5450070797629749</v>
      </c>
      <c r="H415" s="360">
        <f t="shared" ca="1" si="186"/>
        <v>-66.644710809521897</v>
      </c>
      <c r="I415" s="357">
        <f t="shared" ca="1" si="187"/>
        <v>67.324769877345517</v>
      </c>
      <c r="J415" s="359">
        <f t="shared" ca="1" si="188"/>
        <v>187.70931447689617</v>
      </c>
      <c r="K415" s="360">
        <f t="shared" ca="1" si="189"/>
        <v>-4.557439180369709</v>
      </c>
      <c r="L415" s="357">
        <f t="shared" ca="1" si="174"/>
        <v>187.76463190193479</v>
      </c>
      <c r="M415" s="359">
        <f t="shared" ca="1" si="190"/>
        <v>-1.4285414612775182</v>
      </c>
      <c r="N415" s="357">
        <f t="shared" ca="1" si="191"/>
        <v>-81.849396590653114</v>
      </c>
      <c r="O415" s="343"/>
      <c r="P415" s="363">
        <f t="shared" ca="1" si="192"/>
        <v>23</v>
      </c>
      <c r="Q415" s="357">
        <f t="shared" ca="1" si="193"/>
        <v>0</v>
      </c>
      <c r="R415" s="359">
        <f t="shared" ca="1" si="194"/>
        <v>0</v>
      </c>
      <c r="S415" s="360">
        <f t="shared" ca="1" si="195"/>
        <v>1.5629999999999982</v>
      </c>
      <c r="T415" s="357">
        <f t="shared" ca="1" si="175"/>
        <v>15.333029999999983</v>
      </c>
      <c r="U415" s="364">
        <f t="shared" ca="1" si="176"/>
        <v>0</v>
      </c>
      <c r="V415" s="359">
        <f t="shared" ca="1" si="177"/>
        <v>1.2255584135463844</v>
      </c>
      <c r="W415" s="357">
        <f t="shared" ca="1" si="178"/>
        <v>6.0451136734870641</v>
      </c>
      <c r="X415" s="343"/>
      <c r="Y415" s="367" t="str">
        <f t="shared" ca="1" si="196"/>
        <v/>
      </c>
      <c r="Z415" s="368" t="str">
        <f t="shared" ca="1" si="197"/>
        <v/>
      </c>
      <c r="AA415" s="369" t="str">
        <f t="shared" ca="1" si="198"/>
        <v/>
      </c>
      <c r="AB415" s="344"/>
      <c r="AC415" s="363" t="e">
        <f t="shared" ca="1" si="199"/>
        <v>#N/A</v>
      </c>
      <c r="AD415" s="376" t="e">
        <f t="shared" ca="1" si="200"/>
        <v>#N/A</v>
      </c>
      <c r="AE415" s="377" t="e">
        <f t="shared" ca="1" si="179"/>
        <v>#N/A</v>
      </c>
      <c r="AF415" s="344"/>
      <c r="AG415" s="359">
        <f t="shared" ca="1" si="201"/>
        <v>5.8433392376601709</v>
      </c>
      <c r="AH415" s="357">
        <f t="shared" ca="1" si="202"/>
        <v>-3.8675653935887255</v>
      </c>
    </row>
    <row r="416" spans="1:34" x14ac:dyDescent="0.2">
      <c r="A416" s="402">
        <f t="shared" ca="1" si="180"/>
        <v>1E-4</v>
      </c>
      <c r="B416" s="357">
        <f t="shared" ca="1" si="181"/>
        <v>15.607599999999945</v>
      </c>
      <c r="C416" s="342"/>
      <c r="D416" s="359">
        <f t="shared" ca="1" si="182"/>
        <v>-0.54833614066739911</v>
      </c>
      <c r="E416" s="360">
        <f t="shared" ca="1" si="183"/>
        <v>-5.9814325389378773</v>
      </c>
      <c r="F416" s="357">
        <f t="shared" ca="1" si="184"/>
        <v>6.0065137759791112</v>
      </c>
      <c r="G416" s="359">
        <f t="shared" ca="1" si="185"/>
        <v>9.5449522461489078</v>
      </c>
      <c r="H416" s="360">
        <f t="shared" ca="1" si="186"/>
        <v>-66.645308952775792</v>
      </c>
      <c r="I416" s="357">
        <f t="shared" ca="1" si="187"/>
        <v>67.325354204728839</v>
      </c>
      <c r="J416" s="359">
        <f t="shared" ca="1" si="188"/>
        <v>187.70931447689617</v>
      </c>
      <c r="K416" s="360">
        <f t="shared" ca="1" si="189"/>
        <v>-4.5641036813578237</v>
      </c>
      <c r="L416" s="357">
        <f t="shared" ca="1" si="174"/>
        <v>187.76479378147673</v>
      </c>
      <c r="M416" s="359">
        <f t="shared" ca="1" si="190"/>
        <v>-1.4285435270939981</v>
      </c>
      <c r="N416" s="357">
        <f t="shared" ca="1" si="191"/>
        <v>-81.849514953218659</v>
      </c>
      <c r="O416" s="343"/>
      <c r="P416" s="363">
        <f t="shared" ca="1" si="192"/>
        <v>23</v>
      </c>
      <c r="Q416" s="357">
        <f t="shared" ca="1" si="193"/>
        <v>0</v>
      </c>
      <c r="R416" s="359">
        <f t="shared" ca="1" si="194"/>
        <v>0</v>
      </c>
      <c r="S416" s="360">
        <f t="shared" ca="1" si="195"/>
        <v>1.5629999999999982</v>
      </c>
      <c r="T416" s="357">
        <f t="shared" ca="1" si="175"/>
        <v>15.333029999999983</v>
      </c>
      <c r="U416" s="364">
        <f t="shared" ca="1" si="176"/>
        <v>0</v>
      </c>
      <c r="V416" s="359">
        <f t="shared" ca="1" si="177"/>
        <v>1.2255592303202245</v>
      </c>
      <c r="W416" s="357">
        <f t="shared" ca="1" si="178"/>
        <v>6.045222636684084</v>
      </c>
      <c r="X416" s="343"/>
      <c r="Y416" s="367" t="str">
        <f t="shared" ca="1" si="196"/>
        <v/>
      </c>
      <c r="Z416" s="368" t="str">
        <f t="shared" ca="1" si="197"/>
        <v/>
      </c>
      <c r="AA416" s="369" t="str">
        <f t="shared" ca="1" si="198"/>
        <v/>
      </c>
      <c r="AB416" s="344"/>
      <c r="AC416" s="363" t="e">
        <f t="shared" ca="1" si="199"/>
        <v>#N/A</v>
      </c>
      <c r="AD416" s="376" t="e">
        <f t="shared" ca="1" si="200"/>
        <v>#N/A</v>
      </c>
      <c r="AE416" s="377" t="e">
        <f t="shared" ca="1" si="179"/>
        <v>#N/A</v>
      </c>
      <c r="AF416" s="344"/>
      <c r="AG416" s="359">
        <f t="shared" ca="1" si="201"/>
        <v>5.8432723967140543</v>
      </c>
      <c r="AH416" s="357">
        <f t="shared" ca="1" si="202"/>
        <v>-3.8676351077972306</v>
      </c>
    </row>
    <row r="417" spans="1:34" x14ac:dyDescent="0.2">
      <c r="A417" s="402">
        <f t="shared" ca="1" si="180"/>
        <v>1E-4</v>
      </c>
      <c r="B417" s="357">
        <f t="shared" ca="1" si="181"/>
        <v>15.607699999999944</v>
      </c>
      <c r="C417" s="342"/>
      <c r="D417" s="359">
        <f t="shared" ca="1" si="182"/>
        <v>-0.54833811516693864</v>
      </c>
      <c r="E417" s="360">
        <f t="shared" ca="1" si="183"/>
        <v>-5.981362396220705</v>
      </c>
      <c r="F417" s="357">
        <f t="shared" ca="1" si="184"/>
        <v>6.0064441064133716</v>
      </c>
      <c r="G417" s="359">
        <f t="shared" ca="1" si="185"/>
        <v>9.5448974123373915</v>
      </c>
      <c r="H417" s="360">
        <f t="shared" ca="1" si="186"/>
        <v>-66.645907089015409</v>
      </c>
      <c r="I417" s="357">
        <f t="shared" ca="1" si="187"/>
        <v>67.325938525428072</v>
      </c>
      <c r="J417" s="359">
        <f t="shared" ca="1" si="188"/>
        <v>187.70931447689617</v>
      </c>
      <c r="K417" s="360">
        <f t="shared" ca="1" si="189"/>
        <v>-4.5707682421599136</v>
      </c>
      <c r="L417" s="357">
        <f t="shared" ca="1" si="174"/>
        <v>187.76495589888395</v>
      </c>
      <c r="M417" s="359">
        <f t="shared" ca="1" si="190"/>
        <v>-1.4285455928627522</v>
      </c>
      <c r="N417" s="357">
        <f t="shared" ca="1" si="191"/>
        <v>-81.849633313049722</v>
      </c>
      <c r="O417" s="343"/>
      <c r="P417" s="363">
        <f t="shared" ca="1" si="192"/>
        <v>23</v>
      </c>
      <c r="Q417" s="357">
        <f t="shared" ca="1" si="193"/>
        <v>0</v>
      </c>
      <c r="R417" s="359">
        <f t="shared" ca="1" si="194"/>
        <v>0</v>
      </c>
      <c r="S417" s="360">
        <f t="shared" ca="1" si="195"/>
        <v>1.5629999999999982</v>
      </c>
      <c r="T417" s="357">
        <f t="shared" ca="1" si="175"/>
        <v>15.333029999999983</v>
      </c>
      <c r="U417" s="364">
        <f t="shared" ca="1" si="176"/>
        <v>0</v>
      </c>
      <c r="V417" s="359">
        <f t="shared" ca="1" si="177"/>
        <v>1.2255600471019401</v>
      </c>
      <c r="W417" s="357">
        <f t="shared" ca="1" si="178"/>
        <v>6.0453315997702104</v>
      </c>
      <c r="X417" s="343"/>
      <c r="Y417" s="367" t="str">
        <f t="shared" ca="1" si="196"/>
        <v/>
      </c>
      <c r="Z417" s="368" t="str">
        <f t="shared" ca="1" si="197"/>
        <v/>
      </c>
      <c r="AA417" s="369" t="str">
        <f t="shared" ca="1" si="198"/>
        <v/>
      </c>
      <c r="AB417" s="344"/>
      <c r="AC417" s="363" t="e">
        <f t="shared" ca="1" si="199"/>
        <v>#N/A</v>
      </c>
      <c r="AD417" s="376" t="e">
        <f t="shared" ca="1" si="200"/>
        <v>#N/A</v>
      </c>
      <c r="AE417" s="377" t="e">
        <f t="shared" ca="1" si="179"/>
        <v>#N/A</v>
      </c>
      <c r="AF417" s="344"/>
      <c r="AG417" s="359">
        <f t="shared" ca="1" si="201"/>
        <v>5.8432055557310498</v>
      </c>
      <c r="AH417" s="357">
        <f t="shared" ca="1" si="202"/>
        <v>-3.8677048219347991</v>
      </c>
    </row>
    <row r="418" spans="1:34" x14ac:dyDescent="0.2">
      <c r="A418" s="402">
        <f t="shared" ca="1" si="180"/>
        <v>1E-4</v>
      </c>
      <c r="B418" s="357">
        <f t="shared" ca="1" si="181"/>
        <v>15.607799999999944</v>
      </c>
      <c r="C418" s="342"/>
      <c r="D418" s="359">
        <f t="shared" ca="1" si="182"/>
        <v>-0.5483400895516839</v>
      </c>
      <c r="E418" s="360">
        <f t="shared" ca="1" si="183"/>
        <v>-5.9812922535754396</v>
      </c>
      <c r="F418" s="357">
        <f t="shared" ca="1" si="184"/>
        <v>6.0063744369204217</v>
      </c>
      <c r="G418" s="359">
        <f t="shared" ca="1" si="185"/>
        <v>9.5448425783284367</v>
      </c>
      <c r="H418" s="360">
        <f t="shared" ca="1" si="186"/>
        <v>-66.646505218240762</v>
      </c>
      <c r="I418" s="357">
        <f t="shared" ca="1" si="187"/>
        <v>67.326522839443172</v>
      </c>
      <c r="J418" s="359">
        <f t="shared" ca="1" si="188"/>
        <v>187.70931447689617</v>
      </c>
      <c r="K418" s="360">
        <f t="shared" ca="1" si="189"/>
        <v>-4.5774328627752761</v>
      </c>
      <c r="L418" s="357">
        <f t="shared" ca="1" si="174"/>
        <v>187.76511825416222</v>
      </c>
      <c r="M418" s="359">
        <f t="shared" ca="1" si="190"/>
        <v>-1.428547658583782</v>
      </c>
      <c r="N418" s="357">
        <f t="shared" ca="1" si="191"/>
        <v>-81.849751670146375</v>
      </c>
      <c r="O418" s="343"/>
      <c r="P418" s="363">
        <f t="shared" ca="1" si="192"/>
        <v>23</v>
      </c>
      <c r="Q418" s="357">
        <f t="shared" ca="1" si="193"/>
        <v>0</v>
      </c>
      <c r="R418" s="359">
        <f t="shared" ca="1" si="194"/>
        <v>0</v>
      </c>
      <c r="S418" s="360">
        <f t="shared" ca="1" si="195"/>
        <v>1.5629999999999982</v>
      </c>
      <c r="T418" s="357">
        <f t="shared" ca="1" si="175"/>
        <v>15.333029999999983</v>
      </c>
      <c r="U418" s="364">
        <f t="shared" ca="1" si="176"/>
        <v>0</v>
      </c>
      <c r="V418" s="359">
        <f t="shared" ca="1" si="177"/>
        <v>1.2255608638915303</v>
      </c>
      <c r="W418" s="357">
        <f t="shared" ca="1" si="178"/>
        <v>6.0454405627454015</v>
      </c>
      <c r="X418" s="343"/>
      <c r="Y418" s="367" t="str">
        <f t="shared" ca="1" si="196"/>
        <v/>
      </c>
      <c r="Z418" s="368" t="str">
        <f t="shared" ca="1" si="197"/>
        <v/>
      </c>
      <c r="AA418" s="369" t="str">
        <f t="shared" ca="1" si="198"/>
        <v/>
      </c>
      <c r="AB418" s="344"/>
      <c r="AC418" s="363" t="e">
        <f t="shared" ca="1" si="199"/>
        <v>#N/A</v>
      </c>
      <c r="AD418" s="376" t="e">
        <f t="shared" ca="1" si="200"/>
        <v>#N/A</v>
      </c>
      <c r="AE418" s="377" t="e">
        <f t="shared" ca="1" si="179"/>
        <v>#N/A</v>
      </c>
      <c r="AF418" s="344"/>
      <c r="AG418" s="359">
        <f t="shared" ca="1" si="201"/>
        <v>5.8431387147111788</v>
      </c>
      <c r="AH418" s="357">
        <f t="shared" ca="1" si="202"/>
        <v>-3.8677745360014186</v>
      </c>
    </row>
    <row r="419" spans="1:34" x14ac:dyDescent="0.2">
      <c r="A419" s="402">
        <f t="shared" ca="1" si="180"/>
        <v>1E-4</v>
      </c>
      <c r="B419" s="357">
        <f t="shared" ca="1" si="181"/>
        <v>15.607899999999944</v>
      </c>
      <c r="C419" s="342"/>
      <c r="D419" s="359">
        <f t="shared" ca="1" si="182"/>
        <v>-0.54834206382163553</v>
      </c>
      <c r="E419" s="360">
        <f t="shared" ca="1" si="183"/>
        <v>-5.9812221110021069</v>
      </c>
      <c r="F419" s="357">
        <f t="shared" ca="1" si="184"/>
        <v>6.0063047675002865</v>
      </c>
      <c r="G419" s="359">
        <f t="shared" ca="1" si="185"/>
        <v>9.5447877441220541</v>
      </c>
      <c r="H419" s="360">
        <f t="shared" ca="1" si="186"/>
        <v>-66.647103340451864</v>
      </c>
      <c r="I419" s="357">
        <f t="shared" ca="1" si="187"/>
        <v>67.327107146774196</v>
      </c>
      <c r="J419" s="359">
        <f t="shared" ca="1" si="188"/>
        <v>187.70931447689617</v>
      </c>
      <c r="K419" s="360">
        <f t="shared" ca="1" si="189"/>
        <v>-4.5840975432032103</v>
      </c>
      <c r="L419" s="357">
        <f t="shared" ca="1" si="174"/>
        <v>187.7652808473172</v>
      </c>
      <c r="M419" s="359">
        <f t="shared" ca="1" si="190"/>
        <v>-1.428549724257089</v>
      </c>
      <c r="N419" s="357">
        <f t="shared" ca="1" si="191"/>
        <v>-81.849870024508718</v>
      </c>
      <c r="O419" s="343"/>
      <c r="P419" s="363">
        <f t="shared" ca="1" si="192"/>
        <v>23</v>
      </c>
      <c r="Q419" s="357">
        <f t="shared" ca="1" si="193"/>
        <v>0</v>
      </c>
      <c r="R419" s="359">
        <f t="shared" ca="1" si="194"/>
        <v>0</v>
      </c>
      <c r="S419" s="360">
        <f t="shared" ca="1" si="195"/>
        <v>1.5629999999999982</v>
      </c>
      <c r="T419" s="357">
        <f t="shared" ca="1" si="175"/>
        <v>15.333029999999983</v>
      </c>
      <c r="U419" s="364">
        <f t="shared" ca="1" si="176"/>
        <v>0</v>
      </c>
      <c r="V419" s="359">
        <f t="shared" ca="1" si="177"/>
        <v>1.225561680688996</v>
      </c>
      <c r="W419" s="357">
        <f t="shared" ca="1" si="178"/>
        <v>6.0455495256096414</v>
      </c>
      <c r="X419" s="343"/>
      <c r="Y419" s="367" t="str">
        <f t="shared" ca="1" si="196"/>
        <v/>
      </c>
      <c r="Z419" s="368" t="str">
        <f t="shared" ca="1" si="197"/>
        <v/>
      </c>
      <c r="AA419" s="369" t="str">
        <f t="shared" ca="1" si="198"/>
        <v/>
      </c>
      <c r="AB419" s="344"/>
      <c r="AC419" s="363" t="e">
        <f t="shared" ca="1" si="199"/>
        <v>#N/A</v>
      </c>
      <c r="AD419" s="376" t="e">
        <f t="shared" ca="1" si="200"/>
        <v>#N/A</v>
      </c>
      <c r="AE419" s="377" t="e">
        <f t="shared" ca="1" si="179"/>
        <v>#N/A</v>
      </c>
      <c r="AF419" s="344"/>
      <c r="AG419" s="359">
        <f t="shared" ca="1" si="201"/>
        <v>5.8430718736544698</v>
      </c>
      <c r="AH419" s="357">
        <f t="shared" ca="1" si="202"/>
        <v>-3.8678442499970624</v>
      </c>
    </row>
    <row r="420" spans="1:34" x14ac:dyDescent="0.2">
      <c r="A420" s="402">
        <f t="shared" ca="1" si="180"/>
        <v>1E-4</v>
      </c>
      <c r="B420" s="357">
        <f t="shared" ca="1" si="181"/>
        <v>15.607999999999944</v>
      </c>
      <c r="C420" s="342"/>
      <c r="D420" s="359">
        <f t="shared" ca="1" si="182"/>
        <v>-0.54834403797679643</v>
      </c>
      <c r="E420" s="360">
        <f t="shared" ca="1" si="183"/>
        <v>-5.9811519685007175</v>
      </c>
      <c r="F420" s="357">
        <f t="shared" ca="1" si="184"/>
        <v>6.0062350981529775</v>
      </c>
      <c r="G420" s="359">
        <f t="shared" ca="1" si="185"/>
        <v>9.5447329097182561</v>
      </c>
      <c r="H420" s="360">
        <f t="shared" ca="1" si="186"/>
        <v>-66.647701455648715</v>
      </c>
      <c r="I420" s="357">
        <f t="shared" ca="1" si="187"/>
        <v>67.327691447421088</v>
      </c>
      <c r="J420" s="359">
        <f t="shared" ca="1" si="188"/>
        <v>187.70931447689617</v>
      </c>
      <c r="K420" s="360">
        <f t="shared" ca="1" si="189"/>
        <v>-4.5907622834430155</v>
      </c>
      <c r="L420" s="357">
        <f t="shared" ca="1" si="174"/>
        <v>187.76544367835467</v>
      </c>
      <c r="M420" s="359">
        <f t="shared" ca="1" si="190"/>
        <v>-1.4285517898826754</v>
      </c>
      <c r="N420" s="357">
        <f t="shared" ca="1" si="191"/>
        <v>-81.849988376136878</v>
      </c>
      <c r="O420" s="343"/>
      <c r="P420" s="363">
        <f t="shared" ca="1" si="192"/>
        <v>23</v>
      </c>
      <c r="Q420" s="357">
        <f t="shared" ca="1" si="193"/>
        <v>0</v>
      </c>
      <c r="R420" s="359">
        <f t="shared" ca="1" si="194"/>
        <v>0</v>
      </c>
      <c r="S420" s="360">
        <f t="shared" ca="1" si="195"/>
        <v>1.5629999999999982</v>
      </c>
      <c r="T420" s="357">
        <f t="shared" ca="1" si="175"/>
        <v>15.333029999999983</v>
      </c>
      <c r="U420" s="364">
        <f t="shared" ca="1" si="176"/>
        <v>0</v>
      </c>
      <c r="V420" s="359">
        <f t="shared" ca="1" si="177"/>
        <v>1.2255624974943358</v>
      </c>
      <c r="W420" s="357">
        <f t="shared" ca="1" si="178"/>
        <v>6.0456584883628821</v>
      </c>
      <c r="X420" s="343"/>
      <c r="Y420" s="367" t="str">
        <f t="shared" ca="1" si="196"/>
        <v/>
      </c>
      <c r="Z420" s="368" t="str">
        <f t="shared" ca="1" si="197"/>
        <v/>
      </c>
      <c r="AA420" s="369" t="str">
        <f t="shared" ca="1" si="198"/>
        <v/>
      </c>
      <c r="AB420" s="344"/>
      <c r="AC420" s="363" t="e">
        <f t="shared" ca="1" si="199"/>
        <v>#N/A</v>
      </c>
      <c r="AD420" s="376" t="e">
        <f t="shared" ca="1" si="200"/>
        <v>#N/A</v>
      </c>
      <c r="AE420" s="377" t="e">
        <f t="shared" ca="1" si="179"/>
        <v>#N/A</v>
      </c>
      <c r="AF420" s="344"/>
      <c r="AG420" s="359">
        <f t="shared" ca="1" si="201"/>
        <v>5.8430050325609377</v>
      </c>
      <c r="AH420" s="357">
        <f t="shared" ca="1" si="202"/>
        <v>-3.8679139639217199</v>
      </c>
    </row>
    <row r="421" spans="1:34" x14ac:dyDescent="0.2">
      <c r="A421" s="402">
        <f t="shared" ca="1" si="180"/>
        <v>1E-4</v>
      </c>
      <c r="B421" s="357">
        <f t="shared" ca="1" si="181"/>
        <v>15.608099999999943</v>
      </c>
      <c r="C421" s="342"/>
      <c r="D421" s="359">
        <f t="shared" ca="1" si="182"/>
        <v>-0.54834601201716515</v>
      </c>
      <c r="E421" s="360">
        <f t="shared" ca="1" si="183"/>
        <v>-5.9810818260713017</v>
      </c>
      <c r="F421" s="357">
        <f t="shared" ca="1" si="184"/>
        <v>6.006165428878524</v>
      </c>
      <c r="G421" s="359">
        <f t="shared" ca="1" si="185"/>
        <v>9.544678075117055</v>
      </c>
      <c r="H421" s="360">
        <f t="shared" ca="1" si="186"/>
        <v>-66.648299563831316</v>
      </c>
      <c r="I421" s="357">
        <f t="shared" ca="1" si="187"/>
        <v>67.328275741383862</v>
      </c>
      <c r="J421" s="359">
        <f t="shared" ca="1" si="188"/>
        <v>187.70931447689617</v>
      </c>
      <c r="K421" s="360">
        <f t="shared" ca="1" si="189"/>
        <v>-4.5974270834939892</v>
      </c>
      <c r="L421" s="357">
        <f t="shared" ca="1" si="174"/>
        <v>187.7656067472804</v>
      </c>
      <c r="M421" s="359">
        <f t="shared" ca="1" si="190"/>
        <v>-1.4285538554605426</v>
      </c>
      <c r="N421" s="357">
        <f t="shared" ca="1" si="191"/>
        <v>-81.850106725030926</v>
      </c>
      <c r="O421" s="343"/>
      <c r="P421" s="363">
        <f t="shared" ca="1" si="192"/>
        <v>23</v>
      </c>
      <c r="Q421" s="357">
        <f t="shared" ca="1" si="193"/>
        <v>0</v>
      </c>
      <c r="R421" s="359">
        <f t="shared" ca="1" si="194"/>
        <v>0</v>
      </c>
      <c r="S421" s="360">
        <f t="shared" ca="1" si="195"/>
        <v>1.5629999999999982</v>
      </c>
      <c r="T421" s="357">
        <f t="shared" ca="1" si="175"/>
        <v>15.333029999999983</v>
      </c>
      <c r="U421" s="364">
        <f t="shared" ca="1" si="176"/>
        <v>0</v>
      </c>
      <c r="V421" s="359">
        <f t="shared" ca="1" si="177"/>
        <v>1.2255633143075506</v>
      </c>
      <c r="W421" s="357">
        <f t="shared" ca="1" si="178"/>
        <v>6.0457674510051032</v>
      </c>
      <c r="X421" s="343"/>
      <c r="Y421" s="367" t="str">
        <f t="shared" ca="1" si="196"/>
        <v/>
      </c>
      <c r="Z421" s="368" t="str">
        <f t="shared" ca="1" si="197"/>
        <v/>
      </c>
      <c r="AA421" s="369" t="str">
        <f t="shared" ca="1" si="198"/>
        <v/>
      </c>
      <c r="AB421" s="344"/>
      <c r="AC421" s="363" t="e">
        <f t="shared" ca="1" si="199"/>
        <v>#N/A</v>
      </c>
      <c r="AD421" s="376" t="e">
        <f t="shared" ca="1" si="200"/>
        <v>#N/A</v>
      </c>
      <c r="AE421" s="377" t="e">
        <f t="shared" ca="1" si="179"/>
        <v>#N/A</v>
      </c>
      <c r="AF421" s="344"/>
      <c r="AG421" s="359">
        <f t="shared" ca="1" si="201"/>
        <v>5.84293819143062</v>
      </c>
      <c r="AH421" s="357">
        <f t="shared" ca="1" si="202"/>
        <v>-3.8679836777753609</v>
      </c>
    </row>
    <row r="422" spans="1:34" x14ac:dyDescent="0.2">
      <c r="A422" s="402">
        <f t="shared" ca="1" si="180"/>
        <v>1E-4</v>
      </c>
      <c r="B422" s="357">
        <f t="shared" ca="1" si="181"/>
        <v>15.608199999999943</v>
      </c>
      <c r="C422" s="342"/>
      <c r="D422" s="359">
        <f t="shared" ca="1" si="182"/>
        <v>-0.54834798594274436</v>
      </c>
      <c r="E422" s="360">
        <f t="shared" ca="1" si="183"/>
        <v>-5.9810116837138736</v>
      </c>
      <c r="F422" s="357">
        <f t="shared" ca="1" si="184"/>
        <v>6.0060957596769411</v>
      </c>
      <c r="G422" s="359">
        <f t="shared" ca="1" si="185"/>
        <v>9.5446232403184599</v>
      </c>
      <c r="H422" s="360">
        <f t="shared" ca="1" si="186"/>
        <v>-66.64889766499968</v>
      </c>
      <c r="I422" s="357">
        <f t="shared" ca="1" si="187"/>
        <v>67.328860028662504</v>
      </c>
      <c r="J422" s="359">
        <f t="shared" ca="1" si="188"/>
        <v>187.70931447689617</v>
      </c>
      <c r="K422" s="360">
        <f t="shared" ca="1" si="189"/>
        <v>-4.6040919433554306</v>
      </c>
      <c r="L422" s="357">
        <f t="shared" ca="1" si="174"/>
        <v>187.76577005410005</v>
      </c>
      <c r="M422" s="359">
        <f t="shared" ca="1" si="190"/>
        <v>-1.4285559209906926</v>
      </c>
      <c r="N422" s="357">
        <f t="shared" ca="1" si="191"/>
        <v>-81.850225071190977</v>
      </c>
      <c r="O422" s="343"/>
      <c r="P422" s="363">
        <f t="shared" ca="1" si="192"/>
        <v>23</v>
      </c>
      <c r="Q422" s="357">
        <f t="shared" ca="1" si="193"/>
        <v>0</v>
      </c>
      <c r="R422" s="359">
        <f t="shared" ca="1" si="194"/>
        <v>0</v>
      </c>
      <c r="S422" s="360">
        <f t="shared" ca="1" si="195"/>
        <v>1.5629999999999982</v>
      </c>
      <c r="T422" s="357">
        <f t="shared" ca="1" si="175"/>
        <v>15.333029999999983</v>
      </c>
      <c r="U422" s="364">
        <f t="shared" ca="1" si="176"/>
        <v>0</v>
      </c>
      <c r="V422" s="359">
        <f t="shared" ca="1" si="177"/>
        <v>1.2255641311286403</v>
      </c>
      <c r="W422" s="357">
        <f t="shared" ca="1" si="178"/>
        <v>6.045876413536269</v>
      </c>
      <c r="X422" s="343"/>
      <c r="Y422" s="367" t="str">
        <f t="shared" ca="1" si="196"/>
        <v/>
      </c>
      <c r="Z422" s="368" t="str">
        <f t="shared" ca="1" si="197"/>
        <v/>
      </c>
      <c r="AA422" s="369" t="str">
        <f t="shared" ca="1" si="198"/>
        <v/>
      </c>
      <c r="AB422" s="344"/>
      <c r="AC422" s="363" t="e">
        <f t="shared" ca="1" si="199"/>
        <v>#N/A</v>
      </c>
      <c r="AD422" s="376" t="e">
        <f t="shared" ca="1" si="200"/>
        <v>#N/A</v>
      </c>
      <c r="AE422" s="377" t="e">
        <f t="shared" ca="1" si="179"/>
        <v>#N/A</v>
      </c>
      <c r="AF422" s="344"/>
      <c r="AG422" s="359">
        <f t="shared" ca="1" si="201"/>
        <v>5.8428713502635343</v>
      </c>
      <c r="AH422" s="357">
        <f t="shared" ca="1" si="202"/>
        <v>-3.868053391557972</v>
      </c>
    </row>
    <row r="423" spans="1:34" x14ac:dyDescent="0.2">
      <c r="A423" s="402">
        <f t="shared" ca="1" si="180"/>
        <v>1E-4</v>
      </c>
      <c r="B423" s="357">
        <f t="shared" ca="1" si="181"/>
        <v>15.608299999999943</v>
      </c>
      <c r="C423" s="342"/>
      <c r="D423" s="359">
        <f t="shared" ca="1" si="182"/>
        <v>-0.54834995975353329</v>
      </c>
      <c r="E423" s="360">
        <f t="shared" ca="1" si="183"/>
        <v>-5.9809415414284555</v>
      </c>
      <c r="F423" s="357">
        <f t="shared" ca="1" si="184"/>
        <v>6.0060260905482492</v>
      </c>
      <c r="G423" s="359">
        <f t="shared" ca="1" si="185"/>
        <v>9.5445684053224848</v>
      </c>
      <c r="H423" s="360">
        <f t="shared" ca="1" si="186"/>
        <v>-66.649495759153822</v>
      </c>
      <c r="I423" s="357">
        <f t="shared" ca="1" si="187"/>
        <v>67.329444309257028</v>
      </c>
      <c r="J423" s="359">
        <f t="shared" ca="1" si="188"/>
        <v>187.70931447689617</v>
      </c>
      <c r="K423" s="360">
        <f t="shared" ca="1" si="189"/>
        <v>-4.610756863026638</v>
      </c>
      <c r="L423" s="357">
        <f t="shared" ca="1" si="174"/>
        <v>187.76593359881937</v>
      </c>
      <c r="M423" s="359">
        <f t="shared" ca="1" si="190"/>
        <v>-1.4285579864731268</v>
      </c>
      <c r="N423" s="357">
        <f t="shared" ca="1" si="191"/>
        <v>-81.850343414617114</v>
      </c>
      <c r="O423" s="343"/>
      <c r="P423" s="363">
        <f t="shared" ca="1" si="192"/>
        <v>23</v>
      </c>
      <c r="Q423" s="357">
        <f t="shared" ca="1" si="193"/>
        <v>0</v>
      </c>
      <c r="R423" s="359">
        <f t="shared" ca="1" si="194"/>
        <v>0</v>
      </c>
      <c r="S423" s="360">
        <f t="shared" ca="1" si="195"/>
        <v>1.5629999999999982</v>
      </c>
      <c r="T423" s="357">
        <f t="shared" ca="1" si="175"/>
        <v>15.333029999999983</v>
      </c>
      <c r="U423" s="364">
        <f t="shared" ca="1" si="176"/>
        <v>0</v>
      </c>
      <c r="V423" s="359">
        <f t="shared" ca="1" si="177"/>
        <v>1.2255649479576043</v>
      </c>
      <c r="W423" s="357">
        <f t="shared" ca="1" si="178"/>
        <v>6.0459853759563522</v>
      </c>
      <c r="X423" s="343"/>
      <c r="Y423" s="367" t="str">
        <f t="shared" ca="1" si="196"/>
        <v/>
      </c>
      <c r="Z423" s="368" t="str">
        <f t="shared" ca="1" si="197"/>
        <v/>
      </c>
      <c r="AA423" s="369" t="str">
        <f t="shared" ca="1" si="198"/>
        <v/>
      </c>
      <c r="AB423" s="344"/>
      <c r="AC423" s="363" t="e">
        <f t="shared" ca="1" si="199"/>
        <v>#N/A</v>
      </c>
      <c r="AD423" s="376" t="e">
        <f t="shared" ca="1" si="200"/>
        <v>#N/A</v>
      </c>
      <c r="AE423" s="377" t="e">
        <f t="shared" ca="1" si="179"/>
        <v>#N/A</v>
      </c>
      <c r="AF423" s="344"/>
      <c r="AG423" s="359">
        <f t="shared" ca="1" si="201"/>
        <v>5.8428045090597109</v>
      </c>
      <c r="AH423" s="357">
        <f t="shared" ca="1" si="202"/>
        <v>-3.8681231052695306</v>
      </c>
    </row>
    <row r="424" spans="1:34" x14ac:dyDescent="0.2">
      <c r="A424" s="402">
        <f t="shared" ca="1" si="180"/>
        <v>1E-4</v>
      </c>
      <c r="B424" s="357">
        <f t="shared" ca="1" si="181"/>
        <v>15.608399999999943</v>
      </c>
      <c r="C424" s="342"/>
      <c r="D424" s="359">
        <f t="shared" ca="1" si="182"/>
        <v>-0.5483519334495347</v>
      </c>
      <c r="E424" s="360">
        <f t="shared" ca="1" si="183"/>
        <v>-5.9808713992150651</v>
      </c>
      <c r="F424" s="357">
        <f t="shared" ca="1" si="184"/>
        <v>6.0059564214924679</v>
      </c>
      <c r="G424" s="359">
        <f t="shared" ca="1" si="185"/>
        <v>9.5445135701291406</v>
      </c>
      <c r="H424" s="360">
        <f t="shared" ca="1" si="186"/>
        <v>-66.650093846293743</v>
      </c>
      <c r="I424" s="357">
        <f t="shared" ca="1" si="187"/>
        <v>67.330028583167433</v>
      </c>
      <c r="J424" s="359">
        <f t="shared" ca="1" si="188"/>
        <v>187.70931447689617</v>
      </c>
      <c r="K424" s="360">
        <f t="shared" ca="1" si="189"/>
        <v>-4.6174218425069107</v>
      </c>
      <c r="L424" s="357">
        <f t="shared" ca="1" si="174"/>
        <v>187.76609738144413</v>
      </c>
      <c r="M424" s="359">
        <f t="shared" ca="1" si="190"/>
        <v>-1.428560051907847</v>
      </c>
      <c r="N424" s="357">
        <f t="shared" ca="1" si="191"/>
        <v>-81.850461755309439</v>
      </c>
      <c r="O424" s="343"/>
      <c r="P424" s="363">
        <f t="shared" ca="1" si="192"/>
        <v>23</v>
      </c>
      <c r="Q424" s="357">
        <f t="shared" ca="1" si="193"/>
        <v>0</v>
      </c>
      <c r="R424" s="359">
        <f t="shared" ca="1" si="194"/>
        <v>0</v>
      </c>
      <c r="S424" s="360">
        <f t="shared" ca="1" si="195"/>
        <v>1.5629999999999982</v>
      </c>
      <c r="T424" s="357">
        <f t="shared" ca="1" si="175"/>
        <v>15.333029999999983</v>
      </c>
      <c r="U424" s="364">
        <f t="shared" ca="1" si="176"/>
        <v>0</v>
      </c>
      <c r="V424" s="359">
        <f t="shared" ca="1" si="177"/>
        <v>1.2255657647944431</v>
      </c>
      <c r="W424" s="357">
        <f t="shared" ca="1" si="178"/>
        <v>6.0460943382653234</v>
      </c>
      <c r="X424" s="343"/>
      <c r="Y424" s="367" t="str">
        <f t="shared" ca="1" si="196"/>
        <v/>
      </c>
      <c r="Z424" s="368" t="str">
        <f t="shared" ca="1" si="197"/>
        <v/>
      </c>
      <c r="AA424" s="369" t="str">
        <f t="shared" ca="1" si="198"/>
        <v/>
      </c>
      <c r="AB424" s="344"/>
      <c r="AC424" s="363" t="e">
        <f t="shared" ca="1" si="199"/>
        <v>#N/A</v>
      </c>
      <c r="AD424" s="376" t="e">
        <f t="shared" ca="1" si="200"/>
        <v>#N/A</v>
      </c>
      <c r="AE424" s="377" t="e">
        <f t="shared" ca="1" si="179"/>
        <v>#N/A</v>
      </c>
      <c r="AF424" s="344"/>
      <c r="AG424" s="359">
        <f t="shared" ca="1" si="201"/>
        <v>5.8427376678191694</v>
      </c>
      <c r="AH424" s="357">
        <f t="shared" ca="1" si="202"/>
        <v>-3.8681928189100185</v>
      </c>
    </row>
    <row r="425" spans="1:34" x14ac:dyDescent="0.2">
      <c r="A425" s="402">
        <f t="shared" ca="1" si="180"/>
        <v>1E-4</v>
      </c>
      <c r="B425" s="357">
        <f t="shared" ca="1" si="181"/>
        <v>15.608499999999943</v>
      </c>
      <c r="C425" s="342"/>
      <c r="D425" s="359">
        <f t="shared" ca="1" si="182"/>
        <v>-0.54835390703074982</v>
      </c>
      <c r="E425" s="360">
        <f t="shared" ca="1" si="183"/>
        <v>-5.9808012570737219</v>
      </c>
      <c r="F425" s="357">
        <f t="shared" ca="1" si="184"/>
        <v>6.0058867525096167</v>
      </c>
      <c r="G425" s="359">
        <f t="shared" ca="1" si="185"/>
        <v>9.5444587347384378</v>
      </c>
      <c r="H425" s="360">
        <f t="shared" ca="1" si="186"/>
        <v>-66.650691926419455</v>
      </c>
      <c r="I425" s="357">
        <f t="shared" ca="1" si="187"/>
        <v>67.330612850393692</v>
      </c>
      <c r="J425" s="359">
        <f t="shared" ca="1" si="188"/>
        <v>187.70931447689617</v>
      </c>
      <c r="K425" s="360">
        <f t="shared" ca="1" si="189"/>
        <v>-4.6240868817955461</v>
      </c>
      <c r="L425" s="357">
        <f t="shared" ca="1" si="174"/>
        <v>187.76626140198002</v>
      </c>
      <c r="M425" s="359">
        <f t="shared" ca="1" si="190"/>
        <v>-1.4285621172948548</v>
      </c>
      <c r="N425" s="357">
        <f t="shared" ca="1" si="191"/>
        <v>-81.85058009326805</v>
      </c>
      <c r="O425" s="343"/>
      <c r="P425" s="363">
        <f t="shared" ca="1" si="192"/>
        <v>23</v>
      </c>
      <c r="Q425" s="357">
        <f t="shared" ca="1" si="193"/>
        <v>0</v>
      </c>
      <c r="R425" s="359">
        <f t="shared" ca="1" si="194"/>
        <v>0</v>
      </c>
      <c r="S425" s="360">
        <f t="shared" ca="1" si="195"/>
        <v>1.5629999999999982</v>
      </c>
      <c r="T425" s="357">
        <f t="shared" ca="1" si="175"/>
        <v>15.333029999999983</v>
      </c>
      <c r="U425" s="364">
        <f t="shared" ca="1" si="176"/>
        <v>0</v>
      </c>
      <c r="V425" s="359">
        <f t="shared" ca="1" si="177"/>
        <v>1.2255665816391561</v>
      </c>
      <c r="W425" s="357">
        <f t="shared" ca="1" si="178"/>
        <v>6.0462033004631461</v>
      </c>
      <c r="X425" s="343"/>
      <c r="Y425" s="367" t="str">
        <f t="shared" ca="1" si="196"/>
        <v/>
      </c>
      <c r="Z425" s="368" t="str">
        <f t="shared" ca="1" si="197"/>
        <v/>
      </c>
      <c r="AA425" s="369" t="str">
        <f t="shared" ca="1" si="198"/>
        <v/>
      </c>
      <c r="AB425" s="344"/>
      <c r="AC425" s="363" t="e">
        <f t="shared" ca="1" si="199"/>
        <v>#N/A</v>
      </c>
      <c r="AD425" s="376" t="e">
        <f t="shared" ca="1" si="200"/>
        <v>#N/A</v>
      </c>
      <c r="AE425" s="377" t="e">
        <f t="shared" ca="1" si="179"/>
        <v>#N/A</v>
      </c>
      <c r="AF425" s="344"/>
      <c r="AG425" s="359">
        <f t="shared" ca="1" si="201"/>
        <v>5.8426708265419336</v>
      </c>
      <c r="AH425" s="357">
        <f t="shared" ca="1" si="202"/>
        <v>-3.868262532479418</v>
      </c>
    </row>
    <row r="426" spans="1:34" x14ac:dyDescent="0.2">
      <c r="A426" s="402">
        <f t="shared" ca="1" si="180"/>
        <v>1E-4</v>
      </c>
      <c r="B426" s="357">
        <f t="shared" ca="1" si="181"/>
        <v>15.608599999999942</v>
      </c>
      <c r="C426" s="342"/>
      <c r="D426" s="359">
        <f t="shared" ca="1" si="182"/>
        <v>-0.54835588049717876</v>
      </c>
      <c r="E426" s="360">
        <f t="shared" ca="1" si="183"/>
        <v>-5.9807311150044482</v>
      </c>
      <c r="F426" s="357">
        <f t="shared" ca="1" si="184"/>
        <v>6.0058170835997151</v>
      </c>
      <c r="G426" s="359">
        <f t="shared" ca="1" si="185"/>
        <v>9.5444038991503888</v>
      </c>
      <c r="H426" s="360">
        <f t="shared" ca="1" si="186"/>
        <v>-66.65128999953096</v>
      </c>
      <c r="I426" s="357">
        <f t="shared" ca="1" si="187"/>
        <v>67.331197110935832</v>
      </c>
      <c r="J426" s="359">
        <f t="shared" ca="1" si="188"/>
        <v>187.70931447689617</v>
      </c>
      <c r="K426" s="360">
        <f t="shared" ca="1" si="189"/>
        <v>-4.6307519808918434</v>
      </c>
      <c r="L426" s="357">
        <f t="shared" ca="1" si="174"/>
        <v>187.76642566043279</v>
      </c>
      <c r="M426" s="359">
        <f t="shared" ca="1" si="190"/>
        <v>-1.4285641826341524</v>
      </c>
      <c r="N426" s="357">
        <f t="shared" ca="1" si="191"/>
        <v>-81.850698428493061</v>
      </c>
      <c r="O426" s="343"/>
      <c r="P426" s="363">
        <f t="shared" ca="1" si="192"/>
        <v>23</v>
      </c>
      <c r="Q426" s="357">
        <f t="shared" ca="1" si="193"/>
        <v>0</v>
      </c>
      <c r="R426" s="359">
        <f t="shared" ca="1" si="194"/>
        <v>0</v>
      </c>
      <c r="S426" s="360">
        <f t="shared" ca="1" si="195"/>
        <v>1.5629999999999982</v>
      </c>
      <c r="T426" s="357">
        <f t="shared" ca="1" si="175"/>
        <v>15.333029999999983</v>
      </c>
      <c r="U426" s="364">
        <f t="shared" ca="1" si="176"/>
        <v>0</v>
      </c>
      <c r="V426" s="359">
        <f t="shared" ca="1" si="177"/>
        <v>1.2255673984917437</v>
      </c>
      <c r="W426" s="357">
        <f t="shared" ca="1" si="178"/>
        <v>6.0463122625497947</v>
      </c>
      <c r="X426" s="343"/>
      <c r="Y426" s="367" t="str">
        <f t="shared" ca="1" si="196"/>
        <v/>
      </c>
      <c r="Z426" s="368" t="str">
        <f t="shared" ca="1" si="197"/>
        <v/>
      </c>
      <c r="AA426" s="369" t="str">
        <f t="shared" ca="1" si="198"/>
        <v/>
      </c>
      <c r="AB426" s="344"/>
      <c r="AC426" s="363" t="e">
        <f t="shared" ca="1" si="199"/>
        <v>#N/A</v>
      </c>
      <c r="AD426" s="376" t="e">
        <f t="shared" ca="1" si="200"/>
        <v>#N/A</v>
      </c>
      <c r="AE426" s="377" t="e">
        <f t="shared" ca="1" si="179"/>
        <v>#N/A</v>
      </c>
      <c r="AF426" s="344"/>
      <c r="AG426" s="359">
        <f t="shared" ca="1" si="201"/>
        <v>5.8426039852280365</v>
      </c>
      <c r="AH426" s="357">
        <f t="shared" ca="1" si="202"/>
        <v>-3.868332245977705</v>
      </c>
    </row>
    <row r="427" spans="1:34" x14ac:dyDescent="0.2">
      <c r="A427" s="402">
        <f t="shared" ca="1" si="180"/>
        <v>1E-4</v>
      </c>
      <c r="B427" s="357">
        <f t="shared" ca="1" si="181"/>
        <v>15.608699999999942</v>
      </c>
      <c r="C427" s="342"/>
      <c r="D427" s="359">
        <f t="shared" ca="1" si="182"/>
        <v>-0.54835785384882185</v>
      </c>
      <c r="E427" s="360">
        <f t="shared" ca="1" si="183"/>
        <v>-5.9806609730072608</v>
      </c>
      <c r="F427" s="357">
        <f t="shared" ca="1" si="184"/>
        <v>6.0057474147627827</v>
      </c>
      <c r="G427" s="359">
        <f t="shared" ca="1" si="185"/>
        <v>9.5443490633650043</v>
      </c>
      <c r="H427" s="360">
        <f t="shared" ca="1" si="186"/>
        <v>-66.651888065628256</v>
      </c>
      <c r="I427" s="357">
        <f t="shared" ca="1" si="187"/>
        <v>67.331781364793812</v>
      </c>
      <c r="J427" s="359">
        <f t="shared" ca="1" si="188"/>
        <v>187.70931447689617</v>
      </c>
      <c r="K427" s="360">
        <f t="shared" ca="1" si="189"/>
        <v>-4.637417139795101</v>
      </c>
      <c r="L427" s="357">
        <f t="shared" ca="1" si="174"/>
        <v>187.76659015680815</v>
      </c>
      <c r="M427" s="359">
        <f t="shared" ca="1" si="190"/>
        <v>-1.4285662479257408</v>
      </c>
      <c r="N427" s="357">
        <f t="shared" ca="1" si="191"/>
        <v>-81.850816760984543</v>
      </c>
      <c r="O427" s="343"/>
      <c r="P427" s="363">
        <f t="shared" ca="1" si="192"/>
        <v>23</v>
      </c>
      <c r="Q427" s="357">
        <f t="shared" ca="1" si="193"/>
        <v>0</v>
      </c>
      <c r="R427" s="359">
        <f t="shared" ca="1" si="194"/>
        <v>0</v>
      </c>
      <c r="S427" s="360">
        <f t="shared" ca="1" si="195"/>
        <v>1.5629999999999982</v>
      </c>
      <c r="T427" s="357">
        <f t="shared" ca="1" si="175"/>
        <v>15.333029999999983</v>
      </c>
      <c r="U427" s="364">
        <f t="shared" ca="1" si="176"/>
        <v>0</v>
      </c>
      <c r="V427" s="359">
        <f t="shared" ca="1" si="177"/>
        <v>1.2255682153522056</v>
      </c>
      <c r="W427" s="357">
        <f t="shared" ca="1" si="178"/>
        <v>6.0464212245252345</v>
      </c>
      <c r="X427" s="343"/>
      <c r="Y427" s="367" t="str">
        <f t="shared" ca="1" si="196"/>
        <v/>
      </c>
      <c r="Z427" s="368" t="str">
        <f t="shared" ca="1" si="197"/>
        <v/>
      </c>
      <c r="AA427" s="369" t="str">
        <f t="shared" ca="1" si="198"/>
        <v/>
      </c>
      <c r="AB427" s="344"/>
      <c r="AC427" s="363" t="e">
        <f t="shared" ca="1" si="199"/>
        <v>#N/A</v>
      </c>
      <c r="AD427" s="376" t="e">
        <f t="shared" ca="1" si="200"/>
        <v>#N/A</v>
      </c>
      <c r="AE427" s="377" t="e">
        <f t="shared" ca="1" si="179"/>
        <v>#N/A</v>
      </c>
      <c r="AF427" s="344"/>
      <c r="AG427" s="359">
        <f t="shared" ca="1" si="201"/>
        <v>5.8425371438774931</v>
      </c>
      <c r="AH427" s="357">
        <f t="shared" ca="1" si="202"/>
        <v>-3.8684019594048635</v>
      </c>
    </row>
    <row r="428" spans="1:34" x14ac:dyDescent="0.2">
      <c r="A428" s="402">
        <f t="shared" ca="1" si="180"/>
        <v>1E-4</v>
      </c>
      <c r="B428" s="357">
        <f t="shared" ca="1" si="181"/>
        <v>15.608799999999942</v>
      </c>
      <c r="C428" s="342"/>
      <c r="D428" s="359">
        <f t="shared" ca="1" si="182"/>
        <v>-0.54835982708568232</v>
      </c>
      <c r="E428" s="360">
        <f t="shared" ca="1" si="183"/>
        <v>-5.980590831082182</v>
      </c>
      <c r="F428" s="357">
        <f t="shared" ca="1" si="184"/>
        <v>6.00567774599884</v>
      </c>
      <c r="G428" s="359">
        <f t="shared" ca="1" si="185"/>
        <v>9.544294227382295</v>
      </c>
      <c r="H428" s="360">
        <f t="shared" ca="1" si="186"/>
        <v>-66.652486124711359</v>
      </c>
      <c r="I428" s="357">
        <f t="shared" ca="1" si="187"/>
        <v>67.332365611967646</v>
      </c>
      <c r="J428" s="359">
        <f t="shared" ca="1" si="188"/>
        <v>187.70931447689617</v>
      </c>
      <c r="K428" s="360">
        <f t="shared" ca="1" si="189"/>
        <v>-4.644082358504618</v>
      </c>
      <c r="L428" s="357">
        <f t="shared" ca="1" si="174"/>
        <v>187.76675489111184</v>
      </c>
      <c r="M428" s="359">
        <f t="shared" ca="1" si="190"/>
        <v>-1.4285683131696225</v>
      </c>
      <c r="N428" s="357">
        <f t="shared" ca="1" si="191"/>
        <v>-81.850935090742624</v>
      </c>
      <c r="O428" s="343"/>
      <c r="P428" s="363">
        <f t="shared" ca="1" si="192"/>
        <v>23</v>
      </c>
      <c r="Q428" s="357">
        <f t="shared" ca="1" si="193"/>
        <v>0</v>
      </c>
      <c r="R428" s="359">
        <f t="shared" ca="1" si="194"/>
        <v>0</v>
      </c>
      <c r="S428" s="360">
        <f t="shared" ca="1" si="195"/>
        <v>1.5629999999999982</v>
      </c>
      <c r="T428" s="357">
        <f t="shared" ca="1" si="175"/>
        <v>15.333029999999983</v>
      </c>
      <c r="U428" s="364">
        <f t="shared" ca="1" si="176"/>
        <v>0</v>
      </c>
      <c r="V428" s="359">
        <f t="shared" ca="1" si="177"/>
        <v>1.2255690322205415</v>
      </c>
      <c r="W428" s="357">
        <f t="shared" ca="1" si="178"/>
        <v>6.0465301863894361</v>
      </c>
      <c r="X428" s="343"/>
      <c r="Y428" s="367" t="str">
        <f t="shared" ca="1" si="196"/>
        <v/>
      </c>
      <c r="Z428" s="368" t="str">
        <f t="shared" ca="1" si="197"/>
        <v/>
      </c>
      <c r="AA428" s="369" t="str">
        <f t="shared" ca="1" si="198"/>
        <v/>
      </c>
      <c r="AB428" s="344"/>
      <c r="AC428" s="363" t="e">
        <f t="shared" ca="1" si="199"/>
        <v>#N/A</v>
      </c>
      <c r="AD428" s="376" t="e">
        <f t="shared" ca="1" si="200"/>
        <v>#N/A</v>
      </c>
      <c r="AE428" s="377" t="e">
        <f t="shared" ca="1" si="179"/>
        <v>#N/A</v>
      </c>
      <c r="AF428" s="344"/>
      <c r="AG428" s="359">
        <f t="shared" ca="1" si="201"/>
        <v>5.8424703024903373</v>
      </c>
      <c r="AH428" s="357">
        <f t="shared" ca="1" si="202"/>
        <v>-3.868471672760871</v>
      </c>
    </row>
    <row r="429" spans="1:34" x14ac:dyDescent="0.2">
      <c r="A429" s="402">
        <f t="shared" ca="1" si="180"/>
        <v>1E-4</v>
      </c>
      <c r="B429" s="357">
        <f t="shared" ca="1" si="181"/>
        <v>15.608899999999942</v>
      </c>
      <c r="C429" s="342"/>
      <c r="D429" s="359">
        <f t="shared" ca="1" si="182"/>
        <v>-0.54836180020775827</v>
      </c>
      <c r="E429" s="360">
        <f t="shared" ca="1" si="183"/>
        <v>-5.9805206892292313</v>
      </c>
      <c r="F429" s="357">
        <f t="shared" ca="1" si="184"/>
        <v>6.0056080773079064</v>
      </c>
      <c r="G429" s="359">
        <f t="shared" ca="1" si="185"/>
        <v>9.5442393912022752</v>
      </c>
      <c r="H429" s="360">
        <f t="shared" ca="1" si="186"/>
        <v>-66.653084176780283</v>
      </c>
      <c r="I429" s="357">
        <f t="shared" ca="1" si="187"/>
        <v>67.332949852457332</v>
      </c>
      <c r="J429" s="359">
        <f t="shared" ca="1" si="188"/>
        <v>187.70931447689617</v>
      </c>
      <c r="K429" s="360">
        <f t="shared" ca="1" si="189"/>
        <v>-4.650747637019693</v>
      </c>
      <c r="L429" s="357">
        <f t="shared" ca="1" si="174"/>
        <v>187.76691986334959</v>
      </c>
      <c r="M429" s="359">
        <f t="shared" ca="1" si="190"/>
        <v>-1.4285703783657984</v>
      </c>
      <c r="N429" s="357">
        <f t="shared" ca="1" si="191"/>
        <v>-81.851053417767375</v>
      </c>
      <c r="O429" s="343"/>
      <c r="P429" s="363">
        <f t="shared" ca="1" si="192"/>
        <v>23</v>
      </c>
      <c r="Q429" s="357">
        <f t="shared" ca="1" si="193"/>
        <v>0</v>
      </c>
      <c r="R429" s="359">
        <f t="shared" ca="1" si="194"/>
        <v>0</v>
      </c>
      <c r="S429" s="360">
        <f t="shared" ca="1" si="195"/>
        <v>1.5629999999999982</v>
      </c>
      <c r="T429" s="357">
        <f t="shared" ca="1" si="175"/>
        <v>15.333029999999983</v>
      </c>
      <c r="U429" s="364">
        <f t="shared" ca="1" si="176"/>
        <v>0</v>
      </c>
      <c r="V429" s="359">
        <f t="shared" ca="1" si="177"/>
        <v>1.2255698490967522</v>
      </c>
      <c r="W429" s="357">
        <f t="shared" ca="1" si="178"/>
        <v>6.0466391481423694</v>
      </c>
      <c r="X429" s="343"/>
      <c r="Y429" s="367" t="str">
        <f t="shared" ca="1" si="196"/>
        <v/>
      </c>
      <c r="Z429" s="368" t="str">
        <f t="shared" ca="1" si="197"/>
        <v/>
      </c>
      <c r="AA429" s="369" t="str">
        <f t="shared" ca="1" si="198"/>
        <v/>
      </c>
      <c r="AB429" s="344"/>
      <c r="AC429" s="363" t="e">
        <f t="shared" ca="1" si="199"/>
        <v>#N/A</v>
      </c>
      <c r="AD429" s="376" t="e">
        <f t="shared" ca="1" si="200"/>
        <v>#N/A</v>
      </c>
      <c r="AE429" s="377" t="e">
        <f t="shared" ca="1" si="179"/>
        <v>#N/A</v>
      </c>
      <c r="AF429" s="344"/>
      <c r="AG429" s="359">
        <f t="shared" ca="1" si="201"/>
        <v>5.8424034610665885</v>
      </c>
      <c r="AH429" s="357">
        <f t="shared" ca="1" si="202"/>
        <v>-3.8685413860457092</v>
      </c>
    </row>
    <row r="430" spans="1:34" x14ac:dyDescent="0.2">
      <c r="A430" s="402">
        <f t="shared" ca="1" si="180"/>
        <v>1E-4</v>
      </c>
      <c r="B430" s="357">
        <f t="shared" ca="1" si="181"/>
        <v>15.608999999999941</v>
      </c>
      <c r="C430" s="342"/>
      <c r="D430" s="359">
        <f t="shared" ca="1" si="182"/>
        <v>-0.54836377321505403</v>
      </c>
      <c r="E430" s="360">
        <f t="shared" ca="1" si="183"/>
        <v>-5.9804505474484273</v>
      </c>
      <c r="F430" s="357">
        <f t="shared" ca="1" si="184"/>
        <v>6.0055384086900023</v>
      </c>
      <c r="G430" s="359">
        <f t="shared" ca="1" si="185"/>
        <v>9.5441845548249535</v>
      </c>
      <c r="H430" s="360">
        <f t="shared" ca="1" si="186"/>
        <v>-66.653682221835027</v>
      </c>
      <c r="I430" s="357">
        <f t="shared" ca="1" si="187"/>
        <v>67.333534086262887</v>
      </c>
      <c r="J430" s="359">
        <f t="shared" ca="1" si="188"/>
        <v>187.70931447689617</v>
      </c>
      <c r="K430" s="360">
        <f t="shared" ca="1" si="189"/>
        <v>-4.6574129753396241</v>
      </c>
      <c r="L430" s="357">
        <f t="shared" ca="1" si="174"/>
        <v>187.76708507352711</v>
      </c>
      <c r="M430" s="359">
        <f t="shared" ca="1" si="190"/>
        <v>-1.4285724435142708</v>
      </c>
      <c r="N430" s="357">
        <f t="shared" ca="1" si="191"/>
        <v>-81.851171742058909</v>
      </c>
      <c r="O430" s="343"/>
      <c r="P430" s="363">
        <f t="shared" ca="1" si="192"/>
        <v>23</v>
      </c>
      <c r="Q430" s="357">
        <f t="shared" ca="1" si="193"/>
        <v>0</v>
      </c>
      <c r="R430" s="359">
        <f t="shared" ca="1" si="194"/>
        <v>0</v>
      </c>
      <c r="S430" s="360">
        <f t="shared" ca="1" si="195"/>
        <v>1.5629999999999982</v>
      </c>
      <c r="T430" s="357">
        <f t="shared" ca="1" si="175"/>
        <v>15.333029999999983</v>
      </c>
      <c r="U430" s="364">
        <f t="shared" ca="1" si="176"/>
        <v>0</v>
      </c>
      <c r="V430" s="359">
        <f t="shared" ca="1" si="177"/>
        <v>1.2255706659808363</v>
      </c>
      <c r="W430" s="357">
        <f t="shared" ca="1" si="178"/>
        <v>6.046748109784005</v>
      </c>
      <c r="X430" s="343"/>
      <c r="Y430" s="367" t="str">
        <f t="shared" ca="1" si="196"/>
        <v/>
      </c>
      <c r="Z430" s="368" t="str">
        <f t="shared" ca="1" si="197"/>
        <v/>
      </c>
      <c r="AA430" s="369" t="str">
        <f t="shared" ca="1" si="198"/>
        <v/>
      </c>
      <c r="AB430" s="344"/>
      <c r="AC430" s="363" t="e">
        <f t="shared" ca="1" si="199"/>
        <v>#N/A</v>
      </c>
      <c r="AD430" s="376" t="e">
        <f t="shared" ca="1" si="200"/>
        <v>#N/A</v>
      </c>
      <c r="AE430" s="377" t="e">
        <f t="shared" ca="1" si="179"/>
        <v>#N/A</v>
      </c>
      <c r="AF430" s="344"/>
      <c r="AG430" s="359">
        <f t="shared" ca="1" si="201"/>
        <v>5.8423366196062734</v>
      </c>
      <c r="AH430" s="357">
        <f t="shared" ca="1" si="202"/>
        <v>-3.8686110992593581</v>
      </c>
    </row>
    <row r="431" spans="1:34" x14ac:dyDescent="0.2">
      <c r="A431" s="402">
        <f t="shared" ca="1" si="180"/>
        <v>1E-4</v>
      </c>
      <c r="B431" s="357">
        <f t="shared" ca="1" si="181"/>
        <v>15.609099999999941</v>
      </c>
      <c r="C431" s="342"/>
      <c r="D431" s="359">
        <f t="shared" ca="1" si="182"/>
        <v>-0.54836574610756805</v>
      </c>
      <c r="E431" s="360">
        <f t="shared" ca="1" si="183"/>
        <v>-5.9803804057397905</v>
      </c>
      <c r="F431" s="357">
        <f t="shared" ca="1" si="184"/>
        <v>6.0054687401451465</v>
      </c>
      <c r="G431" s="359">
        <f t="shared" ca="1" si="185"/>
        <v>9.5441297182503426</v>
      </c>
      <c r="H431" s="360">
        <f t="shared" ca="1" si="186"/>
        <v>-66.654280259875605</v>
      </c>
      <c r="I431" s="357">
        <f t="shared" ca="1" si="187"/>
        <v>67.33411831338428</v>
      </c>
      <c r="J431" s="359">
        <f t="shared" ca="1" si="188"/>
        <v>187.70931447689617</v>
      </c>
      <c r="K431" s="360">
        <f t="shared" ca="1" si="189"/>
        <v>-4.6640783734637097</v>
      </c>
      <c r="L431" s="357">
        <f t="shared" ca="1" si="174"/>
        <v>187.76725052165011</v>
      </c>
      <c r="M431" s="359">
        <f t="shared" ca="1" si="190"/>
        <v>-1.4285745086150412</v>
      </c>
      <c r="N431" s="357">
        <f t="shared" ca="1" si="191"/>
        <v>-81.851290063617327</v>
      </c>
      <c r="O431" s="343"/>
      <c r="P431" s="363">
        <f t="shared" ca="1" si="192"/>
        <v>23</v>
      </c>
      <c r="Q431" s="357">
        <f t="shared" ca="1" si="193"/>
        <v>0</v>
      </c>
      <c r="R431" s="359">
        <f t="shared" ca="1" si="194"/>
        <v>0</v>
      </c>
      <c r="S431" s="360">
        <f t="shared" ca="1" si="195"/>
        <v>1.5629999999999982</v>
      </c>
      <c r="T431" s="357">
        <f t="shared" ca="1" si="175"/>
        <v>15.333029999999983</v>
      </c>
      <c r="U431" s="364">
        <f t="shared" ca="1" si="176"/>
        <v>0</v>
      </c>
      <c r="V431" s="359">
        <f t="shared" ca="1" si="177"/>
        <v>1.2255714828727944</v>
      </c>
      <c r="W431" s="357">
        <f t="shared" ca="1" si="178"/>
        <v>6.0468570713143075</v>
      </c>
      <c r="X431" s="343"/>
      <c r="Y431" s="367" t="str">
        <f t="shared" ca="1" si="196"/>
        <v/>
      </c>
      <c r="Z431" s="368" t="str">
        <f t="shared" ca="1" si="197"/>
        <v/>
      </c>
      <c r="AA431" s="369" t="str">
        <f t="shared" ca="1" si="198"/>
        <v/>
      </c>
      <c r="AB431" s="344"/>
      <c r="AC431" s="363" t="e">
        <f t="shared" ca="1" si="199"/>
        <v>#N/A</v>
      </c>
      <c r="AD431" s="376" t="e">
        <f t="shared" ca="1" si="200"/>
        <v>#N/A</v>
      </c>
      <c r="AE431" s="377" t="e">
        <f t="shared" ca="1" si="179"/>
        <v>#N/A</v>
      </c>
      <c r="AF431" s="344"/>
      <c r="AG431" s="359">
        <f t="shared" ca="1" si="201"/>
        <v>5.8422697781094168</v>
      </c>
      <c r="AH431" s="357">
        <f t="shared" ca="1" si="202"/>
        <v>-3.8686808124017991</v>
      </c>
    </row>
    <row r="432" spans="1:34" x14ac:dyDescent="0.2">
      <c r="A432" s="402">
        <f t="shared" ca="1" si="180"/>
        <v>1E-4</v>
      </c>
      <c r="B432" s="357">
        <f t="shared" ca="1" si="181"/>
        <v>15.609199999999941</v>
      </c>
      <c r="C432" s="342"/>
      <c r="D432" s="359">
        <f t="shared" ca="1" si="182"/>
        <v>-0.54836771888530222</v>
      </c>
      <c r="E432" s="360">
        <f t="shared" ca="1" si="183"/>
        <v>-5.9803102641033412</v>
      </c>
      <c r="F432" s="357">
        <f t="shared" ca="1" si="184"/>
        <v>6.0053990716733585</v>
      </c>
      <c r="G432" s="359">
        <f t="shared" ca="1" si="185"/>
        <v>9.5440748814784548</v>
      </c>
      <c r="H432" s="360">
        <f t="shared" ca="1" si="186"/>
        <v>-66.654878290902019</v>
      </c>
      <c r="I432" s="357">
        <f t="shared" ca="1" si="187"/>
        <v>67.334702533821513</v>
      </c>
      <c r="J432" s="359">
        <f t="shared" ca="1" si="188"/>
        <v>187.70931447689617</v>
      </c>
      <c r="K432" s="360">
        <f t="shared" ca="1" si="189"/>
        <v>-4.6707438313912482</v>
      </c>
      <c r="L432" s="357">
        <f t="shared" ca="1" si="174"/>
        <v>187.76741620772432</v>
      </c>
      <c r="M432" s="359">
        <f t="shared" ca="1" si="190"/>
        <v>-1.4285765736681113</v>
      </c>
      <c r="N432" s="357">
        <f t="shared" ca="1" si="191"/>
        <v>-81.851408382442713</v>
      </c>
      <c r="O432" s="343"/>
      <c r="P432" s="363">
        <f t="shared" ca="1" si="192"/>
        <v>23</v>
      </c>
      <c r="Q432" s="357">
        <f t="shared" ca="1" si="193"/>
        <v>0</v>
      </c>
      <c r="R432" s="359">
        <f t="shared" ca="1" si="194"/>
        <v>0</v>
      </c>
      <c r="S432" s="360">
        <f t="shared" ca="1" si="195"/>
        <v>1.5629999999999982</v>
      </c>
      <c r="T432" s="357">
        <f t="shared" ca="1" si="175"/>
        <v>15.333029999999983</v>
      </c>
      <c r="U432" s="364">
        <f t="shared" ca="1" si="176"/>
        <v>0</v>
      </c>
      <c r="V432" s="359">
        <f t="shared" ca="1" si="177"/>
        <v>1.2255722997726268</v>
      </c>
      <c r="W432" s="357">
        <f t="shared" ca="1" si="178"/>
        <v>6.046966032733252</v>
      </c>
      <c r="X432" s="343"/>
      <c r="Y432" s="367" t="str">
        <f t="shared" ca="1" si="196"/>
        <v/>
      </c>
      <c r="Z432" s="368" t="str">
        <f t="shared" ca="1" si="197"/>
        <v/>
      </c>
      <c r="AA432" s="369" t="str">
        <f t="shared" ca="1" si="198"/>
        <v/>
      </c>
      <c r="AB432" s="344"/>
      <c r="AC432" s="363" t="e">
        <f t="shared" ca="1" si="199"/>
        <v>#N/A</v>
      </c>
      <c r="AD432" s="376" t="e">
        <f t="shared" ca="1" si="200"/>
        <v>#N/A</v>
      </c>
      <c r="AE432" s="377" t="e">
        <f t="shared" ca="1" si="179"/>
        <v>#N/A</v>
      </c>
      <c r="AF432" s="344"/>
      <c r="AG432" s="359">
        <f t="shared" ca="1" si="201"/>
        <v>5.8422029365760455</v>
      </c>
      <c r="AH432" s="357">
        <f t="shared" ca="1" si="202"/>
        <v>-3.8687505254730099</v>
      </c>
    </row>
    <row r="433" spans="1:34" x14ac:dyDescent="0.2">
      <c r="A433" s="402">
        <f t="shared" ca="1" si="180"/>
        <v>1E-4</v>
      </c>
      <c r="B433" s="357">
        <f t="shared" ca="1" si="181"/>
        <v>15.609299999999941</v>
      </c>
      <c r="C433" s="342"/>
      <c r="D433" s="359">
        <f t="shared" ca="1" si="182"/>
        <v>-0.5483696915482581</v>
      </c>
      <c r="E433" s="360">
        <f t="shared" ca="1" si="183"/>
        <v>-5.9802401225390973</v>
      </c>
      <c r="F433" s="357">
        <f t="shared" ca="1" si="184"/>
        <v>6.0053294032746587</v>
      </c>
      <c r="G433" s="359">
        <f t="shared" ca="1" si="185"/>
        <v>9.5440200445093009</v>
      </c>
      <c r="H433" s="360">
        <f t="shared" ca="1" si="186"/>
        <v>-66.655476314914267</v>
      </c>
      <c r="I433" s="357">
        <f t="shared" ca="1" si="187"/>
        <v>67.335286747574571</v>
      </c>
      <c r="J433" s="359">
        <f t="shared" ca="1" si="188"/>
        <v>187.70931447689617</v>
      </c>
      <c r="K433" s="360">
        <f t="shared" ca="1" si="189"/>
        <v>-4.6774093491215387</v>
      </c>
      <c r="L433" s="357">
        <f t="shared" ca="1" si="174"/>
        <v>187.76758213175549</v>
      </c>
      <c r="M433" s="359">
        <f t="shared" ca="1" si="190"/>
        <v>-1.4285786386734829</v>
      </c>
      <c r="N433" s="357">
        <f t="shared" ca="1" si="191"/>
        <v>-81.851526698535181</v>
      </c>
      <c r="O433" s="343"/>
      <c r="P433" s="363">
        <f t="shared" ca="1" si="192"/>
        <v>23</v>
      </c>
      <c r="Q433" s="357">
        <f t="shared" ca="1" si="193"/>
        <v>0</v>
      </c>
      <c r="R433" s="359">
        <f t="shared" ca="1" si="194"/>
        <v>0</v>
      </c>
      <c r="S433" s="360">
        <f t="shared" ca="1" si="195"/>
        <v>1.5629999999999982</v>
      </c>
      <c r="T433" s="357">
        <f t="shared" ca="1" si="175"/>
        <v>15.333029999999983</v>
      </c>
      <c r="U433" s="364">
        <f t="shared" ca="1" si="176"/>
        <v>0</v>
      </c>
      <c r="V433" s="359">
        <f t="shared" ca="1" si="177"/>
        <v>1.2255731166803334</v>
      </c>
      <c r="W433" s="357">
        <f t="shared" ca="1" si="178"/>
        <v>6.047074994040802</v>
      </c>
      <c r="X433" s="343"/>
      <c r="Y433" s="367" t="str">
        <f t="shared" ca="1" si="196"/>
        <v/>
      </c>
      <c r="Z433" s="368" t="str">
        <f t="shared" ca="1" si="197"/>
        <v/>
      </c>
      <c r="AA433" s="369" t="str">
        <f t="shared" ca="1" si="198"/>
        <v/>
      </c>
      <c r="AB433" s="344"/>
      <c r="AC433" s="363" t="e">
        <f t="shared" ca="1" si="199"/>
        <v>#N/A</v>
      </c>
      <c r="AD433" s="376" t="e">
        <f t="shared" ca="1" si="200"/>
        <v>#N/A</v>
      </c>
      <c r="AE433" s="377" t="e">
        <f t="shared" ca="1" si="179"/>
        <v>#N/A</v>
      </c>
      <c r="AF433" s="344"/>
      <c r="AG433" s="359">
        <f t="shared" ca="1" si="201"/>
        <v>5.8421360950061789</v>
      </c>
      <c r="AH433" s="357">
        <f t="shared" ca="1" si="202"/>
        <v>-3.8688202384729746</v>
      </c>
    </row>
    <row r="434" spans="1:34" x14ac:dyDescent="0.2">
      <c r="A434" s="402">
        <f t="shared" ca="1" si="180"/>
        <v>1E-4</v>
      </c>
      <c r="B434" s="357">
        <f t="shared" ca="1" si="181"/>
        <v>15.60939999999994</v>
      </c>
      <c r="C434" s="342"/>
      <c r="D434" s="359">
        <f t="shared" ca="1" si="182"/>
        <v>-0.54837166409643578</v>
      </c>
      <c r="E434" s="360">
        <f t="shared" ca="1" si="183"/>
        <v>-5.9801699810470819</v>
      </c>
      <c r="F434" s="357">
        <f t="shared" ca="1" si="184"/>
        <v>6.0052597349490675</v>
      </c>
      <c r="G434" s="359">
        <f t="shared" ca="1" si="185"/>
        <v>9.5439652073428913</v>
      </c>
      <c r="H434" s="360">
        <f t="shared" ca="1" si="186"/>
        <v>-66.656074331912379</v>
      </c>
      <c r="I434" s="357">
        <f t="shared" ca="1" si="187"/>
        <v>67.335870954643482</v>
      </c>
      <c r="J434" s="359">
        <f t="shared" ca="1" si="188"/>
        <v>187.70931447689617</v>
      </c>
      <c r="K434" s="360">
        <f t="shared" ca="1" si="189"/>
        <v>-4.6840749266538797</v>
      </c>
      <c r="L434" s="357">
        <f t="shared" ca="1" si="174"/>
        <v>187.76774829374932</v>
      </c>
      <c r="M434" s="359">
        <f t="shared" ca="1" si="190"/>
        <v>-1.4285807036311577</v>
      </c>
      <c r="N434" s="357">
        <f t="shared" ca="1" si="191"/>
        <v>-81.851645011894817</v>
      </c>
      <c r="O434" s="343"/>
      <c r="P434" s="363">
        <f t="shared" ca="1" si="192"/>
        <v>23</v>
      </c>
      <c r="Q434" s="357">
        <f t="shared" ca="1" si="193"/>
        <v>0</v>
      </c>
      <c r="R434" s="359">
        <f t="shared" ca="1" si="194"/>
        <v>0</v>
      </c>
      <c r="S434" s="360">
        <f t="shared" ca="1" si="195"/>
        <v>1.5629999999999982</v>
      </c>
      <c r="T434" s="357">
        <f t="shared" ca="1" si="175"/>
        <v>15.333029999999983</v>
      </c>
      <c r="U434" s="364">
        <f t="shared" ca="1" si="176"/>
        <v>0</v>
      </c>
      <c r="V434" s="359">
        <f t="shared" ca="1" si="177"/>
        <v>1.2255739335959133</v>
      </c>
      <c r="W434" s="357">
        <f t="shared" ca="1" si="178"/>
        <v>6.04718395523693</v>
      </c>
      <c r="X434" s="343"/>
      <c r="Y434" s="367" t="str">
        <f t="shared" ca="1" si="196"/>
        <v/>
      </c>
      <c r="Z434" s="368" t="str">
        <f t="shared" ca="1" si="197"/>
        <v/>
      </c>
      <c r="AA434" s="369" t="str">
        <f t="shared" ca="1" si="198"/>
        <v/>
      </c>
      <c r="AB434" s="344"/>
      <c r="AC434" s="363" t="e">
        <f t="shared" ca="1" si="199"/>
        <v>#N/A</v>
      </c>
      <c r="AD434" s="376" t="e">
        <f t="shared" ca="1" si="200"/>
        <v>#N/A</v>
      </c>
      <c r="AE434" s="377" t="e">
        <f t="shared" ca="1" si="179"/>
        <v>#N/A</v>
      </c>
      <c r="AF434" s="344"/>
      <c r="AG434" s="359">
        <f t="shared" ca="1" si="201"/>
        <v>5.8420692533998491</v>
      </c>
      <c r="AH434" s="357">
        <f t="shared" ca="1" si="202"/>
        <v>-3.8688899514016692</v>
      </c>
    </row>
    <row r="435" spans="1:34" x14ac:dyDescent="0.2">
      <c r="A435" s="402">
        <f t="shared" ca="1" si="180"/>
        <v>1E-4</v>
      </c>
      <c r="B435" s="357">
        <f t="shared" ca="1" si="181"/>
        <v>15.60949999999994</v>
      </c>
      <c r="C435" s="342"/>
      <c r="D435" s="359">
        <f t="shared" ca="1" si="182"/>
        <v>-0.54837363652983639</v>
      </c>
      <c r="E435" s="360">
        <f t="shared" ca="1" si="183"/>
        <v>-5.9800998396273108</v>
      </c>
      <c r="F435" s="357">
        <f t="shared" ca="1" si="184"/>
        <v>6.0051900666966018</v>
      </c>
      <c r="G435" s="359">
        <f t="shared" ca="1" si="185"/>
        <v>9.5439103699792387</v>
      </c>
      <c r="H435" s="360">
        <f t="shared" ca="1" si="186"/>
        <v>-66.656672341896339</v>
      </c>
      <c r="I435" s="357">
        <f t="shared" ca="1" si="187"/>
        <v>67.336455155028219</v>
      </c>
      <c r="J435" s="359">
        <f t="shared" ca="1" si="188"/>
        <v>187.70931447689617</v>
      </c>
      <c r="K435" s="360">
        <f t="shared" ca="1" si="189"/>
        <v>-4.6907405639875703</v>
      </c>
      <c r="L435" s="357">
        <f t="shared" ca="1" si="174"/>
        <v>187.76791469371156</v>
      </c>
      <c r="M435" s="359">
        <f t="shared" ca="1" si="190"/>
        <v>-1.4285827685411372</v>
      </c>
      <c r="N435" s="357">
        <f t="shared" ca="1" si="191"/>
        <v>-81.85176332252172</v>
      </c>
      <c r="O435" s="343"/>
      <c r="P435" s="363">
        <f t="shared" ca="1" si="192"/>
        <v>23</v>
      </c>
      <c r="Q435" s="357">
        <f t="shared" ca="1" si="193"/>
        <v>0</v>
      </c>
      <c r="R435" s="359">
        <f t="shared" ca="1" si="194"/>
        <v>0</v>
      </c>
      <c r="S435" s="360">
        <f t="shared" ca="1" si="195"/>
        <v>1.5629999999999982</v>
      </c>
      <c r="T435" s="357">
        <f t="shared" ca="1" si="175"/>
        <v>15.333029999999983</v>
      </c>
      <c r="U435" s="364">
        <f t="shared" ca="1" si="176"/>
        <v>0</v>
      </c>
      <c r="V435" s="359">
        <f t="shared" ca="1" si="177"/>
        <v>1.2255747505193673</v>
      </c>
      <c r="W435" s="357">
        <f t="shared" ca="1" si="178"/>
        <v>6.0472929163216058</v>
      </c>
      <c r="X435" s="343"/>
      <c r="Y435" s="367" t="str">
        <f t="shared" ca="1" si="196"/>
        <v/>
      </c>
      <c r="Z435" s="368" t="str">
        <f t="shared" ca="1" si="197"/>
        <v/>
      </c>
      <c r="AA435" s="369" t="str">
        <f t="shared" ca="1" si="198"/>
        <v/>
      </c>
      <c r="AB435" s="344"/>
      <c r="AC435" s="363" t="e">
        <f t="shared" ca="1" si="199"/>
        <v>#N/A</v>
      </c>
      <c r="AD435" s="376" t="e">
        <f t="shared" ca="1" si="200"/>
        <v>#N/A</v>
      </c>
      <c r="AE435" s="377" t="e">
        <f t="shared" ca="1" si="179"/>
        <v>#N/A</v>
      </c>
      <c r="AF435" s="344"/>
      <c r="AG435" s="359">
        <f t="shared" ca="1" si="201"/>
        <v>5.8420024117570755</v>
      </c>
      <c r="AH435" s="357">
        <f t="shared" ca="1" si="202"/>
        <v>-3.8689596642590769</v>
      </c>
    </row>
    <row r="436" spans="1:34" x14ac:dyDescent="0.2">
      <c r="A436" s="402">
        <f t="shared" ca="1" si="180"/>
        <v>1E-4</v>
      </c>
      <c r="B436" s="357">
        <f t="shared" ca="1" si="181"/>
        <v>15.60959999999994</v>
      </c>
      <c r="C436" s="342"/>
      <c r="D436" s="359">
        <f t="shared" ca="1" si="182"/>
        <v>-0.54837560884846259</v>
      </c>
      <c r="E436" s="360">
        <f t="shared" ca="1" si="183"/>
        <v>-5.9800296982798056</v>
      </c>
      <c r="F436" s="357">
        <f t="shared" ca="1" si="184"/>
        <v>6.0051203985172839</v>
      </c>
      <c r="G436" s="359">
        <f t="shared" ca="1" si="185"/>
        <v>9.5438555324183536</v>
      </c>
      <c r="H436" s="360">
        <f t="shared" ca="1" si="186"/>
        <v>-66.657270344866163</v>
      </c>
      <c r="I436" s="357">
        <f t="shared" ca="1" si="187"/>
        <v>67.337039348728766</v>
      </c>
      <c r="J436" s="359">
        <f t="shared" ca="1" si="188"/>
        <v>187.70931447689617</v>
      </c>
      <c r="K436" s="360">
        <f t="shared" ca="1" si="189"/>
        <v>-4.6974062611219081</v>
      </c>
      <c r="L436" s="357">
        <f t="shared" ca="1" si="174"/>
        <v>187.76808133164786</v>
      </c>
      <c r="M436" s="359">
        <f t="shared" ca="1" si="190"/>
        <v>-1.4285848334034235</v>
      </c>
      <c r="N436" s="357">
        <f t="shared" ca="1" si="191"/>
        <v>-81.851881630415988</v>
      </c>
      <c r="O436" s="343"/>
      <c r="P436" s="363">
        <f t="shared" ca="1" si="192"/>
        <v>23</v>
      </c>
      <c r="Q436" s="357">
        <f t="shared" ca="1" si="193"/>
        <v>0</v>
      </c>
      <c r="R436" s="359">
        <f t="shared" ca="1" si="194"/>
        <v>0</v>
      </c>
      <c r="S436" s="360">
        <f t="shared" ca="1" si="195"/>
        <v>1.5629999999999982</v>
      </c>
      <c r="T436" s="357">
        <f t="shared" ca="1" si="175"/>
        <v>15.333029999999983</v>
      </c>
      <c r="U436" s="364">
        <f t="shared" ca="1" si="176"/>
        <v>0</v>
      </c>
      <c r="V436" s="359">
        <f t="shared" ca="1" si="177"/>
        <v>1.225575567450695</v>
      </c>
      <c r="W436" s="357">
        <f t="shared" ca="1" si="178"/>
        <v>6.0474018772947948</v>
      </c>
      <c r="X436" s="343"/>
      <c r="Y436" s="367" t="str">
        <f t="shared" ca="1" si="196"/>
        <v/>
      </c>
      <c r="Z436" s="368" t="str">
        <f t="shared" ca="1" si="197"/>
        <v/>
      </c>
      <c r="AA436" s="369" t="str">
        <f t="shared" ca="1" si="198"/>
        <v/>
      </c>
      <c r="AB436" s="344"/>
      <c r="AC436" s="363" t="e">
        <f t="shared" ca="1" si="199"/>
        <v>#N/A</v>
      </c>
      <c r="AD436" s="376" t="e">
        <f t="shared" ca="1" si="200"/>
        <v>#N/A</v>
      </c>
      <c r="AE436" s="377" t="e">
        <f t="shared" ca="1" si="179"/>
        <v>#N/A</v>
      </c>
      <c r="AF436" s="344"/>
      <c r="AG436" s="359">
        <f t="shared" ca="1" si="201"/>
        <v>5.8419355700778866</v>
      </c>
      <c r="AH436" s="357">
        <f t="shared" ca="1" si="202"/>
        <v>-3.869029377045178</v>
      </c>
    </row>
    <row r="437" spans="1:34" x14ac:dyDescent="0.2">
      <c r="A437" s="402">
        <f t="shared" ca="1" si="180"/>
        <v>1E-4</v>
      </c>
      <c r="B437" s="357">
        <f t="shared" ca="1" si="181"/>
        <v>15.60969999999994</v>
      </c>
      <c r="C437" s="342"/>
      <c r="D437" s="359">
        <f t="shared" ca="1" si="182"/>
        <v>-0.54837758105231282</v>
      </c>
      <c r="E437" s="360">
        <f t="shared" ca="1" si="183"/>
        <v>-5.9799595570045891</v>
      </c>
      <c r="F437" s="357">
        <f t="shared" ca="1" si="184"/>
        <v>6.0050507304111349</v>
      </c>
      <c r="G437" s="359">
        <f t="shared" ca="1" si="185"/>
        <v>9.5438006946602485</v>
      </c>
      <c r="H437" s="360">
        <f t="shared" ca="1" si="186"/>
        <v>-66.657868340821864</v>
      </c>
      <c r="I437" s="357">
        <f t="shared" ca="1" si="187"/>
        <v>67.337623535745152</v>
      </c>
      <c r="J437" s="359">
        <f t="shared" ca="1" si="188"/>
        <v>187.70931447689617</v>
      </c>
      <c r="K437" s="360">
        <f t="shared" ca="1" si="189"/>
        <v>-4.7040720180561921</v>
      </c>
      <c r="L437" s="357">
        <f t="shared" ca="1" si="174"/>
        <v>187.768248207564</v>
      </c>
      <c r="M437" s="359">
        <f t="shared" ca="1" si="190"/>
        <v>-1.4285868982180179</v>
      </c>
      <c r="N437" s="357">
        <f t="shared" ca="1" si="191"/>
        <v>-81.851999935577737</v>
      </c>
      <c r="O437" s="343"/>
      <c r="P437" s="363">
        <f t="shared" ca="1" si="192"/>
        <v>23</v>
      </c>
      <c r="Q437" s="357">
        <f t="shared" ca="1" si="193"/>
        <v>0</v>
      </c>
      <c r="R437" s="359">
        <f t="shared" ca="1" si="194"/>
        <v>0</v>
      </c>
      <c r="S437" s="360">
        <f t="shared" ca="1" si="195"/>
        <v>1.5629999999999982</v>
      </c>
      <c r="T437" s="357">
        <f t="shared" ca="1" si="175"/>
        <v>15.333029999999983</v>
      </c>
      <c r="U437" s="364">
        <f t="shared" ca="1" si="176"/>
        <v>0</v>
      </c>
      <c r="V437" s="359">
        <f t="shared" ca="1" si="177"/>
        <v>1.2255763843898959</v>
      </c>
      <c r="W437" s="357">
        <f t="shared" ca="1" si="178"/>
        <v>6.0475108381564695</v>
      </c>
      <c r="X437" s="343"/>
      <c r="Y437" s="367" t="str">
        <f t="shared" ca="1" si="196"/>
        <v/>
      </c>
      <c r="Z437" s="368" t="str">
        <f t="shared" ca="1" si="197"/>
        <v/>
      </c>
      <c r="AA437" s="369" t="str">
        <f t="shared" ca="1" si="198"/>
        <v/>
      </c>
      <c r="AB437" s="344"/>
      <c r="AC437" s="363" t="e">
        <f t="shared" ca="1" si="199"/>
        <v>#N/A</v>
      </c>
      <c r="AD437" s="376" t="e">
        <f t="shared" ca="1" si="200"/>
        <v>#N/A</v>
      </c>
      <c r="AE437" s="377" t="e">
        <f t="shared" ca="1" si="179"/>
        <v>#N/A</v>
      </c>
      <c r="AF437" s="344"/>
      <c r="AG437" s="359">
        <f t="shared" ca="1" si="201"/>
        <v>5.8418687283623063</v>
      </c>
      <c r="AH437" s="357">
        <f t="shared" ca="1" si="202"/>
        <v>-3.86909908975995</v>
      </c>
    </row>
    <row r="438" spans="1:34" x14ac:dyDescent="0.2">
      <c r="A438" s="402">
        <f t="shared" ca="1" si="180"/>
        <v>1E-4</v>
      </c>
      <c r="B438" s="357">
        <f t="shared" ca="1" si="181"/>
        <v>15.60979999999994</v>
      </c>
      <c r="C438" s="342"/>
      <c r="D438" s="359">
        <f t="shared" ca="1" si="182"/>
        <v>-0.54837955314139009</v>
      </c>
      <c r="E438" s="360">
        <f t="shared" ca="1" si="183"/>
        <v>-5.9798894158016775</v>
      </c>
      <c r="F438" s="357">
        <f t="shared" ca="1" si="184"/>
        <v>6.0049810623781728</v>
      </c>
      <c r="G438" s="359">
        <f t="shared" ca="1" si="185"/>
        <v>9.543745856704934</v>
      </c>
      <c r="H438" s="360">
        <f t="shared" ca="1" si="186"/>
        <v>-66.658466329763442</v>
      </c>
      <c r="I438" s="357">
        <f t="shared" ca="1" si="187"/>
        <v>67.338207716077349</v>
      </c>
      <c r="J438" s="359">
        <f t="shared" ca="1" si="188"/>
        <v>187.70931447689617</v>
      </c>
      <c r="K438" s="360">
        <f t="shared" ca="1" si="189"/>
        <v>-4.7107378347897217</v>
      </c>
      <c r="L438" s="357">
        <f t="shared" ca="1" si="174"/>
        <v>187.76841532146565</v>
      </c>
      <c r="M438" s="359">
        <f t="shared" ca="1" si="190"/>
        <v>-1.4285889629849222</v>
      </c>
      <c r="N438" s="357">
        <f t="shared" ca="1" si="191"/>
        <v>-81.852118238007023</v>
      </c>
      <c r="O438" s="343"/>
      <c r="P438" s="363">
        <f t="shared" ca="1" si="192"/>
        <v>23</v>
      </c>
      <c r="Q438" s="357">
        <f t="shared" ca="1" si="193"/>
        <v>0</v>
      </c>
      <c r="R438" s="359">
        <f t="shared" ca="1" si="194"/>
        <v>0</v>
      </c>
      <c r="S438" s="360">
        <f t="shared" ca="1" si="195"/>
        <v>1.5629999999999982</v>
      </c>
      <c r="T438" s="357">
        <f t="shared" ca="1" si="175"/>
        <v>15.333029999999983</v>
      </c>
      <c r="U438" s="364">
        <f t="shared" ca="1" si="176"/>
        <v>0</v>
      </c>
      <c r="V438" s="359">
        <f t="shared" ca="1" si="177"/>
        <v>1.2255772013369708</v>
      </c>
      <c r="W438" s="357">
        <f t="shared" ca="1" si="178"/>
        <v>6.0476197989066005</v>
      </c>
      <c r="X438" s="343"/>
      <c r="Y438" s="367" t="str">
        <f t="shared" ca="1" si="196"/>
        <v/>
      </c>
      <c r="Z438" s="368" t="str">
        <f t="shared" ca="1" si="197"/>
        <v/>
      </c>
      <c r="AA438" s="369" t="str">
        <f t="shared" ca="1" si="198"/>
        <v/>
      </c>
      <c r="AB438" s="344"/>
      <c r="AC438" s="363" t="e">
        <f t="shared" ca="1" si="199"/>
        <v>#N/A</v>
      </c>
      <c r="AD438" s="376" t="e">
        <f t="shared" ca="1" si="200"/>
        <v>#N/A</v>
      </c>
      <c r="AE438" s="377" t="e">
        <f t="shared" ca="1" si="179"/>
        <v>#N/A</v>
      </c>
      <c r="AF438" s="344"/>
      <c r="AG438" s="359">
        <f t="shared" ca="1" si="201"/>
        <v>5.8418018866103587</v>
      </c>
      <c r="AH438" s="357">
        <f t="shared" ca="1" si="202"/>
        <v>-3.8691688024033759</v>
      </c>
    </row>
    <row r="439" spans="1:34" x14ac:dyDescent="0.2">
      <c r="A439" s="402">
        <f t="shared" ca="1" si="180"/>
        <v>1E-4</v>
      </c>
      <c r="B439" s="357">
        <f t="shared" ca="1" si="181"/>
        <v>15.609899999999939</v>
      </c>
      <c r="C439" s="342"/>
      <c r="D439" s="359">
        <f t="shared" ca="1" si="182"/>
        <v>-0.54838152511569538</v>
      </c>
      <c r="E439" s="360">
        <f t="shared" ca="1" si="183"/>
        <v>-5.9798192746710885</v>
      </c>
      <c r="F439" s="357">
        <f t="shared" ca="1" si="184"/>
        <v>6.0049113944184125</v>
      </c>
      <c r="G439" s="359">
        <f t="shared" ca="1" si="185"/>
        <v>9.5436910185524226</v>
      </c>
      <c r="H439" s="360">
        <f t="shared" ca="1" si="186"/>
        <v>-66.659064311690912</v>
      </c>
      <c r="I439" s="357">
        <f t="shared" ca="1" si="187"/>
        <v>67.338791889725371</v>
      </c>
      <c r="J439" s="359">
        <f t="shared" ca="1" si="188"/>
        <v>187.70931447689617</v>
      </c>
      <c r="K439" s="360">
        <f t="shared" ca="1" si="189"/>
        <v>-4.7174037113217944</v>
      </c>
      <c r="L439" s="357">
        <f t="shared" ca="1" si="174"/>
        <v>187.76858267335857</v>
      </c>
      <c r="M439" s="359">
        <f t="shared" ca="1" si="190"/>
        <v>-1.4285910277041385</v>
      </c>
      <c r="N439" s="357">
        <f t="shared" ca="1" si="191"/>
        <v>-81.852236537704002</v>
      </c>
      <c r="O439" s="343"/>
      <c r="P439" s="363">
        <f t="shared" ca="1" si="192"/>
        <v>23</v>
      </c>
      <c r="Q439" s="357">
        <f t="shared" ca="1" si="193"/>
        <v>0</v>
      </c>
      <c r="R439" s="359">
        <f t="shared" ca="1" si="194"/>
        <v>0</v>
      </c>
      <c r="S439" s="360">
        <f t="shared" ca="1" si="195"/>
        <v>1.5629999999999982</v>
      </c>
      <c r="T439" s="357">
        <f t="shared" ca="1" si="175"/>
        <v>15.333029999999983</v>
      </c>
      <c r="U439" s="364">
        <f t="shared" ca="1" si="176"/>
        <v>0</v>
      </c>
      <c r="V439" s="359">
        <f t="shared" ca="1" si="177"/>
        <v>1.2255780182919189</v>
      </c>
      <c r="W439" s="357">
        <f t="shared" ca="1" si="178"/>
        <v>6.0477287595451514</v>
      </c>
      <c r="X439" s="343"/>
      <c r="Y439" s="367" t="str">
        <f t="shared" ca="1" si="196"/>
        <v/>
      </c>
      <c r="Z439" s="368" t="str">
        <f t="shared" ca="1" si="197"/>
        <v/>
      </c>
      <c r="AA439" s="369" t="str">
        <f t="shared" ca="1" si="198"/>
        <v/>
      </c>
      <c r="AB439" s="344"/>
      <c r="AC439" s="363" t="e">
        <f t="shared" ca="1" si="199"/>
        <v>#N/A</v>
      </c>
      <c r="AD439" s="376" t="e">
        <f t="shared" ca="1" si="200"/>
        <v>#N/A</v>
      </c>
      <c r="AE439" s="377" t="e">
        <f t="shared" ca="1" si="179"/>
        <v>#N/A</v>
      </c>
      <c r="AF439" s="344"/>
      <c r="AG439" s="359">
        <f t="shared" ca="1" si="201"/>
        <v>5.8417350448220686</v>
      </c>
      <c r="AH439" s="357">
        <f t="shared" ca="1" si="202"/>
        <v>-3.8692385149754367</v>
      </c>
    </row>
    <row r="440" spans="1:34" x14ac:dyDescent="0.2">
      <c r="A440" s="402">
        <f t="shared" ca="1" si="180"/>
        <v>1E-4</v>
      </c>
      <c r="B440" s="357">
        <f t="shared" ca="1" si="181"/>
        <v>15.609999999999939</v>
      </c>
      <c r="C440" s="342"/>
      <c r="D440" s="359">
        <f t="shared" ca="1" si="182"/>
        <v>-0.54838349697522792</v>
      </c>
      <c r="E440" s="360">
        <f t="shared" ca="1" si="183"/>
        <v>-5.9797491336128488</v>
      </c>
      <c r="F440" s="357">
        <f t="shared" ca="1" si="184"/>
        <v>6.0048417265318825</v>
      </c>
      <c r="G440" s="359">
        <f t="shared" ca="1" si="185"/>
        <v>9.543636180202725</v>
      </c>
      <c r="H440" s="360">
        <f t="shared" ca="1" si="186"/>
        <v>-66.659662286604274</v>
      </c>
      <c r="I440" s="357">
        <f t="shared" ca="1" si="187"/>
        <v>67.339376056689204</v>
      </c>
      <c r="J440" s="359">
        <f t="shared" ca="1" si="188"/>
        <v>187.70931447689617</v>
      </c>
      <c r="K440" s="360">
        <f t="shared" ca="1" si="189"/>
        <v>-4.7240696476517092</v>
      </c>
      <c r="L440" s="357">
        <f t="shared" ca="1" si="174"/>
        <v>187.76875026324842</v>
      </c>
      <c r="M440" s="359">
        <f t="shared" ca="1" si="190"/>
        <v>-1.428593092375668</v>
      </c>
      <c r="N440" s="357">
        <f t="shared" ca="1" si="191"/>
        <v>-81.852354834668716</v>
      </c>
      <c r="O440" s="343"/>
      <c r="P440" s="363">
        <f t="shared" ca="1" si="192"/>
        <v>23</v>
      </c>
      <c r="Q440" s="357">
        <f t="shared" ca="1" si="193"/>
        <v>0</v>
      </c>
      <c r="R440" s="359">
        <f t="shared" ca="1" si="194"/>
        <v>0</v>
      </c>
      <c r="S440" s="360">
        <f t="shared" ca="1" si="195"/>
        <v>1.5629999999999982</v>
      </c>
      <c r="T440" s="357">
        <f t="shared" ca="1" si="175"/>
        <v>15.333029999999983</v>
      </c>
      <c r="U440" s="364">
        <f t="shared" ca="1" si="176"/>
        <v>0</v>
      </c>
      <c r="V440" s="359">
        <f t="shared" ca="1" si="177"/>
        <v>1.2255788352547401</v>
      </c>
      <c r="W440" s="357">
        <f t="shared" ca="1" si="178"/>
        <v>6.0478377200720947</v>
      </c>
      <c r="X440" s="343"/>
      <c r="Y440" s="367" t="str">
        <f t="shared" ca="1" si="196"/>
        <v/>
      </c>
      <c r="Z440" s="368" t="str">
        <f t="shared" ca="1" si="197"/>
        <v/>
      </c>
      <c r="AA440" s="369" t="str">
        <f t="shared" ca="1" si="198"/>
        <v/>
      </c>
      <c r="AB440" s="344"/>
      <c r="AC440" s="363" t="e">
        <f t="shared" ca="1" si="199"/>
        <v>#N/A</v>
      </c>
      <c r="AD440" s="376" t="e">
        <f t="shared" ca="1" si="200"/>
        <v>#N/A</v>
      </c>
      <c r="AE440" s="377" t="e">
        <f t="shared" ca="1" si="179"/>
        <v>#N/A</v>
      </c>
      <c r="AF440" s="344"/>
      <c r="AG440" s="359">
        <f t="shared" ca="1" si="201"/>
        <v>5.8416682029974609</v>
      </c>
      <c r="AH440" s="357">
        <f t="shared" ca="1" si="202"/>
        <v>-3.8693082274761093</v>
      </c>
    </row>
    <row r="441" spans="1:34" x14ac:dyDescent="0.2">
      <c r="A441" s="402">
        <f t="shared" ca="1" si="180"/>
        <v>1E-4</v>
      </c>
      <c r="B441" s="357">
        <f t="shared" ca="1" si="181"/>
        <v>15.610099999999939</v>
      </c>
      <c r="C441" s="342"/>
      <c r="D441" s="359">
        <f t="shared" ca="1" si="182"/>
        <v>-0.5483854687199905</v>
      </c>
      <c r="E441" s="360">
        <f t="shared" ca="1" si="183"/>
        <v>-5.9796789926269724</v>
      </c>
      <c r="F441" s="357">
        <f t="shared" ca="1" si="184"/>
        <v>6.0047720587185962</v>
      </c>
      <c r="G441" s="359">
        <f t="shared" ca="1" si="185"/>
        <v>9.5435813416558535</v>
      </c>
      <c r="H441" s="360">
        <f t="shared" ca="1" si="186"/>
        <v>-66.660260254503541</v>
      </c>
      <c r="I441" s="357">
        <f t="shared" ca="1" si="187"/>
        <v>67.339960216968834</v>
      </c>
      <c r="J441" s="359">
        <f t="shared" ca="1" si="188"/>
        <v>187.70931447689617</v>
      </c>
      <c r="K441" s="360">
        <f t="shared" ca="1" si="189"/>
        <v>-4.7307356437787647</v>
      </c>
      <c r="L441" s="357">
        <f t="shared" ca="1" si="174"/>
        <v>187.76891809114102</v>
      </c>
      <c r="M441" s="359">
        <f t="shared" ca="1" si="190"/>
        <v>-1.4285951569995128</v>
      </c>
      <c r="N441" s="357">
        <f t="shared" ca="1" si="191"/>
        <v>-81.852473128901309</v>
      </c>
      <c r="O441" s="343"/>
      <c r="P441" s="363">
        <f t="shared" ca="1" si="192"/>
        <v>23</v>
      </c>
      <c r="Q441" s="357">
        <f t="shared" ca="1" si="193"/>
        <v>0</v>
      </c>
      <c r="R441" s="359">
        <f t="shared" ca="1" si="194"/>
        <v>0</v>
      </c>
      <c r="S441" s="360">
        <f t="shared" ca="1" si="195"/>
        <v>1.5629999999999982</v>
      </c>
      <c r="T441" s="357">
        <f t="shared" ca="1" si="175"/>
        <v>15.333029999999983</v>
      </c>
      <c r="U441" s="364">
        <f t="shared" ca="1" si="176"/>
        <v>0</v>
      </c>
      <c r="V441" s="359">
        <f t="shared" ca="1" si="177"/>
        <v>1.2255796522254352</v>
      </c>
      <c r="W441" s="357">
        <f t="shared" ca="1" si="178"/>
        <v>6.0479466804873994</v>
      </c>
      <c r="X441" s="343"/>
      <c r="Y441" s="367" t="str">
        <f t="shared" ca="1" si="196"/>
        <v/>
      </c>
      <c r="Z441" s="368" t="str">
        <f t="shared" ca="1" si="197"/>
        <v/>
      </c>
      <c r="AA441" s="369" t="str">
        <f t="shared" ca="1" si="198"/>
        <v/>
      </c>
      <c r="AB441" s="344"/>
      <c r="AC441" s="363" t="e">
        <f t="shared" ca="1" si="199"/>
        <v>#N/A</v>
      </c>
      <c r="AD441" s="376" t="e">
        <f t="shared" ca="1" si="200"/>
        <v>#N/A</v>
      </c>
      <c r="AE441" s="377" t="e">
        <f t="shared" ca="1" si="179"/>
        <v>#N/A</v>
      </c>
      <c r="AF441" s="344"/>
      <c r="AG441" s="359">
        <f t="shared" ca="1" si="201"/>
        <v>5.8416013611365649</v>
      </c>
      <c r="AH441" s="357">
        <f t="shared" ca="1" si="202"/>
        <v>-3.8693779399053754</v>
      </c>
    </row>
    <row r="442" spans="1:34" x14ac:dyDescent="0.2">
      <c r="A442" s="402">
        <f t="shared" ca="1" si="180"/>
        <v>1E-4</v>
      </c>
      <c r="B442" s="357">
        <f t="shared" ca="1" si="181"/>
        <v>15.610199999999939</v>
      </c>
      <c r="C442" s="342"/>
      <c r="D442" s="359">
        <f t="shared" ca="1" si="182"/>
        <v>-0.54838744034998332</v>
      </c>
      <c r="E442" s="360">
        <f t="shared" ca="1" si="183"/>
        <v>-5.9796088517134827</v>
      </c>
      <c r="F442" s="357">
        <f t="shared" ca="1" si="184"/>
        <v>6.0047023909785775</v>
      </c>
      <c r="G442" s="359">
        <f t="shared" ca="1" si="185"/>
        <v>9.5435265029118188</v>
      </c>
      <c r="H442" s="360">
        <f t="shared" ca="1" si="186"/>
        <v>-66.660858215388714</v>
      </c>
      <c r="I442" s="357">
        <f t="shared" ca="1" si="187"/>
        <v>67.340544370564288</v>
      </c>
      <c r="J442" s="359">
        <f t="shared" ca="1" si="188"/>
        <v>187.70931447689617</v>
      </c>
      <c r="K442" s="360">
        <f t="shared" ca="1" si="189"/>
        <v>-4.737401699702259</v>
      </c>
      <c r="L442" s="357">
        <f t="shared" ca="1" si="174"/>
        <v>187.76908615704195</v>
      </c>
      <c r="M442" s="359">
        <f t="shared" ca="1" si="190"/>
        <v>-1.4285972215756741</v>
      </c>
      <c r="N442" s="357">
        <f t="shared" ca="1" si="191"/>
        <v>-81.852591420401836</v>
      </c>
      <c r="O442" s="343"/>
      <c r="P442" s="363">
        <f t="shared" ca="1" si="192"/>
        <v>23</v>
      </c>
      <c r="Q442" s="357">
        <f t="shared" ca="1" si="193"/>
        <v>0</v>
      </c>
      <c r="R442" s="359">
        <f t="shared" ca="1" si="194"/>
        <v>0</v>
      </c>
      <c r="S442" s="360">
        <f t="shared" ca="1" si="195"/>
        <v>1.5629999999999982</v>
      </c>
      <c r="T442" s="357">
        <f t="shared" ca="1" si="175"/>
        <v>15.333029999999983</v>
      </c>
      <c r="U442" s="364">
        <f t="shared" ca="1" si="176"/>
        <v>0</v>
      </c>
      <c r="V442" s="359">
        <f t="shared" ca="1" si="177"/>
        <v>1.2255804692040033</v>
      </c>
      <c r="W442" s="357">
        <f t="shared" ca="1" si="178"/>
        <v>6.0480556407910386</v>
      </c>
      <c r="X442" s="343"/>
      <c r="Y442" s="367" t="str">
        <f t="shared" ca="1" si="196"/>
        <v/>
      </c>
      <c r="Z442" s="368" t="str">
        <f t="shared" ca="1" si="197"/>
        <v/>
      </c>
      <c r="AA442" s="369" t="str">
        <f t="shared" ca="1" si="198"/>
        <v/>
      </c>
      <c r="AB442" s="344"/>
      <c r="AC442" s="363" t="e">
        <f t="shared" ca="1" si="199"/>
        <v>#N/A</v>
      </c>
      <c r="AD442" s="376" t="e">
        <f t="shared" ca="1" si="200"/>
        <v>#N/A</v>
      </c>
      <c r="AE442" s="377" t="e">
        <f t="shared" ca="1" si="179"/>
        <v>#N/A</v>
      </c>
      <c r="AF442" s="344"/>
      <c r="AG442" s="359">
        <f t="shared" ca="1" si="201"/>
        <v>5.8415345192394001</v>
      </c>
      <c r="AH442" s="357">
        <f t="shared" ca="1" si="202"/>
        <v>-3.869447652263216</v>
      </c>
    </row>
    <row r="443" spans="1:34" x14ac:dyDescent="0.2">
      <c r="A443" s="402">
        <f t="shared" ca="1" si="180"/>
        <v>1E-4</v>
      </c>
      <c r="B443" s="357">
        <f t="shared" ca="1" si="181"/>
        <v>15.610299999999938</v>
      </c>
      <c r="C443" s="342"/>
      <c r="D443" s="359">
        <f t="shared" ca="1" si="182"/>
        <v>-0.54838941186520884</v>
      </c>
      <c r="E443" s="360">
        <f t="shared" ca="1" si="183"/>
        <v>-5.9795387108723954</v>
      </c>
      <c r="F443" s="357">
        <f t="shared" ca="1" si="184"/>
        <v>6.0046327233118415</v>
      </c>
      <c r="G443" s="359">
        <f t="shared" ca="1" si="185"/>
        <v>9.5434716639706316</v>
      </c>
      <c r="H443" s="360">
        <f t="shared" ca="1" si="186"/>
        <v>-66.661456169259807</v>
      </c>
      <c r="I443" s="357">
        <f t="shared" ca="1" si="187"/>
        <v>67.341128517475539</v>
      </c>
      <c r="J443" s="359">
        <f t="shared" ca="1" si="188"/>
        <v>187.70931447689617</v>
      </c>
      <c r="K443" s="360">
        <f t="shared" ca="1" si="189"/>
        <v>-4.7440678154214915</v>
      </c>
      <c r="L443" s="357">
        <f t="shared" ca="1" si="174"/>
        <v>187.769254460957</v>
      </c>
      <c r="M443" s="359">
        <f t="shared" ca="1" si="190"/>
        <v>-1.4285992861041543</v>
      </c>
      <c r="N443" s="357">
        <f t="shared" ca="1" si="191"/>
        <v>-81.852709709170441</v>
      </c>
      <c r="O443" s="343"/>
      <c r="P443" s="363">
        <f t="shared" ca="1" si="192"/>
        <v>23</v>
      </c>
      <c r="Q443" s="357">
        <f t="shared" ca="1" si="193"/>
        <v>0</v>
      </c>
      <c r="R443" s="359">
        <f t="shared" ca="1" si="194"/>
        <v>0</v>
      </c>
      <c r="S443" s="360">
        <f t="shared" ca="1" si="195"/>
        <v>1.5629999999999982</v>
      </c>
      <c r="T443" s="357">
        <f t="shared" ca="1" si="175"/>
        <v>15.333029999999983</v>
      </c>
      <c r="U443" s="364">
        <f t="shared" ca="1" si="176"/>
        <v>0</v>
      </c>
      <c r="V443" s="359">
        <f t="shared" ca="1" si="177"/>
        <v>1.2255812861904445</v>
      </c>
      <c r="W443" s="357">
        <f t="shared" ca="1" si="178"/>
        <v>6.0481646009829761</v>
      </c>
      <c r="X443" s="343"/>
      <c r="Y443" s="367" t="str">
        <f t="shared" ca="1" si="196"/>
        <v/>
      </c>
      <c r="Z443" s="368" t="str">
        <f t="shared" ca="1" si="197"/>
        <v/>
      </c>
      <c r="AA443" s="369" t="str">
        <f t="shared" ca="1" si="198"/>
        <v/>
      </c>
      <c r="AB443" s="344"/>
      <c r="AC443" s="363" t="e">
        <f t="shared" ca="1" si="199"/>
        <v>#N/A</v>
      </c>
      <c r="AD443" s="376" t="e">
        <f t="shared" ca="1" si="200"/>
        <v>#N/A</v>
      </c>
      <c r="AE443" s="377" t="e">
        <f t="shared" ca="1" si="179"/>
        <v>#N/A</v>
      </c>
      <c r="AF443" s="344"/>
      <c r="AG443" s="359">
        <f t="shared" ca="1" si="201"/>
        <v>5.8414676773059888</v>
      </c>
      <c r="AH443" s="357">
        <f t="shared" ca="1" si="202"/>
        <v>-3.8695173645496133</v>
      </c>
    </row>
    <row r="444" spans="1:34" x14ac:dyDescent="0.2">
      <c r="A444" s="402">
        <f t="shared" ca="1" si="180"/>
        <v>1E-4</v>
      </c>
      <c r="B444" s="357">
        <f t="shared" ca="1" si="181"/>
        <v>15.610399999999938</v>
      </c>
      <c r="C444" s="342"/>
      <c r="D444" s="359">
        <f t="shared" ca="1" si="182"/>
        <v>-0.54839138326566594</v>
      </c>
      <c r="E444" s="360">
        <f t="shared" ca="1" si="183"/>
        <v>-5.9794685701037329</v>
      </c>
      <c r="F444" s="357">
        <f t="shared" ca="1" si="184"/>
        <v>6.0045630557184104</v>
      </c>
      <c r="G444" s="359">
        <f t="shared" ca="1" si="185"/>
        <v>9.5434168248323044</v>
      </c>
      <c r="H444" s="360">
        <f t="shared" ca="1" si="186"/>
        <v>-66.662054116116821</v>
      </c>
      <c r="I444" s="357">
        <f t="shared" ca="1" si="187"/>
        <v>67.341712657702573</v>
      </c>
      <c r="J444" s="359">
        <f t="shared" ca="1" si="188"/>
        <v>187.70931447689617</v>
      </c>
      <c r="K444" s="360">
        <f t="shared" ca="1" si="189"/>
        <v>-4.7507339909357604</v>
      </c>
      <c r="L444" s="357">
        <f t="shared" ca="1" si="174"/>
        <v>187.76942300289184</v>
      </c>
      <c r="M444" s="359">
        <f t="shared" ca="1" si="190"/>
        <v>-1.4286013505849549</v>
      </c>
      <c r="N444" s="357">
        <f t="shared" ca="1" si="191"/>
        <v>-81.852827995207193</v>
      </c>
      <c r="O444" s="343"/>
      <c r="P444" s="363">
        <f t="shared" ca="1" si="192"/>
        <v>23</v>
      </c>
      <c r="Q444" s="357">
        <f t="shared" ca="1" si="193"/>
        <v>0</v>
      </c>
      <c r="R444" s="359">
        <f t="shared" ca="1" si="194"/>
        <v>0</v>
      </c>
      <c r="S444" s="360">
        <f t="shared" ca="1" si="195"/>
        <v>1.5629999999999982</v>
      </c>
      <c r="T444" s="357">
        <f t="shared" ca="1" si="175"/>
        <v>15.333029999999983</v>
      </c>
      <c r="U444" s="364">
        <f t="shared" ca="1" si="176"/>
        <v>0</v>
      </c>
      <c r="V444" s="359">
        <f t="shared" ca="1" si="177"/>
        <v>1.2255821031847591</v>
      </c>
      <c r="W444" s="357">
        <f t="shared" ca="1" si="178"/>
        <v>6.0482735610631799</v>
      </c>
      <c r="X444" s="343"/>
      <c r="Y444" s="367" t="str">
        <f t="shared" ca="1" si="196"/>
        <v/>
      </c>
      <c r="Z444" s="368" t="str">
        <f t="shared" ca="1" si="197"/>
        <v/>
      </c>
      <c r="AA444" s="369" t="str">
        <f t="shared" ca="1" si="198"/>
        <v/>
      </c>
      <c r="AB444" s="344"/>
      <c r="AC444" s="363" t="e">
        <f t="shared" ca="1" si="199"/>
        <v>#N/A</v>
      </c>
      <c r="AD444" s="376" t="e">
        <f t="shared" ca="1" si="200"/>
        <v>#N/A</v>
      </c>
      <c r="AE444" s="377" t="e">
        <f t="shared" ca="1" si="179"/>
        <v>#N/A</v>
      </c>
      <c r="AF444" s="344"/>
      <c r="AG444" s="359">
        <f t="shared" ca="1" si="201"/>
        <v>5.8414008353363656</v>
      </c>
      <c r="AH444" s="357">
        <f t="shared" ca="1" si="202"/>
        <v>-3.8695870767645446</v>
      </c>
    </row>
    <row r="445" spans="1:34" x14ac:dyDescent="0.2">
      <c r="A445" s="402">
        <f t="shared" ca="1" si="180"/>
        <v>1E-4</v>
      </c>
      <c r="B445" s="357">
        <f t="shared" ca="1" si="181"/>
        <v>15.610499999999938</v>
      </c>
      <c r="C445" s="342"/>
      <c r="D445" s="359">
        <f t="shared" ca="1" si="182"/>
        <v>-0.54839335455135596</v>
      </c>
      <c r="E445" s="360">
        <f t="shared" ca="1" si="183"/>
        <v>-5.9793984294075173</v>
      </c>
      <c r="F445" s="357">
        <f t="shared" ca="1" si="184"/>
        <v>6.0044933881983065</v>
      </c>
      <c r="G445" s="359">
        <f t="shared" ca="1" si="185"/>
        <v>9.5433619854968494</v>
      </c>
      <c r="H445" s="360">
        <f t="shared" ca="1" si="186"/>
        <v>-66.662652055959768</v>
      </c>
      <c r="I445" s="357">
        <f t="shared" ca="1" si="187"/>
        <v>67.342296791245417</v>
      </c>
      <c r="J445" s="359">
        <f t="shared" ca="1" si="188"/>
        <v>187.70931447689617</v>
      </c>
      <c r="K445" s="360">
        <f t="shared" ca="1" si="189"/>
        <v>-4.7574002262443642</v>
      </c>
      <c r="L445" s="357">
        <f t="shared" ca="1" si="174"/>
        <v>187.76959178285225</v>
      </c>
      <c r="M445" s="359">
        <f t="shared" ca="1" si="190"/>
        <v>-1.4286034150180771</v>
      </c>
      <c r="N445" s="357">
        <f t="shared" ca="1" si="191"/>
        <v>-81.852946278512178</v>
      </c>
      <c r="O445" s="343"/>
      <c r="P445" s="363">
        <f t="shared" ca="1" si="192"/>
        <v>23</v>
      </c>
      <c r="Q445" s="357">
        <f t="shared" ca="1" si="193"/>
        <v>0</v>
      </c>
      <c r="R445" s="359">
        <f t="shared" ca="1" si="194"/>
        <v>0</v>
      </c>
      <c r="S445" s="360">
        <f t="shared" ca="1" si="195"/>
        <v>1.5629999999999982</v>
      </c>
      <c r="T445" s="357">
        <f t="shared" ca="1" si="175"/>
        <v>15.333029999999983</v>
      </c>
      <c r="U445" s="364">
        <f t="shared" ca="1" si="176"/>
        <v>0</v>
      </c>
      <c r="V445" s="359">
        <f t="shared" ca="1" si="177"/>
        <v>1.2255829201869466</v>
      </c>
      <c r="W445" s="357">
        <f t="shared" ca="1" si="178"/>
        <v>6.0483825210316269</v>
      </c>
      <c r="X445" s="343"/>
      <c r="Y445" s="367" t="str">
        <f t="shared" ca="1" si="196"/>
        <v/>
      </c>
      <c r="Z445" s="368" t="str">
        <f t="shared" ca="1" si="197"/>
        <v/>
      </c>
      <c r="AA445" s="369" t="str">
        <f t="shared" ca="1" si="198"/>
        <v/>
      </c>
      <c r="AB445" s="344"/>
      <c r="AC445" s="363" t="e">
        <f t="shared" ca="1" si="199"/>
        <v>#N/A</v>
      </c>
      <c r="AD445" s="376" t="e">
        <f t="shared" ca="1" si="200"/>
        <v>#N/A</v>
      </c>
      <c r="AE445" s="377" t="e">
        <f t="shared" ca="1" si="179"/>
        <v>#N/A</v>
      </c>
      <c r="AF445" s="344"/>
      <c r="AG445" s="359">
        <f t="shared" ca="1" si="201"/>
        <v>5.841333993330549</v>
      </c>
      <c r="AH445" s="357">
        <f t="shared" ca="1" si="202"/>
        <v>-3.8696567889079891</v>
      </c>
    </row>
    <row r="446" spans="1:34" x14ac:dyDescent="0.2">
      <c r="A446" s="402">
        <f t="shared" ca="1" si="180"/>
        <v>1E-4</v>
      </c>
      <c r="B446" s="357">
        <f t="shared" ca="1" si="181"/>
        <v>15.610599999999938</v>
      </c>
      <c r="C446" s="342"/>
      <c r="D446" s="359">
        <f t="shared" ca="1" si="182"/>
        <v>-0.54839532572228211</v>
      </c>
      <c r="E446" s="360">
        <f t="shared" ca="1" si="183"/>
        <v>-5.979328288783762</v>
      </c>
      <c r="F446" s="357">
        <f t="shared" ca="1" si="184"/>
        <v>6.004423720751543</v>
      </c>
      <c r="G446" s="359">
        <f t="shared" ca="1" si="185"/>
        <v>9.5433071459642775</v>
      </c>
      <c r="H446" s="360">
        <f t="shared" ca="1" si="186"/>
        <v>-66.66324998878865</v>
      </c>
      <c r="I446" s="357">
        <f t="shared" ca="1" si="187"/>
        <v>67.342880918104058</v>
      </c>
      <c r="J446" s="359">
        <f t="shared" ca="1" si="188"/>
        <v>187.70931447689617</v>
      </c>
      <c r="K446" s="360">
        <f t="shared" ca="1" si="189"/>
        <v>-4.764066521346602</v>
      </c>
      <c r="L446" s="357">
        <f t="shared" ca="1" si="174"/>
        <v>187.76976080084384</v>
      </c>
      <c r="M446" s="359">
        <f t="shared" ca="1" si="190"/>
        <v>-1.4286054794035232</v>
      </c>
      <c r="N446" s="357">
        <f t="shared" ca="1" si="191"/>
        <v>-81.853064559085539</v>
      </c>
      <c r="O446" s="343"/>
      <c r="P446" s="363">
        <f t="shared" ca="1" si="192"/>
        <v>23</v>
      </c>
      <c r="Q446" s="357">
        <f t="shared" ca="1" si="193"/>
        <v>0</v>
      </c>
      <c r="R446" s="359">
        <f t="shared" ca="1" si="194"/>
        <v>0</v>
      </c>
      <c r="S446" s="360">
        <f t="shared" ca="1" si="195"/>
        <v>1.5629999999999982</v>
      </c>
      <c r="T446" s="357">
        <f t="shared" ca="1" si="175"/>
        <v>15.333029999999983</v>
      </c>
      <c r="U446" s="364">
        <f t="shared" ca="1" si="176"/>
        <v>0</v>
      </c>
      <c r="V446" s="359">
        <f t="shared" ca="1" si="177"/>
        <v>1.2255837371970071</v>
      </c>
      <c r="W446" s="357">
        <f t="shared" ca="1" si="178"/>
        <v>6.0484914808882806</v>
      </c>
      <c r="X446" s="343"/>
      <c r="Y446" s="367" t="str">
        <f t="shared" ca="1" si="196"/>
        <v/>
      </c>
      <c r="Z446" s="368" t="str">
        <f t="shared" ca="1" si="197"/>
        <v/>
      </c>
      <c r="AA446" s="369" t="str">
        <f t="shared" ca="1" si="198"/>
        <v/>
      </c>
      <c r="AB446" s="344"/>
      <c r="AC446" s="363" t="e">
        <f t="shared" ca="1" si="199"/>
        <v>#N/A</v>
      </c>
      <c r="AD446" s="376" t="e">
        <f t="shared" ca="1" si="200"/>
        <v>#N/A</v>
      </c>
      <c r="AE446" s="377" t="e">
        <f t="shared" ca="1" si="179"/>
        <v>#N/A</v>
      </c>
      <c r="AF446" s="344"/>
      <c r="AG446" s="359">
        <f t="shared" ca="1" si="201"/>
        <v>5.8412671512885632</v>
      </c>
      <c r="AH446" s="357">
        <f t="shared" ca="1" si="202"/>
        <v>-3.8697265009799322</v>
      </c>
    </row>
    <row r="447" spans="1:34" x14ac:dyDescent="0.2">
      <c r="A447" s="402">
        <f t="shared" ca="1" si="180"/>
        <v>1E-4</v>
      </c>
      <c r="B447" s="357">
        <f t="shared" ca="1" si="181"/>
        <v>15.610699999999937</v>
      </c>
      <c r="C447" s="342"/>
      <c r="D447" s="359">
        <f t="shared" ca="1" si="182"/>
        <v>-0.54839729677844318</v>
      </c>
      <c r="E447" s="360">
        <f t="shared" ca="1" si="183"/>
        <v>-5.9792581482324927</v>
      </c>
      <c r="F447" s="357">
        <f t="shared" ca="1" si="184"/>
        <v>6.0043540533781448</v>
      </c>
      <c r="G447" s="359">
        <f t="shared" ca="1" si="185"/>
        <v>9.5432523062345993</v>
      </c>
      <c r="H447" s="360">
        <f t="shared" ca="1" si="186"/>
        <v>-66.66384791460348</v>
      </c>
      <c r="I447" s="357">
        <f t="shared" ca="1" si="187"/>
        <v>67.343465038278467</v>
      </c>
      <c r="J447" s="359">
        <f t="shared" ca="1" si="188"/>
        <v>187.70931447689617</v>
      </c>
      <c r="K447" s="360">
        <f t="shared" ca="1" si="189"/>
        <v>-4.7707328762417713</v>
      </c>
      <c r="L447" s="357">
        <f t="shared" ca="1" si="174"/>
        <v>187.7699300568724</v>
      </c>
      <c r="M447" s="359">
        <f t="shared" ca="1" si="190"/>
        <v>-1.4286075437412946</v>
      </c>
      <c r="N447" s="357">
        <f t="shared" ca="1" si="191"/>
        <v>-81.853182836927331</v>
      </c>
      <c r="O447" s="343"/>
      <c r="P447" s="363">
        <f t="shared" ca="1" si="192"/>
        <v>23</v>
      </c>
      <c r="Q447" s="357">
        <f t="shared" ca="1" si="193"/>
        <v>0</v>
      </c>
      <c r="R447" s="359">
        <f t="shared" ca="1" si="194"/>
        <v>0</v>
      </c>
      <c r="S447" s="360">
        <f t="shared" ca="1" si="195"/>
        <v>1.5629999999999982</v>
      </c>
      <c r="T447" s="357">
        <f t="shared" ca="1" si="175"/>
        <v>15.333029999999983</v>
      </c>
      <c r="U447" s="364">
        <f t="shared" ca="1" si="176"/>
        <v>0</v>
      </c>
      <c r="V447" s="359">
        <f t="shared" ca="1" si="177"/>
        <v>1.2255845542149402</v>
      </c>
      <c r="W447" s="357">
        <f t="shared" ca="1" si="178"/>
        <v>6.0486004406331073</v>
      </c>
      <c r="X447" s="343"/>
      <c r="Y447" s="367" t="str">
        <f t="shared" ca="1" si="196"/>
        <v/>
      </c>
      <c r="Z447" s="368" t="str">
        <f t="shared" ca="1" si="197"/>
        <v/>
      </c>
      <c r="AA447" s="369" t="str">
        <f t="shared" ca="1" si="198"/>
        <v/>
      </c>
      <c r="AB447" s="344"/>
      <c r="AC447" s="363" t="e">
        <f t="shared" ca="1" si="199"/>
        <v>#N/A</v>
      </c>
      <c r="AD447" s="376" t="e">
        <f t="shared" ca="1" si="200"/>
        <v>#N/A</v>
      </c>
      <c r="AE447" s="377" t="e">
        <f t="shared" ca="1" si="179"/>
        <v>#N/A</v>
      </c>
      <c r="AF447" s="344"/>
      <c r="AG447" s="359">
        <f t="shared" ca="1" si="201"/>
        <v>5.8412003092104356</v>
      </c>
      <c r="AH447" s="357">
        <f t="shared" ca="1" si="202"/>
        <v>-3.8697962129803503</v>
      </c>
    </row>
    <row r="448" spans="1:34" x14ac:dyDescent="0.2">
      <c r="A448" s="402">
        <f t="shared" ca="1" si="180"/>
        <v>1E-4</v>
      </c>
      <c r="B448" s="357">
        <f t="shared" ca="1" si="181"/>
        <v>15.610799999999937</v>
      </c>
      <c r="C448" s="342"/>
      <c r="D448" s="359">
        <f t="shared" ca="1" si="182"/>
        <v>-0.54839926771984104</v>
      </c>
      <c r="E448" s="360">
        <f t="shared" ca="1" si="183"/>
        <v>-5.9791880077537289</v>
      </c>
      <c r="F448" s="357">
        <f t="shared" ca="1" si="184"/>
        <v>6.0042843860781332</v>
      </c>
      <c r="G448" s="359">
        <f t="shared" ca="1" si="185"/>
        <v>9.5431974663078272</v>
      </c>
      <c r="H448" s="360">
        <f t="shared" ca="1" si="186"/>
        <v>-66.664445833404258</v>
      </c>
      <c r="I448" s="357">
        <f t="shared" ca="1" si="187"/>
        <v>67.344049151768672</v>
      </c>
      <c r="J448" s="359">
        <f t="shared" ca="1" si="188"/>
        <v>187.70931447689617</v>
      </c>
      <c r="K448" s="360">
        <f t="shared" ca="1" si="189"/>
        <v>-4.7773992909291714</v>
      </c>
      <c r="L448" s="357">
        <f t="shared" ca="1" si="174"/>
        <v>187.7700995509436</v>
      </c>
      <c r="M448" s="359">
        <f t="shared" ca="1" si="190"/>
        <v>-1.4286096080313933</v>
      </c>
      <c r="N448" s="357">
        <f t="shared" ca="1" si="191"/>
        <v>-81.85330111203767</v>
      </c>
      <c r="O448" s="343"/>
      <c r="P448" s="363">
        <f t="shared" ca="1" si="192"/>
        <v>23</v>
      </c>
      <c r="Q448" s="357">
        <f t="shared" ca="1" si="193"/>
        <v>0</v>
      </c>
      <c r="R448" s="359">
        <f t="shared" ca="1" si="194"/>
        <v>0</v>
      </c>
      <c r="S448" s="360">
        <f t="shared" ca="1" si="195"/>
        <v>1.5629999999999982</v>
      </c>
      <c r="T448" s="357">
        <f t="shared" ca="1" si="175"/>
        <v>15.333029999999983</v>
      </c>
      <c r="U448" s="364">
        <f t="shared" ca="1" si="176"/>
        <v>0</v>
      </c>
      <c r="V448" s="359">
        <f t="shared" ca="1" si="177"/>
        <v>1.2255853712407463</v>
      </c>
      <c r="W448" s="357">
        <f t="shared" ca="1" si="178"/>
        <v>6.0487094002660839</v>
      </c>
      <c r="X448" s="343"/>
      <c r="Y448" s="367" t="str">
        <f t="shared" ca="1" si="196"/>
        <v/>
      </c>
      <c r="Z448" s="368" t="str">
        <f t="shared" ca="1" si="197"/>
        <v/>
      </c>
      <c r="AA448" s="369" t="str">
        <f t="shared" ca="1" si="198"/>
        <v/>
      </c>
      <c r="AB448" s="344"/>
      <c r="AC448" s="363" t="e">
        <f t="shared" ca="1" si="199"/>
        <v>#N/A</v>
      </c>
      <c r="AD448" s="376" t="e">
        <f t="shared" ca="1" si="200"/>
        <v>#N/A</v>
      </c>
      <c r="AE448" s="377" t="e">
        <f t="shared" ca="1" si="179"/>
        <v>#N/A</v>
      </c>
      <c r="AF448" s="344"/>
      <c r="AG448" s="359">
        <f t="shared" ca="1" si="201"/>
        <v>5.8411334670961921</v>
      </c>
      <c r="AH448" s="357">
        <f t="shared" ca="1" si="202"/>
        <v>-3.8698659249092224</v>
      </c>
    </row>
    <row r="449" spans="1:34" x14ac:dyDescent="0.2">
      <c r="A449" s="402">
        <f t="shared" ca="1" si="180"/>
        <v>1E-4</v>
      </c>
      <c r="B449" s="357">
        <f t="shared" ca="1" si="181"/>
        <v>15.610899999999937</v>
      </c>
      <c r="C449" s="342"/>
      <c r="D449" s="359">
        <f t="shared" ca="1" si="182"/>
        <v>-0.54840123854647649</v>
      </c>
      <c r="E449" s="360">
        <f t="shared" ca="1" si="183"/>
        <v>-5.979117867347485</v>
      </c>
      <c r="F449" s="357">
        <f t="shared" ca="1" si="184"/>
        <v>6.0042147188515207</v>
      </c>
      <c r="G449" s="359">
        <f t="shared" ca="1" si="185"/>
        <v>9.5431426261839718</v>
      </c>
      <c r="H449" s="360">
        <f t="shared" ca="1" si="186"/>
        <v>-66.665043745190999</v>
      </c>
      <c r="I449" s="357">
        <f t="shared" ca="1" si="187"/>
        <v>67.344633258574646</v>
      </c>
      <c r="J449" s="359">
        <f t="shared" ca="1" si="188"/>
        <v>187.70931447689617</v>
      </c>
      <c r="K449" s="360">
        <f t="shared" ca="1" si="189"/>
        <v>-4.7840657654081014</v>
      </c>
      <c r="L449" s="357">
        <f t="shared" ca="1" si="174"/>
        <v>187.77026928306316</v>
      </c>
      <c r="M449" s="359">
        <f t="shared" ca="1" si="190"/>
        <v>-1.4286116722738205</v>
      </c>
      <c r="N449" s="357">
        <f t="shared" ca="1" si="191"/>
        <v>-81.85341938441664</v>
      </c>
      <c r="O449" s="343"/>
      <c r="P449" s="363">
        <f t="shared" ca="1" si="192"/>
        <v>23</v>
      </c>
      <c r="Q449" s="357">
        <f t="shared" ca="1" si="193"/>
        <v>0</v>
      </c>
      <c r="R449" s="359">
        <f t="shared" ca="1" si="194"/>
        <v>0</v>
      </c>
      <c r="S449" s="360">
        <f t="shared" ca="1" si="195"/>
        <v>1.5629999999999982</v>
      </c>
      <c r="T449" s="357">
        <f t="shared" ca="1" si="175"/>
        <v>15.333029999999983</v>
      </c>
      <c r="U449" s="364">
        <f t="shared" ca="1" si="176"/>
        <v>0</v>
      </c>
      <c r="V449" s="359">
        <f t="shared" ca="1" si="177"/>
        <v>1.2255861882744254</v>
      </c>
      <c r="W449" s="357">
        <f t="shared" ca="1" si="178"/>
        <v>6.0488183597871732</v>
      </c>
      <c r="X449" s="343"/>
      <c r="Y449" s="367" t="str">
        <f t="shared" ca="1" si="196"/>
        <v/>
      </c>
      <c r="Z449" s="368" t="str">
        <f t="shared" ca="1" si="197"/>
        <v/>
      </c>
      <c r="AA449" s="369" t="str">
        <f t="shared" ca="1" si="198"/>
        <v/>
      </c>
      <c r="AB449" s="344"/>
      <c r="AC449" s="363" t="e">
        <f t="shared" ca="1" si="199"/>
        <v>#N/A</v>
      </c>
      <c r="AD449" s="376" t="e">
        <f t="shared" ca="1" si="200"/>
        <v>#N/A</v>
      </c>
      <c r="AE449" s="377" t="e">
        <f t="shared" ca="1" si="179"/>
        <v>#N/A</v>
      </c>
      <c r="AF449" s="344"/>
      <c r="AG449" s="359">
        <f t="shared" ca="1" si="201"/>
        <v>5.8410666249458547</v>
      </c>
      <c r="AH449" s="357">
        <f t="shared" ca="1" si="202"/>
        <v>-3.8699356367665332</v>
      </c>
    </row>
    <row r="450" spans="1:34" x14ac:dyDescent="0.2">
      <c r="A450" s="402">
        <f t="shared" ca="1" si="180"/>
        <v>1E-4</v>
      </c>
      <c r="B450" s="357">
        <f t="shared" ca="1" si="181"/>
        <v>15.610999999999937</v>
      </c>
      <c r="C450" s="342"/>
      <c r="D450" s="359">
        <f t="shared" ca="1" si="182"/>
        <v>-0.5484032092583514</v>
      </c>
      <c r="E450" s="360">
        <f t="shared" ca="1" si="183"/>
        <v>-5.9790477270137874</v>
      </c>
      <c r="F450" s="357">
        <f t="shared" ca="1" si="184"/>
        <v>6.0041450516983339</v>
      </c>
      <c r="G450" s="359">
        <f t="shared" ca="1" si="185"/>
        <v>9.5430877858630456</v>
      </c>
      <c r="H450" s="360">
        <f t="shared" ca="1" si="186"/>
        <v>-66.665641649963703</v>
      </c>
      <c r="I450" s="357">
        <f t="shared" ca="1" si="187"/>
        <v>67.345217358696402</v>
      </c>
      <c r="J450" s="359">
        <f t="shared" ca="1" si="188"/>
        <v>187.70931447689617</v>
      </c>
      <c r="K450" s="360">
        <f t="shared" ca="1" si="189"/>
        <v>-4.7907322996778587</v>
      </c>
      <c r="L450" s="357">
        <f t="shared" ca="1" si="174"/>
        <v>187.77043925323676</v>
      </c>
      <c r="M450" s="359">
        <f t="shared" ca="1" si="190"/>
        <v>-1.4286137364685785</v>
      </c>
      <c r="N450" s="357">
        <f t="shared" ca="1" si="191"/>
        <v>-81.853537654064368</v>
      </c>
      <c r="O450" s="343"/>
      <c r="P450" s="363">
        <f t="shared" ca="1" si="192"/>
        <v>23</v>
      </c>
      <c r="Q450" s="357">
        <f t="shared" ca="1" si="193"/>
        <v>0</v>
      </c>
      <c r="R450" s="359">
        <f t="shared" ca="1" si="194"/>
        <v>0</v>
      </c>
      <c r="S450" s="360">
        <f t="shared" ca="1" si="195"/>
        <v>1.5629999999999982</v>
      </c>
      <c r="T450" s="357">
        <f t="shared" ca="1" si="175"/>
        <v>15.333029999999983</v>
      </c>
      <c r="U450" s="364">
        <f t="shared" ca="1" si="176"/>
        <v>0</v>
      </c>
      <c r="V450" s="359">
        <f t="shared" ca="1" si="177"/>
        <v>1.2255870053159768</v>
      </c>
      <c r="W450" s="357">
        <f t="shared" ca="1" si="178"/>
        <v>6.0489273191963475</v>
      </c>
      <c r="X450" s="343"/>
      <c r="Y450" s="367" t="str">
        <f t="shared" ca="1" si="196"/>
        <v/>
      </c>
      <c r="Z450" s="368" t="str">
        <f t="shared" ca="1" si="197"/>
        <v/>
      </c>
      <c r="AA450" s="369" t="str">
        <f t="shared" ca="1" si="198"/>
        <v/>
      </c>
      <c r="AB450" s="344"/>
      <c r="AC450" s="363" t="e">
        <f t="shared" ca="1" si="199"/>
        <v>#N/A</v>
      </c>
      <c r="AD450" s="376" t="e">
        <f t="shared" ca="1" si="200"/>
        <v>#N/A</v>
      </c>
      <c r="AE450" s="377" t="e">
        <f t="shared" ca="1" si="179"/>
        <v>#N/A</v>
      </c>
      <c r="AF450" s="344"/>
      <c r="AG450" s="359">
        <f t="shared" ca="1" si="201"/>
        <v>5.840999782759452</v>
      </c>
      <c r="AH450" s="357">
        <f t="shared" ca="1" si="202"/>
        <v>-3.8700053485522585</v>
      </c>
    </row>
    <row r="451" spans="1:34" x14ac:dyDescent="0.2">
      <c r="A451" s="402">
        <f t="shared" ca="1" si="180"/>
        <v>1E-4</v>
      </c>
      <c r="B451" s="357">
        <f t="shared" ca="1" si="181"/>
        <v>15.611099999999936</v>
      </c>
      <c r="C451" s="342"/>
      <c r="D451" s="359">
        <f t="shared" ca="1" si="182"/>
        <v>-0.54840517985546511</v>
      </c>
      <c r="E451" s="360">
        <f t="shared" ca="1" si="183"/>
        <v>-5.9789775867526522</v>
      </c>
      <c r="F451" s="357">
        <f t="shared" ca="1" si="184"/>
        <v>6.0040753846185897</v>
      </c>
      <c r="G451" s="359">
        <f t="shared" ca="1" si="185"/>
        <v>9.5430329453450593</v>
      </c>
      <c r="H451" s="360">
        <f t="shared" ca="1" si="186"/>
        <v>-66.666239547722384</v>
      </c>
      <c r="I451" s="357">
        <f t="shared" ca="1" si="187"/>
        <v>67.345801452133941</v>
      </c>
      <c r="J451" s="359">
        <f t="shared" ca="1" si="188"/>
        <v>187.70931447689617</v>
      </c>
      <c r="K451" s="360">
        <f t="shared" ca="1" si="189"/>
        <v>-4.7973988937377428</v>
      </c>
      <c r="L451" s="357">
        <f t="shared" ca="1" si="174"/>
        <v>187.77060946147012</v>
      </c>
      <c r="M451" s="359">
        <f t="shared" ca="1" si="190"/>
        <v>-1.4286158006156686</v>
      </c>
      <c r="N451" s="357">
        <f t="shared" ca="1" si="191"/>
        <v>-81.853655920980927</v>
      </c>
      <c r="O451" s="343"/>
      <c r="P451" s="363">
        <f t="shared" ca="1" si="192"/>
        <v>23</v>
      </c>
      <c r="Q451" s="357">
        <f t="shared" ca="1" si="193"/>
        <v>0</v>
      </c>
      <c r="R451" s="359">
        <f t="shared" ca="1" si="194"/>
        <v>0</v>
      </c>
      <c r="S451" s="360">
        <f t="shared" ca="1" si="195"/>
        <v>1.5629999999999982</v>
      </c>
      <c r="T451" s="357">
        <f t="shared" ca="1" si="175"/>
        <v>15.333029999999983</v>
      </c>
      <c r="U451" s="364">
        <f t="shared" ca="1" si="176"/>
        <v>0</v>
      </c>
      <c r="V451" s="359">
        <f t="shared" ca="1" si="177"/>
        <v>1.2255878223654013</v>
      </c>
      <c r="W451" s="357">
        <f t="shared" ca="1" si="178"/>
        <v>6.0490362784935785</v>
      </c>
      <c r="X451" s="343"/>
      <c r="Y451" s="367" t="str">
        <f t="shared" ca="1" si="196"/>
        <v/>
      </c>
      <c r="Z451" s="368" t="str">
        <f t="shared" ca="1" si="197"/>
        <v/>
      </c>
      <c r="AA451" s="369" t="str">
        <f t="shared" ca="1" si="198"/>
        <v/>
      </c>
      <c r="AB451" s="344"/>
      <c r="AC451" s="363" t="e">
        <f t="shared" ca="1" si="199"/>
        <v>#N/A</v>
      </c>
      <c r="AD451" s="376" t="e">
        <f t="shared" ca="1" si="200"/>
        <v>#N/A</v>
      </c>
      <c r="AE451" s="377" t="e">
        <f t="shared" ca="1" si="179"/>
        <v>#N/A</v>
      </c>
      <c r="AF451" s="344"/>
      <c r="AG451" s="359">
        <f t="shared" ca="1" si="201"/>
        <v>5.8409329405370052</v>
      </c>
      <c r="AH451" s="357">
        <f t="shared" ca="1" si="202"/>
        <v>-3.8700750602663816</v>
      </c>
    </row>
    <row r="452" spans="1:34" x14ac:dyDescent="0.2">
      <c r="A452" s="402">
        <f t="shared" ca="1" si="180"/>
        <v>1E-4</v>
      </c>
      <c r="B452" s="357">
        <f t="shared" ca="1" si="181"/>
        <v>15.611199999999936</v>
      </c>
      <c r="C452" s="342"/>
      <c r="D452" s="359">
        <f t="shared" ca="1" si="182"/>
        <v>-0.54840715033782039</v>
      </c>
      <c r="E452" s="360">
        <f t="shared" ca="1" si="183"/>
        <v>-5.978907446564099</v>
      </c>
      <c r="F452" s="357">
        <f t="shared" ca="1" si="184"/>
        <v>6.0040057176123076</v>
      </c>
      <c r="G452" s="359">
        <f t="shared" ca="1" si="185"/>
        <v>9.5429781046300253</v>
      </c>
      <c r="H452" s="360">
        <f t="shared" ca="1" si="186"/>
        <v>-66.666837438467041</v>
      </c>
      <c r="I452" s="357">
        <f t="shared" ca="1" si="187"/>
        <v>67.346385538887233</v>
      </c>
      <c r="J452" s="359">
        <f t="shared" ca="1" si="188"/>
        <v>187.70931447689617</v>
      </c>
      <c r="K452" s="360">
        <f t="shared" ca="1" si="189"/>
        <v>-4.8040655475870526</v>
      </c>
      <c r="L452" s="357">
        <f t="shared" ref="L452:L515" ca="1" si="203">SQRT(pos_x^2+pos_z^2)</f>
        <v>187.77077990776897</v>
      </c>
      <c r="M452" s="359">
        <f t="shared" ca="1" si="190"/>
        <v>-1.4286178647150927</v>
      </c>
      <c r="N452" s="357">
        <f t="shared" ca="1" si="191"/>
        <v>-81.853774185166415</v>
      </c>
      <c r="O452" s="343"/>
      <c r="P452" s="363">
        <f t="shared" ca="1" si="192"/>
        <v>23</v>
      </c>
      <c r="Q452" s="357">
        <f t="shared" ca="1" si="193"/>
        <v>0</v>
      </c>
      <c r="R452" s="359">
        <f t="shared" ca="1" si="194"/>
        <v>0</v>
      </c>
      <c r="S452" s="360">
        <f t="shared" ca="1" si="195"/>
        <v>1.5629999999999982</v>
      </c>
      <c r="T452" s="357">
        <f t="shared" ref="T452:T515" ca="1" si="204">m*g</f>
        <v>15.333029999999983</v>
      </c>
      <c r="U452" s="364">
        <f t="shared" ref="U452:U515" ca="1" si="205">IF(pos_xz&lt;L_rampe,Poids*COS(Beta),0)</f>
        <v>0</v>
      </c>
      <c r="V452" s="359">
        <f t="shared" ref="V452:V515" ca="1" si="206">Rho_moyen*(20000-Alt_rampe-pos_z)/(20000+Alt_rampe+pos_z)</f>
        <v>1.2255886394226982</v>
      </c>
      <c r="W452" s="357">
        <f t="shared" ref="W452:W515" ca="1" si="207">1/2*Rho*Sref*Cx*vit_xz^2</f>
        <v>6.0491452376788279</v>
      </c>
      <c r="X452" s="343"/>
      <c r="Y452" s="367" t="str">
        <f t="shared" ca="1" si="196"/>
        <v/>
      </c>
      <c r="Z452" s="368" t="str">
        <f t="shared" ca="1" si="197"/>
        <v/>
      </c>
      <c r="AA452" s="369" t="str">
        <f t="shared" ca="1" si="198"/>
        <v/>
      </c>
      <c r="AB452" s="344"/>
      <c r="AC452" s="363" t="e">
        <f t="shared" ca="1" si="199"/>
        <v>#N/A</v>
      </c>
      <c r="AD452" s="376" t="e">
        <f t="shared" ca="1" si="200"/>
        <v>#N/A</v>
      </c>
      <c r="AE452" s="377" t="e">
        <f t="shared" ref="AE452:AE515" ca="1" si="208">IF(t&lt;T_para, pos_z, NA())</f>
        <v>#N/A</v>
      </c>
      <c r="AF452" s="344"/>
      <c r="AG452" s="359">
        <f t="shared" ca="1" si="201"/>
        <v>5.840866098278541</v>
      </c>
      <c r="AH452" s="357">
        <f t="shared" ca="1" si="202"/>
        <v>-3.8701447719088837</v>
      </c>
    </row>
    <row r="453" spans="1:34" x14ac:dyDescent="0.2">
      <c r="A453" s="402">
        <f t="shared" ref="A453:A516" ca="1" si="209">IF(B452+0.01&lt;=T_ini+ROUNDUP(Temps_fin_propu,0), 0.01, IF(K452&gt;0, 0.1, 0.0001))</f>
        <v>1E-4</v>
      </c>
      <c r="B453" s="357">
        <f t="shared" ref="B453:B516" ca="1" si="210">B452+pas</f>
        <v>15.611299999999936</v>
      </c>
      <c r="C453" s="342"/>
      <c r="D453" s="359">
        <f t="shared" ref="D453:D516" ca="1" si="211">IF(AND(L452&lt;L_rampe,Poussee&lt;Poids*SIN(M452)),0,(-W452+Poussee)/m*COS(M452)-U452/m*SIN(M452))</f>
        <v>-0.54840912070541747</v>
      </c>
      <c r="E453" s="360">
        <f t="shared" ref="E453:E516" ca="1" si="212">IF(AND(L452&lt;L_rampe,Poussee&lt;Poids*SIN(M452)),0,(-W452+Poussee)/m*SIN(M452)+U452/m*COS(M452)-Poids/m)</f>
        <v>-5.9788373064481508</v>
      </c>
      <c r="F453" s="357">
        <f t="shared" ref="F453:F516" ca="1" si="213">SQRT(acc_x^2+acc_z^2)</f>
        <v>6.003936050679509</v>
      </c>
      <c r="G453" s="359">
        <f t="shared" ref="G453:G516" ca="1" si="214">G452+acc_x*pas</f>
        <v>9.5429232637179542</v>
      </c>
      <c r="H453" s="360">
        <f t="shared" ref="H453:H516" ca="1" si="215">H452+acc_z*pas</f>
        <v>-66.66743532219769</v>
      </c>
      <c r="I453" s="357">
        <f t="shared" ref="I453:I516" ca="1" si="216">SQRT(vit_x^2+vit_z^2)</f>
        <v>67.346969618956294</v>
      </c>
      <c r="J453" s="359">
        <f t="shared" ref="J453:J516" ca="1" si="217">J452+0.5*(vit_x+G452)*pas*(K452&gt;=0)</f>
        <v>187.70931447689617</v>
      </c>
      <c r="K453" s="360">
        <f t="shared" ref="K453:K516" ca="1" si="218">K452+0.5*(vit_z+H452)*pas</f>
        <v>-4.8107322612250858</v>
      </c>
      <c r="L453" s="357">
        <f t="shared" ca="1" si="203"/>
        <v>187.77095059213895</v>
      </c>
      <c r="M453" s="359">
        <f t="shared" ref="M453:M516" ca="1" si="219">IF(AND(L452&gt;L_rampe,G453&gt;0),ATAN2(G453,H453),$M$4)</f>
        <v>-1.4286199287668524</v>
      </c>
      <c r="N453" s="357">
        <f t="shared" ref="N453:N516" ca="1" si="220">DEGREES(Beta)</f>
        <v>-81.853892446620947</v>
      </c>
      <c r="O453" s="343"/>
      <c r="P453" s="363">
        <f t="shared" ref="P453:P516" ca="1" si="221">MATCH(t-pas/2-T_ini,CdP_t)</f>
        <v>23</v>
      </c>
      <c r="Q453" s="357">
        <f t="shared" ref="Q453:Q516" ca="1" si="222">(INDEX(CdP,2,i_P+1)-INDEX(CdP,2,i_P+0))/(INDEX(CdP,1,i_P+1)-INDEX(CdP,1,i_P+0))*(t-pas/2-T_ini-INDEX(CdP,1,i_P+0))+INDEX(CdP,2,i_P+0)</f>
        <v>0</v>
      </c>
      <c r="R453" s="359">
        <f t="shared" ref="R453:R516" ca="1" si="223">Poussee/(g*ISP)</f>
        <v>0</v>
      </c>
      <c r="S453" s="360">
        <f t="shared" ref="S453:S516" ca="1" si="224">S452-Débit*pas</f>
        <v>1.5629999999999982</v>
      </c>
      <c r="T453" s="357">
        <f t="shared" ca="1" si="204"/>
        <v>15.333029999999983</v>
      </c>
      <c r="U453" s="364">
        <f t="shared" ca="1" si="205"/>
        <v>0</v>
      </c>
      <c r="V453" s="359">
        <f t="shared" ca="1" si="206"/>
        <v>1.2255894564878675</v>
      </c>
      <c r="W453" s="357">
        <f t="shared" ca="1" si="207"/>
        <v>6.0492541967520719</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t="e">
        <f t="shared" ca="1" si="208"/>
        <v>#N/A</v>
      </c>
      <c r="AF453" s="344"/>
      <c r="AG453" s="359">
        <f t="shared" ref="AG453:AG516" ca="1" si="230">IF(AND(L452&lt;L_rampe,Poussee&lt;Poids*SIN(M452)),0,(-W452+Poussee)/m-Poids*SIN(M452)/m)</f>
        <v>5.8407992559840842</v>
      </c>
      <c r="AH453" s="357">
        <f t="shared" ref="AH453:AH516" ca="1" si="231">IF(AND(L452&lt;L_rampe,Poussee&lt;Poids*SIN(M452)), g*SIN(M452), (-W452+Poussee)/m)</f>
        <v>-3.870214483479741</v>
      </c>
    </row>
    <row r="454" spans="1:34" x14ac:dyDescent="0.2">
      <c r="A454" s="402">
        <f t="shared" ca="1" si="209"/>
        <v>1E-4</v>
      </c>
      <c r="B454" s="357">
        <f t="shared" ca="1" si="210"/>
        <v>15.611399999999936</v>
      </c>
      <c r="C454" s="342"/>
      <c r="D454" s="359">
        <f t="shared" ca="1" si="211"/>
        <v>-0.54841109095825746</v>
      </c>
      <c r="E454" s="360">
        <f t="shared" ca="1" si="212"/>
        <v>-5.9787671664048228</v>
      </c>
      <c r="F454" s="357">
        <f t="shared" ca="1" si="213"/>
        <v>6.0038663838202115</v>
      </c>
      <c r="G454" s="359">
        <f t="shared" ca="1" si="214"/>
        <v>9.5428684226088585</v>
      </c>
      <c r="H454" s="360">
        <f t="shared" ca="1" si="215"/>
        <v>-66.66803319891433</v>
      </c>
      <c r="I454" s="357">
        <f t="shared" ca="1" si="216"/>
        <v>67.347553692341108</v>
      </c>
      <c r="J454" s="359">
        <f t="shared" ca="1" si="217"/>
        <v>187.70931447689617</v>
      </c>
      <c r="K454" s="360">
        <f t="shared" ca="1" si="218"/>
        <v>-4.8173990346511415</v>
      </c>
      <c r="L454" s="357">
        <f t="shared" ca="1" si="203"/>
        <v>187.77112151458584</v>
      </c>
      <c r="M454" s="359">
        <f t="shared" ca="1" si="219"/>
        <v>-1.4286219927709496</v>
      </c>
      <c r="N454" s="357">
        <f t="shared" ca="1" si="220"/>
        <v>-81.854010705344621</v>
      </c>
      <c r="O454" s="343"/>
      <c r="P454" s="363">
        <f t="shared" ca="1" si="221"/>
        <v>23</v>
      </c>
      <c r="Q454" s="357">
        <f t="shared" ca="1" si="222"/>
        <v>0</v>
      </c>
      <c r="R454" s="359">
        <f t="shared" ca="1" si="223"/>
        <v>0</v>
      </c>
      <c r="S454" s="360">
        <f t="shared" ca="1" si="224"/>
        <v>1.5629999999999982</v>
      </c>
      <c r="T454" s="357">
        <f t="shared" ca="1" si="204"/>
        <v>15.333029999999983</v>
      </c>
      <c r="U454" s="364">
        <f t="shared" ca="1" si="205"/>
        <v>0</v>
      </c>
      <c r="V454" s="359">
        <f t="shared" ca="1" si="206"/>
        <v>1.225590273560909</v>
      </c>
      <c r="W454" s="357">
        <f t="shared" ca="1" si="207"/>
        <v>6.0493631557132712</v>
      </c>
      <c r="X454" s="343"/>
      <c r="Y454" s="367" t="str">
        <f t="shared" ca="1" si="225"/>
        <v/>
      </c>
      <c r="Z454" s="368" t="str">
        <f t="shared" ca="1" si="226"/>
        <v/>
      </c>
      <c r="AA454" s="369" t="str">
        <f t="shared" ca="1" si="227"/>
        <v/>
      </c>
      <c r="AB454" s="344"/>
      <c r="AC454" s="363" t="e">
        <f t="shared" ca="1" si="228"/>
        <v>#N/A</v>
      </c>
      <c r="AD454" s="376" t="e">
        <f t="shared" ca="1" si="229"/>
        <v>#N/A</v>
      </c>
      <c r="AE454" s="377" t="e">
        <f t="shared" ca="1" si="208"/>
        <v>#N/A</v>
      </c>
      <c r="AF454" s="344"/>
      <c r="AG454" s="359">
        <f t="shared" ca="1" si="230"/>
        <v>5.840732413653658</v>
      </c>
      <c r="AH454" s="357">
        <f t="shared" ca="1" si="231"/>
        <v>-3.8702841949789373</v>
      </c>
    </row>
    <row r="455" spans="1:34" x14ac:dyDescent="0.2">
      <c r="A455" s="402">
        <f t="shared" ca="1" si="209"/>
        <v>1E-4</v>
      </c>
      <c r="B455" s="357">
        <f t="shared" ca="1" si="210"/>
        <v>15.611499999999936</v>
      </c>
      <c r="C455" s="342"/>
      <c r="D455" s="359">
        <f t="shared" ca="1" si="211"/>
        <v>-0.54841306109634047</v>
      </c>
      <c r="E455" s="360">
        <f t="shared" ca="1" si="212"/>
        <v>-5.9786970264341424</v>
      </c>
      <c r="F455" s="357">
        <f t="shared" ca="1" si="213"/>
        <v>6.0037967170344402</v>
      </c>
      <c r="G455" s="359">
        <f t="shared" ca="1" si="214"/>
        <v>9.5428135813027488</v>
      </c>
      <c r="H455" s="360">
        <f t="shared" ca="1" si="215"/>
        <v>-66.668631068616975</v>
      </c>
      <c r="I455" s="357">
        <f t="shared" ca="1" si="216"/>
        <v>67.348137759041691</v>
      </c>
      <c r="J455" s="359">
        <f t="shared" ca="1" si="217"/>
        <v>187.70931447689617</v>
      </c>
      <c r="K455" s="360">
        <f t="shared" ca="1" si="218"/>
        <v>-4.8240658678645181</v>
      </c>
      <c r="L455" s="357">
        <f t="shared" ca="1" si="203"/>
        <v>187.77129267511526</v>
      </c>
      <c r="M455" s="359">
        <f t="shared" ca="1" si="219"/>
        <v>-1.4286240567273858</v>
      </c>
      <c r="N455" s="357">
        <f t="shared" ca="1" si="220"/>
        <v>-81.854128961337508</v>
      </c>
      <c r="O455" s="343"/>
      <c r="P455" s="363">
        <f t="shared" ca="1" si="221"/>
        <v>23</v>
      </c>
      <c r="Q455" s="357">
        <f t="shared" ca="1" si="222"/>
        <v>0</v>
      </c>
      <c r="R455" s="359">
        <f t="shared" ca="1" si="223"/>
        <v>0</v>
      </c>
      <c r="S455" s="360">
        <f t="shared" ca="1" si="224"/>
        <v>1.5629999999999982</v>
      </c>
      <c r="T455" s="357">
        <f t="shared" ca="1" si="204"/>
        <v>15.333029999999983</v>
      </c>
      <c r="U455" s="364">
        <f t="shared" ca="1" si="205"/>
        <v>0</v>
      </c>
      <c r="V455" s="359">
        <f t="shared" ca="1" si="206"/>
        <v>1.225591090641823</v>
      </c>
      <c r="W455" s="357">
        <f t="shared" ca="1" si="207"/>
        <v>6.0494721145624064</v>
      </c>
      <c r="X455" s="343"/>
      <c r="Y455" s="367" t="str">
        <f t="shared" ca="1" si="225"/>
        <v/>
      </c>
      <c r="Z455" s="368" t="str">
        <f t="shared" ca="1" si="226"/>
        <v/>
      </c>
      <c r="AA455" s="369" t="str">
        <f t="shared" ca="1" si="227"/>
        <v/>
      </c>
      <c r="AB455" s="344"/>
      <c r="AC455" s="363" t="e">
        <f t="shared" ca="1" si="228"/>
        <v>#N/A</v>
      </c>
      <c r="AD455" s="376" t="e">
        <f t="shared" ca="1" si="229"/>
        <v>#N/A</v>
      </c>
      <c r="AE455" s="377" t="e">
        <f t="shared" ca="1" si="208"/>
        <v>#N/A</v>
      </c>
      <c r="AF455" s="344"/>
      <c r="AG455" s="359">
        <f t="shared" ca="1" si="230"/>
        <v>5.8406655712872944</v>
      </c>
      <c r="AH455" s="357">
        <f t="shared" ca="1" si="231"/>
        <v>-3.8703539064064478</v>
      </c>
    </row>
    <row r="456" spans="1:34" x14ac:dyDescent="0.2">
      <c r="A456" s="402">
        <f t="shared" ca="1" si="209"/>
        <v>1E-4</v>
      </c>
      <c r="B456" s="357">
        <f t="shared" ca="1" si="210"/>
        <v>15.611599999999935</v>
      </c>
      <c r="C456" s="342"/>
      <c r="D456" s="359">
        <f t="shared" ca="1" si="211"/>
        <v>-0.54841503111966927</v>
      </c>
      <c r="E456" s="360">
        <f t="shared" ca="1" si="212"/>
        <v>-5.9786268865361194</v>
      </c>
      <c r="F456" s="357">
        <f t="shared" ca="1" si="213"/>
        <v>6.0037270503222047</v>
      </c>
      <c r="G456" s="359">
        <f t="shared" ca="1" si="214"/>
        <v>9.5427587397996376</v>
      </c>
      <c r="H456" s="360">
        <f t="shared" ca="1" si="215"/>
        <v>-66.669228931305625</v>
      </c>
      <c r="I456" s="357">
        <f t="shared" ca="1" si="216"/>
        <v>67.348721819058014</v>
      </c>
      <c r="J456" s="359">
        <f t="shared" ca="1" si="217"/>
        <v>187.70931447689617</v>
      </c>
      <c r="K456" s="360">
        <f t="shared" ca="1" si="218"/>
        <v>-4.8307327608645139</v>
      </c>
      <c r="L456" s="357">
        <f t="shared" ca="1" si="203"/>
        <v>187.77146407373294</v>
      </c>
      <c r="M456" s="359">
        <f t="shared" ca="1" si="219"/>
        <v>-1.4286261206361628</v>
      </c>
      <c r="N456" s="357">
        <f t="shared" ca="1" si="220"/>
        <v>-81.854247214599738</v>
      </c>
      <c r="O456" s="343"/>
      <c r="P456" s="363">
        <f t="shared" ca="1" si="221"/>
        <v>23</v>
      </c>
      <c r="Q456" s="357">
        <f t="shared" ca="1" si="222"/>
        <v>0</v>
      </c>
      <c r="R456" s="359">
        <f t="shared" ca="1" si="223"/>
        <v>0</v>
      </c>
      <c r="S456" s="360">
        <f t="shared" ca="1" si="224"/>
        <v>1.5629999999999982</v>
      </c>
      <c r="T456" s="357">
        <f t="shared" ca="1" si="204"/>
        <v>15.333029999999983</v>
      </c>
      <c r="U456" s="364">
        <f t="shared" ca="1" si="205"/>
        <v>0</v>
      </c>
      <c r="V456" s="359">
        <f t="shared" ca="1" si="206"/>
        <v>1.2255919077306092</v>
      </c>
      <c r="W456" s="357">
        <f t="shared" ca="1" si="207"/>
        <v>6.0495810732994366</v>
      </c>
      <c r="X456" s="343"/>
      <c r="Y456" s="367" t="str">
        <f t="shared" ca="1" si="225"/>
        <v/>
      </c>
      <c r="Z456" s="368" t="str">
        <f t="shared" ca="1" si="226"/>
        <v/>
      </c>
      <c r="AA456" s="369" t="str">
        <f t="shared" ca="1" si="227"/>
        <v/>
      </c>
      <c r="AB456" s="344"/>
      <c r="AC456" s="363" t="e">
        <f t="shared" ca="1" si="228"/>
        <v>#N/A</v>
      </c>
      <c r="AD456" s="376" t="e">
        <f t="shared" ca="1" si="229"/>
        <v>#N/A</v>
      </c>
      <c r="AE456" s="377" t="e">
        <f t="shared" ca="1" si="208"/>
        <v>#N/A</v>
      </c>
      <c r="AF456" s="344"/>
      <c r="AG456" s="359">
        <f t="shared" ca="1" si="230"/>
        <v>5.8405987288850083</v>
      </c>
      <c r="AH456" s="357">
        <f t="shared" ca="1" si="231"/>
        <v>-3.8704236177622606</v>
      </c>
    </row>
    <row r="457" spans="1:34" x14ac:dyDescent="0.2">
      <c r="A457" s="402">
        <f t="shared" ca="1" si="209"/>
        <v>1E-4</v>
      </c>
      <c r="B457" s="357">
        <f t="shared" ca="1" si="210"/>
        <v>15.611699999999935</v>
      </c>
      <c r="C457" s="342"/>
      <c r="D457" s="359">
        <f t="shared" ca="1" si="211"/>
        <v>-0.54841700102824364</v>
      </c>
      <c r="E457" s="360">
        <f t="shared" ca="1" si="212"/>
        <v>-5.9785567467107814</v>
      </c>
      <c r="F457" s="357">
        <f t="shared" ca="1" si="213"/>
        <v>6.0036573836835334</v>
      </c>
      <c r="G457" s="359">
        <f t="shared" ca="1" si="214"/>
        <v>9.5427038980995356</v>
      </c>
      <c r="H457" s="360">
        <f t="shared" ca="1" si="215"/>
        <v>-66.669826786980295</v>
      </c>
      <c r="I457" s="357">
        <f t="shared" ca="1" si="216"/>
        <v>67.349305872390104</v>
      </c>
      <c r="J457" s="359">
        <f t="shared" ca="1" si="217"/>
        <v>187.70931447689617</v>
      </c>
      <c r="K457" s="360">
        <f t="shared" ca="1" si="218"/>
        <v>-4.8373997136504281</v>
      </c>
      <c r="L457" s="357">
        <f t="shared" ca="1" si="203"/>
        <v>187.77163571044463</v>
      </c>
      <c r="M457" s="359">
        <f t="shared" ca="1" si="219"/>
        <v>-1.4286281844972821</v>
      </c>
      <c r="N457" s="357">
        <f t="shared" ca="1" si="220"/>
        <v>-81.854365465131366</v>
      </c>
      <c r="O457" s="343"/>
      <c r="P457" s="363">
        <f t="shared" ca="1" si="221"/>
        <v>23</v>
      </c>
      <c r="Q457" s="357">
        <f t="shared" ca="1" si="222"/>
        <v>0</v>
      </c>
      <c r="R457" s="359">
        <f t="shared" ca="1" si="223"/>
        <v>0</v>
      </c>
      <c r="S457" s="360">
        <f t="shared" ca="1" si="224"/>
        <v>1.5629999999999982</v>
      </c>
      <c r="T457" s="357">
        <f t="shared" ca="1" si="204"/>
        <v>15.333029999999983</v>
      </c>
      <c r="U457" s="364">
        <f t="shared" ca="1" si="205"/>
        <v>0</v>
      </c>
      <c r="V457" s="359">
        <f t="shared" ca="1" si="206"/>
        <v>1.2255927248272678</v>
      </c>
      <c r="W457" s="357">
        <f t="shared" ca="1" si="207"/>
        <v>6.0496900319243405</v>
      </c>
      <c r="X457" s="343"/>
      <c r="Y457" s="367" t="str">
        <f t="shared" ca="1" si="225"/>
        <v/>
      </c>
      <c r="Z457" s="368" t="str">
        <f t="shared" ca="1" si="226"/>
        <v/>
      </c>
      <c r="AA457" s="369" t="str">
        <f t="shared" ca="1" si="227"/>
        <v/>
      </c>
      <c r="AB457" s="344"/>
      <c r="AC457" s="363" t="e">
        <f t="shared" ca="1" si="228"/>
        <v>#N/A</v>
      </c>
      <c r="AD457" s="376" t="e">
        <f t="shared" ca="1" si="229"/>
        <v>#N/A</v>
      </c>
      <c r="AE457" s="377" t="e">
        <f t="shared" ca="1" si="208"/>
        <v>#N/A</v>
      </c>
      <c r="AF457" s="344"/>
      <c r="AG457" s="359">
        <f t="shared" ca="1" si="230"/>
        <v>5.8405318864468327</v>
      </c>
      <c r="AH457" s="357">
        <f t="shared" ca="1" si="231"/>
        <v>-3.870493329046349</v>
      </c>
    </row>
    <row r="458" spans="1:34" x14ac:dyDescent="0.2">
      <c r="A458" s="402">
        <f t="shared" ca="1" si="209"/>
        <v>1E-4</v>
      </c>
      <c r="B458" s="357">
        <f t="shared" ca="1" si="210"/>
        <v>15.611799999999935</v>
      </c>
      <c r="C458" s="342"/>
      <c r="D458" s="359">
        <f t="shared" ca="1" si="211"/>
        <v>-0.54841897082206614</v>
      </c>
      <c r="E458" s="360">
        <f t="shared" ca="1" si="212"/>
        <v>-5.9784866069581426</v>
      </c>
      <c r="F458" s="357">
        <f t="shared" ca="1" si="213"/>
        <v>6.0035877171184415</v>
      </c>
      <c r="G458" s="359">
        <f t="shared" ca="1" si="214"/>
        <v>9.5426490562024533</v>
      </c>
      <c r="H458" s="360">
        <f t="shared" ca="1" si="215"/>
        <v>-66.670424635640984</v>
      </c>
      <c r="I458" s="357">
        <f t="shared" ca="1" si="216"/>
        <v>67.349889919037921</v>
      </c>
      <c r="J458" s="359">
        <f t="shared" ca="1" si="217"/>
        <v>187.70931447689617</v>
      </c>
      <c r="K458" s="360">
        <f t="shared" ca="1" si="218"/>
        <v>-4.8440667262215591</v>
      </c>
      <c r="L458" s="357">
        <f t="shared" ca="1" si="203"/>
        <v>187.77180758525594</v>
      </c>
      <c r="M458" s="359">
        <f t="shared" ca="1" si="219"/>
        <v>-1.4286302483107458</v>
      </c>
      <c r="N458" s="357">
        <f t="shared" ca="1" si="220"/>
        <v>-81.854483712932534</v>
      </c>
      <c r="O458" s="343"/>
      <c r="P458" s="363">
        <f t="shared" ca="1" si="221"/>
        <v>23</v>
      </c>
      <c r="Q458" s="357">
        <f t="shared" ca="1" si="222"/>
        <v>0</v>
      </c>
      <c r="R458" s="359">
        <f t="shared" ca="1" si="223"/>
        <v>0</v>
      </c>
      <c r="S458" s="360">
        <f t="shared" ca="1" si="224"/>
        <v>1.5629999999999982</v>
      </c>
      <c r="T458" s="357">
        <f t="shared" ca="1" si="204"/>
        <v>15.333029999999983</v>
      </c>
      <c r="U458" s="364">
        <f t="shared" ca="1" si="205"/>
        <v>0</v>
      </c>
      <c r="V458" s="359">
        <f t="shared" ca="1" si="206"/>
        <v>1.2255935419317985</v>
      </c>
      <c r="W458" s="357">
        <f t="shared" ca="1" si="207"/>
        <v>6.0497989904370773</v>
      </c>
      <c r="X458" s="343"/>
      <c r="Y458" s="367" t="str">
        <f t="shared" ca="1" si="225"/>
        <v/>
      </c>
      <c r="Z458" s="368" t="str">
        <f t="shared" ca="1" si="226"/>
        <v/>
      </c>
      <c r="AA458" s="369" t="str">
        <f t="shared" ca="1" si="227"/>
        <v/>
      </c>
      <c r="AB458" s="344"/>
      <c r="AC458" s="363" t="e">
        <f t="shared" ca="1" si="228"/>
        <v>#N/A</v>
      </c>
      <c r="AD458" s="376" t="e">
        <f t="shared" ca="1" si="229"/>
        <v>#N/A</v>
      </c>
      <c r="AE458" s="377" t="e">
        <f t="shared" ca="1" si="208"/>
        <v>#N/A</v>
      </c>
      <c r="AF458" s="344"/>
      <c r="AG458" s="359">
        <f t="shared" ca="1" si="230"/>
        <v>5.8404650439727845</v>
      </c>
      <c r="AH458" s="357">
        <f t="shared" ca="1" si="231"/>
        <v>-3.8705630402586997</v>
      </c>
    </row>
    <row r="459" spans="1:34" x14ac:dyDescent="0.2">
      <c r="A459" s="402">
        <f t="shared" ca="1" si="209"/>
        <v>1E-4</v>
      </c>
      <c r="B459" s="357">
        <f t="shared" ca="1" si="210"/>
        <v>15.611899999999935</v>
      </c>
      <c r="C459" s="342"/>
      <c r="D459" s="359">
        <f t="shared" ca="1" si="211"/>
        <v>-0.54842094050113566</v>
      </c>
      <c r="E459" s="360">
        <f t="shared" ca="1" si="212"/>
        <v>-5.9784164672782278</v>
      </c>
      <c r="F459" s="357">
        <f t="shared" ca="1" si="213"/>
        <v>6.0035180506269512</v>
      </c>
      <c r="G459" s="359">
        <f t="shared" ca="1" si="214"/>
        <v>9.5425942141084032</v>
      </c>
      <c r="H459" s="360">
        <f t="shared" ca="1" si="215"/>
        <v>-66.671022477287707</v>
      </c>
      <c r="I459" s="357">
        <f t="shared" ca="1" si="216"/>
        <v>67.350473959001491</v>
      </c>
      <c r="J459" s="359">
        <f t="shared" ca="1" si="217"/>
        <v>187.70931447689617</v>
      </c>
      <c r="K459" s="360">
        <f t="shared" ca="1" si="218"/>
        <v>-4.8507337985772052</v>
      </c>
      <c r="L459" s="357">
        <f t="shared" ca="1" si="203"/>
        <v>187.77197969817263</v>
      </c>
      <c r="M459" s="359">
        <f t="shared" ca="1" si="219"/>
        <v>-1.4286323120765556</v>
      </c>
      <c r="N459" s="357">
        <f t="shared" ca="1" si="220"/>
        <v>-81.854601958003343</v>
      </c>
      <c r="O459" s="343"/>
      <c r="P459" s="363">
        <f t="shared" ca="1" si="221"/>
        <v>23</v>
      </c>
      <c r="Q459" s="357">
        <f t="shared" ca="1" si="222"/>
        <v>0</v>
      </c>
      <c r="R459" s="359">
        <f t="shared" ca="1" si="223"/>
        <v>0</v>
      </c>
      <c r="S459" s="360">
        <f t="shared" ca="1" si="224"/>
        <v>1.5629999999999982</v>
      </c>
      <c r="T459" s="357">
        <f t="shared" ca="1" si="204"/>
        <v>15.333029999999983</v>
      </c>
      <c r="U459" s="364">
        <f t="shared" ca="1" si="205"/>
        <v>0</v>
      </c>
      <c r="V459" s="359">
        <f t="shared" ca="1" si="206"/>
        <v>1.2255943590442009</v>
      </c>
      <c r="W459" s="357">
        <f t="shared" ca="1" si="207"/>
        <v>6.0499079488376228</v>
      </c>
      <c r="X459" s="343"/>
      <c r="Y459" s="367" t="str">
        <f t="shared" ca="1" si="225"/>
        <v/>
      </c>
      <c r="Z459" s="368" t="str">
        <f t="shared" ca="1" si="226"/>
        <v/>
      </c>
      <c r="AA459" s="369" t="str">
        <f t="shared" ca="1" si="227"/>
        <v/>
      </c>
      <c r="AB459" s="344"/>
      <c r="AC459" s="363" t="e">
        <f t="shared" ca="1" si="228"/>
        <v>#N/A</v>
      </c>
      <c r="AD459" s="376" t="e">
        <f t="shared" ca="1" si="229"/>
        <v>#N/A</v>
      </c>
      <c r="AE459" s="377" t="e">
        <f t="shared" ca="1" si="208"/>
        <v>#N/A</v>
      </c>
      <c r="AF459" s="344"/>
      <c r="AG459" s="359">
        <f t="shared" ca="1" si="230"/>
        <v>5.8403982014629001</v>
      </c>
      <c r="AH459" s="357">
        <f t="shared" ca="1" si="231"/>
        <v>-3.8706327513992864</v>
      </c>
    </row>
    <row r="460" spans="1:34" x14ac:dyDescent="0.2">
      <c r="A460" s="402">
        <f t="shared" ca="1" si="209"/>
        <v>1E-4</v>
      </c>
      <c r="B460" s="357">
        <f t="shared" ca="1" si="210"/>
        <v>15.611999999999934</v>
      </c>
      <c r="C460" s="342"/>
      <c r="D460" s="359">
        <f t="shared" ca="1" si="211"/>
        <v>-0.54842291006545374</v>
      </c>
      <c r="E460" s="360">
        <f t="shared" ca="1" si="212"/>
        <v>-5.9783463276710549</v>
      </c>
      <c r="F460" s="357">
        <f t="shared" ca="1" si="213"/>
        <v>6.0034483842090829</v>
      </c>
      <c r="G460" s="359">
        <f t="shared" ca="1" si="214"/>
        <v>9.5425393718173961</v>
      </c>
      <c r="H460" s="360">
        <f t="shared" ca="1" si="215"/>
        <v>-66.671620311920478</v>
      </c>
      <c r="I460" s="357">
        <f t="shared" ca="1" si="216"/>
        <v>67.351057992280801</v>
      </c>
      <c r="J460" s="359">
        <f t="shared" ca="1" si="217"/>
        <v>187.70931447689617</v>
      </c>
      <c r="K460" s="360">
        <f t="shared" ca="1" si="218"/>
        <v>-4.8574009307166657</v>
      </c>
      <c r="L460" s="357">
        <f t="shared" ca="1" si="203"/>
        <v>187.77215204920037</v>
      </c>
      <c r="M460" s="359">
        <f t="shared" ca="1" si="219"/>
        <v>-1.4286343757947129</v>
      </c>
      <c r="N460" s="357">
        <f t="shared" ca="1" si="220"/>
        <v>-81.854720200343863</v>
      </c>
      <c r="O460" s="343"/>
      <c r="P460" s="363">
        <f t="shared" ca="1" si="221"/>
        <v>23</v>
      </c>
      <c r="Q460" s="357">
        <f t="shared" ca="1" si="222"/>
        <v>0</v>
      </c>
      <c r="R460" s="359">
        <f t="shared" ca="1" si="223"/>
        <v>0</v>
      </c>
      <c r="S460" s="360">
        <f t="shared" ca="1" si="224"/>
        <v>1.5629999999999982</v>
      </c>
      <c r="T460" s="357">
        <f t="shared" ca="1" si="204"/>
        <v>15.333029999999983</v>
      </c>
      <c r="U460" s="364">
        <f t="shared" ca="1" si="205"/>
        <v>0</v>
      </c>
      <c r="V460" s="359">
        <f t="shared" ca="1" si="206"/>
        <v>1.2255951761644757</v>
      </c>
      <c r="W460" s="357">
        <f t="shared" ca="1" si="207"/>
        <v>6.0500169071259462</v>
      </c>
      <c r="X460" s="343"/>
      <c r="Y460" s="367" t="str">
        <f t="shared" ca="1" si="225"/>
        <v/>
      </c>
      <c r="Z460" s="368" t="str">
        <f t="shared" ca="1" si="226"/>
        <v/>
      </c>
      <c r="AA460" s="369" t="str">
        <f t="shared" ca="1" si="227"/>
        <v/>
      </c>
      <c r="AB460" s="344"/>
      <c r="AC460" s="363" t="e">
        <f t="shared" ca="1" si="228"/>
        <v>#N/A</v>
      </c>
      <c r="AD460" s="376" t="e">
        <f t="shared" ca="1" si="229"/>
        <v>#N/A</v>
      </c>
      <c r="AE460" s="377" t="e">
        <f t="shared" ca="1" si="208"/>
        <v>#N/A</v>
      </c>
      <c r="AF460" s="344"/>
      <c r="AG460" s="359">
        <f t="shared" ca="1" si="230"/>
        <v>5.8403313589171919</v>
      </c>
      <c r="AH460" s="357">
        <f t="shared" ca="1" si="231"/>
        <v>-3.8707024624680932</v>
      </c>
    </row>
    <row r="461" spans="1:34" x14ac:dyDescent="0.2">
      <c r="A461" s="402">
        <f t="shared" ca="1" si="209"/>
        <v>1E-4</v>
      </c>
      <c r="B461" s="357">
        <f t="shared" ca="1" si="210"/>
        <v>15.612099999999934</v>
      </c>
      <c r="C461" s="342"/>
      <c r="D461" s="359">
        <f t="shared" ca="1" si="211"/>
        <v>-0.54842487951502272</v>
      </c>
      <c r="E461" s="360">
        <f t="shared" ca="1" si="212"/>
        <v>-5.9782761881366406</v>
      </c>
      <c r="F461" s="357">
        <f t="shared" ca="1" si="213"/>
        <v>6.0033787178648517</v>
      </c>
      <c r="G461" s="359">
        <f t="shared" ca="1" si="214"/>
        <v>9.5424845293294442</v>
      </c>
      <c r="H461" s="360">
        <f t="shared" ca="1" si="215"/>
        <v>-66.672218139539297</v>
      </c>
      <c r="I461" s="357">
        <f t="shared" ca="1" si="216"/>
        <v>67.35164201887585</v>
      </c>
      <c r="J461" s="359">
        <f t="shared" ca="1" si="217"/>
        <v>187.70931447689617</v>
      </c>
      <c r="K461" s="360">
        <f t="shared" ca="1" si="218"/>
        <v>-4.8640681226392388</v>
      </c>
      <c r="L461" s="357">
        <f t="shared" ca="1" si="203"/>
        <v>187.77232463834486</v>
      </c>
      <c r="M461" s="359">
        <f t="shared" ca="1" si="219"/>
        <v>-1.4286364394652193</v>
      </c>
      <c r="N461" s="357">
        <f t="shared" ca="1" si="220"/>
        <v>-81.854838439954193</v>
      </c>
      <c r="O461" s="343"/>
      <c r="P461" s="363">
        <f t="shared" ca="1" si="221"/>
        <v>23</v>
      </c>
      <c r="Q461" s="357">
        <f t="shared" ca="1" si="222"/>
        <v>0</v>
      </c>
      <c r="R461" s="359">
        <f t="shared" ca="1" si="223"/>
        <v>0</v>
      </c>
      <c r="S461" s="360">
        <f t="shared" ca="1" si="224"/>
        <v>1.5629999999999982</v>
      </c>
      <c r="T461" s="357">
        <f t="shared" ca="1" si="204"/>
        <v>15.333029999999983</v>
      </c>
      <c r="U461" s="364">
        <f t="shared" ca="1" si="205"/>
        <v>0</v>
      </c>
      <c r="V461" s="359">
        <f t="shared" ca="1" si="206"/>
        <v>1.2255959932926221</v>
      </c>
      <c r="W461" s="357">
        <f t="shared" ca="1" si="207"/>
        <v>6.0501258653020136</v>
      </c>
      <c r="X461" s="343"/>
      <c r="Y461" s="367" t="str">
        <f t="shared" ca="1" si="225"/>
        <v/>
      </c>
      <c r="Z461" s="368" t="str">
        <f t="shared" ca="1" si="226"/>
        <v/>
      </c>
      <c r="AA461" s="369" t="str">
        <f t="shared" ca="1" si="227"/>
        <v/>
      </c>
      <c r="AB461" s="344"/>
      <c r="AC461" s="363" t="e">
        <f t="shared" ca="1" si="228"/>
        <v>#N/A</v>
      </c>
      <c r="AD461" s="376" t="e">
        <f t="shared" ca="1" si="229"/>
        <v>#N/A</v>
      </c>
      <c r="AE461" s="377" t="e">
        <f t="shared" ca="1" si="208"/>
        <v>#N/A</v>
      </c>
      <c r="AF461" s="344"/>
      <c r="AG461" s="359">
        <f t="shared" ca="1" si="230"/>
        <v>5.8402645163356937</v>
      </c>
      <c r="AH461" s="357">
        <f t="shared" ca="1" si="231"/>
        <v>-3.8707721734651011</v>
      </c>
    </row>
    <row r="462" spans="1:34" x14ac:dyDescent="0.2">
      <c r="A462" s="402">
        <f t="shared" ca="1" si="209"/>
        <v>1E-4</v>
      </c>
      <c r="B462" s="357">
        <f t="shared" ca="1" si="210"/>
        <v>15.612199999999934</v>
      </c>
      <c r="C462" s="342"/>
      <c r="D462" s="359">
        <f t="shared" ca="1" si="211"/>
        <v>-0.54842684884984316</v>
      </c>
      <c r="E462" s="360">
        <f t="shared" ca="1" si="212"/>
        <v>-5.978206048675009</v>
      </c>
      <c r="F462" s="357">
        <f t="shared" ca="1" si="213"/>
        <v>6.0033090515942815</v>
      </c>
      <c r="G462" s="359">
        <f t="shared" ca="1" si="214"/>
        <v>9.5424296866445584</v>
      </c>
      <c r="H462" s="360">
        <f t="shared" ca="1" si="215"/>
        <v>-66.672815960144163</v>
      </c>
      <c r="I462" s="357">
        <f t="shared" ca="1" si="216"/>
        <v>67.35222603878664</v>
      </c>
      <c r="J462" s="359">
        <f t="shared" ca="1" si="217"/>
        <v>187.70931447689617</v>
      </c>
      <c r="K462" s="360">
        <f t="shared" ca="1" si="218"/>
        <v>-4.870735374344223</v>
      </c>
      <c r="L462" s="357">
        <f t="shared" ca="1" si="203"/>
        <v>187.77249746561179</v>
      </c>
      <c r="M462" s="359">
        <f t="shared" ca="1" si="219"/>
        <v>-1.428638503088077</v>
      </c>
      <c r="N462" s="357">
        <f t="shared" ca="1" si="220"/>
        <v>-81.854956676834448</v>
      </c>
      <c r="O462" s="343"/>
      <c r="P462" s="363">
        <f t="shared" ca="1" si="221"/>
        <v>23</v>
      </c>
      <c r="Q462" s="357">
        <f t="shared" ca="1" si="222"/>
        <v>0</v>
      </c>
      <c r="R462" s="359">
        <f t="shared" ca="1" si="223"/>
        <v>0</v>
      </c>
      <c r="S462" s="360">
        <f t="shared" ca="1" si="224"/>
        <v>1.5629999999999982</v>
      </c>
      <c r="T462" s="357">
        <f t="shared" ca="1" si="204"/>
        <v>15.333029999999983</v>
      </c>
      <c r="U462" s="364">
        <f t="shared" ca="1" si="205"/>
        <v>0</v>
      </c>
      <c r="V462" s="359">
        <f t="shared" ca="1" si="206"/>
        <v>1.2255968104286408</v>
      </c>
      <c r="W462" s="357">
        <f t="shared" ca="1" si="207"/>
        <v>6.0502348233657992</v>
      </c>
      <c r="X462" s="343"/>
      <c r="Y462" s="367" t="str">
        <f t="shared" ca="1" si="225"/>
        <v/>
      </c>
      <c r="Z462" s="368" t="str">
        <f t="shared" ca="1" si="226"/>
        <v/>
      </c>
      <c r="AA462" s="369" t="str">
        <f t="shared" ca="1" si="227"/>
        <v/>
      </c>
      <c r="AB462" s="344"/>
      <c r="AC462" s="363" t="e">
        <f t="shared" ca="1" si="228"/>
        <v>#N/A</v>
      </c>
      <c r="AD462" s="376" t="e">
        <f t="shared" ca="1" si="229"/>
        <v>#N/A</v>
      </c>
      <c r="AE462" s="377" t="e">
        <f t="shared" ca="1" si="208"/>
        <v>#N/A</v>
      </c>
      <c r="AF462" s="344"/>
      <c r="AG462" s="359">
        <f t="shared" ca="1" si="230"/>
        <v>5.8401976737184258</v>
      </c>
      <c r="AH462" s="357">
        <f t="shared" ca="1" si="231"/>
        <v>-3.8708418843902885</v>
      </c>
    </row>
    <row r="463" spans="1:34" x14ac:dyDescent="0.2">
      <c r="A463" s="402">
        <f t="shared" ca="1" si="209"/>
        <v>1E-4</v>
      </c>
      <c r="B463" s="357">
        <f t="shared" ca="1" si="210"/>
        <v>15.612299999999934</v>
      </c>
      <c r="C463" s="342"/>
      <c r="D463" s="359">
        <f t="shared" ca="1" si="211"/>
        <v>-0.54842881806991528</v>
      </c>
      <c r="E463" s="360">
        <f t="shared" ca="1" si="212"/>
        <v>-5.978135909286177</v>
      </c>
      <c r="F463" s="357">
        <f t="shared" ca="1" si="213"/>
        <v>6.0032393853973902</v>
      </c>
      <c r="G463" s="359">
        <f t="shared" ca="1" si="214"/>
        <v>9.5423748437627509</v>
      </c>
      <c r="H463" s="360">
        <f t="shared" ca="1" si="215"/>
        <v>-66.673413773735092</v>
      </c>
      <c r="I463" s="357">
        <f t="shared" ca="1" si="216"/>
        <v>67.352810052013155</v>
      </c>
      <c r="J463" s="359">
        <f t="shared" ca="1" si="217"/>
        <v>187.70931447689617</v>
      </c>
      <c r="K463" s="360">
        <f t="shared" ca="1" si="218"/>
        <v>-4.8774026858309165</v>
      </c>
      <c r="L463" s="357">
        <f t="shared" ca="1" si="203"/>
        <v>187.77267053100687</v>
      </c>
      <c r="M463" s="359">
        <f t="shared" ca="1" si="219"/>
        <v>-1.4286405666632875</v>
      </c>
      <c r="N463" s="357">
        <f t="shared" ca="1" si="220"/>
        <v>-81.855074910984712</v>
      </c>
      <c r="O463" s="343"/>
      <c r="P463" s="363">
        <f t="shared" ca="1" si="221"/>
        <v>23</v>
      </c>
      <c r="Q463" s="357">
        <f t="shared" ca="1" si="222"/>
        <v>0</v>
      </c>
      <c r="R463" s="359">
        <f t="shared" ca="1" si="223"/>
        <v>0</v>
      </c>
      <c r="S463" s="360">
        <f t="shared" ca="1" si="224"/>
        <v>1.5629999999999982</v>
      </c>
      <c r="T463" s="357">
        <f t="shared" ca="1" si="204"/>
        <v>15.333029999999983</v>
      </c>
      <c r="U463" s="364">
        <f t="shared" ca="1" si="205"/>
        <v>0</v>
      </c>
      <c r="V463" s="359">
        <f t="shared" ca="1" si="206"/>
        <v>1.2255976275725307</v>
      </c>
      <c r="W463" s="357">
        <f t="shared" ca="1" si="207"/>
        <v>6.0503437813172667</v>
      </c>
      <c r="X463" s="343"/>
      <c r="Y463" s="367" t="str">
        <f t="shared" ca="1" si="225"/>
        <v/>
      </c>
      <c r="Z463" s="368" t="str">
        <f t="shared" ca="1" si="226"/>
        <v/>
      </c>
      <c r="AA463" s="369" t="str">
        <f t="shared" ca="1" si="227"/>
        <v/>
      </c>
      <c r="AB463" s="344"/>
      <c r="AC463" s="363" t="e">
        <f t="shared" ca="1" si="228"/>
        <v>#N/A</v>
      </c>
      <c r="AD463" s="376" t="e">
        <f t="shared" ca="1" si="229"/>
        <v>#N/A</v>
      </c>
      <c r="AE463" s="377" t="e">
        <f t="shared" ca="1" si="208"/>
        <v>#N/A</v>
      </c>
      <c r="AF463" s="344"/>
      <c r="AG463" s="359">
        <f t="shared" ca="1" si="230"/>
        <v>5.8401308310654132</v>
      </c>
      <c r="AH463" s="357">
        <f t="shared" ca="1" si="231"/>
        <v>-3.8709115952436379</v>
      </c>
    </row>
    <row r="464" spans="1:34" x14ac:dyDescent="0.2">
      <c r="A464" s="402">
        <f t="shared" ca="1" si="209"/>
        <v>1E-4</v>
      </c>
      <c r="B464" s="357">
        <f t="shared" ca="1" si="210"/>
        <v>15.612399999999933</v>
      </c>
      <c r="C464" s="342"/>
      <c r="D464" s="359">
        <f t="shared" ca="1" si="211"/>
        <v>-0.54843078717524052</v>
      </c>
      <c r="E464" s="360">
        <f t="shared" ca="1" si="212"/>
        <v>-5.9780657699701649</v>
      </c>
      <c r="F464" s="357">
        <f t="shared" ca="1" si="213"/>
        <v>6.0031697192741964</v>
      </c>
      <c r="G464" s="359">
        <f t="shared" ca="1" si="214"/>
        <v>9.5423200006840325</v>
      </c>
      <c r="H464" s="360">
        <f t="shared" ca="1" si="215"/>
        <v>-66.674011580312083</v>
      </c>
      <c r="I464" s="357">
        <f t="shared" ca="1" si="216"/>
        <v>67.353394058555381</v>
      </c>
      <c r="J464" s="359">
        <f t="shared" ca="1" si="217"/>
        <v>187.70931447689617</v>
      </c>
      <c r="K464" s="360">
        <f t="shared" ca="1" si="218"/>
        <v>-4.8840700570986186</v>
      </c>
      <c r="L464" s="357">
        <f t="shared" ca="1" si="203"/>
        <v>187.77284383453573</v>
      </c>
      <c r="M464" s="359">
        <f t="shared" ca="1" si="219"/>
        <v>-1.4286426301908524</v>
      </c>
      <c r="N464" s="357">
        <f t="shared" ca="1" si="220"/>
        <v>-81.855193142405085</v>
      </c>
      <c r="O464" s="343"/>
      <c r="P464" s="363">
        <f t="shared" ca="1" si="221"/>
        <v>23</v>
      </c>
      <c r="Q464" s="357">
        <f t="shared" ca="1" si="222"/>
        <v>0</v>
      </c>
      <c r="R464" s="359">
        <f t="shared" ca="1" si="223"/>
        <v>0</v>
      </c>
      <c r="S464" s="360">
        <f t="shared" ca="1" si="224"/>
        <v>1.5629999999999982</v>
      </c>
      <c r="T464" s="357">
        <f t="shared" ca="1" si="204"/>
        <v>15.333029999999983</v>
      </c>
      <c r="U464" s="364">
        <f t="shared" ca="1" si="205"/>
        <v>0</v>
      </c>
      <c r="V464" s="359">
        <f t="shared" ca="1" si="206"/>
        <v>1.2255984447242927</v>
      </c>
      <c r="W464" s="357">
        <f t="shared" ca="1" si="207"/>
        <v>6.0504527391563867</v>
      </c>
      <c r="X464" s="343"/>
      <c r="Y464" s="367" t="str">
        <f t="shared" ca="1" si="225"/>
        <v/>
      </c>
      <c r="Z464" s="368" t="str">
        <f t="shared" ca="1" si="226"/>
        <v/>
      </c>
      <c r="AA464" s="369" t="str">
        <f t="shared" ca="1" si="227"/>
        <v/>
      </c>
      <c r="AB464" s="344"/>
      <c r="AC464" s="363" t="e">
        <f t="shared" ca="1" si="228"/>
        <v>#N/A</v>
      </c>
      <c r="AD464" s="376" t="e">
        <f t="shared" ca="1" si="229"/>
        <v>#N/A</v>
      </c>
      <c r="AE464" s="377" t="e">
        <f t="shared" ca="1" si="208"/>
        <v>#N/A</v>
      </c>
      <c r="AF464" s="344"/>
      <c r="AG464" s="359">
        <f t="shared" ca="1" si="230"/>
        <v>5.8400639883766825</v>
      </c>
      <c r="AH464" s="357">
        <f t="shared" ca="1" si="231"/>
        <v>-3.870981306025127</v>
      </c>
    </row>
    <row r="465" spans="1:34" x14ac:dyDescent="0.2">
      <c r="A465" s="402">
        <f t="shared" ca="1" si="209"/>
        <v>1E-4</v>
      </c>
      <c r="B465" s="357">
        <f t="shared" ca="1" si="210"/>
        <v>15.612499999999933</v>
      </c>
      <c r="C465" s="342"/>
      <c r="D465" s="359">
        <f t="shared" ca="1" si="211"/>
        <v>-0.54843275616582032</v>
      </c>
      <c r="E465" s="360">
        <f t="shared" ca="1" si="212"/>
        <v>-5.9779956307269959</v>
      </c>
      <c r="F465" s="357">
        <f t="shared" ca="1" si="213"/>
        <v>6.003100053224725</v>
      </c>
      <c r="G465" s="359">
        <f t="shared" ca="1" si="214"/>
        <v>9.5422651574084156</v>
      </c>
      <c r="H465" s="360">
        <f t="shared" ca="1" si="215"/>
        <v>-66.67460937987515</v>
      </c>
      <c r="I465" s="357">
        <f t="shared" ca="1" si="216"/>
        <v>67.353978058413347</v>
      </c>
      <c r="J465" s="359">
        <f t="shared" ca="1" si="217"/>
        <v>187.70931447689617</v>
      </c>
      <c r="K465" s="360">
        <f t="shared" ca="1" si="218"/>
        <v>-4.8907374881466277</v>
      </c>
      <c r="L465" s="357">
        <f t="shared" ca="1" si="203"/>
        <v>187.77301737620414</v>
      </c>
      <c r="M465" s="359">
        <f t="shared" ca="1" si="219"/>
        <v>-1.4286446936707733</v>
      </c>
      <c r="N465" s="357">
        <f t="shared" ca="1" si="220"/>
        <v>-81.855311371095667</v>
      </c>
      <c r="O465" s="343"/>
      <c r="P465" s="363">
        <f t="shared" ca="1" si="221"/>
        <v>23</v>
      </c>
      <c r="Q465" s="357">
        <f t="shared" ca="1" si="222"/>
        <v>0</v>
      </c>
      <c r="R465" s="359">
        <f t="shared" ca="1" si="223"/>
        <v>0</v>
      </c>
      <c r="S465" s="360">
        <f t="shared" ca="1" si="224"/>
        <v>1.5629999999999982</v>
      </c>
      <c r="T465" s="357">
        <f t="shared" ca="1" si="204"/>
        <v>15.333029999999983</v>
      </c>
      <c r="U465" s="364">
        <f t="shared" ca="1" si="205"/>
        <v>0</v>
      </c>
      <c r="V465" s="359">
        <f t="shared" ca="1" si="206"/>
        <v>1.225599261883926</v>
      </c>
      <c r="W465" s="357">
        <f t="shared" ca="1" si="207"/>
        <v>6.0505616968831299</v>
      </c>
      <c r="X465" s="343"/>
      <c r="Y465" s="367" t="str">
        <f t="shared" ca="1" si="225"/>
        <v/>
      </c>
      <c r="Z465" s="368" t="str">
        <f t="shared" ca="1" si="226"/>
        <v/>
      </c>
      <c r="AA465" s="369" t="str">
        <f t="shared" ca="1" si="227"/>
        <v/>
      </c>
      <c r="AB465" s="344"/>
      <c r="AC465" s="363" t="e">
        <f t="shared" ca="1" si="228"/>
        <v>#N/A</v>
      </c>
      <c r="AD465" s="376" t="e">
        <f t="shared" ca="1" si="229"/>
        <v>#N/A</v>
      </c>
      <c r="AE465" s="377" t="e">
        <f t="shared" ca="1" si="208"/>
        <v>#N/A</v>
      </c>
      <c r="AF465" s="344"/>
      <c r="AG465" s="359">
        <f t="shared" ca="1" si="230"/>
        <v>5.8399971456522612</v>
      </c>
      <c r="AH465" s="357">
        <f t="shared" ca="1" si="231"/>
        <v>-3.8710510167347367</v>
      </c>
    </row>
    <row r="466" spans="1:34" x14ac:dyDescent="0.2">
      <c r="A466" s="402">
        <f t="shared" ca="1" si="209"/>
        <v>1E-4</v>
      </c>
      <c r="B466" s="357">
        <f t="shared" ca="1" si="210"/>
        <v>15.612599999999933</v>
      </c>
      <c r="C466" s="342"/>
      <c r="D466" s="359">
        <f t="shared" ca="1" si="211"/>
        <v>-0.5484347250416558</v>
      </c>
      <c r="E466" s="360">
        <f t="shared" ca="1" si="212"/>
        <v>-5.9779254915566851</v>
      </c>
      <c r="F466" s="357">
        <f t="shared" ca="1" si="213"/>
        <v>6.0030303872489892</v>
      </c>
      <c r="G466" s="359">
        <f t="shared" ca="1" si="214"/>
        <v>9.5422103139359109</v>
      </c>
      <c r="H466" s="360">
        <f t="shared" ca="1" si="215"/>
        <v>-66.675207172424308</v>
      </c>
      <c r="I466" s="357">
        <f t="shared" ca="1" si="216"/>
        <v>67.354562051587024</v>
      </c>
      <c r="J466" s="359">
        <f t="shared" ca="1" si="217"/>
        <v>187.70931447689617</v>
      </c>
      <c r="K466" s="360">
        <f t="shared" ca="1" si="218"/>
        <v>-4.8974049789742429</v>
      </c>
      <c r="L466" s="357">
        <f t="shared" ca="1" si="203"/>
        <v>187.77319115601776</v>
      </c>
      <c r="M466" s="359">
        <f t="shared" ca="1" si="219"/>
        <v>-1.4286467571030523</v>
      </c>
      <c r="N466" s="357">
        <f t="shared" ca="1" si="220"/>
        <v>-81.85542959705657</v>
      </c>
      <c r="O466" s="343"/>
      <c r="P466" s="363">
        <f t="shared" ca="1" si="221"/>
        <v>23</v>
      </c>
      <c r="Q466" s="357">
        <f t="shared" ca="1" si="222"/>
        <v>0</v>
      </c>
      <c r="R466" s="359">
        <f t="shared" ca="1" si="223"/>
        <v>0</v>
      </c>
      <c r="S466" s="360">
        <f t="shared" ca="1" si="224"/>
        <v>1.5629999999999982</v>
      </c>
      <c r="T466" s="357">
        <f t="shared" ca="1" si="204"/>
        <v>15.333029999999983</v>
      </c>
      <c r="U466" s="364">
        <f t="shared" ca="1" si="205"/>
        <v>0</v>
      </c>
      <c r="V466" s="359">
        <f t="shared" ca="1" si="206"/>
        <v>1.2256000790514314</v>
      </c>
      <c r="W466" s="357">
        <f t="shared" ca="1" si="207"/>
        <v>6.0506706544974653</v>
      </c>
      <c r="X466" s="343"/>
      <c r="Y466" s="367" t="str">
        <f t="shared" ca="1" si="225"/>
        <v/>
      </c>
      <c r="Z466" s="368" t="str">
        <f t="shared" ca="1" si="226"/>
        <v/>
      </c>
      <c r="AA466" s="369" t="str">
        <f t="shared" ca="1" si="227"/>
        <v/>
      </c>
      <c r="AB466" s="344"/>
      <c r="AC466" s="363" t="e">
        <f t="shared" ca="1" si="228"/>
        <v>#N/A</v>
      </c>
      <c r="AD466" s="376" t="e">
        <f t="shared" ca="1" si="229"/>
        <v>#N/A</v>
      </c>
      <c r="AE466" s="377" t="e">
        <f t="shared" ca="1" si="208"/>
        <v>#N/A</v>
      </c>
      <c r="AF466" s="344"/>
      <c r="AG466" s="359">
        <f t="shared" ca="1" si="230"/>
        <v>5.839930302892169</v>
      </c>
      <c r="AH466" s="357">
        <f t="shared" ca="1" si="231"/>
        <v>-3.8711207273724484</v>
      </c>
    </row>
    <row r="467" spans="1:34" x14ac:dyDescent="0.2">
      <c r="A467" s="402">
        <f t="shared" ca="1" si="209"/>
        <v>1E-4</v>
      </c>
      <c r="B467" s="357">
        <f t="shared" ca="1" si="210"/>
        <v>15.612699999999933</v>
      </c>
      <c r="C467" s="342"/>
      <c r="D467" s="359">
        <f t="shared" ca="1" si="211"/>
        <v>-0.54843669380274696</v>
      </c>
      <c r="E467" s="360">
        <f t="shared" ca="1" si="212"/>
        <v>-5.9778553524592546</v>
      </c>
      <c r="F467" s="357">
        <f t="shared" ca="1" si="213"/>
        <v>6.0029607213470131</v>
      </c>
      <c r="G467" s="359">
        <f t="shared" ca="1" si="214"/>
        <v>9.5421554702665308</v>
      </c>
      <c r="H467" s="360">
        <f t="shared" ca="1" si="215"/>
        <v>-66.675804957959556</v>
      </c>
      <c r="I467" s="357">
        <f t="shared" ca="1" si="216"/>
        <v>67.355146038076413</v>
      </c>
      <c r="J467" s="359">
        <f t="shared" ca="1" si="217"/>
        <v>187.70931447689617</v>
      </c>
      <c r="K467" s="360">
        <f t="shared" ca="1" si="218"/>
        <v>-4.9040725295807617</v>
      </c>
      <c r="L467" s="357">
        <f t="shared" ca="1" si="203"/>
        <v>187.77336517398226</v>
      </c>
      <c r="M467" s="359">
        <f t="shared" ca="1" si="219"/>
        <v>-1.4286488204876908</v>
      </c>
      <c r="N467" s="357">
        <f t="shared" ca="1" si="220"/>
        <v>-81.855547820287867</v>
      </c>
      <c r="O467" s="343"/>
      <c r="P467" s="363">
        <f t="shared" ca="1" si="221"/>
        <v>23</v>
      </c>
      <c r="Q467" s="357">
        <f t="shared" ca="1" si="222"/>
        <v>0</v>
      </c>
      <c r="R467" s="359">
        <f t="shared" ca="1" si="223"/>
        <v>0</v>
      </c>
      <c r="S467" s="360">
        <f t="shared" ca="1" si="224"/>
        <v>1.5629999999999982</v>
      </c>
      <c r="T467" s="357">
        <f t="shared" ca="1" si="204"/>
        <v>15.333029999999983</v>
      </c>
      <c r="U467" s="364">
        <f t="shared" ca="1" si="205"/>
        <v>0</v>
      </c>
      <c r="V467" s="359">
        <f t="shared" ca="1" si="206"/>
        <v>1.2256008962268079</v>
      </c>
      <c r="W467" s="357">
        <f t="shared" ca="1" si="207"/>
        <v>6.05077961199936</v>
      </c>
      <c r="X467" s="343"/>
      <c r="Y467" s="367" t="str">
        <f t="shared" ca="1" si="225"/>
        <v/>
      </c>
      <c r="Z467" s="368" t="str">
        <f t="shared" ca="1" si="226"/>
        <v/>
      </c>
      <c r="AA467" s="369" t="str">
        <f t="shared" ca="1" si="227"/>
        <v/>
      </c>
      <c r="AB467" s="344"/>
      <c r="AC467" s="363" t="e">
        <f t="shared" ca="1" si="228"/>
        <v>#N/A</v>
      </c>
      <c r="AD467" s="376" t="e">
        <f t="shared" ca="1" si="229"/>
        <v>#N/A</v>
      </c>
      <c r="AE467" s="377" t="e">
        <f t="shared" ca="1" si="208"/>
        <v>#N/A</v>
      </c>
      <c r="AF467" s="344"/>
      <c r="AG467" s="359">
        <f t="shared" ca="1" si="230"/>
        <v>5.8398634600964314</v>
      </c>
      <c r="AH467" s="357">
        <f t="shared" ca="1" si="231"/>
        <v>-3.871190437938242</v>
      </c>
    </row>
    <row r="468" spans="1:34" x14ac:dyDescent="0.2">
      <c r="A468" s="402">
        <f t="shared" ca="1" si="209"/>
        <v>1E-4</v>
      </c>
      <c r="B468" s="357">
        <f t="shared" ca="1" si="210"/>
        <v>15.612799999999933</v>
      </c>
      <c r="C468" s="342"/>
      <c r="D468" s="359">
        <f t="shared" ca="1" si="211"/>
        <v>-0.54843866244909567</v>
      </c>
      <c r="E468" s="360">
        <f t="shared" ca="1" si="212"/>
        <v>-5.977785213434724</v>
      </c>
      <c r="F468" s="357">
        <f t="shared" ca="1" si="213"/>
        <v>6.0028910555188144</v>
      </c>
      <c r="G468" s="359">
        <f t="shared" ca="1" si="214"/>
        <v>9.5421006264002859</v>
      </c>
      <c r="H468" s="360">
        <f t="shared" ca="1" si="215"/>
        <v>-66.676402736480895</v>
      </c>
      <c r="I468" s="357">
        <f t="shared" ca="1" si="216"/>
        <v>67.355730017881527</v>
      </c>
      <c r="J468" s="359">
        <f t="shared" ca="1" si="217"/>
        <v>187.70931447689617</v>
      </c>
      <c r="K468" s="360">
        <f t="shared" ca="1" si="218"/>
        <v>-4.9107401399654833</v>
      </c>
      <c r="L468" s="357">
        <f t="shared" ca="1" si="203"/>
        <v>187.77353943010331</v>
      </c>
      <c r="M468" s="359">
        <f t="shared" ca="1" si="219"/>
        <v>-1.4286508838246905</v>
      </c>
      <c r="N468" s="357">
        <f t="shared" ca="1" si="220"/>
        <v>-81.855666040789657</v>
      </c>
      <c r="O468" s="343"/>
      <c r="P468" s="363">
        <f t="shared" ca="1" si="221"/>
        <v>23</v>
      </c>
      <c r="Q468" s="357">
        <f t="shared" ca="1" si="222"/>
        <v>0</v>
      </c>
      <c r="R468" s="359">
        <f t="shared" ca="1" si="223"/>
        <v>0</v>
      </c>
      <c r="S468" s="360">
        <f t="shared" ca="1" si="224"/>
        <v>1.5629999999999982</v>
      </c>
      <c r="T468" s="357">
        <f t="shared" ca="1" si="204"/>
        <v>15.333029999999983</v>
      </c>
      <c r="U468" s="364">
        <f t="shared" ca="1" si="205"/>
        <v>0</v>
      </c>
      <c r="V468" s="359">
        <f t="shared" ca="1" si="206"/>
        <v>1.2256017134100559</v>
      </c>
      <c r="W468" s="357">
        <f t="shared" ca="1" si="207"/>
        <v>6.0508885693887864</v>
      </c>
      <c r="X468" s="343"/>
      <c r="Y468" s="367" t="str">
        <f t="shared" ca="1" si="225"/>
        <v/>
      </c>
      <c r="Z468" s="368" t="str">
        <f t="shared" ca="1" si="226"/>
        <v/>
      </c>
      <c r="AA468" s="369" t="str">
        <f t="shared" ca="1" si="227"/>
        <v/>
      </c>
      <c r="AB468" s="344"/>
      <c r="AC468" s="363" t="e">
        <f t="shared" ca="1" si="228"/>
        <v>#N/A</v>
      </c>
      <c r="AD468" s="376" t="e">
        <f t="shared" ca="1" si="229"/>
        <v>#N/A</v>
      </c>
      <c r="AE468" s="377" t="e">
        <f t="shared" ca="1" si="208"/>
        <v>#N/A</v>
      </c>
      <c r="AF468" s="344"/>
      <c r="AG468" s="359">
        <f t="shared" ca="1" si="230"/>
        <v>5.8397966172650797</v>
      </c>
      <c r="AH468" s="357">
        <f t="shared" ca="1" si="231"/>
        <v>-3.8712601484320968</v>
      </c>
    </row>
    <row r="469" spans="1:34" x14ac:dyDescent="0.2">
      <c r="A469" s="402">
        <f t="shared" ca="1" si="209"/>
        <v>1E-4</v>
      </c>
      <c r="B469" s="357">
        <f t="shared" ca="1" si="210"/>
        <v>15.612899999999932</v>
      </c>
      <c r="C469" s="342"/>
      <c r="D469" s="359">
        <f t="shared" ca="1" si="211"/>
        <v>-0.54844063098070339</v>
      </c>
      <c r="E469" s="360">
        <f t="shared" ca="1" si="212"/>
        <v>-5.9777150744831129</v>
      </c>
      <c r="F469" s="357">
        <f t="shared" ca="1" si="213"/>
        <v>6.0028213897644127</v>
      </c>
      <c r="G469" s="359">
        <f t="shared" ca="1" si="214"/>
        <v>9.5420457823371887</v>
      </c>
      <c r="H469" s="360">
        <f t="shared" ca="1" si="215"/>
        <v>-66.677000507988339</v>
      </c>
      <c r="I469" s="357">
        <f t="shared" ca="1" si="216"/>
        <v>67.356313991002338</v>
      </c>
      <c r="J469" s="359">
        <f t="shared" ca="1" si="217"/>
        <v>187.70931447689617</v>
      </c>
      <c r="K469" s="360">
        <f t="shared" ca="1" si="218"/>
        <v>-4.917407810127707</v>
      </c>
      <c r="L469" s="357">
        <f t="shared" ca="1" si="203"/>
        <v>187.77371392438667</v>
      </c>
      <c r="M469" s="359">
        <f t="shared" ca="1" si="219"/>
        <v>-1.4286529471140534</v>
      </c>
      <c r="N469" s="357">
        <f t="shared" ca="1" si="220"/>
        <v>-81.855784258562068</v>
      </c>
      <c r="O469" s="343"/>
      <c r="P469" s="363">
        <f t="shared" ca="1" si="221"/>
        <v>23</v>
      </c>
      <c r="Q469" s="357">
        <f t="shared" ca="1" si="222"/>
        <v>0</v>
      </c>
      <c r="R469" s="359">
        <f t="shared" ca="1" si="223"/>
        <v>0</v>
      </c>
      <c r="S469" s="360">
        <f t="shared" ca="1" si="224"/>
        <v>1.5629999999999982</v>
      </c>
      <c r="T469" s="357">
        <f t="shared" ca="1" si="204"/>
        <v>15.333029999999983</v>
      </c>
      <c r="U469" s="364">
        <f t="shared" ca="1" si="205"/>
        <v>0</v>
      </c>
      <c r="V469" s="359">
        <f t="shared" ca="1" si="206"/>
        <v>1.2256025306011749</v>
      </c>
      <c r="W469" s="357">
        <f t="shared" ca="1" si="207"/>
        <v>6.0509975266657108</v>
      </c>
      <c r="X469" s="343"/>
      <c r="Y469" s="367" t="str">
        <f t="shared" ca="1" si="225"/>
        <v/>
      </c>
      <c r="Z469" s="368" t="str">
        <f t="shared" ca="1" si="226"/>
        <v/>
      </c>
      <c r="AA469" s="369" t="str">
        <f t="shared" ca="1" si="227"/>
        <v/>
      </c>
      <c r="AB469" s="344"/>
      <c r="AC469" s="363" t="e">
        <f t="shared" ca="1" si="228"/>
        <v>#N/A</v>
      </c>
      <c r="AD469" s="376" t="e">
        <f t="shared" ca="1" si="229"/>
        <v>#N/A</v>
      </c>
      <c r="AE469" s="377" t="e">
        <f t="shared" ca="1" si="208"/>
        <v>#N/A</v>
      </c>
      <c r="AF469" s="344"/>
      <c r="AG469" s="359">
        <f t="shared" ca="1" si="230"/>
        <v>5.8397297743981289</v>
      </c>
      <c r="AH469" s="357">
        <f t="shared" ca="1" si="231"/>
        <v>-3.8713298588539944</v>
      </c>
    </row>
    <row r="470" spans="1:34" x14ac:dyDescent="0.2">
      <c r="A470" s="402">
        <f t="shared" ca="1" si="209"/>
        <v>1E-4</v>
      </c>
      <c r="B470" s="357">
        <f t="shared" ca="1" si="210"/>
        <v>15.612999999999932</v>
      </c>
      <c r="C470" s="342"/>
      <c r="D470" s="359">
        <f t="shared" ca="1" si="211"/>
        <v>-0.54844259939756956</v>
      </c>
      <c r="E470" s="360">
        <f t="shared" ca="1" si="212"/>
        <v>-5.9776449356044417</v>
      </c>
      <c r="F470" s="357">
        <f t="shared" ca="1" si="213"/>
        <v>6.0027517240838302</v>
      </c>
      <c r="G470" s="359">
        <f t="shared" ca="1" si="214"/>
        <v>9.5419909380772481</v>
      </c>
      <c r="H470" s="360">
        <f t="shared" ca="1" si="215"/>
        <v>-66.677598272481902</v>
      </c>
      <c r="I470" s="357">
        <f t="shared" ca="1" si="216"/>
        <v>67.356897957438861</v>
      </c>
      <c r="J470" s="359">
        <f t="shared" ca="1" si="217"/>
        <v>187.70931447689617</v>
      </c>
      <c r="K470" s="360">
        <f t="shared" ca="1" si="218"/>
        <v>-4.9240755400667302</v>
      </c>
      <c r="L470" s="357">
        <f t="shared" ca="1" si="203"/>
        <v>187.77388865683798</v>
      </c>
      <c r="M470" s="359">
        <f t="shared" ca="1" si="219"/>
        <v>-1.4286550103557809</v>
      </c>
      <c r="N470" s="357">
        <f t="shared" ca="1" si="220"/>
        <v>-81.85590247360517</v>
      </c>
      <c r="O470" s="343"/>
      <c r="P470" s="363">
        <f t="shared" ca="1" si="221"/>
        <v>23</v>
      </c>
      <c r="Q470" s="357">
        <f t="shared" ca="1" si="222"/>
        <v>0</v>
      </c>
      <c r="R470" s="359">
        <f t="shared" ca="1" si="223"/>
        <v>0</v>
      </c>
      <c r="S470" s="360">
        <f t="shared" ca="1" si="224"/>
        <v>1.5629999999999982</v>
      </c>
      <c r="T470" s="357">
        <f t="shared" ca="1" si="204"/>
        <v>15.333029999999983</v>
      </c>
      <c r="U470" s="364">
        <f t="shared" ca="1" si="205"/>
        <v>0</v>
      </c>
      <c r="V470" s="359">
        <f t="shared" ca="1" si="206"/>
        <v>1.2256033478001656</v>
      </c>
      <c r="W470" s="357">
        <f t="shared" ca="1" si="207"/>
        <v>6.0511064838301047</v>
      </c>
      <c r="X470" s="343"/>
      <c r="Y470" s="367" t="str">
        <f t="shared" ca="1" si="225"/>
        <v/>
      </c>
      <c r="Z470" s="368" t="str">
        <f t="shared" ca="1" si="226"/>
        <v/>
      </c>
      <c r="AA470" s="369" t="str">
        <f t="shared" ca="1" si="227"/>
        <v/>
      </c>
      <c r="AB470" s="344"/>
      <c r="AC470" s="363" t="e">
        <f t="shared" ca="1" si="228"/>
        <v>#N/A</v>
      </c>
      <c r="AD470" s="376" t="e">
        <f t="shared" ca="1" si="229"/>
        <v>#N/A</v>
      </c>
      <c r="AE470" s="377" t="e">
        <f t="shared" ca="1" si="208"/>
        <v>#N/A</v>
      </c>
      <c r="AF470" s="344"/>
      <c r="AG470" s="359">
        <f t="shared" ca="1" si="230"/>
        <v>5.8396629314956119</v>
      </c>
      <c r="AH470" s="357">
        <f t="shared" ca="1" si="231"/>
        <v>-3.871399569203914</v>
      </c>
    </row>
    <row r="471" spans="1:34" x14ac:dyDescent="0.2">
      <c r="A471" s="402">
        <f t="shared" ca="1" si="209"/>
        <v>1E-4</v>
      </c>
      <c r="B471" s="357">
        <f t="shared" ca="1" si="210"/>
        <v>15.613099999999932</v>
      </c>
      <c r="C471" s="342"/>
      <c r="D471" s="359">
        <f t="shared" ca="1" si="211"/>
        <v>-0.54844456769969707</v>
      </c>
      <c r="E471" s="360">
        <f t="shared" ca="1" si="212"/>
        <v>-5.9775747967987289</v>
      </c>
      <c r="F471" s="357">
        <f t="shared" ca="1" si="213"/>
        <v>6.0026820584770837</v>
      </c>
      <c r="G471" s="359">
        <f t="shared" ca="1" si="214"/>
        <v>9.5419360936204782</v>
      </c>
      <c r="H471" s="360">
        <f t="shared" ca="1" si="215"/>
        <v>-66.678196029961583</v>
      </c>
      <c r="I471" s="357">
        <f t="shared" ca="1" si="216"/>
        <v>67.357481917191066</v>
      </c>
      <c r="J471" s="359">
        <f t="shared" ca="1" si="217"/>
        <v>187.70931447689617</v>
      </c>
      <c r="K471" s="360">
        <f t="shared" ca="1" si="218"/>
        <v>-4.9307433297818521</v>
      </c>
      <c r="L471" s="357">
        <f t="shared" ca="1" si="203"/>
        <v>187.77406362746291</v>
      </c>
      <c r="M471" s="359">
        <f t="shared" ca="1" si="219"/>
        <v>-1.4286570735498749</v>
      </c>
      <c r="N471" s="357">
        <f t="shared" ca="1" si="220"/>
        <v>-81.856020685919063</v>
      </c>
      <c r="O471" s="343"/>
      <c r="P471" s="363">
        <f t="shared" ca="1" si="221"/>
        <v>23</v>
      </c>
      <c r="Q471" s="357">
        <f t="shared" ca="1" si="222"/>
        <v>0</v>
      </c>
      <c r="R471" s="359">
        <f t="shared" ca="1" si="223"/>
        <v>0</v>
      </c>
      <c r="S471" s="360">
        <f t="shared" ca="1" si="224"/>
        <v>1.5629999999999982</v>
      </c>
      <c r="T471" s="357">
        <f t="shared" ca="1" si="204"/>
        <v>15.333029999999983</v>
      </c>
      <c r="U471" s="364">
        <f t="shared" ca="1" si="205"/>
        <v>0</v>
      </c>
      <c r="V471" s="359">
        <f t="shared" ca="1" si="206"/>
        <v>1.2256041650070275</v>
      </c>
      <c r="W471" s="357">
        <f t="shared" ca="1" si="207"/>
        <v>6.0512154408819336</v>
      </c>
      <c r="X471" s="343"/>
      <c r="Y471" s="367" t="str">
        <f t="shared" ca="1" si="225"/>
        <v/>
      </c>
      <c r="Z471" s="368" t="str">
        <f t="shared" ca="1" si="226"/>
        <v/>
      </c>
      <c r="AA471" s="369" t="str">
        <f t="shared" ca="1" si="227"/>
        <v/>
      </c>
      <c r="AB471" s="344"/>
      <c r="AC471" s="363" t="e">
        <f t="shared" ca="1" si="228"/>
        <v>#N/A</v>
      </c>
      <c r="AD471" s="376" t="e">
        <f t="shared" ca="1" si="229"/>
        <v>#N/A</v>
      </c>
      <c r="AE471" s="377" t="e">
        <f t="shared" ca="1" si="208"/>
        <v>#N/A</v>
      </c>
      <c r="AF471" s="344"/>
      <c r="AG471" s="359">
        <f t="shared" ca="1" si="230"/>
        <v>5.8395960885575509</v>
      </c>
      <c r="AH471" s="357">
        <f t="shared" ca="1" si="231"/>
        <v>-3.8714692794818375</v>
      </c>
    </row>
    <row r="472" spans="1:34" x14ac:dyDescent="0.2">
      <c r="A472" s="402">
        <f t="shared" ca="1" si="209"/>
        <v>1E-4</v>
      </c>
      <c r="B472" s="357">
        <f t="shared" ca="1" si="210"/>
        <v>15.613199999999932</v>
      </c>
      <c r="C472" s="342"/>
      <c r="D472" s="359">
        <f t="shared" ca="1" si="211"/>
        <v>-0.54844653588708536</v>
      </c>
      <c r="E472" s="360">
        <f t="shared" ca="1" si="212"/>
        <v>-5.9775046580659961</v>
      </c>
      <c r="F472" s="357">
        <f t="shared" ca="1" si="213"/>
        <v>6.0026123929441946</v>
      </c>
      <c r="G472" s="359">
        <f t="shared" ca="1" si="214"/>
        <v>9.5418812489668898</v>
      </c>
      <c r="H472" s="360">
        <f t="shared" ca="1" si="215"/>
        <v>-66.678793780427384</v>
      </c>
      <c r="I472" s="357">
        <f t="shared" ca="1" si="216"/>
        <v>67.358065870258983</v>
      </c>
      <c r="J472" s="359">
        <f t="shared" ca="1" si="217"/>
        <v>187.70931447689617</v>
      </c>
      <c r="K472" s="360">
        <f t="shared" ca="1" si="218"/>
        <v>-4.9374111792723712</v>
      </c>
      <c r="L472" s="357">
        <f t="shared" ca="1" si="203"/>
        <v>187.77423883626716</v>
      </c>
      <c r="M472" s="359">
        <f t="shared" ca="1" si="219"/>
        <v>-1.428659136696337</v>
      </c>
      <c r="N472" s="357">
        <f t="shared" ca="1" si="220"/>
        <v>-81.856138895503861</v>
      </c>
      <c r="O472" s="343"/>
      <c r="P472" s="363">
        <f t="shared" ca="1" si="221"/>
        <v>23</v>
      </c>
      <c r="Q472" s="357">
        <f t="shared" ca="1" si="222"/>
        <v>0</v>
      </c>
      <c r="R472" s="359">
        <f t="shared" ca="1" si="223"/>
        <v>0</v>
      </c>
      <c r="S472" s="360">
        <f t="shared" ca="1" si="224"/>
        <v>1.5629999999999982</v>
      </c>
      <c r="T472" s="357">
        <f t="shared" ca="1" si="204"/>
        <v>15.333029999999983</v>
      </c>
      <c r="U472" s="364">
        <f t="shared" ca="1" si="205"/>
        <v>0</v>
      </c>
      <c r="V472" s="359">
        <f t="shared" ca="1" si="206"/>
        <v>1.2256049822217601</v>
      </c>
      <c r="W472" s="357">
        <f t="shared" ca="1" si="207"/>
        <v>6.0513243978211717</v>
      </c>
      <c r="X472" s="343"/>
      <c r="Y472" s="367" t="str">
        <f t="shared" ca="1" si="225"/>
        <v/>
      </c>
      <c r="Z472" s="368" t="str">
        <f t="shared" ca="1" si="226"/>
        <v/>
      </c>
      <c r="AA472" s="369" t="str">
        <f t="shared" ca="1" si="227"/>
        <v/>
      </c>
      <c r="AB472" s="344"/>
      <c r="AC472" s="363" t="e">
        <f t="shared" ca="1" si="228"/>
        <v>#N/A</v>
      </c>
      <c r="AD472" s="376" t="e">
        <f t="shared" ca="1" si="229"/>
        <v>#N/A</v>
      </c>
      <c r="AE472" s="377" t="e">
        <f t="shared" ca="1" si="208"/>
        <v>#N/A</v>
      </c>
      <c r="AF472" s="344"/>
      <c r="AG472" s="359">
        <f t="shared" ca="1" si="230"/>
        <v>5.8395292455839733</v>
      </c>
      <c r="AH472" s="357">
        <f t="shared" ca="1" si="231"/>
        <v>-3.8715389896877421</v>
      </c>
    </row>
    <row r="473" spans="1:34" x14ac:dyDescent="0.2">
      <c r="A473" s="402">
        <f t="shared" ca="1" si="209"/>
        <v>1E-4</v>
      </c>
      <c r="B473" s="357">
        <f t="shared" ca="1" si="210"/>
        <v>15.613299999999931</v>
      </c>
      <c r="C473" s="342"/>
      <c r="D473" s="359">
        <f t="shared" ca="1" si="211"/>
        <v>-0.54844850395973632</v>
      </c>
      <c r="E473" s="360">
        <f t="shared" ca="1" si="212"/>
        <v>-5.9774345194062626</v>
      </c>
      <c r="F473" s="357">
        <f t="shared" ca="1" si="213"/>
        <v>6.0025427274851824</v>
      </c>
      <c r="G473" s="359">
        <f t="shared" ca="1" si="214"/>
        <v>9.5418264041164935</v>
      </c>
      <c r="H473" s="360">
        <f t="shared" ca="1" si="215"/>
        <v>-66.679391523879318</v>
      </c>
      <c r="I473" s="357">
        <f t="shared" ca="1" si="216"/>
        <v>67.358649816642583</v>
      </c>
      <c r="J473" s="359">
        <f t="shared" ca="1" si="217"/>
        <v>187.70931447689617</v>
      </c>
      <c r="K473" s="360">
        <f t="shared" ca="1" si="218"/>
        <v>-4.9440790885375865</v>
      </c>
      <c r="L473" s="357">
        <f t="shared" ca="1" si="203"/>
        <v>187.77441428325642</v>
      </c>
      <c r="M473" s="359">
        <f t="shared" ca="1" si="219"/>
        <v>-1.428661199795169</v>
      </c>
      <c r="N473" s="357">
        <f t="shared" ca="1" si="220"/>
        <v>-81.856257102359663</v>
      </c>
      <c r="O473" s="343"/>
      <c r="P473" s="363">
        <f t="shared" ca="1" si="221"/>
        <v>23</v>
      </c>
      <c r="Q473" s="357">
        <f t="shared" ca="1" si="222"/>
        <v>0</v>
      </c>
      <c r="R473" s="359">
        <f t="shared" ca="1" si="223"/>
        <v>0</v>
      </c>
      <c r="S473" s="360">
        <f t="shared" ca="1" si="224"/>
        <v>1.5629999999999982</v>
      </c>
      <c r="T473" s="357">
        <f t="shared" ca="1" si="204"/>
        <v>15.333029999999983</v>
      </c>
      <c r="U473" s="364">
        <f t="shared" ca="1" si="205"/>
        <v>0</v>
      </c>
      <c r="V473" s="359">
        <f t="shared" ca="1" si="206"/>
        <v>1.2256057994443643</v>
      </c>
      <c r="W473" s="357">
        <f t="shared" ca="1" si="207"/>
        <v>6.0514333546477852</v>
      </c>
      <c r="X473" s="343"/>
      <c r="Y473" s="367" t="str">
        <f t="shared" ca="1" si="225"/>
        <v/>
      </c>
      <c r="Z473" s="368" t="str">
        <f t="shared" ca="1" si="226"/>
        <v/>
      </c>
      <c r="AA473" s="369" t="str">
        <f t="shared" ca="1" si="227"/>
        <v/>
      </c>
      <c r="AB473" s="344"/>
      <c r="AC473" s="363" t="e">
        <f t="shared" ca="1" si="228"/>
        <v>#N/A</v>
      </c>
      <c r="AD473" s="376" t="e">
        <f t="shared" ca="1" si="229"/>
        <v>#N/A</v>
      </c>
      <c r="AE473" s="377" t="e">
        <f t="shared" ca="1" si="208"/>
        <v>#N/A</v>
      </c>
      <c r="AF473" s="344"/>
      <c r="AG473" s="359">
        <f t="shared" ca="1" si="230"/>
        <v>5.839462402574898</v>
      </c>
      <c r="AH473" s="357">
        <f t="shared" ca="1" si="231"/>
        <v>-3.8716086998216115</v>
      </c>
    </row>
    <row r="474" spans="1:34" x14ac:dyDescent="0.2">
      <c r="A474" s="402">
        <f t="shared" ca="1" si="209"/>
        <v>1E-4</v>
      </c>
      <c r="B474" s="357">
        <f t="shared" ca="1" si="210"/>
        <v>15.613399999999931</v>
      </c>
      <c r="C474" s="342"/>
      <c r="D474" s="359">
        <f t="shared" ca="1" si="211"/>
        <v>-0.54845047191765084</v>
      </c>
      <c r="E474" s="360">
        <f t="shared" ca="1" si="212"/>
        <v>-5.9773643808195462</v>
      </c>
      <c r="F474" s="357">
        <f t="shared" ca="1" si="213"/>
        <v>6.0024730621000648</v>
      </c>
      <c r="G474" s="359">
        <f t="shared" ca="1" si="214"/>
        <v>9.5417715590693017</v>
      </c>
      <c r="H474" s="360">
        <f t="shared" ca="1" si="215"/>
        <v>-66.679989260317399</v>
      </c>
      <c r="I474" s="357">
        <f t="shared" ca="1" si="216"/>
        <v>67.359233756341879</v>
      </c>
      <c r="J474" s="359">
        <f t="shared" ca="1" si="217"/>
        <v>187.70931447689617</v>
      </c>
      <c r="K474" s="360">
        <f t="shared" ca="1" si="218"/>
        <v>-4.9507470575767965</v>
      </c>
      <c r="L474" s="357">
        <f t="shared" ca="1" si="203"/>
        <v>187.77458996843637</v>
      </c>
      <c r="M474" s="359">
        <f t="shared" ca="1" si="219"/>
        <v>-1.4286632628463725</v>
      </c>
      <c r="N474" s="357">
        <f t="shared" ca="1" si="220"/>
        <v>-81.856375306486527</v>
      </c>
      <c r="O474" s="343"/>
      <c r="P474" s="363">
        <f t="shared" ca="1" si="221"/>
        <v>23</v>
      </c>
      <c r="Q474" s="357">
        <f t="shared" ca="1" si="222"/>
        <v>0</v>
      </c>
      <c r="R474" s="359">
        <f t="shared" ca="1" si="223"/>
        <v>0</v>
      </c>
      <c r="S474" s="360">
        <f t="shared" ca="1" si="224"/>
        <v>1.5629999999999982</v>
      </c>
      <c r="T474" s="357">
        <f t="shared" ca="1" si="204"/>
        <v>15.333029999999983</v>
      </c>
      <c r="U474" s="364">
        <f t="shared" ca="1" si="205"/>
        <v>0</v>
      </c>
      <c r="V474" s="359">
        <f t="shared" ca="1" si="206"/>
        <v>1.2256066166748394</v>
      </c>
      <c r="W474" s="357">
        <f t="shared" ca="1" si="207"/>
        <v>6.0515423113617448</v>
      </c>
      <c r="X474" s="343"/>
      <c r="Y474" s="367" t="str">
        <f t="shared" ca="1" si="225"/>
        <v/>
      </c>
      <c r="Z474" s="368" t="str">
        <f t="shared" ca="1" si="226"/>
        <v/>
      </c>
      <c r="AA474" s="369" t="str">
        <f t="shared" ca="1" si="227"/>
        <v/>
      </c>
      <c r="AB474" s="344"/>
      <c r="AC474" s="363" t="e">
        <f t="shared" ca="1" si="228"/>
        <v>#N/A</v>
      </c>
      <c r="AD474" s="376" t="e">
        <f t="shared" ca="1" si="229"/>
        <v>#N/A</v>
      </c>
      <c r="AE474" s="377" t="e">
        <f t="shared" ca="1" si="208"/>
        <v>#N/A</v>
      </c>
      <c r="AF474" s="344"/>
      <c r="AG474" s="359">
        <f t="shared" ca="1" si="230"/>
        <v>5.8393955595303577</v>
      </c>
      <c r="AH474" s="357">
        <f t="shared" ca="1" si="231"/>
        <v>-3.8716784098834243</v>
      </c>
    </row>
    <row r="475" spans="1:34" x14ac:dyDescent="0.2">
      <c r="A475" s="402">
        <f t="shared" ca="1" si="209"/>
        <v>1E-4</v>
      </c>
      <c r="B475" s="357">
        <f t="shared" ca="1" si="210"/>
        <v>15.613499999999931</v>
      </c>
      <c r="C475" s="342"/>
      <c r="D475" s="359">
        <f t="shared" ca="1" si="211"/>
        <v>-0.54845243976083047</v>
      </c>
      <c r="E475" s="360">
        <f t="shared" ca="1" si="212"/>
        <v>-5.9772942423058684</v>
      </c>
      <c r="F475" s="357">
        <f t="shared" ca="1" si="213"/>
        <v>6.0024033967888641</v>
      </c>
      <c r="G475" s="359">
        <f t="shared" ca="1" si="214"/>
        <v>9.5417167138253252</v>
      </c>
      <c r="H475" s="360">
        <f t="shared" ca="1" si="215"/>
        <v>-66.680586989741627</v>
      </c>
      <c r="I475" s="357">
        <f t="shared" ca="1" si="216"/>
        <v>67.359817689356873</v>
      </c>
      <c r="J475" s="359">
        <f t="shared" ca="1" si="217"/>
        <v>187.70931447689617</v>
      </c>
      <c r="K475" s="360">
        <f t="shared" ca="1" si="218"/>
        <v>-4.9574150863892994</v>
      </c>
      <c r="L475" s="357">
        <f t="shared" ca="1" si="203"/>
        <v>187.77476589181268</v>
      </c>
      <c r="M475" s="359">
        <f t="shared" ca="1" si="219"/>
        <v>-1.4286653258499493</v>
      </c>
      <c r="N475" s="357">
        <f t="shared" ca="1" si="220"/>
        <v>-81.856493507884608</v>
      </c>
      <c r="O475" s="343"/>
      <c r="P475" s="363">
        <f t="shared" ca="1" si="221"/>
        <v>23</v>
      </c>
      <c r="Q475" s="357">
        <f t="shared" ca="1" si="222"/>
        <v>0</v>
      </c>
      <c r="R475" s="359">
        <f t="shared" ca="1" si="223"/>
        <v>0</v>
      </c>
      <c r="S475" s="360">
        <f t="shared" ca="1" si="224"/>
        <v>1.5629999999999982</v>
      </c>
      <c r="T475" s="357">
        <f t="shared" ca="1" si="204"/>
        <v>15.333029999999983</v>
      </c>
      <c r="U475" s="364">
        <f t="shared" ca="1" si="205"/>
        <v>0</v>
      </c>
      <c r="V475" s="359">
        <f t="shared" ca="1" si="206"/>
        <v>1.2256074339131848</v>
      </c>
      <c r="W475" s="357">
        <f t="shared" ca="1" si="207"/>
        <v>6.0516512679630177</v>
      </c>
      <c r="X475" s="343"/>
      <c r="Y475" s="367" t="str">
        <f t="shared" ca="1" si="225"/>
        <v/>
      </c>
      <c r="Z475" s="368" t="str">
        <f t="shared" ca="1" si="226"/>
        <v/>
      </c>
      <c r="AA475" s="369" t="str">
        <f t="shared" ca="1" si="227"/>
        <v/>
      </c>
      <c r="AB475" s="344"/>
      <c r="AC475" s="363" t="e">
        <f t="shared" ca="1" si="228"/>
        <v>#N/A</v>
      </c>
      <c r="AD475" s="376" t="e">
        <f t="shared" ca="1" si="229"/>
        <v>#N/A</v>
      </c>
      <c r="AE475" s="377" t="e">
        <f t="shared" ca="1" si="208"/>
        <v>#N/A</v>
      </c>
      <c r="AF475" s="344"/>
      <c r="AG475" s="359">
        <f t="shared" ca="1" si="230"/>
        <v>5.8393287164503693</v>
      </c>
      <c r="AH475" s="357">
        <f t="shared" ca="1" si="231"/>
        <v>-3.8717481198731618</v>
      </c>
    </row>
    <row r="476" spans="1:34" x14ac:dyDescent="0.2">
      <c r="A476" s="402">
        <f t="shared" ca="1" si="209"/>
        <v>1E-4</v>
      </c>
      <c r="B476" s="357">
        <f t="shared" ca="1" si="210"/>
        <v>15.613599999999931</v>
      </c>
      <c r="C476" s="342"/>
      <c r="D476" s="359">
        <f t="shared" ca="1" si="211"/>
        <v>-0.54845440748927499</v>
      </c>
      <c r="E476" s="360">
        <f t="shared" ca="1" si="212"/>
        <v>-5.9772241038652485</v>
      </c>
      <c r="F476" s="357">
        <f t="shared" ca="1" si="213"/>
        <v>6.0023337315515981</v>
      </c>
      <c r="G476" s="359">
        <f t="shared" ca="1" si="214"/>
        <v>9.5416618683845762</v>
      </c>
      <c r="H476" s="360">
        <f t="shared" ca="1" si="215"/>
        <v>-66.681184712152017</v>
      </c>
      <c r="I476" s="357">
        <f t="shared" ca="1" si="216"/>
        <v>67.360401615687536</v>
      </c>
      <c r="J476" s="359">
        <f t="shared" ca="1" si="217"/>
        <v>187.70931447689617</v>
      </c>
      <c r="K476" s="360">
        <f t="shared" ca="1" si="218"/>
        <v>-4.9640831749743937</v>
      </c>
      <c r="L476" s="357">
        <f t="shared" ca="1" si="203"/>
        <v>187.77494205339104</v>
      </c>
      <c r="M476" s="359">
        <f t="shared" ca="1" si="219"/>
        <v>-1.4286673888059012</v>
      </c>
      <c r="N476" s="357">
        <f t="shared" ca="1" si="220"/>
        <v>-81.856611706553963</v>
      </c>
      <c r="O476" s="343"/>
      <c r="P476" s="363">
        <f t="shared" ca="1" si="221"/>
        <v>23</v>
      </c>
      <c r="Q476" s="357">
        <f t="shared" ca="1" si="222"/>
        <v>0</v>
      </c>
      <c r="R476" s="359">
        <f t="shared" ca="1" si="223"/>
        <v>0</v>
      </c>
      <c r="S476" s="360">
        <f t="shared" ca="1" si="224"/>
        <v>1.5629999999999982</v>
      </c>
      <c r="T476" s="357">
        <f t="shared" ca="1" si="204"/>
        <v>15.333029999999983</v>
      </c>
      <c r="U476" s="364">
        <f t="shared" ca="1" si="205"/>
        <v>0</v>
      </c>
      <c r="V476" s="359">
        <f t="shared" ca="1" si="206"/>
        <v>1.2256082511594018</v>
      </c>
      <c r="W476" s="357">
        <f t="shared" ca="1" si="207"/>
        <v>6.0517602244515754</v>
      </c>
      <c r="X476" s="343"/>
      <c r="Y476" s="367" t="str">
        <f t="shared" ca="1" si="225"/>
        <v/>
      </c>
      <c r="Z476" s="368" t="str">
        <f t="shared" ca="1" si="226"/>
        <v/>
      </c>
      <c r="AA476" s="369" t="str">
        <f t="shared" ca="1" si="227"/>
        <v/>
      </c>
      <c r="AB476" s="344"/>
      <c r="AC476" s="363" t="e">
        <f t="shared" ca="1" si="228"/>
        <v>#N/A</v>
      </c>
      <c r="AD476" s="376" t="e">
        <f t="shared" ca="1" si="229"/>
        <v>#N/A</v>
      </c>
      <c r="AE476" s="377" t="e">
        <f t="shared" ca="1" si="208"/>
        <v>#N/A</v>
      </c>
      <c r="AF476" s="344"/>
      <c r="AG476" s="359">
        <f t="shared" ca="1" si="230"/>
        <v>5.8392618733349622</v>
      </c>
      <c r="AH476" s="357">
        <f t="shared" ca="1" si="231"/>
        <v>-3.8718178297908028</v>
      </c>
    </row>
    <row r="477" spans="1:34" x14ac:dyDescent="0.2">
      <c r="A477" s="402">
        <f t="shared" ca="1" si="209"/>
        <v>1E-4</v>
      </c>
      <c r="B477" s="357">
        <f t="shared" ca="1" si="210"/>
        <v>15.61369999999993</v>
      </c>
      <c r="C477" s="342"/>
      <c r="D477" s="359">
        <f t="shared" ca="1" si="211"/>
        <v>-0.54845637510298595</v>
      </c>
      <c r="E477" s="360">
        <f t="shared" ca="1" si="212"/>
        <v>-5.9771539654977062</v>
      </c>
      <c r="F477" s="357">
        <f t="shared" ca="1" si="213"/>
        <v>6.0022640663882871</v>
      </c>
      <c r="G477" s="359">
        <f t="shared" ca="1" si="214"/>
        <v>9.5416070227470655</v>
      </c>
      <c r="H477" s="360">
        <f t="shared" ca="1" si="215"/>
        <v>-66.681782427548569</v>
      </c>
      <c r="I477" s="357">
        <f t="shared" ca="1" si="216"/>
        <v>67.360985535333882</v>
      </c>
      <c r="J477" s="359">
        <f t="shared" ca="1" si="217"/>
        <v>187.70931447689617</v>
      </c>
      <c r="K477" s="360">
        <f t="shared" ca="1" si="218"/>
        <v>-4.9707513233313785</v>
      </c>
      <c r="L477" s="357">
        <f t="shared" ca="1" si="203"/>
        <v>187.77511845317713</v>
      </c>
      <c r="M477" s="359">
        <f t="shared" ca="1" si="219"/>
        <v>-1.4286694517142295</v>
      </c>
      <c r="N477" s="357">
        <f t="shared" ca="1" si="220"/>
        <v>-81.856729902494706</v>
      </c>
      <c r="O477" s="343"/>
      <c r="P477" s="363">
        <f t="shared" ca="1" si="221"/>
        <v>23</v>
      </c>
      <c r="Q477" s="357">
        <f t="shared" ca="1" si="222"/>
        <v>0</v>
      </c>
      <c r="R477" s="359">
        <f t="shared" ca="1" si="223"/>
        <v>0</v>
      </c>
      <c r="S477" s="360">
        <f t="shared" ca="1" si="224"/>
        <v>1.5629999999999982</v>
      </c>
      <c r="T477" s="357">
        <f t="shared" ca="1" si="204"/>
        <v>15.333029999999983</v>
      </c>
      <c r="U477" s="364">
        <f t="shared" ca="1" si="205"/>
        <v>0</v>
      </c>
      <c r="V477" s="359">
        <f t="shared" ca="1" si="206"/>
        <v>1.225609068413489</v>
      </c>
      <c r="W477" s="357">
        <f t="shared" ca="1" si="207"/>
        <v>6.0518691808273841</v>
      </c>
      <c r="X477" s="343"/>
      <c r="Y477" s="367" t="str">
        <f t="shared" ca="1" si="225"/>
        <v/>
      </c>
      <c r="Z477" s="368" t="str">
        <f t="shared" ca="1" si="226"/>
        <v/>
      </c>
      <c r="AA477" s="369" t="str">
        <f t="shared" ca="1" si="227"/>
        <v/>
      </c>
      <c r="AB477" s="344"/>
      <c r="AC477" s="363" t="e">
        <f t="shared" ca="1" si="228"/>
        <v>#N/A</v>
      </c>
      <c r="AD477" s="376" t="e">
        <f t="shared" ca="1" si="229"/>
        <v>#N/A</v>
      </c>
      <c r="AE477" s="377" t="e">
        <f t="shared" ca="1" si="208"/>
        <v>#N/A</v>
      </c>
      <c r="AF477" s="344"/>
      <c r="AG477" s="359">
        <f t="shared" ca="1" si="230"/>
        <v>5.8391950301841629</v>
      </c>
      <c r="AH477" s="357">
        <f t="shared" ca="1" si="231"/>
        <v>-3.871887539636329</v>
      </c>
    </row>
    <row r="478" spans="1:34" x14ac:dyDescent="0.2">
      <c r="A478" s="402">
        <f t="shared" ca="1" si="209"/>
        <v>1E-4</v>
      </c>
      <c r="B478" s="357">
        <f t="shared" ca="1" si="210"/>
        <v>15.61379999999993</v>
      </c>
      <c r="C478" s="342"/>
      <c r="D478" s="359">
        <f t="shared" ca="1" si="211"/>
        <v>-0.54845834260196524</v>
      </c>
      <c r="E478" s="360">
        <f t="shared" ca="1" si="212"/>
        <v>-5.9770838272032636</v>
      </c>
      <c r="F478" s="357">
        <f t="shared" ca="1" si="213"/>
        <v>6.0021944012989534</v>
      </c>
      <c r="G478" s="359">
        <f t="shared" ca="1" si="214"/>
        <v>9.5415521769128055</v>
      </c>
      <c r="H478" s="360">
        <f t="shared" ca="1" si="215"/>
        <v>-66.682380135931282</v>
      </c>
      <c r="I478" s="357">
        <f t="shared" ca="1" si="216"/>
        <v>67.36156944829591</v>
      </c>
      <c r="J478" s="359">
        <f t="shared" ca="1" si="217"/>
        <v>187.70931447689617</v>
      </c>
      <c r="K478" s="360">
        <f t="shared" ca="1" si="218"/>
        <v>-4.9774195314595522</v>
      </c>
      <c r="L478" s="357">
        <f t="shared" ca="1" si="203"/>
        <v>187.77529509117662</v>
      </c>
      <c r="M478" s="359">
        <f t="shared" ca="1" si="219"/>
        <v>-1.4286715145749362</v>
      </c>
      <c r="N478" s="357">
        <f t="shared" ca="1" si="220"/>
        <v>-81.856848095706923</v>
      </c>
      <c r="O478" s="343"/>
      <c r="P478" s="363">
        <f t="shared" ca="1" si="221"/>
        <v>23</v>
      </c>
      <c r="Q478" s="357">
        <f t="shared" ca="1" si="222"/>
        <v>0</v>
      </c>
      <c r="R478" s="359">
        <f t="shared" ca="1" si="223"/>
        <v>0</v>
      </c>
      <c r="S478" s="360">
        <f t="shared" ca="1" si="224"/>
        <v>1.5629999999999982</v>
      </c>
      <c r="T478" s="357">
        <f t="shared" ca="1" si="204"/>
        <v>15.333029999999983</v>
      </c>
      <c r="U478" s="364">
        <f t="shared" ca="1" si="205"/>
        <v>0</v>
      </c>
      <c r="V478" s="359">
        <f t="shared" ca="1" si="206"/>
        <v>1.2256098856754476</v>
      </c>
      <c r="W478" s="357">
        <f t="shared" ca="1" si="207"/>
        <v>6.0519781370904191</v>
      </c>
      <c r="X478" s="343"/>
      <c r="Y478" s="367" t="str">
        <f t="shared" ca="1" si="225"/>
        <v/>
      </c>
      <c r="Z478" s="368" t="str">
        <f t="shared" ca="1" si="226"/>
        <v/>
      </c>
      <c r="AA478" s="369" t="str">
        <f t="shared" ca="1" si="227"/>
        <v/>
      </c>
      <c r="AB478" s="344"/>
      <c r="AC478" s="363" t="e">
        <f t="shared" ca="1" si="228"/>
        <v>#N/A</v>
      </c>
      <c r="AD478" s="376" t="e">
        <f t="shared" ca="1" si="229"/>
        <v>#N/A</v>
      </c>
      <c r="AE478" s="377" t="e">
        <f t="shared" ca="1" si="208"/>
        <v>#N/A</v>
      </c>
      <c r="AF478" s="344"/>
      <c r="AG478" s="359">
        <f t="shared" ca="1" si="230"/>
        <v>5.8391281869979927</v>
      </c>
      <c r="AH478" s="357">
        <f t="shared" ca="1" si="231"/>
        <v>-3.8719572494097192</v>
      </c>
    </row>
    <row r="479" spans="1:34" x14ac:dyDescent="0.2">
      <c r="A479" s="402">
        <f t="shared" ca="1" si="209"/>
        <v>1E-4</v>
      </c>
      <c r="B479" s="357">
        <f t="shared" ca="1" si="210"/>
        <v>15.61389999999993</v>
      </c>
      <c r="C479" s="342"/>
      <c r="D479" s="359">
        <f t="shared" ca="1" si="211"/>
        <v>-0.54846030998621387</v>
      </c>
      <c r="E479" s="360">
        <f t="shared" ca="1" si="212"/>
        <v>-5.9770136889819359</v>
      </c>
      <c r="F479" s="357">
        <f t="shared" ca="1" si="213"/>
        <v>6.0021247362836121</v>
      </c>
      <c r="G479" s="359">
        <f t="shared" ca="1" si="214"/>
        <v>9.541497330881807</v>
      </c>
      <c r="H479" s="360">
        <f t="shared" ca="1" si="215"/>
        <v>-66.682977837300186</v>
      </c>
      <c r="I479" s="357">
        <f t="shared" ca="1" si="216"/>
        <v>67.362153354573607</v>
      </c>
      <c r="J479" s="359">
        <f t="shared" ca="1" si="217"/>
        <v>187.70931447689617</v>
      </c>
      <c r="K479" s="360">
        <f t="shared" ca="1" si="218"/>
        <v>-4.984087799358214</v>
      </c>
      <c r="L479" s="357">
        <f t="shared" ca="1" si="203"/>
        <v>187.77547196739516</v>
      </c>
      <c r="M479" s="359">
        <f t="shared" ca="1" si="219"/>
        <v>-1.4286735773880233</v>
      </c>
      <c r="N479" s="357">
        <f t="shared" ca="1" si="220"/>
        <v>-81.85696628619074</v>
      </c>
      <c r="O479" s="343"/>
      <c r="P479" s="363">
        <f t="shared" ca="1" si="221"/>
        <v>23</v>
      </c>
      <c r="Q479" s="357">
        <f t="shared" ca="1" si="222"/>
        <v>0</v>
      </c>
      <c r="R479" s="359">
        <f t="shared" ca="1" si="223"/>
        <v>0</v>
      </c>
      <c r="S479" s="360">
        <f t="shared" ca="1" si="224"/>
        <v>1.5629999999999982</v>
      </c>
      <c r="T479" s="357">
        <f t="shared" ca="1" si="204"/>
        <v>15.333029999999983</v>
      </c>
      <c r="U479" s="364">
        <f t="shared" ca="1" si="205"/>
        <v>0</v>
      </c>
      <c r="V479" s="359">
        <f t="shared" ca="1" si="206"/>
        <v>1.2256107029452765</v>
      </c>
      <c r="W479" s="357">
        <f t="shared" ca="1" si="207"/>
        <v>6.0520870932406439</v>
      </c>
      <c r="X479" s="343"/>
      <c r="Y479" s="367" t="str">
        <f t="shared" ca="1" si="225"/>
        <v/>
      </c>
      <c r="Z479" s="368" t="str">
        <f t="shared" ca="1" si="226"/>
        <v/>
      </c>
      <c r="AA479" s="369" t="str">
        <f t="shared" ca="1" si="227"/>
        <v/>
      </c>
      <c r="AB479" s="344"/>
      <c r="AC479" s="363" t="e">
        <f t="shared" ca="1" si="228"/>
        <v>#N/A</v>
      </c>
      <c r="AD479" s="376" t="e">
        <f t="shared" ca="1" si="229"/>
        <v>#N/A</v>
      </c>
      <c r="AE479" s="377" t="e">
        <f t="shared" ca="1" si="208"/>
        <v>#N/A</v>
      </c>
      <c r="AF479" s="344"/>
      <c r="AG479" s="359">
        <f t="shared" ca="1" si="230"/>
        <v>5.8390613437764767</v>
      </c>
      <c r="AH479" s="357">
        <f t="shared" ca="1" si="231"/>
        <v>-3.8720269591109573</v>
      </c>
    </row>
    <row r="480" spans="1:34" x14ac:dyDescent="0.2">
      <c r="A480" s="402">
        <f t="shared" ca="1" si="209"/>
        <v>1E-4</v>
      </c>
      <c r="B480" s="357">
        <f t="shared" ca="1" si="210"/>
        <v>15.61399999999993</v>
      </c>
      <c r="C480" s="342"/>
      <c r="D480" s="359">
        <f t="shared" ca="1" si="211"/>
        <v>-0.54846227725573127</v>
      </c>
      <c r="E480" s="360">
        <f t="shared" ca="1" si="212"/>
        <v>-5.9769435508337461</v>
      </c>
      <c r="F480" s="357">
        <f t="shared" ca="1" si="213"/>
        <v>6.0020550713422862</v>
      </c>
      <c r="G480" s="359">
        <f t="shared" ca="1" si="214"/>
        <v>9.5414424846540822</v>
      </c>
      <c r="H480" s="360">
        <f t="shared" ca="1" si="215"/>
        <v>-66.683575531655265</v>
      </c>
      <c r="I480" s="357">
        <f t="shared" ca="1" si="216"/>
        <v>67.362737254166973</v>
      </c>
      <c r="J480" s="359">
        <f t="shared" ca="1" si="217"/>
        <v>187.70931447689617</v>
      </c>
      <c r="K480" s="360">
        <f t="shared" ca="1" si="218"/>
        <v>-4.9907561270266614</v>
      </c>
      <c r="L480" s="357">
        <f t="shared" ca="1" si="203"/>
        <v>187.77564908183848</v>
      </c>
      <c r="M480" s="359">
        <f t="shared" ca="1" si="219"/>
        <v>-1.4286756401534919</v>
      </c>
      <c r="N480" s="357">
        <f t="shared" ca="1" si="220"/>
        <v>-81.857084473946216</v>
      </c>
      <c r="O480" s="343"/>
      <c r="P480" s="363">
        <f t="shared" ca="1" si="221"/>
        <v>23</v>
      </c>
      <c r="Q480" s="357">
        <f t="shared" ca="1" si="222"/>
        <v>0</v>
      </c>
      <c r="R480" s="359">
        <f t="shared" ca="1" si="223"/>
        <v>0</v>
      </c>
      <c r="S480" s="360">
        <f t="shared" ca="1" si="224"/>
        <v>1.5629999999999982</v>
      </c>
      <c r="T480" s="357">
        <f t="shared" ca="1" si="204"/>
        <v>15.333029999999983</v>
      </c>
      <c r="U480" s="364">
        <f t="shared" ca="1" si="205"/>
        <v>0</v>
      </c>
      <c r="V480" s="359">
        <f t="shared" ca="1" si="206"/>
        <v>1.2256115202229758</v>
      </c>
      <c r="W480" s="357">
        <f t="shared" ca="1" si="207"/>
        <v>6.0521960492780282</v>
      </c>
      <c r="X480" s="343"/>
      <c r="Y480" s="367" t="str">
        <f t="shared" ca="1" si="225"/>
        <v/>
      </c>
      <c r="Z480" s="368" t="str">
        <f t="shared" ca="1" si="226"/>
        <v/>
      </c>
      <c r="AA480" s="369" t="str">
        <f t="shared" ca="1" si="227"/>
        <v/>
      </c>
      <c r="AB480" s="344"/>
      <c r="AC480" s="363" t="e">
        <f t="shared" ca="1" si="228"/>
        <v>#N/A</v>
      </c>
      <c r="AD480" s="376" t="e">
        <f t="shared" ca="1" si="229"/>
        <v>#N/A</v>
      </c>
      <c r="AE480" s="377" t="e">
        <f t="shared" ca="1" si="208"/>
        <v>#N/A</v>
      </c>
      <c r="AF480" s="344"/>
      <c r="AG480" s="359">
        <f t="shared" ca="1" si="230"/>
        <v>5.8389945005196422</v>
      </c>
      <c r="AH480" s="357">
        <f t="shared" ca="1" si="231"/>
        <v>-3.8720966687400198</v>
      </c>
    </row>
    <row r="481" spans="1:34" x14ac:dyDescent="0.2">
      <c r="A481" s="402">
        <f t="shared" ca="1" si="209"/>
        <v>1E-4</v>
      </c>
      <c r="B481" s="357">
        <f t="shared" ca="1" si="210"/>
        <v>15.614099999999929</v>
      </c>
      <c r="C481" s="342"/>
      <c r="D481" s="359">
        <f t="shared" ca="1" si="211"/>
        <v>-0.54846424441051989</v>
      </c>
      <c r="E481" s="360">
        <f t="shared" ca="1" si="212"/>
        <v>-5.9768734127587138</v>
      </c>
      <c r="F481" s="357">
        <f t="shared" ca="1" si="213"/>
        <v>6.0019854064749936</v>
      </c>
      <c r="G481" s="359">
        <f t="shared" ca="1" si="214"/>
        <v>9.5413876382296419</v>
      </c>
      <c r="H481" s="360">
        <f t="shared" ca="1" si="215"/>
        <v>-66.684173218996534</v>
      </c>
      <c r="I481" s="357">
        <f t="shared" ca="1" si="216"/>
        <v>67.363321147075993</v>
      </c>
      <c r="J481" s="359">
        <f t="shared" ca="1" si="217"/>
        <v>187.70931447689617</v>
      </c>
      <c r="K481" s="360">
        <f t="shared" ca="1" si="218"/>
        <v>-4.9974245144641936</v>
      </c>
      <c r="L481" s="357">
        <f t="shared" ca="1" si="203"/>
        <v>187.77582643451225</v>
      </c>
      <c r="M481" s="359">
        <f t="shared" ca="1" si="219"/>
        <v>-1.4286777028713442</v>
      </c>
      <c r="N481" s="357">
        <f t="shared" ca="1" si="220"/>
        <v>-81.857202658973478</v>
      </c>
      <c r="O481" s="343"/>
      <c r="P481" s="363">
        <f t="shared" ca="1" si="221"/>
        <v>23</v>
      </c>
      <c r="Q481" s="357">
        <f t="shared" ca="1" si="222"/>
        <v>0</v>
      </c>
      <c r="R481" s="359">
        <f t="shared" ca="1" si="223"/>
        <v>0</v>
      </c>
      <c r="S481" s="360">
        <f t="shared" ca="1" si="224"/>
        <v>1.5629999999999982</v>
      </c>
      <c r="T481" s="357">
        <f t="shared" ca="1" si="204"/>
        <v>15.333029999999983</v>
      </c>
      <c r="U481" s="364">
        <f t="shared" ca="1" si="205"/>
        <v>0</v>
      </c>
      <c r="V481" s="359">
        <f t="shared" ca="1" si="206"/>
        <v>1.2256123375085459</v>
      </c>
      <c r="W481" s="357">
        <f t="shared" ca="1" si="207"/>
        <v>6.0523050052025411</v>
      </c>
      <c r="X481" s="343"/>
      <c r="Y481" s="367" t="str">
        <f t="shared" ca="1" si="225"/>
        <v/>
      </c>
      <c r="Z481" s="368" t="str">
        <f t="shared" ca="1" si="226"/>
        <v/>
      </c>
      <c r="AA481" s="369" t="str">
        <f t="shared" ca="1" si="227"/>
        <v/>
      </c>
      <c r="AB481" s="344"/>
      <c r="AC481" s="363" t="e">
        <f t="shared" ca="1" si="228"/>
        <v>#N/A</v>
      </c>
      <c r="AD481" s="376" t="e">
        <f t="shared" ca="1" si="229"/>
        <v>#N/A</v>
      </c>
      <c r="AE481" s="377" t="e">
        <f t="shared" ca="1" si="208"/>
        <v>#N/A</v>
      </c>
      <c r="AF481" s="344"/>
      <c r="AG481" s="359">
        <f t="shared" ca="1" si="230"/>
        <v>5.8389276572275133</v>
      </c>
      <c r="AH481" s="357">
        <f t="shared" ca="1" si="231"/>
        <v>-3.8721663782968876</v>
      </c>
    </row>
    <row r="482" spans="1:34" x14ac:dyDescent="0.2">
      <c r="A482" s="402">
        <f t="shared" ca="1" si="209"/>
        <v>1E-4</v>
      </c>
      <c r="B482" s="357">
        <f t="shared" ca="1" si="210"/>
        <v>15.614199999999929</v>
      </c>
      <c r="C482" s="342"/>
      <c r="D482" s="359">
        <f t="shared" ca="1" si="211"/>
        <v>-0.54846621145057972</v>
      </c>
      <c r="E482" s="360">
        <f t="shared" ca="1" si="212"/>
        <v>-5.9768032747568594</v>
      </c>
      <c r="F482" s="357">
        <f t="shared" ca="1" si="213"/>
        <v>6.0019157416817572</v>
      </c>
      <c r="G482" s="359">
        <f t="shared" ca="1" si="214"/>
        <v>9.5413327916084967</v>
      </c>
      <c r="H482" s="360">
        <f t="shared" ca="1" si="215"/>
        <v>-66.684770899324008</v>
      </c>
      <c r="I482" s="357">
        <f t="shared" ca="1" si="216"/>
        <v>67.363905033300682</v>
      </c>
      <c r="J482" s="359">
        <f t="shared" ca="1" si="217"/>
        <v>187.70931447689617</v>
      </c>
      <c r="K482" s="360">
        <f t="shared" ca="1" si="218"/>
        <v>-5.0040929616701098</v>
      </c>
      <c r="L482" s="357">
        <f t="shared" ca="1" si="203"/>
        <v>187.77600402542211</v>
      </c>
      <c r="M482" s="359">
        <f t="shared" ca="1" si="219"/>
        <v>-1.4286797655415817</v>
      </c>
      <c r="N482" s="357">
        <f t="shared" ca="1" si="220"/>
        <v>-81.85732084127261</v>
      </c>
      <c r="O482" s="343"/>
      <c r="P482" s="363">
        <f t="shared" ca="1" si="221"/>
        <v>23</v>
      </c>
      <c r="Q482" s="357">
        <f t="shared" ca="1" si="222"/>
        <v>0</v>
      </c>
      <c r="R482" s="359">
        <f t="shared" ca="1" si="223"/>
        <v>0</v>
      </c>
      <c r="S482" s="360">
        <f t="shared" ca="1" si="224"/>
        <v>1.5629999999999982</v>
      </c>
      <c r="T482" s="357">
        <f t="shared" ca="1" si="204"/>
        <v>15.333029999999983</v>
      </c>
      <c r="U482" s="364">
        <f t="shared" ca="1" si="205"/>
        <v>0</v>
      </c>
      <c r="V482" s="359">
        <f t="shared" ca="1" si="206"/>
        <v>1.225613154801986</v>
      </c>
      <c r="W482" s="357">
        <f t="shared" ca="1" si="207"/>
        <v>6.0524139610141523</v>
      </c>
      <c r="X482" s="343"/>
      <c r="Y482" s="367" t="str">
        <f t="shared" ca="1" si="225"/>
        <v/>
      </c>
      <c r="Z482" s="368" t="str">
        <f t="shared" ca="1" si="226"/>
        <v/>
      </c>
      <c r="AA482" s="369" t="str">
        <f t="shared" ca="1" si="227"/>
        <v/>
      </c>
      <c r="AB482" s="344"/>
      <c r="AC482" s="363" t="e">
        <f t="shared" ca="1" si="228"/>
        <v>#N/A</v>
      </c>
      <c r="AD482" s="376" t="e">
        <f t="shared" ca="1" si="229"/>
        <v>#N/A</v>
      </c>
      <c r="AE482" s="377" t="e">
        <f t="shared" ca="1" si="208"/>
        <v>#N/A</v>
      </c>
      <c r="AF482" s="344"/>
      <c r="AG482" s="359">
        <f t="shared" ca="1" si="230"/>
        <v>5.8388608139001139</v>
      </c>
      <c r="AH482" s="357">
        <f t="shared" ca="1" si="231"/>
        <v>-3.8722360877815407</v>
      </c>
    </row>
    <row r="483" spans="1:34" x14ac:dyDescent="0.2">
      <c r="A483" s="402">
        <f t="shared" ca="1" si="209"/>
        <v>1E-4</v>
      </c>
      <c r="B483" s="357">
        <f t="shared" ca="1" si="210"/>
        <v>15.614299999999929</v>
      </c>
      <c r="C483" s="342"/>
      <c r="D483" s="359">
        <f t="shared" ca="1" si="211"/>
        <v>-0.54846817837591244</v>
      </c>
      <c r="E483" s="360">
        <f t="shared" ca="1" si="212"/>
        <v>-5.9767331368282024</v>
      </c>
      <c r="F483" s="357">
        <f t="shared" ca="1" si="213"/>
        <v>6.0018460769625932</v>
      </c>
      <c r="G483" s="359">
        <f t="shared" ca="1" si="214"/>
        <v>9.541277944790659</v>
      </c>
      <c r="H483" s="360">
        <f t="shared" ca="1" si="215"/>
        <v>-66.685368572637685</v>
      </c>
      <c r="I483" s="357">
        <f t="shared" ca="1" si="216"/>
        <v>67.36448891284104</v>
      </c>
      <c r="J483" s="359">
        <f t="shared" ca="1" si="217"/>
        <v>187.70931447689617</v>
      </c>
      <c r="K483" s="360">
        <f t="shared" ca="1" si="218"/>
        <v>-5.0107614686437074</v>
      </c>
      <c r="L483" s="357">
        <f t="shared" ca="1" si="203"/>
        <v>187.77618185457371</v>
      </c>
      <c r="M483" s="359">
        <f t="shared" ca="1" si="219"/>
        <v>-1.428681828164206</v>
      </c>
      <c r="N483" s="357">
        <f t="shared" ca="1" si="220"/>
        <v>-81.857439020843714</v>
      </c>
      <c r="O483" s="343"/>
      <c r="P483" s="363">
        <f t="shared" ca="1" si="221"/>
        <v>23</v>
      </c>
      <c r="Q483" s="357">
        <f t="shared" ca="1" si="222"/>
        <v>0</v>
      </c>
      <c r="R483" s="359">
        <f t="shared" ca="1" si="223"/>
        <v>0</v>
      </c>
      <c r="S483" s="360">
        <f t="shared" ca="1" si="224"/>
        <v>1.5629999999999982</v>
      </c>
      <c r="T483" s="357">
        <f t="shared" ca="1" si="204"/>
        <v>15.333029999999983</v>
      </c>
      <c r="U483" s="364">
        <f t="shared" ca="1" si="205"/>
        <v>0</v>
      </c>
      <c r="V483" s="359">
        <f t="shared" ca="1" si="206"/>
        <v>1.2256139721032966</v>
      </c>
      <c r="W483" s="357">
        <f t="shared" ca="1" si="207"/>
        <v>6.0525229167128369</v>
      </c>
      <c r="X483" s="343"/>
      <c r="Y483" s="367" t="str">
        <f t="shared" ca="1" si="225"/>
        <v/>
      </c>
      <c r="Z483" s="368" t="str">
        <f t="shared" ca="1" si="226"/>
        <v/>
      </c>
      <c r="AA483" s="369" t="str">
        <f t="shared" ca="1" si="227"/>
        <v/>
      </c>
      <c r="AB483" s="344"/>
      <c r="AC483" s="363" t="e">
        <f t="shared" ca="1" si="228"/>
        <v>#N/A</v>
      </c>
      <c r="AD483" s="376" t="e">
        <f t="shared" ca="1" si="229"/>
        <v>#N/A</v>
      </c>
      <c r="AE483" s="377" t="e">
        <f t="shared" ca="1" si="208"/>
        <v>#N/A</v>
      </c>
      <c r="AF483" s="344"/>
      <c r="AG483" s="359">
        <f t="shared" ca="1" si="230"/>
        <v>5.8387939705374716</v>
      </c>
      <c r="AH483" s="357">
        <f t="shared" ca="1" si="231"/>
        <v>-3.8723057971939601</v>
      </c>
    </row>
    <row r="484" spans="1:34" x14ac:dyDescent="0.2">
      <c r="A484" s="402">
        <f t="shared" ca="1" si="209"/>
        <v>1E-4</v>
      </c>
      <c r="B484" s="357">
        <f t="shared" ca="1" si="210"/>
        <v>15.614399999999929</v>
      </c>
      <c r="C484" s="342"/>
      <c r="D484" s="359">
        <f t="shared" ca="1" si="211"/>
        <v>-0.54847014518652015</v>
      </c>
      <c r="E484" s="360">
        <f t="shared" ca="1" si="212"/>
        <v>-5.976662998972758</v>
      </c>
      <c r="F484" s="357">
        <f t="shared" ca="1" si="213"/>
        <v>6.0017764123175201</v>
      </c>
      <c r="G484" s="359">
        <f t="shared" ca="1" si="214"/>
        <v>9.5412230977761396</v>
      </c>
      <c r="H484" s="360">
        <f t="shared" ca="1" si="215"/>
        <v>-66.685966238937581</v>
      </c>
      <c r="I484" s="357">
        <f t="shared" ca="1" si="216"/>
        <v>67.365072785697038</v>
      </c>
      <c r="J484" s="359">
        <f t="shared" ca="1" si="217"/>
        <v>187.70931447689617</v>
      </c>
      <c r="K484" s="360">
        <f t="shared" ca="1" si="218"/>
        <v>-5.0174300353842858</v>
      </c>
      <c r="L484" s="357">
        <f t="shared" ca="1" si="203"/>
        <v>187.77635992197281</v>
      </c>
      <c r="M484" s="359">
        <f t="shared" ca="1" si="219"/>
        <v>-1.428683890739219</v>
      </c>
      <c r="N484" s="357">
        <f t="shared" ca="1" si="220"/>
        <v>-81.857557197686887</v>
      </c>
      <c r="O484" s="343"/>
      <c r="P484" s="363">
        <f t="shared" ca="1" si="221"/>
        <v>23</v>
      </c>
      <c r="Q484" s="357">
        <f t="shared" ca="1" si="222"/>
        <v>0</v>
      </c>
      <c r="R484" s="359">
        <f t="shared" ca="1" si="223"/>
        <v>0</v>
      </c>
      <c r="S484" s="360">
        <f t="shared" ca="1" si="224"/>
        <v>1.5629999999999982</v>
      </c>
      <c r="T484" s="357">
        <f t="shared" ca="1" si="204"/>
        <v>15.333029999999983</v>
      </c>
      <c r="U484" s="364">
        <f t="shared" ca="1" si="205"/>
        <v>0</v>
      </c>
      <c r="V484" s="359">
        <f t="shared" ca="1" si="206"/>
        <v>1.2256147894124776</v>
      </c>
      <c r="W484" s="357">
        <f t="shared" ca="1" si="207"/>
        <v>6.052631872298555</v>
      </c>
      <c r="X484" s="343"/>
      <c r="Y484" s="367" t="str">
        <f t="shared" ca="1" si="225"/>
        <v/>
      </c>
      <c r="Z484" s="368" t="str">
        <f t="shared" ca="1" si="226"/>
        <v/>
      </c>
      <c r="AA484" s="369" t="str">
        <f t="shared" ca="1" si="227"/>
        <v/>
      </c>
      <c r="AB484" s="344"/>
      <c r="AC484" s="363" t="e">
        <f t="shared" ca="1" si="228"/>
        <v>#N/A</v>
      </c>
      <c r="AD484" s="376" t="e">
        <f t="shared" ca="1" si="229"/>
        <v>#N/A</v>
      </c>
      <c r="AE484" s="377" t="e">
        <f t="shared" ca="1" si="208"/>
        <v>#N/A</v>
      </c>
      <c r="AF484" s="344"/>
      <c r="AG484" s="359">
        <f t="shared" ca="1" si="230"/>
        <v>5.8387271271396068</v>
      </c>
      <c r="AH484" s="357">
        <f t="shared" ca="1" si="231"/>
        <v>-3.8723755065341292</v>
      </c>
    </row>
    <row r="485" spans="1:34" x14ac:dyDescent="0.2">
      <c r="A485" s="402">
        <f t="shared" ca="1" si="209"/>
        <v>1E-4</v>
      </c>
      <c r="B485" s="357">
        <f t="shared" ca="1" si="210"/>
        <v>15.614499999999929</v>
      </c>
      <c r="C485" s="342"/>
      <c r="D485" s="359">
        <f t="shared" ca="1" si="211"/>
        <v>-0.54847211188240208</v>
      </c>
      <c r="E485" s="360">
        <f t="shared" ca="1" si="212"/>
        <v>-5.9765928611905528</v>
      </c>
      <c r="F485" s="357">
        <f t="shared" ca="1" si="213"/>
        <v>6.001706747746562</v>
      </c>
      <c r="G485" s="359">
        <f t="shared" ca="1" si="214"/>
        <v>9.5411682505649509</v>
      </c>
      <c r="H485" s="360">
        <f t="shared" ca="1" si="215"/>
        <v>-66.686563898223696</v>
      </c>
      <c r="I485" s="357">
        <f t="shared" ca="1" si="216"/>
        <v>67.36565665186869</v>
      </c>
      <c r="J485" s="359">
        <f t="shared" ca="1" si="217"/>
        <v>187.70931447689617</v>
      </c>
      <c r="K485" s="360">
        <f t="shared" ca="1" si="218"/>
        <v>-5.0240986618911441</v>
      </c>
      <c r="L485" s="357">
        <f t="shared" ca="1" si="203"/>
        <v>187.776538227625</v>
      </c>
      <c r="M485" s="359">
        <f t="shared" ca="1" si="219"/>
        <v>-1.4286859532666223</v>
      </c>
      <c r="N485" s="357">
        <f t="shared" ca="1" si="220"/>
        <v>-81.85767537180223</v>
      </c>
      <c r="O485" s="343"/>
      <c r="P485" s="363">
        <f t="shared" ca="1" si="221"/>
        <v>23</v>
      </c>
      <c r="Q485" s="357">
        <f t="shared" ca="1" si="222"/>
        <v>0</v>
      </c>
      <c r="R485" s="359">
        <f t="shared" ca="1" si="223"/>
        <v>0</v>
      </c>
      <c r="S485" s="360">
        <f t="shared" ca="1" si="224"/>
        <v>1.5629999999999982</v>
      </c>
      <c r="T485" s="357">
        <f t="shared" ca="1" si="204"/>
        <v>15.333029999999983</v>
      </c>
      <c r="U485" s="364">
        <f t="shared" ca="1" si="205"/>
        <v>0</v>
      </c>
      <c r="V485" s="359">
        <f t="shared" ca="1" si="206"/>
        <v>1.2256156067295292</v>
      </c>
      <c r="W485" s="357">
        <f t="shared" ca="1" si="207"/>
        <v>6.0527408277712818</v>
      </c>
      <c r="X485" s="343"/>
      <c r="Y485" s="367" t="str">
        <f t="shared" ca="1" si="225"/>
        <v/>
      </c>
      <c r="Z485" s="368" t="str">
        <f t="shared" ca="1" si="226"/>
        <v/>
      </c>
      <c r="AA485" s="369" t="str">
        <f t="shared" ca="1" si="227"/>
        <v/>
      </c>
      <c r="AB485" s="344"/>
      <c r="AC485" s="363" t="e">
        <f t="shared" ca="1" si="228"/>
        <v>#N/A</v>
      </c>
      <c r="AD485" s="376" t="e">
        <f t="shared" ca="1" si="229"/>
        <v>#N/A</v>
      </c>
      <c r="AE485" s="377" t="e">
        <f t="shared" ca="1" si="208"/>
        <v>#N/A</v>
      </c>
      <c r="AF485" s="344"/>
      <c r="AG485" s="359">
        <f t="shared" ca="1" si="230"/>
        <v>5.838660283706548</v>
      </c>
      <c r="AH485" s="357">
        <f t="shared" ca="1" si="231"/>
        <v>-3.8724452158020233</v>
      </c>
    </row>
    <row r="486" spans="1:34" x14ac:dyDescent="0.2">
      <c r="A486" s="402">
        <f t="shared" ca="1" si="209"/>
        <v>1E-4</v>
      </c>
      <c r="B486" s="357">
        <f t="shared" ca="1" si="210"/>
        <v>15.614599999999928</v>
      </c>
      <c r="C486" s="342"/>
      <c r="D486" s="359">
        <f t="shared" ca="1" si="211"/>
        <v>-0.54847407846356011</v>
      </c>
      <c r="E486" s="360">
        <f t="shared" ca="1" si="212"/>
        <v>-5.9765227234816019</v>
      </c>
      <c r="F486" s="357">
        <f t="shared" ca="1" si="213"/>
        <v>6.0016370832497357</v>
      </c>
      <c r="G486" s="359">
        <f t="shared" ca="1" si="214"/>
        <v>9.5411134031571052</v>
      </c>
      <c r="H486" s="360">
        <f t="shared" ca="1" si="215"/>
        <v>-66.687161550496043</v>
      </c>
      <c r="I486" s="357">
        <f t="shared" ca="1" si="216"/>
        <v>67.366240511355997</v>
      </c>
      <c r="J486" s="359">
        <f t="shared" ca="1" si="217"/>
        <v>187.70931447689617</v>
      </c>
      <c r="K486" s="360">
        <f t="shared" ca="1" si="218"/>
        <v>-5.0307673481635797</v>
      </c>
      <c r="L486" s="357">
        <f t="shared" ca="1" si="203"/>
        <v>187.776716771536</v>
      </c>
      <c r="M486" s="359">
        <f t="shared" ca="1" si="219"/>
        <v>-1.4286880157464177</v>
      </c>
      <c r="N486" s="357">
        <f t="shared" ca="1" si="220"/>
        <v>-81.857793543189828</v>
      </c>
      <c r="O486" s="343"/>
      <c r="P486" s="363">
        <f t="shared" ca="1" si="221"/>
        <v>23</v>
      </c>
      <c r="Q486" s="357">
        <f t="shared" ca="1" si="222"/>
        <v>0</v>
      </c>
      <c r="R486" s="359">
        <f t="shared" ca="1" si="223"/>
        <v>0</v>
      </c>
      <c r="S486" s="360">
        <f t="shared" ca="1" si="224"/>
        <v>1.5629999999999982</v>
      </c>
      <c r="T486" s="357">
        <f t="shared" ca="1" si="204"/>
        <v>15.333029999999983</v>
      </c>
      <c r="U486" s="364">
        <f t="shared" ca="1" si="205"/>
        <v>0</v>
      </c>
      <c r="V486" s="359">
        <f t="shared" ca="1" si="206"/>
        <v>1.2256164240544503</v>
      </c>
      <c r="W486" s="357">
        <f t="shared" ca="1" si="207"/>
        <v>6.0528497831309842</v>
      </c>
      <c r="X486" s="343"/>
      <c r="Y486" s="367" t="str">
        <f t="shared" ca="1" si="225"/>
        <v/>
      </c>
      <c r="Z486" s="368" t="str">
        <f t="shared" ca="1" si="226"/>
        <v/>
      </c>
      <c r="AA486" s="369" t="str">
        <f t="shared" ca="1" si="227"/>
        <v/>
      </c>
      <c r="AB486" s="344"/>
      <c r="AC486" s="363" t="e">
        <f t="shared" ca="1" si="228"/>
        <v>#N/A</v>
      </c>
      <c r="AD486" s="376" t="e">
        <f t="shared" ca="1" si="229"/>
        <v>#N/A</v>
      </c>
      <c r="AE486" s="377" t="e">
        <f t="shared" ca="1" si="208"/>
        <v>#N/A</v>
      </c>
      <c r="AF486" s="344"/>
      <c r="AG486" s="359">
        <f t="shared" ca="1" si="230"/>
        <v>5.8385934402383199</v>
      </c>
      <c r="AH486" s="357">
        <f t="shared" ca="1" si="231"/>
        <v>-3.8725149249976258</v>
      </c>
    </row>
    <row r="487" spans="1:34" x14ac:dyDescent="0.2">
      <c r="A487" s="402">
        <f t="shared" ca="1" si="209"/>
        <v>1E-4</v>
      </c>
      <c r="B487" s="357">
        <f t="shared" ca="1" si="210"/>
        <v>15.614699999999928</v>
      </c>
      <c r="C487" s="342"/>
      <c r="D487" s="359">
        <f t="shared" ca="1" si="211"/>
        <v>-0.54847604492999502</v>
      </c>
      <c r="E487" s="360">
        <f t="shared" ca="1" si="212"/>
        <v>-5.9764525858459283</v>
      </c>
      <c r="F487" s="357">
        <f t="shared" ca="1" si="213"/>
        <v>6.0015674188270625</v>
      </c>
      <c r="G487" s="359">
        <f t="shared" ca="1" si="214"/>
        <v>9.5410585555526115</v>
      </c>
      <c r="H487" s="360">
        <f t="shared" ca="1" si="215"/>
        <v>-66.687759195754623</v>
      </c>
      <c r="I487" s="357">
        <f t="shared" ca="1" si="216"/>
        <v>67.366824364158944</v>
      </c>
      <c r="J487" s="359">
        <f t="shared" ca="1" si="217"/>
        <v>187.70931447689617</v>
      </c>
      <c r="K487" s="360">
        <f t="shared" ca="1" si="218"/>
        <v>-5.037436094200892</v>
      </c>
      <c r="L487" s="357">
        <f t="shared" ca="1" si="203"/>
        <v>187.77689555371146</v>
      </c>
      <c r="M487" s="359">
        <f t="shared" ca="1" si="219"/>
        <v>-1.4286900781786069</v>
      </c>
      <c r="N487" s="357">
        <f t="shared" ca="1" si="220"/>
        <v>-81.857911711849809</v>
      </c>
      <c r="O487" s="343"/>
      <c r="P487" s="363">
        <f t="shared" ca="1" si="221"/>
        <v>23</v>
      </c>
      <c r="Q487" s="357">
        <f t="shared" ca="1" si="222"/>
        <v>0</v>
      </c>
      <c r="R487" s="359">
        <f t="shared" ca="1" si="223"/>
        <v>0</v>
      </c>
      <c r="S487" s="360">
        <f t="shared" ca="1" si="224"/>
        <v>1.5629999999999982</v>
      </c>
      <c r="T487" s="357">
        <f t="shared" ca="1" si="204"/>
        <v>15.333029999999983</v>
      </c>
      <c r="U487" s="364">
        <f t="shared" ca="1" si="205"/>
        <v>0</v>
      </c>
      <c r="V487" s="359">
        <f t="shared" ca="1" si="206"/>
        <v>1.2256172413872419</v>
      </c>
      <c r="W487" s="357">
        <f t="shared" ca="1" si="207"/>
        <v>6.0529587383776313</v>
      </c>
      <c r="X487" s="343"/>
      <c r="Y487" s="367" t="str">
        <f t="shared" ca="1" si="225"/>
        <v/>
      </c>
      <c r="Z487" s="368" t="str">
        <f t="shared" ca="1" si="226"/>
        <v/>
      </c>
      <c r="AA487" s="369" t="str">
        <f t="shared" ca="1" si="227"/>
        <v/>
      </c>
      <c r="AB487" s="344"/>
      <c r="AC487" s="363" t="e">
        <f t="shared" ca="1" si="228"/>
        <v>#N/A</v>
      </c>
      <c r="AD487" s="376" t="e">
        <f t="shared" ca="1" si="229"/>
        <v>#N/A</v>
      </c>
      <c r="AE487" s="377" t="e">
        <f t="shared" ca="1" si="208"/>
        <v>#N/A</v>
      </c>
      <c r="AF487" s="344"/>
      <c r="AG487" s="359">
        <f t="shared" ca="1" si="230"/>
        <v>5.838526596734944</v>
      </c>
      <c r="AH487" s="357">
        <f t="shared" ca="1" si="231"/>
        <v>-3.8725846341209156</v>
      </c>
    </row>
    <row r="488" spans="1:34" x14ac:dyDescent="0.2">
      <c r="A488" s="402">
        <f t="shared" ca="1" si="209"/>
        <v>1E-4</v>
      </c>
      <c r="B488" s="357">
        <f t="shared" ca="1" si="210"/>
        <v>15.614799999999928</v>
      </c>
      <c r="C488" s="342"/>
      <c r="D488" s="359">
        <f t="shared" ca="1" si="211"/>
        <v>-0.54847801128170759</v>
      </c>
      <c r="E488" s="360">
        <f t="shared" ca="1" si="212"/>
        <v>-5.9763824482835499</v>
      </c>
      <c r="F488" s="357">
        <f t="shared" ca="1" si="213"/>
        <v>6.001497754478561</v>
      </c>
      <c r="G488" s="359">
        <f t="shared" ca="1" si="214"/>
        <v>9.541003707751484</v>
      </c>
      <c r="H488" s="360">
        <f t="shared" ca="1" si="215"/>
        <v>-66.68835683399945</v>
      </c>
      <c r="I488" s="357">
        <f t="shared" ca="1" si="216"/>
        <v>67.367408210277532</v>
      </c>
      <c r="J488" s="359">
        <f t="shared" ca="1" si="217"/>
        <v>187.70931447689617</v>
      </c>
      <c r="K488" s="360">
        <f t="shared" ca="1" si="218"/>
        <v>-5.0441049000023801</v>
      </c>
      <c r="L488" s="357">
        <f t="shared" ca="1" si="203"/>
        <v>187.77707457415701</v>
      </c>
      <c r="M488" s="359">
        <f t="shared" ca="1" si="219"/>
        <v>-1.4286921405631916</v>
      </c>
      <c r="N488" s="357">
        <f t="shared" ca="1" si="220"/>
        <v>-81.858029877782243</v>
      </c>
      <c r="O488" s="343"/>
      <c r="P488" s="363">
        <f t="shared" ca="1" si="221"/>
        <v>23</v>
      </c>
      <c r="Q488" s="357">
        <f t="shared" ca="1" si="222"/>
        <v>0</v>
      </c>
      <c r="R488" s="359">
        <f t="shared" ca="1" si="223"/>
        <v>0</v>
      </c>
      <c r="S488" s="360">
        <f t="shared" ca="1" si="224"/>
        <v>1.5629999999999982</v>
      </c>
      <c r="T488" s="357">
        <f t="shared" ca="1" si="204"/>
        <v>15.333029999999983</v>
      </c>
      <c r="U488" s="364">
        <f t="shared" ca="1" si="205"/>
        <v>0</v>
      </c>
      <c r="V488" s="359">
        <f t="shared" ca="1" si="206"/>
        <v>1.2256180587279033</v>
      </c>
      <c r="W488" s="357">
        <f t="shared" ca="1" si="207"/>
        <v>6.0530676935111929</v>
      </c>
      <c r="X488" s="343"/>
      <c r="Y488" s="367" t="str">
        <f t="shared" ca="1" si="225"/>
        <v/>
      </c>
      <c r="Z488" s="368" t="str">
        <f t="shared" ca="1" si="226"/>
        <v/>
      </c>
      <c r="AA488" s="369" t="str">
        <f t="shared" ca="1" si="227"/>
        <v/>
      </c>
      <c r="AB488" s="344"/>
      <c r="AC488" s="363" t="e">
        <f t="shared" ca="1" si="228"/>
        <v>#N/A</v>
      </c>
      <c r="AD488" s="376" t="e">
        <f t="shared" ca="1" si="229"/>
        <v>#N/A</v>
      </c>
      <c r="AE488" s="377" t="e">
        <f t="shared" ca="1" si="208"/>
        <v>#N/A</v>
      </c>
      <c r="AF488" s="344"/>
      <c r="AG488" s="359">
        <f t="shared" ca="1" si="230"/>
        <v>5.8384597531964495</v>
      </c>
      <c r="AH488" s="357">
        <f t="shared" ca="1" si="231"/>
        <v>-3.8726543431718734</v>
      </c>
    </row>
    <row r="489" spans="1:34" x14ac:dyDescent="0.2">
      <c r="A489" s="402">
        <f t="shared" ca="1" si="209"/>
        <v>1E-4</v>
      </c>
      <c r="B489" s="357">
        <f t="shared" ca="1" si="210"/>
        <v>15.614899999999928</v>
      </c>
      <c r="C489" s="342"/>
      <c r="D489" s="359">
        <f t="shared" ca="1" si="211"/>
        <v>-0.54847997751869937</v>
      </c>
      <c r="E489" s="360">
        <f t="shared" ca="1" si="212"/>
        <v>-5.9763123107944853</v>
      </c>
      <c r="F489" s="357">
        <f t="shared" ca="1" si="213"/>
        <v>6.0014280902042501</v>
      </c>
      <c r="G489" s="359">
        <f t="shared" ca="1" si="214"/>
        <v>9.5409488597537315</v>
      </c>
      <c r="H489" s="360">
        <f t="shared" ca="1" si="215"/>
        <v>-66.688954465230523</v>
      </c>
      <c r="I489" s="357">
        <f t="shared" ca="1" si="216"/>
        <v>67.367992049711759</v>
      </c>
      <c r="J489" s="359">
        <f t="shared" ca="1" si="217"/>
        <v>187.70931447689617</v>
      </c>
      <c r="K489" s="360">
        <f t="shared" ca="1" si="218"/>
        <v>-5.0507737655673415</v>
      </c>
      <c r="L489" s="357">
        <f t="shared" ca="1" si="203"/>
        <v>187.77725383287839</v>
      </c>
      <c r="M489" s="359">
        <f t="shared" ca="1" si="219"/>
        <v>-1.4286942029001735</v>
      </c>
      <c r="N489" s="357">
        <f t="shared" ca="1" si="220"/>
        <v>-81.858148040987231</v>
      </c>
      <c r="O489" s="343"/>
      <c r="P489" s="363">
        <f t="shared" ca="1" si="221"/>
        <v>23</v>
      </c>
      <c r="Q489" s="357">
        <f t="shared" ca="1" si="222"/>
        <v>0</v>
      </c>
      <c r="R489" s="359">
        <f t="shared" ca="1" si="223"/>
        <v>0</v>
      </c>
      <c r="S489" s="360">
        <f t="shared" ca="1" si="224"/>
        <v>1.5629999999999982</v>
      </c>
      <c r="T489" s="357">
        <f t="shared" ca="1" si="204"/>
        <v>15.333029999999983</v>
      </c>
      <c r="U489" s="364">
        <f t="shared" ca="1" si="205"/>
        <v>0</v>
      </c>
      <c r="V489" s="359">
        <f t="shared" ca="1" si="206"/>
        <v>1.2256188760764346</v>
      </c>
      <c r="W489" s="357">
        <f t="shared" ca="1" si="207"/>
        <v>6.0531766485316396</v>
      </c>
      <c r="X489" s="343"/>
      <c r="Y489" s="367" t="str">
        <f t="shared" ca="1" si="225"/>
        <v/>
      </c>
      <c r="Z489" s="368" t="str">
        <f t="shared" ca="1" si="226"/>
        <v/>
      </c>
      <c r="AA489" s="369" t="str">
        <f t="shared" ca="1" si="227"/>
        <v/>
      </c>
      <c r="AB489" s="344"/>
      <c r="AC489" s="363" t="e">
        <f t="shared" ca="1" si="228"/>
        <v>#N/A</v>
      </c>
      <c r="AD489" s="376" t="e">
        <f t="shared" ca="1" si="229"/>
        <v>#N/A</v>
      </c>
      <c r="AE489" s="377" t="e">
        <f t="shared" ca="1" si="208"/>
        <v>#N/A</v>
      </c>
      <c r="AF489" s="344"/>
      <c r="AG489" s="359">
        <f t="shared" ca="1" si="230"/>
        <v>5.8383929096228595</v>
      </c>
      <c r="AH489" s="357">
        <f t="shared" ca="1" si="231"/>
        <v>-3.8727240521504798</v>
      </c>
    </row>
    <row r="490" spans="1:34" x14ac:dyDescent="0.2">
      <c r="A490" s="402">
        <f t="shared" ca="1" si="209"/>
        <v>1E-4</v>
      </c>
      <c r="B490" s="357">
        <f t="shared" ca="1" si="210"/>
        <v>15.614999999999927</v>
      </c>
      <c r="C490" s="342"/>
      <c r="D490" s="359">
        <f t="shared" ca="1" si="211"/>
        <v>-0.54848194364097147</v>
      </c>
      <c r="E490" s="360">
        <f t="shared" ca="1" si="212"/>
        <v>-5.9762421733787567</v>
      </c>
      <c r="F490" s="357">
        <f t="shared" ca="1" si="213"/>
        <v>6.0013584260041517</v>
      </c>
      <c r="G490" s="359">
        <f t="shared" ca="1" si="214"/>
        <v>9.5408940115593666</v>
      </c>
      <c r="H490" s="360">
        <f t="shared" ca="1" si="215"/>
        <v>-66.689552089447858</v>
      </c>
      <c r="I490" s="357">
        <f t="shared" ca="1" si="216"/>
        <v>67.368575882461613</v>
      </c>
      <c r="J490" s="359">
        <f t="shared" ca="1" si="217"/>
        <v>187.70931447689617</v>
      </c>
      <c r="K490" s="360">
        <f t="shared" ca="1" si="218"/>
        <v>-5.0574426908950754</v>
      </c>
      <c r="L490" s="357">
        <f t="shared" ca="1" si="203"/>
        <v>187.77743332988123</v>
      </c>
      <c r="M490" s="359">
        <f t="shared" ca="1" si="219"/>
        <v>-1.4286962651895541</v>
      </c>
      <c r="N490" s="357">
        <f t="shared" ca="1" si="220"/>
        <v>-81.858266201464886</v>
      </c>
      <c r="O490" s="343"/>
      <c r="P490" s="363">
        <f t="shared" ca="1" si="221"/>
        <v>23</v>
      </c>
      <c r="Q490" s="357">
        <f t="shared" ca="1" si="222"/>
        <v>0</v>
      </c>
      <c r="R490" s="359">
        <f t="shared" ca="1" si="223"/>
        <v>0</v>
      </c>
      <c r="S490" s="360">
        <f t="shared" ca="1" si="224"/>
        <v>1.5629999999999982</v>
      </c>
      <c r="T490" s="357">
        <f t="shared" ca="1" si="204"/>
        <v>15.333029999999983</v>
      </c>
      <c r="U490" s="364">
        <f t="shared" ca="1" si="205"/>
        <v>0</v>
      </c>
      <c r="V490" s="359">
        <f t="shared" ca="1" si="206"/>
        <v>1.2256196934328356</v>
      </c>
      <c r="W490" s="357">
        <f t="shared" ca="1" si="207"/>
        <v>6.0532856034389351</v>
      </c>
      <c r="X490" s="343"/>
      <c r="Y490" s="367" t="str">
        <f t="shared" ca="1" si="225"/>
        <v/>
      </c>
      <c r="Z490" s="368" t="str">
        <f t="shared" ca="1" si="226"/>
        <v/>
      </c>
      <c r="AA490" s="369" t="str">
        <f t="shared" ca="1" si="227"/>
        <v/>
      </c>
      <c r="AB490" s="344"/>
      <c r="AC490" s="363" t="e">
        <f t="shared" ca="1" si="228"/>
        <v>#N/A</v>
      </c>
      <c r="AD490" s="376" t="e">
        <f t="shared" ca="1" si="229"/>
        <v>#N/A</v>
      </c>
      <c r="AE490" s="377" t="e">
        <f t="shared" ca="1" si="208"/>
        <v>#N/A</v>
      </c>
      <c r="AF490" s="344"/>
      <c r="AG490" s="359">
        <f t="shared" ca="1" si="230"/>
        <v>5.8383260660141989</v>
      </c>
      <c r="AH490" s="357">
        <f t="shared" ca="1" si="231"/>
        <v>-3.8727937610567156</v>
      </c>
    </row>
    <row r="491" spans="1:34" x14ac:dyDescent="0.2">
      <c r="A491" s="402">
        <f t="shared" ca="1" si="209"/>
        <v>1E-4</v>
      </c>
      <c r="B491" s="357">
        <f t="shared" ca="1" si="210"/>
        <v>15.615099999999927</v>
      </c>
      <c r="C491" s="342"/>
      <c r="D491" s="359">
        <f t="shared" ca="1" si="211"/>
        <v>-0.54848390964852467</v>
      </c>
      <c r="E491" s="360">
        <f t="shared" ca="1" si="212"/>
        <v>-5.9761720360363846</v>
      </c>
      <c r="F491" s="357">
        <f t="shared" ca="1" si="213"/>
        <v>6.0012887618782846</v>
      </c>
      <c r="G491" s="359">
        <f t="shared" ca="1" si="214"/>
        <v>9.5408391631684015</v>
      </c>
      <c r="H491" s="360">
        <f t="shared" ca="1" si="215"/>
        <v>-66.690149706651468</v>
      </c>
      <c r="I491" s="357">
        <f t="shared" ca="1" si="216"/>
        <v>67.369159708527107</v>
      </c>
      <c r="J491" s="359">
        <f t="shared" ca="1" si="217"/>
        <v>187.70931447689617</v>
      </c>
      <c r="K491" s="360">
        <f t="shared" ca="1" si="218"/>
        <v>-5.0641116759848801</v>
      </c>
      <c r="L491" s="357">
        <f t="shared" ca="1" si="203"/>
        <v>187.77761306517118</v>
      </c>
      <c r="M491" s="359">
        <f t="shared" ca="1" si="219"/>
        <v>-1.4286983274313354</v>
      </c>
      <c r="N491" s="357">
        <f t="shared" ca="1" si="220"/>
        <v>-81.858384359215293</v>
      </c>
      <c r="O491" s="343"/>
      <c r="P491" s="363">
        <f t="shared" ca="1" si="221"/>
        <v>23</v>
      </c>
      <c r="Q491" s="357">
        <f t="shared" ca="1" si="222"/>
        <v>0</v>
      </c>
      <c r="R491" s="359">
        <f t="shared" ca="1" si="223"/>
        <v>0</v>
      </c>
      <c r="S491" s="360">
        <f t="shared" ca="1" si="224"/>
        <v>1.5629999999999982</v>
      </c>
      <c r="T491" s="357">
        <f t="shared" ca="1" si="204"/>
        <v>15.333029999999983</v>
      </c>
      <c r="U491" s="364">
        <f t="shared" ca="1" si="205"/>
        <v>0</v>
      </c>
      <c r="V491" s="359">
        <f t="shared" ca="1" si="206"/>
        <v>1.2256205107971068</v>
      </c>
      <c r="W491" s="357">
        <f t="shared" ca="1" si="207"/>
        <v>6.0533945582330562</v>
      </c>
      <c r="X491" s="343"/>
      <c r="Y491" s="367" t="str">
        <f t="shared" ca="1" si="225"/>
        <v/>
      </c>
      <c r="Z491" s="368" t="str">
        <f t="shared" ca="1" si="226"/>
        <v/>
      </c>
      <c r="AA491" s="369" t="str">
        <f t="shared" ca="1" si="227"/>
        <v/>
      </c>
      <c r="AB491" s="344"/>
      <c r="AC491" s="363" t="e">
        <f t="shared" ca="1" si="228"/>
        <v>#N/A</v>
      </c>
      <c r="AD491" s="376" t="e">
        <f t="shared" ca="1" si="229"/>
        <v>#N/A</v>
      </c>
      <c r="AE491" s="377" t="e">
        <f t="shared" ca="1" si="208"/>
        <v>#N/A</v>
      </c>
      <c r="AF491" s="344"/>
      <c r="AG491" s="359">
        <f t="shared" ca="1" si="230"/>
        <v>5.8382592223704917</v>
      </c>
      <c r="AH491" s="357">
        <f t="shared" ca="1" si="231"/>
        <v>-3.8728634698905582</v>
      </c>
    </row>
    <row r="492" spans="1:34" x14ac:dyDescent="0.2">
      <c r="A492" s="402">
        <f t="shared" ca="1" si="209"/>
        <v>1E-4</v>
      </c>
      <c r="B492" s="357">
        <f t="shared" ca="1" si="210"/>
        <v>15.615199999999927</v>
      </c>
      <c r="C492" s="342"/>
      <c r="D492" s="359">
        <f t="shared" ca="1" si="211"/>
        <v>-0.54848587554135975</v>
      </c>
      <c r="E492" s="360">
        <f t="shared" ca="1" si="212"/>
        <v>-5.9761018987673857</v>
      </c>
      <c r="F492" s="357">
        <f t="shared" ca="1" si="213"/>
        <v>6.0012190978266675</v>
      </c>
      <c r="G492" s="359">
        <f t="shared" ca="1" si="214"/>
        <v>9.5407843145808471</v>
      </c>
      <c r="H492" s="360">
        <f t="shared" ca="1" si="215"/>
        <v>-66.690747316841339</v>
      </c>
      <c r="I492" s="357">
        <f t="shared" ca="1" si="216"/>
        <v>67.369743527908227</v>
      </c>
      <c r="J492" s="359">
        <f t="shared" ca="1" si="217"/>
        <v>187.70931447689617</v>
      </c>
      <c r="K492" s="360">
        <f t="shared" ca="1" si="218"/>
        <v>-5.0707807208360549</v>
      </c>
      <c r="L492" s="357">
        <f t="shared" ca="1" si="203"/>
        <v>187.77779303875391</v>
      </c>
      <c r="M492" s="359">
        <f t="shared" ca="1" si="219"/>
        <v>-1.4287003896255188</v>
      </c>
      <c r="N492" s="357">
        <f t="shared" ca="1" si="220"/>
        <v>-81.858502514238538</v>
      </c>
      <c r="O492" s="343"/>
      <c r="P492" s="363">
        <f t="shared" ca="1" si="221"/>
        <v>23</v>
      </c>
      <c r="Q492" s="357">
        <f t="shared" ca="1" si="222"/>
        <v>0</v>
      </c>
      <c r="R492" s="359">
        <f t="shared" ca="1" si="223"/>
        <v>0</v>
      </c>
      <c r="S492" s="360">
        <f t="shared" ca="1" si="224"/>
        <v>1.5629999999999982</v>
      </c>
      <c r="T492" s="357">
        <f t="shared" ca="1" si="204"/>
        <v>15.333029999999983</v>
      </c>
      <c r="U492" s="364">
        <f t="shared" ca="1" si="205"/>
        <v>0</v>
      </c>
      <c r="V492" s="359">
        <f t="shared" ca="1" si="206"/>
        <v>1.2256213281692474</v>
      </c>
      <c r="W492" s="357">
        <f t="shared" ca="1" si="207"/>
        <v>6.0535035129139692</v>
      </c>
      <c r="X492" s="343"/>
      <c r="Y492" s="367" t="str">
        <f t="shared" ca="1" si="225"/>
        <v/>
      </c>
      <c r="Z492" s="368" t="str">
        <f t="shared" ca="1" si="226"/>
        <v/>
      </c>
      <c r="AA492" s="369" t="str">
        <f t="shared" ca="1" si="227"/>
        <v/>
      </c>
      <c r="AB492" s="344"/>
      <c r="AC492" s="363" t="e">
        <f t="shared" ca="1" si="228"/>
        <v>#N/A</v>
      </c>
      <c r="AD492" s="376" t="e">
        <f t="shared" ca="1" si="229"/>
        <v>#N/A</v>
      </c>
      <c r="AE492" s="377" t="e">
        <f t="shared" ca="1" si="208"/>
        <v>#N/A</v>
      </c>
      <c r="AF492" s="344"/>
      <c r="AG492" s="359">
        <f t="shared" ca="1" si="230"/>
        <v>5.8381923786917653</v>
      </c>
      <c r="AH492" s="357">
        <f t="shared" ca="1" si="231"/>
        <v>-3.872933178651992</v>
      </c>
    </row>
    <row r="493" spans="1:34" x14ac:dyDescent="0.2">
      <c r="A493" s="402">
        <f t="shared" ca="1" si="209"/>
        <v>1E-4</v>
      </c>
      <c r="B493" s="357">
        <f t="shared" ca="1" si="210"/>
        <v>15.615299999999927</v>
      </c>
      <c r="C493" s="342"/>
      <c r="D493" s="359">
        <f t="shared" ca="1" si="211"/>
        <v>-0.54848784131947903</v>
      </c>
      <c r="E493" s="360">
        <f t="shared" ca="1" si="212"/>
        <v>-5.9760317615717806</v>
      </c>
      <c r="F493" s="357">
        <f t="shared" ca="1" si="213"/>
        <v>6.0011494338493208</v>
      </c>
      <c r="G493" s="359">
        <f t="shared" ca="1" si="214"/>
        <v>9.5407294657967157</v>
      </c>
      <c r="H493" s="360">
        <f t="shared" ca="1" si="215"/>
        <v>-66.691344920017499</v>
      </c>
      <c r="I493" s="357">
        <f t="shared" ca="1" si="216"/>
        <v>67.370327340604973</v>
      </c>
      <c r="J493" s="359">
        <f t="shared" ca="1" si="217"/>
        <v>187.70931447689617</v>
      </c>
      <c r="K493" s="360">
        <f t="shared" ca="1" si="218"/>
        <v>-5.0774498254478981</v>
      </c>
      <c r="L493" s="357">
        <f t="shared" ca="1" si="203"/>
        <v>187.77797325063511</v>
      </c>
      <c r="M493" s="359">
        <f t="shared" ca="1" si="219"/>
        <v>-1.4287024517721065</v>
      </c>
      <c r="N493" s="357">
        <f t="shared" ca="1" si="220"/>
        <v>-81.858620666534748</v>
      </c>
      <c r="O493" s="343"/>
      <c r="P493" s="363">
        <f t="shared" ca="1" si="221"/>
        <v>23</v>
      </c>
      <c r="Q493" s="357">
        <f t="shared" ca="1" si="222"/>
        <v>0</v>
      </c>
      <c r="R493" s="359">
        <f t="shared" ca="1" si="223"/>
        <v>0</v>
      </c>
      <c r="S493" s="360">
        <f t="shared" ca="1" si="224"/>
        <v>1.5629999999999982</v>
      </c>
      <c r="T493" s="357">
        <f t="shared" ca="1" si="204"/>
        <v>15.333029999999983</v>
      </c>
      <c r="U493" s="364">
        <f t="shared" ca="1" si="205"/>
        <v>0</v>
      </c>
      <c r="V493" s="359">
        <f t="shared" ca="1" si="206"/>
        <v>1.225622145549258</v>
      </c>
      <c r="W493" s="357">
        <f t="shared" ca="1" si="207"/>
        <v>6.0536124674816421</v>
      </c>
      <c r="X493" s="343"/>
      <c r="Y493" s="367" t="str">
        <f t="shared" ca="1" si="225"/>
        <v/>
      </c>
      <c r="Z493" s="368" t="str">
        <f t="shared" ca="1" si="226"/>
        <v/>
      </c>
      <c r="AA493" s="369" t="str">
        <f t="shared" ca="1" si="227"/>
        <v/>
      </c>
      <c r="AB493" s="344"/>
      <c r="AC493" s="363" t="e">
        <f t="shared" ca="1" si="228"/>
        <v>#N/A</v>
      </c>
      <c r="AD493" s="376" t="e">
        <f t="shared" ca="1" si="229"/>
        <v>#N/A</v>
      </c>
      <c r="AE493" s="377" t="e">
        <f t="shared" ca="1" si="208"/>
        <v>#N/A</v>
      </c>
      <c r="AF493" s="344"/>
      <c r="AG493" s="359">
        <f t="shared" ca="1" si="230"/>
        <v>5.8381255349780412</v>
      </c>
      <c r="AH493" s="357">
        <f t="shared" ca="1" si="231"/>
        <v>-3.8730028873409958</v>
      </c>
    </row>
    <row r="494" spans="1:34" x14ac:dyDescent="0.2">
      <c r="A494" s="402">
        <f t="shared" ca="1" si="209"/>
        <v>1E-4</v>
      </c>
      <c r="B494" s="357">
        <f t="shared" ca="1" si="210"/>
        <v>15.615399999999926</v>
      </c>
      <c r="C494" s="342"/>
      <c r="D494" s="359">
        <f t="shared" ca="1" si="211"/>
        <v>-0.54848980698288119</v>
      </c>
      <c r="E494" s="360">
        <f t="shared" ca="1" si="212"/>
        <v>-5.9759616244495906</v>
      </c>
      <c r="F494" s="357">
        <f t="shared" ca="1" si="213"/>
        <v>6.0010797699462648</v>
      </c>
      <c r="G494" s="359">
        <f t="shared" ca="1" si="214"/>
        <v>9.5406746168160179</v>
      </c>
      <c r="H494" s="360">
        <f t="shared" ca="1" si="215"/>
        <v>-66.69194251617995</v>
      </c>
      <c r="I494" s="357">
        <f t="shared" ca="1" si="216"/>
        <v>67.370911146617331</v>
      </c>
      <c r="J494" s="359">
        <f t="shared" ca="1" si="217"/>
        <v>187.70931447689617</v>
      </c>
      <c r="K494" s="360">
        <f t="shared" ca="1" si="218"/>
        <v>-5.0841189898197081</v>
      </c>
      <c r="L494" s="357">
        <f t="shared" ca="1" si="203"/>
        <v>187.77815370082044</v>
      </c>
      <c r="M494" s="359">
        <f t="shared" ca="1" si="219"/>
        <v>-1.4287045138710996</v>
      </c>
      <c r="N494" s="357">
        <f t="shared" ca="1" si="220"/>
        <v>-81.858738816103994</v>
      </c>
      <c r="O494" s="343"/>
      <c r="P494" s="363">
        <f t="shared" ca="1" si="221"/>
        <v>23</v>
      </c>
      <c r="Q494" s="357">
        <f t="shared" ca="1" si="222"/>
        <v>0</v>
      </c>
      <c r="R494" s="359">
        <f t="shared" ca="1" si="223"/>
        <v>0</v>
      </c>
      <c r="S494" s="360">
        <f t="shared" ca="1" si="224"/>
        <v>1.5629999999999982</v>
      </c>
      <c r="T494" s="357">
        <f t="shared" ca="1" si="204"/>
        <v>15.333029999999983</v>
      </c>
      <c r="U494" s="364">
        <f t="shared" ca="1" si="205"/>
        <v>0</v>
      </c>
      <c r="V494" s="359">
        <f t="shared" ca="1" si="206"/>
        <v>1.225622962937138</v>
      </c>
      <c r="W494" s="357">
        <f t="shared" ca="1" si="207"/>
        <v>6.0537214219360447</v>
      </c>
      <c r="X494" s="343"/>
      <c r="Y494" s="367" t="str">
        <f t="shared" ca="1" si="225"/>
        <v/>
      </c>
      <c r="Z494" s="368" t="str">
        <f t="shared" ca="1" si="226"/>
        <v/>
      </c>
      <c r="AA494" s="369" t="str">
        <f t="shared" ca="1" si="227"/>
        <v/>
      </c>
      <c r="AB494" s="344"/>
      <c r="AC494" s="363" t="e">
        <f t="shared" ca="1" si="228"/>
        <v>#N/A</v>
      </c>
      <c r="AD494" s="376" t="e">
        <f t="shared" ca="1" si="229"/>
        <v>#N/A</v>
      </c>
      <c r="AE494" s="377" t="e">
        <f t="shared" ca="1" si="208"/>
        <v>#N/A</v>
      </c>
      <c r="AF494" s="344"/>
      <c r="AG494" s="359">
        <f t="shared" ca="1" si="230"/>
        <v>5.8380586912293477</v>
      </c>
      <c r="AH494" s="357">
        <f t="shared" ca="1" si="231"/>
        <v>-3.8730725959575492</v>
      </c>
    </row>
    <row r="495" spans="1:34" x14ac:dyDescent="0.2">
      <c r="A495" s="402">
        <f t="shared" ca="1" si="209"/>
        <v>1E-4</v>
      </c>
      <c r="B495" s="357">
        <f t="shared" ca="1" si="210"/>
        <v>15.615499999999926</v>
      </c>
      <c r="C495" s="342"/>
      <c r="D495" s="359">
        <f t="shared" ca="1" si="211"/>
        <v>-0.54849177253156989</v>
      </c>
      <c r="E495" s="360">
        <f t="shared" ca="1" si="212"/>
        <v>-5.9758914874008333</v>
      </c>
      <c r="F495" s="357">
        <f t="shared" ca="1" si="213"/>
        <v>6.0010101061175165</v>
      </c>
      <c r="G495" s="359">
        <f t="shared" ca="1" si="214"/>
        <v>9.5406197676387645</v>
      </c>
      <c r="H495" s="360">
        <f t="shared" ca="1" si="215"/>
        <v>-66.692540105328689</v>
      </c>
      <c r="I495" s="357">
        <f t="shared" ca="1" si="216"/>
        <v>67.371494945945315</v>
      </c>
      <c r="J495" s="359">
        <f t="shared" ca="1" si="217"/>
        <v>187.70931447689617</v>
      </c>
      <c r="K495" s="360">
        <f t="shared" ca="1" si="218"/>
        <v>-5.0907882139507832</v>
      </c>
      <c r="L495" s="357">
        <f t="shared" ca="1" si="203"/>
        <v>187.77833438931552</v>
      </c>
      <c r="M495" s="359">
        <f t="shared" ca="1" si="219"/>
        <v>-1.4287065759225004</v>
      </c>
      <c r="N495" s="357">
        <f t="shared" ca="1" si="220"/>
        <v>-81.85885696294639</v>
      </c>
      <c r="O495" s="343"/>
      <c r="P495" s="363">
        <f t="shared" ca="1" si="221"/>
        <v>23</v>
      </c>
      <c r="Q495" s="357">
        <f t="shared" ca="1" si="222"/>
        <v>0</v>
      </c>
      <c r="R495" s="359">
        <f t="shared" ca="1" si="223"/>
        <v>0</v>
      </c>
      <c r="S495" s="360">
        <f t="shared" ca="1" si="224"/>
        <v>1.5629999999999982</v>
      </c>
      <c r="T495" s="357">
        <f t="shared" ca="1" si="204"/>
        <v>15.333029999999983</v>
      </c>
      <c r="U495" s="364">
        <f t="shared" ca="1" si="205"/>
        <v>0</v>
      </c>
      <c r="V495" s="359">
        <f t="shared" ca="1" si="206"/>
        <v>1.2256237803328873</v>
      </c>
      <c r="W495" s="357">
        <f t="shared" ca="1" si="207"/>
        <v>6.0538303762771486</v>
      </c>
      <c r="X495" s="343"/>
      <c r="Y495" s="367" t="str">
        <f t="shared" ca="1" si="225"/>
        <v/>
      </c>
      <c r="Z495" s="368" t="str">
        <f t="shared" ca="1" si="226"/>
        <v/>
      </c>
      <c r="AA495" s="369" t="str">
        <f t="shared" ca="1" si="227"/>
        <v/>
      </c>
      <c r="AB495" s="344"/>
      <c r="AC495" s="363" t="e">
        <f t="shared" ca="1" si="228"/>
        <v>#N/A</v>
      </c>
      <c r="AD495" s="376" t="e">
        <f t="shared" ca="1" si="229"/>
        <v>#N/A</v>
      </c>
      <c r="AE495" s="377" t="e">
        <f t="shared" ca="1" si="208"/>
        <v>#N/A</v>
      </c>
      <c r="AF495" s="344"/>
      <c r="AG495" s="359">
        <f t="shared" ca="1" si="230"/>
        <v>5.8379918474457089</v>
      </c>
      <c r="AH495" s="357">
        <f t="shared" ca="1" si="231"/>
        <v>-3.8731423045016324</v>
      </c>
    </row>
    <row r="496" spans="1:34" x14ac:dyDescent="0.2">
      <c r="A496" s="402">
        <f t="shared" ca="1" si="209"/>
        <v>1E-4</v>
      </c>
      <c r="B496" s="357">
        <f t="shared" ca="1" si="210"/>
        <v>15.615599999999926</v>
      </c>
      <c r="C496" s="342"/>
      <c r="D496" s="359">
        <f t="shared" ca="1" si="211"/>
        <v>-0.54849373796554435</v>
      </c>
      <c r="E496" s="360">
        <f t="shared" ca="1" si="212"/>
        <v>-5.9758213504255302</v>
      </c>
      <c r="F496" s="357">
        <f t="shared" ca="1" si="213"/>
        <v>6.000940442363099</v>
      </c>
      <c r="G496" s="359">
        <f t="shared" ca="1" si="214"/>
        <v>9.5405649182649679</v>
      </c>
      <c r="H496" s="360">
        <f t="shared" ca="1" si="215"/>
        <v>-66.693137687463732</v>
      </c>
      <c r="I496" s="357">
        <f t="shared" ca="1" si="216"/>
        <v>67.372078738588911</v>
      </c>
      <c r="J496" s="359">
        <f t="shared" ca="1" si="217"/>
        <v>187.70931447689617</v>
      </c>
      <c r="K496" s="360">
        <f t="shared" ca="1" si="218"/>
        <v>-5.0974574978404226</v>
      </c>
      <c r="L496" s="357">
        <f t="shared" ca="1" si="203"/>
        <v>187.77851531612606</v>
      </c>
      <c r="M496" s="359">
        <f t="shared" ca="1" si="219"/>
        <v>-1.4287086379263103</v>
      </c>
      <c r="N496" s="357">
        <f t="shared" ca="1" si="220"/>
        <v>-81.858975107062037</v>
      </c>
      <c r="O496" s="343"/>
      <c r="P496" s="363">
        <f t="shared" ca="1" si="221"/>
        <v>23</v>
      </c>
      <c r="Q496" s="357">
        <f t="shared" ca="1" si="222"/>
        <v>0</v>
      </c>
      <c r="R496" s="359">
        <f t="shared" ca="1" si="223"/>
        <v>0</v>
      </c>
      <c r="S496" s="360">
        <f t="shared" ca="1" si="224"/>
        <v>1.5629999999999982</v>
      </c>
      <c r="T496" s="357">
        <f t="shared" ca="1" si="204"/>
        <v>15.333029999999983</v>
      </c>
      <c r="U496" s="364">
        <f t="shared" ca="1" si="205"/>
        <v>0</v>
      </c>
      <c r="V496" s="359">
        <f t="shared" ca="1" si="206"/>
        <v>1.2256245977365061</v>
      </c>
      <c r="W496" s="357">
        <f t="shared" ca="1" si="207"/>
        <v>6.0539393305049174</v>
      </c>
      <c r="X496" s="343"/>
      <c r="Y496" s="367" t="str">
        <f t="shared" ca="1" si="225"/>
        <v/>
      </c>
      <c r="Z496" s="368" t="str">
        <f t="shared" ca="1" si="226"/>
        <v/>
      </c>
      <c r="AA496" s="369" t="str">
        <f t="shared" ca="1" si="227"/>
        <v/>
      </c>
      <c r="AB496" s="344"/>
      <c r="AC496" s="363" t="e">
        <f t="shared" ca="1" si="228"/>
        <v>#N/A</v>
      </c>
      <c r="AD496" s="376" t="e">
        <f t="shared" ca="1" si="229"/>
        <v>#N/A</v>
      </c>
      <c r="AE496" s="377" t="e">
        <f t="shared" ca="1" si="208"/>
        <v>#N/A</v>
      </c>
      <c r="AF496" s="344"/>
      <c r="AG496" s="359">
        <f t="shared" ca="1" si="230"/>
        <v>5.8379250036271451</v>
      </c>
      <c r="AH496" s="357">
        <f t="shared" ca="1" si="231"/>
        <v>-3.8732120129732284</v>
      </c>
    </row>
    <row r="497" spans="1:34" x14ac:dyDescent="0.2">
      <c r="A497" s="402">
        <f t="shared" ca="1" si="209"/>
        <v>1E-4</v>
      </c>
      <c r="B497" s="357">
        <f t="shared" ca="1" si="210"/>
        <v>15.615699999999926</v>
      </c>
      <c r="C497" s="342"/>
      <c r="D497" s="359">
        <f t="shared" ca="1" si="211"/>
        <v>-0.54849570328480546</v>
      </c>
      <c r="E497" s="360">
        <f t="shared" ca="1" si="212"/>
        <v>-5.9757512135237016</v>
      </c>
      <c r="F497" s="357">
        <f t="shared" ca="1" si="213"/>
        <v>6.0008707786830309</v>
      </c>
      <c r="G497" s="359">
        <f t="shared" ca="1" si="214"/>
        <v>9.5405100686946387</v>
      </c>
      <c r="H497" s="360">
        <f t="shared" ca="1" si="215"/>
        <v>-66.693735262585079</v>
      </c>
      <c r="I497" s="357">
        <f t="shared" ca="1" si="216"/>
        <v>67.372662524548105</v>
      </c>
      <c r="J497" s="359">
        <f t="shared" ca="1" si="217"/>
        <v>187.70931447689617</v>
      </c>
      <c r="K497" s="360">
        <f t="shared" ca="1" si="218"/>
        <v>-5.1041268414879246</v>
      </c>
      <c r="L497" s="357">
        <f t="shared" ca="1" si="203"/>
        <v>187.77869648125767</v>
      </c>
      <c r="M497" s="359">
        <f t="shared" ca="1" si="219"/>
        <v>-1.4287106998825307</v>
      </c>
      <c r="N497" s="357">
        <f t="shared" ca="1" si="220"/>
        <v>-81.859093248451018</v>
      </c>
      <c r="O497" s="343"/>
      <c r="P497" s="363">
        <f t="shared" ca="1" si="221"/>
        <v>23</v>
      </c>
      <c r="Q497" s="357">
        <f t="shared" ca="1" si="222"/>
        <v>0</v>
      </c>
      <c r="R497" s="359">
        <f t="shared" ca="1" si="223"/>
        <v>0</v>
      </c>
      <c r="S497" s="360">
        <f t="shared" ca="1" si="224"/>
        <v>1.5629999999999982</v>
      </c>
      <c r="T497" s="357">
        <f t="shared" ca="1" si="204"/>
        <v>15.333029999999983</v>
      </c>
      <c r="U497" s="364">
        <f t="shared" ca="1" si="205"/>
        <v>0</v>
      </c>
      <c r="V497" s="359">
        <f t="shared" ca="1" si="206"/>
        <v>1.2256254151479946</v>
      </c>
      <c r="W497" s="357">
        <f t="shared" ca="1" si="207"/>
        <v>6.0540482846193253</v>
      </c>
      <c r="X497" s="343"/>
      <c r="Y497" s="367" t="str">
        <f t="shared" ca="1" si="225"/>
        <v/>
      </c>
      <c r="Z497" s="368" t="str">
        <f t="shared" ca="1" si="226"/>
        <v/>
      </c>
      <c r="AA497" s="369" t="str">
        <f t="shared" ca="1" si="227"/>
        <v/>
      </c>
      <c r="AB497" s="344"/>
      <c r="AC497" s="363" t="e">
        <f t="shared" ca="1" si="228"/>
        <v>#N/A</v>
      </c>
      <c r="AD497" s="376" t="e">
        <f t="shared" ca="1" si="229"/>
        <v>#N/A</v>
      </c>
      <c r="AE497" s="377" t="e">
        <f t="shared" ca="1" si="208"/>
        <v>#N/A</v>
      </c>
      <c r="AF497" s="344"/>
      <c r="AG497" s="359">
        <f t="shared" ca="1" si="230"/>
        <v>5.8378581597736874</v>
      </c>
      <c r="AH497" s="357">
        <f t="shared" ca="1" si="231"/>
        <v>-3.8732817213723125</v>
      </c>
    </row>
    <row r="498" spans="1:34" x14ac:dyDescent="0.2">
      <c r="A498" s="402">
        <f t="shared" ca="1" si="209"/>
        <v>1E-4</v>
      </c>
      <c r="B498" s="357">
        <f t="shared" ca="1" si="210"/>
        <v>15.615799999999926</v>
      </c>
      <c r="C498" s="342"/>
      <c r="D498" s="359">
        <f t="shared" ca="1" si="211"/>
        <v>-0.54849766848935622</v>
      </c>
      <c r="E498" s="360">
        <f t="shared" ca="1" si="212"/>
        <v>-5.9756810766953663</v>
      </c>
      <c r="F498" s="357">
        <f t="shared" ca="1" si="213"/>
        <v>6.0008011150773317</v>
      </c>
      <c r="G498" s="359">
        <f t="shared" ca="1" si="214"/>
        <v>9.5404552189277894</v>
      </c>
      <c r="H498" s="360">
        <f t="shared" ca="1" si="215"/>
        <v>-66.694332830692744</v>
      </c>
      <c r="I498" s="357">
        <f t="shared" ca="1" si="216"/>
        <v>67.37324630382291</v>
      </c>
      <c r="J498" s="359">
        <f t="shared" ca="1" si="217"/>
        <v>187.70931447689617</v>
      </c>
      <c r="K498" s="360">
        <f t="shared" ca="1" si="218"/>
        <v>-5.1107962448925885</v>
      </c>
      <c r="L498" s="357">
        <f t="shared" ca="1" si="203"/>
        <v>187.77887788471605</v>
      </c>
      <c r="M498" s="359">
        <f t="shared" ca="1" si="219"/>
        <v>-1.4287127617911639</v>
      </c>
      <c r="N498" s="357">
        <f t="shared" ca="1" si="220"/>
        <v>-81.859211387113433</v>
      </c>
      <c r="O498" s="343"/>
      <c r="P498" s="363">
        <f t="shared" ca="1" si="221"/>
        <v>23</v>
      </c>
      <c r="Q498" s="357">
        <f t="shared" ca="1" si="222"/>
        <v>0</v>
      </c>
      <c r="R498" s="359">
        <f t="shared" ca="1" si="223"/>
        <v>0</v>
      </c>
      <c r="S498" s="360">
        <f t="shared" ca="1" si="224"/>
        <v>1.5629999999999982</v>
      </c>
      <c r="T498" s="357">
        <f t="shared" ca="1" si="204"/>
        <v>15.333029999999983</v>
      </c>
      <c r="U498" s="364">
        <f t="shared" ca="1" si="205"/>
        <v>0</v>
      </c>
      <c r="V498" s="359">
        <f t="shared" ca="1" si="206"/>
        <v>1.2256262325673519</v>
      </c>
      <c r="W498" s="357">
        <f t="shared" ca="1" si="207"/>
        <v>6.0541572386203377</v>
      </c>
      <c r="X498" s="343"/>
      <c r="Y498" s="367" t="str">
        <f t="shared" ca="1" si="225"/>
        <v/>
      </c>
      <c r="Z498" s="368" t="str">
        <f t="shared" ca="1" si="226"/>
        <v/>
      </c>
      <c r="AA498" s="369" t="str">
        <f t="shared" ca="1" si="227"/>
        <v/>
      </c>
      <c r="AB498" s="344"/>
      <c r="AC498" s="363" t="e">
        <f t="shared" ca="1" si="228"/>
        <v>#N/A</v>
      </c>
      <c r="AD498" s="376" t="e">
        <f t="shared" ca="1" si="229"/>
        <v>#N/A</v>
      </c>
      <c r="AE498" s="377" t="e">
        <f t="shared" ca="1" si="208"/>
        <v>#N/A</v>
      </c>
      <c r="AF498" s="344"/>
      <c r="AG498" s="359">
        <f t="shared" ca="1" si="230"/>
        <v>5.8377913158853589</v>
      </c>
      <c r="AH498" s="357">
        <f t="shared" ca="1" si="231"/>
        <v>-3.8733514296988689</v>
      </c>
    </row>
    <row r="499" spans="1:34" x14ac:dyDescent="0.2">
      <c r="A499" s="402">
        <f t="shared" ca="1" si="209"/>
        <v>1E-4</v>
      </c>
      <c r="B499" s="357">
        <f t="shared" ca="1" si="210"/>
        <v>15.615899999999925</v>
      </c>
      <c r="C499" s="342"/>
      <c r="D499" s="359">
        <f t="shared" ca="1" si="211"/>
        <v>-0.54849963357919562</v>
      </c>
      <c r="E499" s="360">
        <f t="shared" ca="1" si="212"/>
        <v>-5.9756109399405446</v>
      </c>
      <c r="F499" s="357">
        <f t="shared" ca="1" si="213"/>
        <v>6.0007314515460219</v>
      </c>
      <c r="G499" s="359">
        <f t="shared" ca="1" si="214"/>
        <v>9.5404003689644306</v>
      </c>
      <c r="H499" s="360">
        <f t="shared" ca="1" si="215"/>
        <v>-66.694930391786741</v>
      </c>
      <c r="I499" s="357">
        <f t="shared" ca="1" si="216"/>
        <v>67.373830076413313</v>
      </c>
      <c r="J499" s="359">
        <f t="shared" ca="1" si="217"/>
        <v>187.70931447689617</v>
      </c>
      <c r="K499" s="360">
        <f t="shared" ca="1" si="218"/>
        <v>-5.1174657080537127</v>
      </c>
      <c r="L499" s="357">
        <f t="shared" ca="1" si="203"/>
        <v>187.77905952650684</v>
      </c>
      <c r="M499" s="359">
        <f t="shared" ca="1" si="219"/>
        <v>-1.4287148236522114</v>
      </c>
      <c r="N499" s="357">
        <f t="shared" ca="1" si="220"/>
        <v>-81.859329523049396</v>
      </c>
      <c r="O499" s="343"/>
      <c r="P499" s="363">
        <f t="shared" ca="1" si="221"/>
        <v>23</v>
      </c>
      <c r="Q499" s="357">
        <f t="shared" ca="1" si="222"/>
        <v>0</v>
      </c>
      <c r="R499" s="359">
        <f t="shared" ca="1" si="223"/>
        <v>0</v>
      </c>
      <c r="S499" s="360">
        <f t="shared" ca="1" si="224"/>
        <v>1.5629999999999982</v>
      </c>
      <c r="T499" s="357">
        <f t="shared" ca="1" si="204"/>
        <v>15.333029999999983</v>
      </c>
      <c r="U499" s="364">
        <f t="shared" ca="1" si="205"/>
        <v>0</v>
      </c>
      <c r="V499" s="359">
        <f t="shared" ca="1" si="206"/>
        <v>1.2256270499945787</v>
      </c>
      <c r="W499" s="357">
        <f t="shared" ca="1" si="207"/>
        <v>6.0542661925079262</v>
      </c>
      <c r="X499" s="343"/>
      <c r="Y499" s="367" t="str">
        <f t="shared" ca="1" si="225"/>
        <v/>
      </c>
      <c r="Z499" s="368" t="str">
        <f t="shared" ca="1" si="226"/>
        <v/>
      </c>
      <c r="AA499" s="369" t="str">
        <f t="shared" ca="1" si="227"/>
        <v/>
      </c>
      <c r="AB499" s="344"/>
      <c r="AC499" s="363" t="e">
        <f t="shared" ca="1" si="228"/>
        <v>#N/A</v>
      </c>
      <c r="AD499" s="376" t="e">
        <f t="shared" ca="1" si="229"/>
        <v>#N/A</v>
      </c>
      <c r="AE499" s="377" t="e">
        <f t="shared" ca="1" si="208"/>
        <v>#N/A</v>
      </c>
      <c r="AF499" s="344"/>
      <c r="AG499" s="359">
        <f t="shared" ca="1" si="230"/>
        <v>5.8377244719621846</v>
      </c>
      <c r="AH499" s="357">
        <f t="shared" ca="1" si="231"/>
        <v>-3.8734211379528758</v>
      </c>
    </row>
    <row r="500" spans="1:34" x14ac:dyDescent="0.2">
      <c r="A500" s="402">
        <f t="shared" ca="1" si="209"/>
        <v>1E-4</v>
      </c>
      <c r="B500" s="357">
        <f t="shared" ca="1" si="210"/>
        <v>15.615999999999925</v>
      </c>
      <c r="C500" s="342"/>
      <c r="D500" s="359">
        <f t="shared" ca="1" si="211"/>
        <v>-0.54850159855432512</v>
      </c>
      <c r="E500" s="360">
        <f t="shared" ca="1" si="212"/>
        <v>-5.9755408032592561</v>
      </c>
      <c r="F500" s="357">
        <f t="shared" ca="1" si="213"/>
        <v>6.0006617880891202</v>
      </c>
      <c r="G500" s="359">
        <f t="shared" ca="1" si="214"/>
        <v>9.5403455188045747</v>
      </c>
      <c r="H500" s="360">
        <f t="shared" ca="1" si="215"/>
        <v>-66.69552794586707</v>
      </c>
      <c r="I500" s="357">
        <f t="shared" ca="1" si="216"/>
        <v>67.374413842319328</v>
      </c>
      <c r="J500" s="359">
        <f t="shared" ca="1" si="217"/>
        <v>187.70931447689617</v>
      </c>
      <c r="K500" s="360">
        <f t="shared" ca="1" si="218"/>
        <v>-5.1241352309705954</v>
      </c>
      <c r="L500" s="357">
        <f t="shared" ca="1" si="203"/>
        <v>187.77924140663572</v>
      </c>
      <c r="M500" s="359">
        <f t="shared" ca="1" si="219"/>
        <v>-1.4287168854656749</v>
      </c>
      <c r="N500" s="357">
        <f t="shared" ca="1" si="220"/>
        <v>-81.859447656258993</v>
      </c>
      <c r="O500" s="343"/>
      <c r="P500" s="363">
        <f t="shared" ca="1" si="221"/>
        <v>23</v>
      </c>
      <c r="Q500" s="357">
        <f t="shared" ca="1" si="222"/>
        <v>0</v>
      </c>
      <c r="R500" s="359">
        <f t="shared" ca="1" si="223"/>
        <v>0</v>
      </c>
      <c r="S500" s="360">
        <f t="shared" ca="1" si="224"/>
        <v>1.5629999999999982</v>
      </c>
      <c r="T500" s="357">
        <f t="shared" ca="1" si="204"/>
        <v>15.333029999999983</v>
      </c>
      <c r="U500" s="364">
        <f t="shared" ca="1" si="205"/>
        <v>0</v>
      </c>
      <c r="V500" s="359">
        <f t="shared" ca="1" si="206"/>
        <v>1.2256278674296748</v>
      </c>
      <c r="W500" s="357">
        <f t="shared" ca="1" si="207"/>
        <v>6.0543751462820641</v>
      </c>
      <c r="X500" s="343"/>
      <c r="Y500" s="367" t="str">
        <f t="shared" ca="1" si="225"/>
        <v/>
      </c>
      <c r="Z500" s="368" t="str">
        <f t="shared" ca="1" si="226"/>
        <v/>
      </c>
      <c r="AA500" s="369" t="str">
        <f t="shared" ca="1" si="227"/>
        <v/>
      </c>
      <c r="AB500" s="344"/>
      <c r="AC500" s="363" t="e">
        <f t="shared" ca="1" si="228"/>
        <v>#N/A</v>
      </c>
      <c r="AD500" s="376" t="e">
        <f t="shared" ca="1" si="229"/>
        <v>#N/A</v>
      </c>
      <c r="AE500" s="377" t="e">
        <f t="shared" ca="1" si="208"/>
        <v>#N/A</v>
      </c>
      <c r="AF500" s="344"/>
      <c r="AG500" s="359">
        <f t="shared" ca="1" si="230"/>
        <v>5.8376576280041874</v>
      </c>
      <c r="AH500" s="357">
        <f t="shared" ca="1" si="231"/>
        <v>-3.8734908461343145</v>
      </c>
    </row>
    <row r="501" spans="1:34" x14ac:dyDescent="0.2">
      <c r="A501" s="402">
        <f t="shared" ca="1" si="209"/>
        <v>1E-4</v>
      </c>
      <c r="B501" s="357">
        <f t="shared" ca="1" si="210"/>
        <v>15.616099999999925</v>
      </c>
      <c r="C501" s="342"/>
      <c r="D501" s="359">
        <f t="shared" ca="1" si="211"/>
        <v>-0.54850356341474604</v>
      </c>
      <c r="E501" s="360">
        <f t="shared" ca="1" si="212"/>
        <v>-5.9754706666515176</v>
      </c>
      <c r="F501" s="357">
        <f t="shared" ca="1" si="213"/>
        <v>6.0005921247066452</v>
      </c>
      <c r="G501" s="359">
        <f t="shared" ca="1" si="214"/>
        <v>9.5402906684482325</v>
      </c>
      <c r="H501" s="360">
        <f t="shared" ca="1" si="215"/>
        <v>-66.696125492933731</v>
      </c>
      <c r="I501" s="357">
        <f t="shared" ca="1" si="216"/>
        <v>67.374997601540926</v>
      </c>
      <c r="J501" s="359">
        <f t="shared" ca="1" si="217"/>
        <v>187.70931447689617</v>
      </c>
      <c r="K501" s="360">
        <f t="shared" ca="1" si="218"/>
        <v>-5.130804813642535</v>
      </c>
      <c r="L501" s="357">
        <f t="shared" ca="1" si="203"/>
        <v>187.77942352510829</v>
      </c>
      <c r="M501" s="359">
        <f t="shared" ca="1" si="219"/>
        <v>-1.4287189472315558</v>
      </c>
      <c r="N501" s="357">
        <f t="shared" ca="1" si="220"/>
        <v>-81.859565786742323</v>
      </c>
      <c r="O501" s="343"/>
      <c r="P501" s="363">
        <f t="shared" ca="1" si="221"/>
        <v>23</v>
      </c>
      <c r="Q501" s="357">
        <f t="shared" ca="1" si="222"/>
        <v>0</v>
      </c>
      <c r="R501" s="359">
        <f t="shared" ca="1" si="223"/>
        <v>0</v>
      </c>
      <c r="S501" s="360">
        <f t="shared" ca="1" si="224"/>
        <v>1.5629999999999982</v>
      </c>
      <c r="T501" s="357">
        <f t="shared" ca="1" si="204"/>
        <v>15.333029999999983</v>
      </c>
      <c r="U501" s="364">
        <f t="shared" ca="1" si="205"/>
        <v>0</v>
      </c>
      <c r="V501" s="359">
        <f t="shared" ca="1" si="206"/>
        <v>1.2256286848726399</v>
      </c>
      <c r="W501" s="357">
        <f t="shared" ca="1" si="207"/>
        <v>6.0544840999427132</v>
      </c>
      <c r="X501" s="343"/>
      <c r="Y501" s="367" t="str">
        <f t="shared" ca="1" si="225"/>
        <v/>
      </c>
      <c r="Z501" s="368" t="str">
        <f t="shared" ca="1" si="226"/>
        <v/>
      </c>
      <c r="AA501" s="369" t="str">
        <f t="shared" ca="1" si="227"/>
        <v/>
      </c>
      <c r="AB501" s="344"/>
      <c r="AC501" s="363" t="e">
        <f t="shared" ca="1" si="228"/>
        <v>#N/A</v>
      </c>
      <c r="AD501" s="376" t="e">
        <f t="shared" ca="1" si="229"/>
        <v>#N/A</v>
      </c>
      <c r="AE501" s="377" t="e">
        <f t="shared" ca="1" si="208"/>
        <v>#N/A</v>
      </c>
      <c r="AF501" s="344"/>
      <c r="AG501" s="359">
        <f t="shared" ca="1" si="230"/>
        <v>5.8375907840113932</v>
      </c>
      <c r="AH501" s="357">
        <f t="shared" ca="1" si="231"/>
        <v>-3.8735605542431677</v>
      </c>
    </row>
    <row r="502" spans="1:34" x14ac:dyDescent="0.2">
      <c r="A502" s="402">
        <f t="shared" ca="1" si="209"/>
        <v>1E-4</v>
      </c>
      <c r="B502" s="357">
        <f t="shared" ca="1" si="210"/>
        <v>15.616199999999925</v>
      </c>
      <c r="C502" s="342"/>
      <c r="D502" s="359">
        <f t="shared" ca="1" si="211"/>
        <v>-0.54850552816046028</v>
      </c>
      <c r="E502" s="360">
        <f t="shared" ca="1" si="212"/>
        <v>-5.9754005301173532</v>
      </c>
      <c r="F502" s="357">
        <f t="shared" ca="1" si="213"/>
        <v>6.0005224613986181</v>
      </c>
      <c r="G502" s="359">
        <f t="shared" ca="1" si="214"/>
        <v>9.5402358178954163</v>
      </c>
      <c r="H502" s="360">
        <f t="shared" ca="1" si="215"/>
        <v>-66.696723032986739</v>
      </c>
      <c r="I502" s="357">
        <f t="shared" ca="1" si="216"/>
        <v>67.375581354078108</v>
      </c>
      <c r="J502" s="359">
        <f t="shared" ca="1" si="217"/>
        <v>187.70931447689617</v>
      </c>
      <c r="K502" s="360">
        <f t="shared" ca="1" si="218"/>
        <v>-5.1374744560688308</v>
      </c>
      <c r="L502" s="357">
        <f t="shared" ca="1" si="203"/>
        <v>187.77960588193025</v>
      </c>
      <c r="M502" s="359">
        <f t="shared" ca="1" si="219"/>
        <v>-1.4287210089498561</v>
      </c>
      <c r="N502" s="357">
        <f t="shared" ca="1" si="220"/>
        <v>-81.85968391449947</v>
      </c>
      <c r="O502" s="343"/>
      <c r="P502" s="363">
        <f t="shared" ca="1" si="221"/>
        <v>23</v>
      </c>
      <c r="Q502" s="357">
        <f t="shared" ca="1" si="222"/>
        <v>0</v>
      </c>
      <c r="R502" s="359">
        <f t="shared" ca="1" si="223"/>
        <v>0</v>
      </c>
      <c r="S502" s="360">
        <f t="shared" ca="1" si="224"/>
        <v>1.5629999999999982</v>
      </c>
      <c r="T502" s="357">
        <f t="shared" ca="1" si="204"/>
        <v>15.333029999999983</v>
      </c>
      <c r="U502" s="364">
        <f t="shared" ca="1" si="205"/>
        <v>0</v>
      </c>
      <c r="V502" s="359">
        <f t="shared" ca="1" si="206"/>
        <v>1.2256295023234736</v>
      </c>
      <c r="W502" s="357">
        <f t="shared" ca="1" si="207"/>
        <v>6.0545930534898433</v>
      </c>
      <c r="X502" s="343"/>
      <c r="Y502" s="367" t="str">
        <f t="shared" ca="1" si="225"/>
        <v/>
      </c>
      <c r="Z502" s="368" t="str">
        <f t="shared" ca="1" si="226"/>
        <v/>
      </c>
      <c r="AA502" s="369" t="str">
        <f t="shared" ca="1" si="227"/>
        <v/>
      </c>
      <c r="AB502" s="344"/>
      <c r="AC502" s="363" t="e">
        <f t="shared" ca="1" si="228"/>
        <v>#N/A</v>
      </c>
      <c r="AD502" s="376" t="e">
        <f t="shared" ca="1" si="229"/>
        <v>#N/A</v>
      </c>
      <c r="AE502" s="377" t="e">
        <f t="shared" ca="1" si="208"/>
        <v>#N/A</v>
      </c>
      <c r="AF502" s="344"/>
      <c r="AG502" s="359">
        <f t="shared" ca="1" si="230"/>
        <v>5.8375239399838303</v>
      </c>
      <c r="AH502" s="357">
        <f t="shared" ca="1" si="231"/>
        <v>-3.8736302622794114</v>
      </c>
    </row>
    <row r="503" spans="1:34" x14ac:dyDescent="0.2">
      <c r="A503" s="402">
        <f t="shared" ca="1" si="209"/>
        <v>1E-4</v>
      </c>
      <c r="B503" s="357">
        <f t="shared" ca="1" si="210"/>
        <v>15.616299999999924</v>
      </c>
      <c r="C503" s="342"/>
      <c r="D503" s="359">
        <f t="shared" ca="1" si="211"/>
        <v>-0.5485074927914676</v>
      </c>
      <c r="E503" s="360">
        <f t="shared" ca="1" si="212"/>
        <v>-5.9753303936567832</v>
      </c>
      <c r="F503" s="357">
        <f t="shared" ca="1" si="213"/>
        <v>6.0004527981650613</v>
      </c>
      <c r="G503" s="359">
        <f t="shared" ca="1" si="214"/>
        <v>9.5401809671461368</v>
      </c>
      <c r="H503" s="360">
        <f t="shared" ca="1" si="215"/>
        <v>-66.697320566026107</v>
      </c>
      <c r="I503" s="357">
        <f t="shared" ca="1" si="216"/>
        <v>67.376165099930901</v>
      </c>
      <c r="J503" s="359">
        <f t="shared" ca="1" si="217"/>
        <v>187.70931447689617</v>
      </c>
      <c r="K503" s="360">
        <f t="shared" ca="1" si="218"/>
        <v>-5.144144158248781</v>
      </c>
      <c r="L503" s="357">
        <f t="shared" ca="1" si="203"/>
        <v>187.77978847710727</v>
      </c>
      <c r="M503" s="359">
        <f t="shared" ca="1" si="219"/>
        <v>-1.4287230706205776</v>
      </c>
      <c r="N503" s="357">
        <f t="shared" ca="1" si="220"/>
        <v>-81.859802039530564</v>
      </c>
      <c r="O503" s="343"/>
      <c r="P503" s="363">
        <f t="shared" ca="1" si="221"/>
        <v>23</v>
      </c>
      <c r="Q503" s="357">
        <f t="shared" ca="1" si="222"/>
        <v>0</v>
      </c>
      <c r="R503" s="359">
        <f t="shared" ca="1" si="223"/>
        <v>0</v>
      </c>
      <c r="S503" s="360">
        <f t="shared" ca="1" si="224"/>
        <v>1.5629999999999982</v>
      </c>
      <c r="T503" s="357">
        <f t="shared" ca="1" si="204"/>
        <v>15.333029999999983</v>
      </c>
      <c r="U503" s="364">
        <f t="shared" ca="1" si="205"/>
        <v>0</v>
      </c>
      <c r="V503" s="359">
        <f t="shared" ca="1" si="206"/>
        <v>1.225630319782177</v>
      </c>
      <c r="W503" s="357">
        <f t="shared" ca="1" si="207"/>
        <v>6.0547020069234332</v>
      </c>
      <c r="X503" s="343"/>
      <c r="Y503" s="367" t="str">
        <f t="shared" ca="1" si="225"/>
        <v/>
      </c>
      <c r="Z503" s="368" t="str">
        <f t="shared" ca="1" si="226"/>
        <v/>
      </c>
      <c r="AA503" s="369" t="str">
        <f t="shared" ca="1" si="227"/>
        <v/>
      </c>
      <c r="AB503" s="344"/>
      <c r="AC503" s="363" t="e">
        <f t="shared" ca="1" si="228"/>
        <v>#N/A</v>
      </c>
      <c r="AD503" s="376" t="e">
        <f t="shared" ca="1" si="229"/>
        <v>#N/A</v>
      </c>
      <c r="AE503" s="377" t="e">
        <f t="shared" ca="1" si="208"/>
        <v>#N/A</v>
      </c>
      <c r="AF503" s="344"/>
      <c r="AG503" s="359">
        <f t="shared" ca="1" si="230"/>
        <v>5.8374570959215193</v>
      </c>
      <c r="AH503" s="357">
        <f t="shared" ca="1" si="231"/>
        <v>-3.8736999702430266</v>
      </c>
    </row>
    <row r="504" spans="1:34" x14ac:dyDescent="0.2">
      <c r="A504" s="402">
        <f t="shared" ca="1" si="209"/>
        <v>1E-4</v>
      </c>
      <c r="B504" s="357">
        <f t="shared" ca="1" si="210"/>
        <v>15.616399999999924</v>
      </c>
      <c r="C504" s="342"/>
      <c r="D504" s="359">
        <f t="shared" ca="1" si="211"/>
        <v>-0.54850945730776979</v>
      </c>
      <c r="E504" s="360">
        <f t="shared" ca="1" si="212"/>
        <v>-5.9752602572698219</v>
      </c>
      <c r="F504" s="357">
        <f t="shared" ca="1" si="213"/>
        <v>6.0003831350059871</v>
      </c>
      <c r="G504" s="359">
        <f t="shared" ca="1" si="214"/>
        <v>9.5401261162004065</v>
      </c>
      <c r="H504" s="360">
        <f t="shared" ca="1" si="215"/>
        <v>-66.697918092051836</v>
      </c>
      <c r="I504" s="357">
        <f t="shared" ca="1" si="216"/>
        <v>67.376748839099264</v>
      </c>
      <c r="J504" s="359">
        <f t="shared" ca="1" si="217"/>
        <v>187.70931447689617</v>
      </c>
      <c r="K504" s="360">
        <f t="shared" ca="1" si="218"/>
        <v>-5.1508139201816849</v>
      </c>
      <c r="L504" s="357">
        <f t="shared" ca="1" si="203"/>
        <v>187.77997131064495</v>
      </c>
      <c r="M504" s="359">
        <f t="shared" ca="1" si="219"/>
        <v>-1.4287251322437218</v>
      </c>
      <c r="N504" s="357">
        <f t="shared" ca="1" si="220"/>
        <v>-81.85992016183566</v>
      </c>
      <c r="O504" s="343"/>
      <c r="P504" s="363">
        <f t="shared" ca="1" si="221"/>
        <v>23</v>
      </c>
      <c r="Q504" s="357">
        <f t="shared" ca="1" si="222"/>
        <v>0</v>
      </c>
      <c r="R504" s="359">
        <f t="shared" ca="1" si="223"/>
        <v>0</v>
      </c>
      <c r="S504" s="360">
        <f t="shared" ca="1" si="224"/>
        <v>1.5629999999999982</v>
      </c>
      <c r="T504" s="357">
        <f t="shared" ca="1" si="204"/>
        <v>15.333029999999983</v>
      </c>
      <c r="U504" s="364">
        <f t="shared" ca="1" si="205"/>
        <v>0</v>
      </c>
      <c r="V504" s="359">
        <f t="shared" ca="1" si="206"/>
        <v>1.2256311372487489</v>
      </c>
      <c r="W504" s="357">
        <f t="shared" ca="1" si="207"/>
        <v>6.054810960243441</v>
      </c>
      <c r="X504" s="343"/>
      <c r="Y504" s="367" t="str">
        <f t="shared" ca="1" si="225"/>
        <v/>
      </c>
      <c r="Z504" s="368" t="str">
        <f t="shared" ca="1" si="226"/>
        <v/>
      </c>
      <c r="AA504" s="369" t="str">
        <f t="shared" ca="1" si="227"/>
        <v/>
      </c>
      <c r="AB504" s="344"/>
      <c r="AC504" s="363" t="e">
        <f t="shared" ca="1" si="228"/>
        <v>#N/A</v>
      </c>
      <c r="AD504" s="376" t="e">
        <f t="shared" ca="1" si="229"/>
        <v>#N/A</v>
      </c>
      <c r="AE504" s="377" t="e">
        <f t="shared" ca="1" si="208"/>
        <v>#N/A</v>
      </c>
      <c r="AF504" s="344"/>
      <c r="AG504" s="359">
        <f t="shared" ca="1" si="230"/>
        <v>5.8373902518244849</v>
      </c>
      <c r="AH504" s="357">
        <f t="shared" ca="1" si="231"/>
        <v>-3.873769678133999</v>
      </c>
    </row>
    <row r="505" spans="1:34" x14ac:dyDescent="0.2">
      <c r="A505" s="402">
        <f t="shared" ca="1" si="209"/>
        <v>1E-4</v>
      </c>
      <c r="B505" s="357">
        <f t="shared" ca="1" si="210"/>
        <v>15.616499999999924</v>
      </c>
      <c r="C505" s="342"/>
      <c r="D505" s="359">
        <f t="shared" ca="1" si="211"/>
        <v>-0.54851142170936718</v>
      </c>
      <c r="E505" s="360">
        <f t="shared" ca="1" si="212"/>
        <v>-5.9751901209564942</v>
      </c>
      <c r="F505" s="357">
        <f t="shared" ca="1" si="213"/>
        <v>6.0003134719214222</v>
      </c>
      <c r="G505" s="359">
        <f t="shared" ca="1" si="214"/>
        <v>9.540071265058236</v>
      </c>
      <c r="H505" s="360">
        <f t="shared" ca="1" si="215"/>
        <v>-66.698515611063925</v>
      </c>
      <c r="I505" s="357">
        <f t="shared" ca="1" si="216"/>
        <v>67.37733257158321</v>
      </c>
      <c r="J505" s="359">
        <f t="shared" ca="1" si="217"/>
        <v>187.70931447689617</v>
      </c>
      <c r="K505" s="360">
        <f t="shared" ca="1" si="218"/>
        <v>-5.1574837418668409</v>
      </c>
      <c r="L505" s="357">
        <f t="shared" ca="1" si="203"/>
        <v>187.78015438254894</v>
      </c>
      <c r="M505" s="359">
        <f t="shared" ca="1" si="219"/>
        <v>-1.4287271938192905</v>
      </c>
      <c r="N505" s="357">
        <f t="shared" ca="1" si="220"/>
        <v>-81.860038281414901</v>
      </c>
      <c r="O505" s="343"/>
      <c r="P505" s="363">
        <f t="shared" ca="1" si="221"/>
        <v>23</v>
      </c>
      <c r="Q505" s="357">
        <f t="shared" ca="1" si="222"/>
        <v>0</v>
      </c>
      <c r="R505" s="359">
        <f t="shared" ca="1" si="223"/>
        <v>0</v>
      </c>
      <c r="S505" s="360">
        <f t="shared" ca="1" si="224"/>
        <v>1.5629999999999982</v>
      </c>
      <c r="T505" s="357">
        <f t="shared" ca="1" si="204"/>
        <v>15.333029999999983</v>
      </c>
      <c r="U505" s="364">
        <f t="shared" ca="1" si="205"/>
        <v>0</v>
      </c>
      <c r="V505" s="359">
        <f t="shared" ca="1" si="206"/>
        <v>1.2256319547231891</v>
      </c>
      <c r="W505" s="357">
        <f t="shared" ca="1" si="207"/>
        <v>6.0549199134498375</v>
      </c>
      <c r="X505" s="343"/>
      <c r="Y505" s="367" t="str">
        <f t="shared" ca="1" si="225"/>
        <v/>
      </c>
      <c r="Z505" s="368" t="str">
        <f t="shared" ca="1" si="226"/>
        <v/>
      </c>
      <c r="AA505" s="369" t="str">
        <f t="shared" ca="1" si="227"/>
        <v/>
      </c>
      <c r="AB505" s="344"/>
      <c r="AC505" s="363" t="e">
        <f t="shared" ca="1" si="228"/>
        <v>#N/A</v>
      </c>
      <c r="AD505" s="376" t="e">
        <f t="shared" ca="1" si="229"/>
        <v>#N/A</v>
      </c>
      <c r="AE505" s="377" t="e">
        <f t="shared" ca="1" si="208"/>
        <v>#N/A</v>
      </c>
      <c r="AF505" s="344"/>
      <c r="AG505" s="359">
        <f t="shared" ca="1" si="230"/>
        <v>5.8373234076927538</v>
      </c>
      <c r="AH505" s="357">
        <f t="shared" ca="1" si="231"/>
        <v>-3.8738393859523019</v>
      </c>
    </row>
    <row r="506" spans="1:34" x14ac:dyDescent="0.2">
      <c r="A506" s="402">
        <f t="shared" ca="1" si="209"/>
        <v>1E-4</v>
      </c>
      <c r="B506" s="357">
        <f t="shared" ca="1" si="210"/>
        <v>15.616599999999924</v>
      </c>
      <c r="C506" s="342"/>
      <c r="D506" s="359">
        <f t="shared" ca="1" si="211"/>
        <v>-0.54851338599626109</v>
      </c>
      <c r="E506" s="360">
        <f t="shared" ca="1" si="212"/>
        <v>-5.9751199847168195</v>
      </c>
      <c r="F506" s="357">
        <f t="shared" ca="1" si="213"/>
        <v>6.0002438089113852</v>
      </c>
      <c r="G506" s="359">
        <f t="shared" ca="1" si="214"/>
        <v>9.5400164137196359</v>
      </c>
      <c r="H506" s="360">
        <f t="shared" ca="1" si="215"/>
        <v>-66.699113123062403</v>
      </c>
      <c r="I506" s="357">
        <f t="shared" ca="1" si="216"/>
        <v>67.37791629738274</v>
      </c>
      <c r="J506" s="359">
        <f t="shared" ca="1" si="217"/>
        <v>187.70931447689617</v>
      </c>
      <c r="K506" s="360">
        <f t="shared" ca="1" si="218"/>
        <v>-5.1641536233035472</v>
      </c>
      <c r="L506" s="357">
        <f t="shared" ca="1" si="203"/>
        <v>187.78033769282496</v>
      </c>
      <c r="M506" s="359">
        <f t="shared" ca="1" si="219"/>
        <v>-1.4287292553472852</v>
      </c>
      <c r="N506" s="357">
        <f t="shared" ca="1" si="220"/>
        <v>-81.860156398268344</v>
      </c>
      <c r="O506" s="343"/>
      <c r="P506" s="363">
        <f t="shared" ca="1" si="221"/>
        <v>23</v>
      </c>
      <c r="Q506" s="357">
        <f t="shared" ca="1" si="222"/>
        <v>0</v>
      </c>
      <c r="R506" s="359">
        <f t="shared" ca="1" si="223"/>
        <v>0</v>
      </c>
      <c r="S506" s="360">
        <f t="shared" ca="1" si="224"/>
        <v>1.5629999999999982</v>
      </c>
      <c r="T506" s="357">
        <f t="shared" ca="1" si="204"/>
        <v>15.333029999999983</v>
      </c>
      <c r="U506" s="364">
        <f t="shared" ca="1" si="205"/>
        <v>0</v>
      </c>
      <c r="V506" s="359">
        <f t="shared" ca="1" si="206"/>
        <v>1.2256327722054985</v>
      </c>
      <c r="W506" s="357">
        <f t="shared" ca="1" si="207"/>
        <v>6.0550288665425995</v>
      </c>
      <c r="X506" s="343"/>
      <c r="Y506" s="367" t="str">
        <f t="shared" ca="1" si="225"/>
        <v/>
      </c>
      <c r="Z506" s="368" t="str">
        <f t="shared" ca="1" si="226"/>
        <v/>
      </c>
      <c r="AA506" s="369" t="str">
        <f t="shared" ca="1" si="227"/>
        <v/>
      </c>
      <c r="AB506" s="344"/>
      <c r="AC506" s="363" t="e">
        <f t="shared" ca="1" si="228"/>
        <v>#N/A</v>
      </c>
      <c r="AD506" s="376" t="e">
        <f t="shared" ca="1" si="229"/>
        <v>#N/A</v>
      </c>
      <c r="AE506" s="377" t="e">
        <f t="shared" ca="1" si="208"/>
        <v>#N/A</v>
      </c>
      <c r="AF506" s="344"/>
      <c r="AG506" s="359">
        <f t="shared" ca="1" si="230"/>
        <v>5.8372565635263536</v>
      </c>
      <c r="AH506" s="357">
        <f t="shared" ca="1" si="231"/>
        <v>-3.8739090936979172</v>
      </c>
    </row>
    <row r="507" spans="1:34" x14ac:dyDescent="0.2">
      <c r="A507" s="402">
        <f t="shared" ca="1" si="209"/>
        <v>1E-4</v>
      </c>
      <c r="B507" s="357">
        <f t="shared" ca="1" si="210"/>
        <v>15.616699999999923</v>
      </c>
      <c r="C507" s="342"/>
      <c r="D507" s="359">
        <f t="shared" ca="1" si="211"/>
        <v>-0.54851535016845343</v>
      </c>
      <c r="E507" s="360">
        <f t="shared" ca="1" si="212"/>
        <v>-5.975049848550813</v>
      </c>
      <c r="F507" s="357">
        <f t="shared" ca="1" si="213"/>
        <v>6.0001741459758913</v>
      </c>
      <c r="G507" s="359">
        <f t="shared" ca="1" si="214"/>
        <v>9.5399615621846188</v>
      </c>
      <c r="H507" s="360">
        <f t="shared" ca="1" si="215"/>
        <v>-66.699710628047256</v>
      </c>
      <c r="I507" s="357">
        <f t="shared" ca="1" si="216"/>
        <v>67.378500016497853</v>
      </c>
      <c r="J507" s="359">
        <f t="shared" ca="1" si="217"/>
        <v>187.70931447689617</v>
      </c>
      <c r="K507" s="360">
        <f t="shared" ca="1" si="218"/>
        <v>-5.1708235644911031</v>
      </c>
      <c r="L507" s="357">
        <f t="shared" ca="1" si="203"/>
        <v>187.7805212414786</v>
      </c>
      <c r="M507" s="359">
        <f t="shared" ca="1" si="219"/>
        <v>-1.428731316827708</v>
      </c>
      <c r="N507" s="357">
        <f t="shared" ca="1" si="220"/>
        <v>-81.860274512396117</v>
      </c>
      <c r="O507" s="343"/>
      <c r="P507" s="363">
        <f t="shared" ca="1" si="221"/>
        <v>23</v>
      </c>
      <c r="Q507" s="357">
        <f t="shared" ca="1" si="222"/>
        <v>0</v>
      </c>
      <c r="R507" s="359">
        <f t="shared" ca="1" si="223"/>
        <v>0</v>
      </c>
      <c r="S507" s="360">
        <f t="shared" ca="1" si="224"/>
        <v>1.5629999999999982</v>
      </c>
      <c r="T507" s="357">
        <f t="shared" ca="1" si="204"/>
        <v>15.333029999999983</v>
      </c>
      <c r="U507" s="364">
        <f t="shared" ca="1" si="205"/>
        <v>0</v>
      </c>
      <c r="V507" s="359">
        <f t="shared" ca="1" si="206"/>
        <v>1.2256335896956767</v>
      </c>
      <c r="W507" s="357">
        <f t="shared" ca="1" si="207"/>
        <v>6.0551378195216925</v>
      </c>
      <c r="X507" s="343"/>
      <c r="Y507" s="367" t="str">
        <f t="shared" ca="1" si="225"/>
        <v/>
      </c>
      <c r="Z507" s="368" t="str">
        <f t="shared" ca="1" si="226"/>
        <v/>
      </c>
      <c r="AA507" s="369" t="str">
        <f t="shared" ca="1" si="227"/>
        <v/>
      </c>
      <c r="AB507" s="344"/>
      <c r="AC507" s="363" t="e">
        <f t="shared" ca="1" si="228"/>
        <v>#N/A</v>
      </c>
      <c r="AD507" s="376" t="e">
        <f t="shared" ca="1" si="229"/>
        <v>#N/A</v>
      </c>
      <c r="AE507" s="377" t="e">
        <f t="shared" ca="1" si="208"/>
        <v>#N/A</v>
      </c>
      <c r="AF507" s="344"/>
      <c r="AG507" s="359">
        <f t="shared" ca="1" si="230"/>
        <v>5.8371897193253028</v>
      </c>
      <c r="AH507" s="357">
        <f t="shared" ca="1" si="231"/>
        <v>-3.8739788013708294</v>
      </c>
    </row>
    <row r="508" spans="1:34" x14ac:dyDescent="0.2">
      <c r="A508" s="402">
        <f t="shared" ca="1" si="209"/>
        <v>1E-4</v>
      </c>
      <c r="B508" s="357">
        <f t="shared" ca="1" si="210"/>
        <v>15.616799999999923</v>
      </c>
      <c r="C508" s="342"/>
      <c r="D508" s="359">
        <f t="shared" ca="1" si="211"/>
        <v>-0.54851731422594407</v>
      </c>
      <c r="E508" s="360">
        <f t="shared" ca="1" si="212"/>
        <v>-5.9749797124584969</v>
      </c>
      <c r="F508" s="357">
        <f t="shared" ca="1" si="213"/>
        <v>6.0001044831149617</v>
      </c>
      <c r="G508" s="359">
        <f t="shared" ca="1" si="214"/>
        <v>9.5399067104531969</v>
      </c>
      <c r="H508" s="360">
        <f t="shared" ca="1" si="215"/>
        <v>-66.700308126018498</v>
      </c>
      <c r="I508" s="357">
        <f t="shared" ca="1" si="216"/>
        <v>67.379083728928507</v>
      </c>
      <c r="J508" s="359">
        <f t="shared" ca="1" si="217"/>
        <v>187.70931447689617</v>
      </c>
      <c r="K508" s="360">
        <f t="shared" ca="1" si="218"/>
        <v>-5.1774935654288061</v>
      </c>
      <c r="L508" s="357">
        <f t="shared" ca="1" si="203"/>
        <v>187.78070502851551</v>
      </c>
      <c r="M508" s="359">
        <f t="shared" ca="1" si="219"/>
        <v>-1.4287333782605602</v>
      </c>
      <c r="N508" s="357">
        <f t="shared" ca="1" si="220"/>
        <v>-81.860392623798305</v>
      </c>
      <c r="O508" s="343"/>
      <c r="P508" s="363">
        <f t="shared" ca="1" si="221"/>
        <v>23</v>
      </c>
      <c r="Q508" s="357">
        <f t="shared" ca="1" si="222"/>
        <v>0</v>
      </c>
      <c r="R508" s="359">
        <f t="shared" ca="1" si="223"/>
        <v>0</v>
      </c>
      <c r="S508" s="360">
        <f t="shared" ca="1" si="224"/>
        <v>1.5629999999999982</v>
      </c>
      <c r="T508" s="357">
        <f t="shared" ca="1" si="204"/>
        <v>15.333029999999983</v>
      </c>
      <c r="U508" s="364">
        <f t="shared" ca="1" si="205"/>
        <v>0</v>
      </c>
      <c r="V508" s="359">
        <f t="shared" ca="1" si="206"/>
        <v>1.2256344071937233</v>
      </c>
      <c r="W508" s="357">
        <f t="shared" ca="1" si="207"/>
        <v>6.0552467723870773</v>
      </c>
      <c r="X508" s="343"/>
      <c r="Y508" s="367" t="str">
        <f t="shared" ca="1" si="225"/>
        <v/>
      </c>
      <c r="Z508" s="368" t="str">
        <f t="shared" ca="1" si="226"/>
        <v/>
      </c>
      <c r="AA508" s="369" t="str">
        <f t="shared" ca="1" si="227"/>
        <v/>
      </c>
      <c r="AB508" s="344"/>
      <c r="AC508" s="363" t="e">
        <f t="shared" ca="1" si="228"/>
        <v>#N/A</v>
      </c>
      <c r="AD508" s="376" t="e">
        <f t="shared" ca="1" si="229"/>
        <v>#N/A</v>
      </c>
      <c r="AE508" s="377" t="e">
        <f t="shared" ca="1" si="208"/>
        <v>#N/A</v>
      </c>
      <c r="AF508" s="344"/>
      <c r="AG508" s="359">
        <f t="shared" ca="1" si="230"/>
        <v>5.83712287508963</v>
      </c>
      <c r="AH508" s="357">
        <f t="shared" ca="1" si="231"/>
        <v>-3.874048508971017</v>
      </c>
    </row>
    <row r="509" spans="1:34" x14ac:dyDescent="0.2">
      <c r="A509" s="402">
        <f t="shared" ca="1" si="209"/>
        <v>1E-4</v>
      </c>
      <c r="B509" s="357">
        <f t="shared" ca="1" si="210"/>
        <v>15.616899999999923</v>
      </c>
      <c r="C509" s="342"/>
      <c r="D509" s="359">
        <f t="shared" ca="1" si="211"/>
        <v>-0.54851927816873458</v>
      </c>
      <c r="E509" s="360">
        <f t="shared" ca="1" si="212"/>
        <v>-5.974909576439897</v>
      </c>
      <c r="F509" s="357">
        <f t="shared" ca="1" si="213"/>
        <v>6.0000348203286231</v>
      </c>
      <c r="G509" s="359">
        <f t="shared" ca="1" si="214"/>
        <v>9.5398518585253793</v>
      </c>
      <c r="H509" s="360">
        <f t="shared" ca="1" si="215"/>
        <v>-66.700905616976144</v>
      </c>
      <c r="I509" s="357">
        <f t="shared" ca="1" si="216"/>
        <v>67.379667434674758</v>
      </c>
      <c r="J509" s="359">
        <f t="shared" ca="1" si="217"/>
        <v>187.70931447689617</v>
      </c>
      <c r="K509" s="360">
        <f t="shared" ca="1" si="218"/>
        <v>-5.1841636261159563</v>
      </c>
      <c r="L509" s="357">
        <f t="shared" ca="1" si="203"/>
        <v>187.78088905394139</v>
      </c>
      <c r="M509" s="359">
        <f t="shared" ca="1" si="219"/>
        <v>-1.428735439645844</v>
      </c>
      <c r="N509" s="357">
        <f t="shared" ca="1" si="220"/>
        <v>-81.860510732475021</v>
      </c>
      <c r="O509" s="343"/>
      <c r="P509" s="363">
        <f t="shared" ca="1" si="221"/>
        <v>23</v>
      </c>
      <c r="Q509" s="357">
        <f t="shared" ca="1" si="222"/>
        <v>0</v>
      </c>
      <c r="R509" s="359">
        <f t="shared" ca="1" si="223"/>
        <v>0</v>
      </c>
      <c r="S509" s="360">
        <f t="shared" ca="1" si="224"/>
        <v>1.5629999999999982</v>
      </c>
      <c r="T509" s="357">
        <f t="shared" ca="1" si="204"/>
        <v>15.333029999999983</v>
      </c>
      <c r="U509" s="364">
        <f t="shared" ca="1" si="205"/>
        <v>0</v>
      </c>
      <c r="V509" s="359">
        <f t="shared" ca="1" si="206"/>
        <v>1.2256352246996385</v>
      </c>
      <c r="W509" s="357">
        <f t="shared" ca="1" si="207"/>
        <v>6.055355725138738</v>
      </c>
      <c r="X509" s="343"/>
      <c r="Y509" s="367" t="str">
        <f t="shared" ca="1" si="225"/>
        <v/>
      </c>
      <c r="Z509" s="368" t="str">
        <f t="shared" ca="1" si="226"/>
        <v/>
      </c>
      <c r="AA509" s="369" t="str">
        <f t="shared" ca="1" si="227"/>
        <v/>
      </c>
      <c r="AB509" s="344"/>
      <c r="AC509" s="363" t="e">
        <f t="shared" ca="1" si="228"/>
        <v>#N/A</v>
      </c>
      <c r="AD509" s="376" t="e">
        <f t="shared" ca="1" si="229"/>
        <v>#N/A</v>
      </c>
      <c r="AE509" s="377" t="e">
        <f t="shared" ca="1" si="208"/>
        <v>#N/A</v>
      </c>
      <c r="AF509" s="344"/>
      <c r="AG509" s="359">
        <f t="shared" ca="1" si="230"/>
        <v>5.8370560308193618</v>
      </c>
      <c r="AH509" s="357">
        <f t="shared" ca="1" si="231"/>
        <v>-3.8741182164984544</v>
      </c>
    </row>
    <row r="510" spans="1:34" x14ac:dyDescent="0.2">
      <c r="A510" s="402">
        <f t="shared" ca="1" si="209"/>
        <v>1E-4</v>
      </c>
      <c r="B510" s="357">
        <f t="shared" ca="1" si="210"/>
        <v>15.616999999999923</v>
      </c>
      <c r="C510" s="342"/>
      <c r="D510" s="359">
        <f t="shared" ca="1" si="211"/>
        <v>-0.54852124199682539</v>
      </c>
      <c r="E510" s="360">
        <f t="shared" ca="1" si="212"/>
        <v>-5.974839440495022</v>
      </c>
      <c r="F510" s="357">
        <f t="shared" ca="1" si="213"/>
        <v>5.9999651576168844</v>
      </c>
      <c r="G510" s="359">
        <f t="shared" ca="1" si="214"/>
        <v>9.5397970064011801</v>
      </c>
      <c r="H510" s="360">
        <f t="shared" ca="1" si="215"/>
        <v>-66.701503100920192</v>
      </c>
      <c r="I510" s="357">
        <f t="shared" ca="1" si="216"/>
        <v>67.38025113373655</v>
      </c>
      <c r="J510" s="359">
        <f t="shared" ca="1" si="217"/>
        <v>187.70931447689617</v>
      </c>
      <c r="K510" s="360">
        <f t="shared" ca="1" si="218"/>
        <v>-5.190833746551851</v>
      </c>
      <c r="L510" s="357">
        <f t="shared" ca="1" si="203"/>
        <v>187.78107331776181</v>
      </c>
      <c r="M510" s="359">
        <f t="shared" ca="1" si="219"/>
        <v>-1.4287375009835606</v>
      </c>
      <c r="N510" s="357">
        <f t="shared" ca="1" si="220"/>
        <v>-81.860628838426322</v>
      </c>
      <c r="O510" s="343"/>
      <c r="P510" s="363">
        <f t="shared" ca="1" si="221"/>
        <v>23</v>
      </c>
      <c r="Q510" s="357">
        <f t="shared" ca="1" si="222"/>
        <v>0</v>
      </c>
      <c r="R510" s="359">
        <f t="shared" ca="1" si="223"/>
        <v>0</v>
      </c>
      <c r="S510" s="360">
        <f t="shared" ca="1" si="224"/>
        <v>1.5629999999999982</v>
      </c>
      <c r="T510" s="357">
        <f t="shared" ca="1" si="204"/>
        <v>15.333029999999983</v>
      </c>
      <c r="U510" s="364">
        <f t="shared" ca="1" si="205"/>
        <v>0</v>
      </c>
      <c r="V510" s="359">
        <f t="shared" ca="1" si="206"/>
        <v>1.2256360422134218</v>
      </c>
      <c r="W510" s="357">
        <f t="shared" ca="1" si="207"/>
        <v>6.0554646777766292</v>
      </c>
      <c r="X510" s="343"/>
      <c r="Y510" s="367" t="str">
        <f t="shared" ca="1" si="225"/>
        <v/>
      </c>
      <c r="Z510" s="368" t="str">
        <f t="shared" ca="1" si="226"/>
        <v/>
      </c>
      <c r="AA510" s="369" t="str">
        <f t="shared" ca="1" si="227"/>
        <v/>
      </c>
      <c r="AB510" s="344"/>
      <c r="AC510" s="363" t="e">
        <f t="shared" ca="1" si="228"/>
        <v>#N/A</v>
      </c>
      <c r="AD510" s="376" t="e">
        <f t="shared" ca="1" si="229"/>
        <v>#N/A</v>
      </c>
      <c r="AE510" s="377" t="e">
        <f t="shared" ca="1" si="208"/>
        <v>#N/A</v>
      </c>
      <c r="AF510" s="344"/>
      <c r="AG510" s="359">
        <f t="shared" ca="1" si="230"/>
        <v>5.8369891865145185</v>
      </c>
      <c r="AH510" s="357">
        <f t="shared" ca="1" si="231"/>
        <v>-3.8741879239531318</v>
      </c>
    </row>
    <row r="511" spans="1:34" x14ac:dyDescent="0.2">
      <c r="A511" s="402">
        <f t="shared" ca="1" si="209"/>
        <v>1E-4</v>
      </c>
      <c r="B511" s="357">
        <f t="shared" ca="1" si="210"/>
        <v>15.617099999999922</v>
      </c>
      <c r="C511" s="342"/>
      <c r="D511" s="359">
        <f t="shared" ca="1" si="211"/>
        <v>-0.5485232057102184</v>
      </c>
      <c r="E511" s="360">
        <f t="shared" ca="1" si="212"/>
        <v>-5.9747693046239032</v>
      </c>
      <c r="F511" s="357">
        <f t="shared" ca="1" si="213"/>
        <v>5.9998954949797767</v>
      </c>
      <c r="G511" s="359">
        <f t="shared" ca="1" si="214"/>
        <v>9.5397421540806082</v>
      </c>
      <c r="H511" s="360">
        <f t="shared" ca="1" si="215"/>
        <v>-66.702100577850658</v>
      </c>
      <c r="I511" s="357">
        <f t="shared" ca="1" si="216"/>
        <v>67.380834826113926</v>
      </c>
      <c r="J511" s="359">
        <f t="shared" ca="1" si="217"/>
        <v>187.70931447689617</v>
      </c>
      <c r="K511" s="360">
        <f t="shared" ca="1" si="218"/>
        <v>-5.1975039267357896</v>
      </c>
      <c r="L511" s="357">
        <f t="shared" ca="1" si="203"/>
        <v>187.78125781998247</v>
      </c>
      <c r="M511" s="359">
        <f t="shared" ca="1" si="219"/>
        <v>-1.428739562273712</v>
      </c>
      <c r="N511" s="357">
        <f t="shared" ca="1" si="220"/>
        <v>-81.860746941652351</v>
      </c>
      <c r="O511" s="343"/>
      <c r="P511" s="363">
        <f t="shared" ca="1" si="221"/>
        <v>23</v>
      </c>
      <c r="Q511" s="357">
        <f t="shared" ca="1" si="222"/>
        <v>0</v>
      </c>
      <c r="R511" s="359">
        <f t="shared" ca="1" si="223"/>
        <v>0</v>
      </c>
      <c r="S511" s="360">
        <f t="shared" ca="1" si="224"/>
        <v>1.5629999999999982</v>
      </c>
      <c r="T511" s="357">
        <f t="shared" ca="1" si="204"/>
        <v>15.333029999999983</v>
      </c>
      <c r="U511" s="364">
        <f t="shared" ca="1" si="205"/>
        <v>0</v>
      </c>
      <c r="V511" s="359">
        <f t="shared" ca="1" si="206"/>
        <v>1.2256368597350737</v>
      </c>
      <c r="W511" s="357">
        <f t="shared" ca="1" si="207"/>
        <v>6.0555736303007324</v>
      </c>
      <c r="X511" s="343"/>
      <c r="Y511" s="367" t="str">
        <f t="shared" ca="1" si="225"/>
        <v/>
      </c>
      <c r="Z511" s="368" t="str">
        <f t="shared" ca="1" si="226"/>
        <v/>
      </c>
      <c r="AA511" s="369" t="str">
        <f t="shared" ca="1" si="227"/>
        <v/>
      </c>
      <c r="AB511" s="344"/>
      <c r="AC511" s="363" t="e">
        <f t="shared" ca="1" si="228"/>
        <v>#N/A</v>
      </c>
      <c r="AD511" s="376" t="e">
        <f t="shared" ca="1" si="229"/>
        <v>#N/A</v>
      </c>
      <c r="AE511" s="377" t="e">
        <f t="shared" ca="1" si="208"/>
        <v>#N/A</v>
      </c>
      <c r="AF511" s="344"/>
      <c r="AG511" s="359">
        <f t="shared" ca="1" si="230"/>
        <v>5.8369223421751322</v>
      </c>
      <c r="AH511" s="357">
        <f t="shared" ca="1" si="231"/>
        <v>-3.8742576313350199</v>
      </c>
    </row>
    <row r="512" spans="1:34" x14ac:dyDescent="0.2">
      <c r="A512" s="402">
        <f t="shared" ca="1" si="209"/>
        <v>1E-4</v>
      </c>
      <c r="B512" s="357">
        <f t="shared" ca="1" si="210"/>
        <v>15.617199999999922</v>
      </c>
      <c r="C512" s="342"/>
      <c r="D512" s="359">
        <f t="shared" ca="1" si="211"/>
        <v>-0.54852516930891404</v>
      </c>
      <c r="E512" s="360">
        <f t="shared" ca="1" si="212"/>
        <v>-5.9746991688265503</v>
      </c>
      <c r="F512" s="357">
        <f t="shared" ca="1" si="213"/>
        <v>5.9998258324173079</v>
      </c>
      <c r="G512" s="359">
        <f t="shared" ca="1" si="214"/>
        <v>9.5396873015636778</v>
      </c>
      <c r="H512" s="360">
        <f t="shared" ca="1" si="215"/>
        <v>-66.702698047767541</v>
      </c>
      <c r="I512" s="357">
        <f t="shared" ca="1" si="216"/>
        <v>67.381418511806856</v>
      </c>
      <c r="J512" s="359">
        <f t="shared" ca="1" si="217"/>
        <v>187.70931447689617</v>
      </c>
      <c r="K512" s="360">
        <f t="shared" ca="1" si="218"/>
        <v>-5.2041741666670704</v>
      </c>
      <c r="L512" s="357">
        <f t="shared" ca="1" si="203"/>
        <v>187.78144256060901</v>
      </c>
      <c r="M512" s="359">
        <f t="shared" ca="1" si="219"/>
        <v>-1.4287416235162997</v>
      </c>
      <c r="N512" s="357">
        <f t="shared" ca="1" si="220"/>
        <v>-81.860865042153179</v>
      </c>
      <c r="O512" s="343"/>
      <c r="P512" s="363">
        <f t="shared" ca="1" si="221"/>
        <v>23</v>
      </c>
      <c r="Q512" s="357">
        <f t="shared" ca="1" si="222"/>
        <v>0</v>
      </c>
      <c r="R512" s="359">
        <f t="shared" ca="1" si="223"/>
        <v>0</v>
      </c>
      <c r="S512" s="360">
        <f t="shared" ca="1" si="224"/>
        <v>1.5629999999999982</v>
      </c>
      <c r="T512" s="357">
        <f t="shared" ca="1" si="204"/>
        <v>15.333029999999983</v>
      </c>
      <c r="U512" s="364">
        <f t="shared" ca="1" si="205"/>
        <v>0</v>
      </c>
      <c r="V512" s="359">
        <f t="shared" ca="1" si="206"/>
        <v>1.2256376772645938</v>
      </c>
      <c r="W512" s="357">
        <f t="shared" ca="1" si="207"/>
        <v>6.0556825827110119</v>
      </c>
      <c r="X512" s="343"/>
      <c r="Y512" s="367" t="str">
        <f t="shared" ca="1" si="225"/>
        <v/>
      </c>
      <c r="Z512" s="368" t="str">
        <f t="shared" ca="1" si="226"/>
        <v/>
      </c>
      <c r="AA512" s="369" t="str">
        <f t="shared" ca="1" si="227"/>
        <v/>
      </c>
      <c r="AB512" s="344"/>
      <c r="AC512" s="363" t="e">
        <f t="shared" ca="1" si="228"/>
        <v>#N/A</v>
      </c>
      <c r="AD512" s="376" t="e">
        <f t="shared" ca="1" si="229"/>
        <v>#N/A</v>
      </c>
      <c r="AE512" s="377" t="e">
        <f t="shared" ca="1" si="208"/>
        <v>#N/A</v>
      </c>
      <c r="AF512" s="344"/>
      <c r="AG512" s="359">
        <f t="shared" ca="1" si="230"/>
        <v>5.836855497801217</v>
      </c>
      <c r="AH512" s="357">
        <f t="shared" ca="1" si="231"/>
        <v>-3.8743273386441071</v>
      </c>
    </row>
    <row r="513" spans="1:34" x14ac:dyDescent="0.2">
      <c r="A513" s="402">
        <f t="shared" ca="1" si="209"/>
        <v>1E-4</v>
      </c>
      <c r="B513" s="357">
        <f t="shared" ca="1" si="210"/>
        <v>15.617299999999922</v>
      </c>
      <c r="C513" s="342"/>
      <c r="D513" s="359">
        <f t="shared" ca="1" si="211"/>
        <v>-0.54852713279291387</v>
      </c>
      <c r="E513" s="360">
        <f t="shared" ca="1" si="212"/>
        <v>-5.9746290331029881</v>
      </c>
      <c r="F513" s="357">
        <f t="shared" ca="1" si="213"/>
        <v>5.9997561699295048</v>
      </c>
      <c r="G513" s="359">
        <f t="shared" ca="1" si="214"/>
        <v>9.5396324488503979</v>
      </c>
      <c r="H513" s="360">
        <f t="shared" ca="1" si="215"/>
        <v>-66.703295510670856</v>
      </c>
      <c r="I513" s="357">
        <f t="shared" ca="1" si="216"/>
        <v>67.382002190815328</v>
      </c>
      <c r="J513" s="359">
        <f t="shared" ca="1" si="217"/>
        <v>187.70931447689617</v>
      </c>
      <c r="K513" s="360">
        <f t="shared" ca="1" si="218"/>
        <v>-5.2108444663449927</v>
      </c>
      <c r="L513" s="357">
        <f t="shared" ca="1" si="203"/>
        <v>187.78162753964708</v>
      </c>
      <c r="M513" s="359">
        <f t="shared" ca="1" si="219"/>
        <v>-1.4287436847113255</v>
      </c>
      <c r="N513" s="357">
        <f t="shared" ca="1" si="220"/>
        <v>-81.860983139928919</v>
      </c>
      <c r="O513" s="343"/>
      <c r="P513" s="363">
        <f t="shared" ca="1" si="221"/>
        <v>23</v>
      </c>
      <c r="Q513" s="357">
        <f t="shared" ca="1" si="222"/>
        <v>0</v>
      </c>
      <c r="R513" s="359">
        <f t="shared" ca="1" si="223"/>
        <v>0</v>
      </c>
      <c r="S513" s="360">
        <f t="shared" ca="1" si="224"/>
        <v>1.5629999999999982</v>
      </c>
      <c r="T513" s="357">
        <f t="shared" ca="1" si="204"/>
        <v>15.333029999999983</v>
      </c>
      <c r="U513" s="364">
        <f t="shared" ca="1" si="205"/>
        <v>0</v>
      </c>
      <c r="V513" s="359">
        <f t="shared" ca="1" si="206"/>
        <v>1.2256384948019827</v>
      </c>
      <c r="W513" s="357">
        <f t="shared" ca="1" si="207"/>
        <v>6.0557915350074358</v>
      </c>
      <c r="X513" s="343"/>
      <c r="Y513" s="367" t="str">
        <f t="shared" ca="1" si="225"/>
        <v/>
      </c>
      <c r="Z513" s="368" t="str">
        <f t="shared" ca="1" si="226"/>
        <v/>
      </c>
      <c r="AA513" s="369" t="str">
        <f t="shared" ca="1" si="227"/>
        <v/>
      </c>
      <c r="AB513" s="344"/>
      <c r="AC513" s="363" t="e">
        <f t="shared" ca="1" si="228"/>
        <v>#N/A</v>
      </c>
      <c r="AD513" s="376" t="e">
        <f t="shared" ca="1" si="229"/>
        <v>#N/A</v>
      </c>
      <c r="AE513" s="377" t="e">
        <f t="shared" ca="1" si="208"/>
        <v>#N/A</v>
      </c>
      <c r="AF513" s="344"/>
      <c r="AG513" s="359">
        <f t="shared" ca="1" si="230"/>
        <v>5.8367886533928068</v>
      </c>
      <c r="AH513" s="357">
        <f t="shared" ca="1" si="231"/>
        <v>-3.8743970458803703</v>
      </c>
    </row>
    <row r="514" spans="1:34" x14ac:dyDescent="0.2">
      <c r="A514" s="402">
        <f t="shared" ca="1" si="209"/>
        <v>1E-4</v>
      </c>
      <c r="B514" s="357">
        <f t="shared" ca="1" si="210"/>
        <v>15.617399999999922</v>
      </c>
      <c r="C514" s="342"/>
      <c r="D514" s="359">
        <f t="shared" ca="1" si="211"/>
        <v>-0.54852909616221912</v>
      </c>
      <c r="E514" s="360">
        <f t="shared" ca="1" si="212"/>
        <v>-5.9745588974532353</v>
      </c>
      <c r="F514" s="357">
        <f t="shared" ca="1" si="213"/>
        <v>5.999686507516385</v>
      </c>
      <c r="G514" s="359">
        <f t="shared" ca="1" si="214"/>
        <v>9.5395775959407825</v>
      </c>
      <c r="H514" s="360">
        <f t="shared" ca="1" si="215"/>
        <v>-66.703892966560602</v>
      </c>
      <c r="I514" s="357">
        <f t="shared" ca="1" si="216"/>
        <v>67.382585863139369</v>
      </c>
      <c r="J514" s="359">
        <f t="shared" ca="1" si="217"/>
        <v>187.70931447689617</v>
      </c>
      <c r="K514" s="360">
        <f t="shared" ca="1" si="218"/>
        <v>-5.2175148257688546</v>
      </c>
      <c r="L514" s="357">
        <f t="shared" ca="1" si="203"/>
        <v>187.78181275710227</v>
      </c>
      <c r="M514" s="359">
        <f t="shared" ca="1" si="219"/>
        <v>-1.4287457458587913</v>
      </c>
      <c r="N514" s="357">
        <f t="shared" ca="1" si="220"/>
        <v>-81.861101234979657</v>
      </c>
      <c r="O514" s="343"/>
      <c r="P514" s="363">
        <f t="shared" ca="1" si="221"/>
        <v>23</v>
      </c>
      <c r="Q514" s="357">
        <f t="shared" ca="1" si="222"/>
        <v>0</v>
      </c>
      <c r="R514" s="359">
        <f t="shared" ca="1" si="223"/>
        <v>0</v>
      </c>
      <c r="S514" s="360">
        <f t="shared" ca="1" si="224"/>
        <v>1.5629999999999982</v>
      </c>
      <c r="T514" s="357">
        <f t="shared" ca="1" si="204"/>
        <v>15.333029999999983</v>
      </c>
      <c r="U514" s="364">
        <f t="shared" ca="1" si="205"/>
        <v>0</v>
      </c>
      <c r="V514" s="359">
        <f t="shared" ca="1" si="206"/>
        <v>1.2256393123472396</v>
      </c>
      <c r="W514" s="357">
        <f t="shared" ca="1" si="207"/>
        <v>6.0559004871899775</v>
      </c>
      <c r="X514" s="343"/>
      <c r="Y514" s="367" t="str">
        <f t="shared" ca="1" si="225"/>
        <v/>
      </c>
      <c r="Z514" s="368" t="str">
        <f t="shared" ca="1" si="226"/>
        <v/>
      </c>
      <c r="AA514" s="369" t="str">
        <f t="shared" ca="1" si="227"/>
        <v/>
      </c>
      <c r="AB514" s="344"/>
      <c r="AC514" s="363" t="e">
        <f t="shared" ca="1" si="228"/>
        <v>#N/A</v>
      </c>
      <c r="AD514" s="376" t="e">
        <f t="shared" ca="1" si="229"/>
        <v>#N/A</v>
      </c>
      <c r="AE514" s="377" t="e">
        <f t="shared" ca="1" si="208"/>
        <v>#N/A</v>
      </c>
      <c r="AF514" s="344"/>
      <c r="AG514" s="359">
        <f t="shared" ca="1" si="230"/>
        <v>5.8367218089499247</v>
      </c>
      <c r="AH514" s="357">
        <f t="shared" ca="1" si="231"/>
        <v>-3.8744667530437895</v>
      </c>
    </row>
    <row r="515" spans="1:34" x14ac:dyDescent="0.2">
      <c r="A515" s="402">
        <f t="shared" ca="1" si="209"/>
        <v>1E-4</v>
      </c>
      <c r="B515" s="357">
        <f t="shared" ca="1" si="210"/>
        <v>15.617499999999922</v>
      </c>
      <c r="C515" s="342"/>
      <c r="D515" s="359">
        <f t="shared" ca="1" si="211"/>
        <v>-0.54853105941682956</v>
      </c>
      <c r="E515" s="360">
        <f t="shared" ca="1" si="212"/>
        <v>-5.9744887618773106</v>
      </c>
      <c r="F515" s="357">
        <f t="shared" ca="1" si="213"/>
        <v>5.9996168451779681</v>
      </c>
      <c r="G515" s="359">
        <f t="shared" ca="1" si="214"/>
        <v>9.5395227428348406</v>
      </c>
      <c r="H515" s="360">
        <f t="shared" ca="1" si="215"/>
        <v>-66.704490415436794</v>
      </c>
      <c r="I515" s="357">
        <f t="shared" ca="1" si="216"/>
        <v>67.383169528778936</v>
      </c>
      <c r="J515" s="359">
        <f t="shared" ca="1" si="217"/>
        <v>187.70931447689617</v>
      </c>
      <c r="K515" s="360">
        <f t="shared" ca="1" si="218"/>
        <v>-5.2241852449379547</v>
      </c>
      <c r="L515" s="357">
        <f t="shared" ca="1" si="203"/>
        <v>187.78199821298028</v>
      </c>
      <c r="M515" s="359">
        <f t="shared" ca="1" si="219"/>
        <v>-1.4287478069586985</v>
      </c>
      <c r="N515" s="357">
        <f t="shared" ca="1" si="220"/>
        <v>-81.861219327305491</v>
      </c>
      <c r="O515" s="343"/>
      <c r="P515" s="363">
        <f t="shared" ca="1" si="221"/>
        <v>23</v>
      </c>
      <c r="Q515" s="357">
        <f t="shared" ca="1" si="222"/>
        <v>0</v>
      </c>
      <c r="R515" s="359">
        <f t="shared" ca="1" si="223"/>
        <v>0</v>
      </c>
      <c r="S515" s="360">
        <f t="shared" ca="1" si="224"/>
        <v>1.5629999999999982</v>
      </c>
      <c r="T515" s="357">
        <f t="shared" ca="1" si="204"/>
        <v>15.333029999999983</v>
      </c>
      <c r="U515" s="364">
        <f t="shared" ca="1" si="205"/>
        <v>0</v>
      </c>
      <c r="V515" s="359">
        <f t="shared" ca="1" si="206"/>
        <v>1.2256401299003639</v>
      </c>
      <c r="W515" s="357">
        <f t="shared" ca="1" si="207"/>
        <v>6.0560094392585953</v>
      </c>
      <c r="X515" s="343"/>
      <c r="Y515" s="367" t="str">
        <f t="shared" ca="1" si="225"/>
        <v/>
      </c>
      <c r="Z515" s="368" t="str">
        <f t="shared" ca="1" si="226"/>
        <v/>
      </c>
      <c r="AA515" s="369" t="str">
        <f t="shared" ca="1" si="227"/>
        <v/>
      </c>
      <c r="AB515" s="344"/>
      <c r="AC515" s="363" t="e">
        <f t="shared" ca="1" si="228"/>
        <v>#N/A</v>
      </c>
      <c r="AD515" s="376" t="e">
        <f t="shared" ca="1" si="229"/>
        <v>#N/A</v>
      </c>
      <c r="AE515" s="377" t="e">
        <f t="shared" ca="1" si="208"/>
        <v>#N/A</v>
      </c>
      <c r="AF515" s="344"/>
      <c r="AG515" s="359">
        <f t="shared" ca="1" si="230"/>
        <v>5.8366549644725882</v>
      </c>
      <c r="AH515" s="357">
        <f t="shared" ca="1" si="231"/>
        <v>-3.874536460134347</v>
      </c>
    </row>
    <row r="516" spans="1:34" x14ac:dyDescent="0.2">
      <c r="A516" s="402">
        <f t="shared" ca="1" si="209"/>
        <v>1E-4</v>
      </c>
      <c r="B516" s="357">
        <f t="shared" ca="1" si="210"/>
        <v>15.617599999999921</v>
      </c>
      <c r="C516" s="342"/>
      <c r="D516" s="359">
        <f t="shared" ca="1" si="211"/>
        <v>-0.54853302255674696</v>
      </c>
      <c r="E516" s="360">
        <f t="shared" ca="1" si="212"/>
        <v>-5.9744186263752397</v>
      </c>
      <c r="F516" s="357">
        <f t="shared" ca="1" si="213"/>
        <v>5.9995471829142781</v>
      </c>
      <c r="G516" s="359">
        <f t="shared" ca="1" si="214"/>
        <v>9.5394678895325846</v>
      </c>
      <c r="H516" s="360">
        <f t="shared" ca="1" si="215"/>
        <v>-66.705087857299432</v>
      </c>
      <c r="I516" s="357">
        <f t="shared" ca="1" si="216"/>
        <v>67.383753187734044</v>
      </c>
      <c r="J516" s="359">
        <f t="shared" ca="1" si="217"/>
        <v>187.70931447689617</v>
      </c>
      <c r="K516" s="360">
        <f t="shared" ca="1" si="218"/>
        <v>-5.2308557238515911</v>
      </c>
      <c r="L516" s="357">
        <f t="shared" ref="L516:L579" ca="1" si="232">SQRT(pos_x^2+pos_z^2)</f>
        <v>187.78218390728671</v>
      </c>
      <c r="M516" s="359">
        <f t="shared" ca="1" si="219"/>
        <v>-1.4287498680110491</v>
      </c>
      <c r="N516" s="357">
        <f t="shared" ca="1" si="220"/>
        <v>-81.861337416906537</v>
      </c>
      <c r="O516" s="343"/>
      <c r="P516" s="363">
        <f t="shared" ca="1" si="221"/>
        <v>23</v>
      </c>
      <c r="Q516" s="357">
        <f t="shared" ca="1" si="222"/>
        <v>0</v>
      </c>
      <c r="R516" s="359">
        <f t="shared" ca="1" si="223"/>
        <v>0</v>
      </c>
      <c r="S516" s="360">
        <f t="shared" ca="1" si="224"/>
        <v>1.5629999999999982</v>
      </c>
      <c r="T516" s="357">
        <f t="shared" ref="T516:T579" ca="1" si="233">m*g</f>
        <v>15.333029999999983</v>
      </c>
      <c r="U516" s="364">
        <f t="shared" ref="U516:U579" ca="1" si="234">IF(pos_xz&lt;L_rampe,Poids*COS(Beta),0)</f>
        <v>0</v>
      </c>
      <c r="V516" s="359">
        <f t="shared" ref="V516:V579" ca="1" si="235">Rho_moyen*(20000-Alt_rampe-pos_z)/(20000+Alt_rampe+pos_z)</f>
        <v>1.2256409474613568</v>
      </c>
      <c r="W516" s="357">
        <f t="shared" ref="W516:W579" ca="1" si="236">1/2*Rho*Sref*Cx*vit_xz^2</f>
        <v>6.0561183912132694</v>
      </c>
      <c r="X516" s="343"/>
      <c r="Y516" s="367" t="str">
        <f t="shared" ca="1" si="225"/>
        <v/>
      </c>
      <c r="Z516" s="368" t="str">
        <f t="shared" ca="1" si="226"/>
        <v/>
      </c>
      <c r="AA516" s="369" t="str">
        <f t="shared" ca="1" si="227"/>
        <v/>
      </c>
      <c r="AB516" s="344"/>
      <c r="AC516" s="363" t="e">
        <f t="shared" ca="1" si="228"/>
        <v>#N/A</v>
      </c>
      <c r="AD516" s="376" t="e">
        <f t="shared" ca="1" si="229"/>
        <v>#N/A</v>
      </c>
      <c r="AE516" s="377" t="e">
        <f t="shared" ref="AE516:AE579" ca="1" si="237">IF(t&lt;T_para, pos_z, NA())</f>
        <v>#N/A</v>
      </c>
      <c r="AF516" s="344"/>
      <c r="AG516" s="359">
        <f t="shared" ca="1" si="230"/>
        <v>5.8365881199608385</v>
      </c>
      <c r="AH516" s="357">
        <f t="shared" ca="1" si="231"/>
        <v>-3.8746061671520167</v>
      </c>
    </row>
    <row r="517" spans="1:34" x14ac:dyDescent="0.2">
      <c r="A517" s="402">
        <f t="shared" ref="A517:A580" ca="1" si="238">IF(B516+0.01&lt;=T_ini+ROUNDUP(Temps_fin_propu,0), 0.01, IF(K516&gt;0, 0.1, 0.0001))</f>
        <v>1E-4</v>
      </c>
      <c r="B517" s="357">
        <f t="shared" ref="B517:B580" ca="1" si="239">B516+pas</f>
        <v>15.617699999999921</v>
      </c>
      <c r="C517" s="342"/>
      <c r="D517" s="359">
        <f t="shared" ref="D517:D580" ca="1" si="240">IF(AND(L516&lt;L_rampe,Poussee&lt;Poids*SIN(M516)),0,(-W516+Poussee)/m*COS(M516)-U516/m*SIN(M516))</f>
        <v>-0.54853498558197222</v>
      </c>
      <c r="E517" s="360">
        <f t="shared" ref="E517:E580" ca="1" si="241">IF(AND(L516&lt;L_rampe,Poussee&lt;Poids*SIN(M516)),0,(-W516+Poussee)/m*SIN(M516)+U516/m*COS(M516)-Poids/m)</f>
        <v>-5.9743484909470368</v>
      </c>
      <c r="F517" s="357">
        <f t="shared" ref="F517:F580" ca="1" si="242">SQRT(acc_x^2+acc_z^2)</f>
        <v>5.9994775207253301</v>
      </c>
      <c r="G517" s="359">
        <f t="shared" ref="G517:G580" ca="1" si="243">G516+acc_x*pas</f>
        <v>9.539413036034027</v>
      </c>
      <c r="H517" s="360">
        <f t="shared" ref="H517:H580" ca="1" si="244">H516+acc_z*pas</f>
        <v>-66.70568529214853</v>
      </c>
      <c r="I517" s="357">
        <f t="shared" ref="I517:I580" ca="1" si="245">SQRT(vit_x^2+vit_z^2)</f>
        <v>67.384336840004721</v>
      </c>
      <c r="J517" s="359">
        <f t="shared" ref="J517:J580" ca="1" si="246">J516+0.5*(vit_x+G516)*pas*(K516&gt;=0)</f>
        <v>187.70931447689617</v>
      </c>
      <c r="K517" s="360">
        <f t="shared" ref="K517:K580" ca="1" si="247">K516+0.5*(vit_z+H516)*pas</f>
        <v>-5.2375262625090633</v>
      </c>
      <c r="L517" s="357">
        <f t="shared" ca="1" si="232"/>
        <v>187.78236984002723</v>
      </c>
      <c r="M517" s="359">
        <f t="shared" ref="M517:M580" ca="1" si="248">IF(AND(L516&gt;L_rampe,G517&gt;0),ATAN2(G517,H517),$M$4)</f>
        <v>-1.4287519290158444</v>
      </c>
      <c r="N517" s="357">
        <f t="shared" ref="N517:N580" ca="1" si="249">DEGREES(Beta)</f>
        <v>-81.861455503782864</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1.5629999999999982</v>
      </c>
      <c r="T517" s="357">
        <f t="shared" ca="1" si="233"/>
        <v>15.333029999999983</v>
      </c>
      <c r="U517" s="364">
        <f t="shared" ca="1" si="234"/>
        <v>0</v>
      </c>
      <c r="V517" s="359">
        <f t="shared" ca="1" si="235"/>
        <v>1.2256417650302176</v>
      </c>
      <c r="W517" s="357">
        <f t="shared" ca="1" si="236"/>
        <v>6.0562273430539699</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t="e">
        <f t="shared" ca="1" si="237"/>
        <v>#N/A</v>
      </c>
      <c r="AF517" s="344"/>
      <c r="AG517" s="359">
        <f t="shared" ref="AG517:AG580" ca="1" si="259">IF(AND(L516&lt;L_rampe,Poussee&lt;Poids*SIN(M516)),0,(-W516+Poussee)/m-Poids*SIN(M516)/m)</f>
        <v>5.836521275414686</v>
      </c>
      <c r="AH517" s="357">
        <f t="shared" ref="AH517:AH580" ca="1" si="260">IF(AND(L516&lt;L_rampe,Poussee&lt;Poids*SIN(M516)), g*SIN(M516), (-W516+Poussee)/m)</f>
        <v>-3.8746758740967859</v>
      </c>
    </row>
    <row r="518" spans="1:34" x14ac:dyDescent="0.2">
      <c r="A518" s="402">
        <f t="shared" ca="1" si="238"/>
        <v>1E-4</v>
      </c>
      <c r="B518" s="357">
        <f t="shared" ca="1" si="239"/>
        <v>15.617799999999921</v>
      </c>
      <c r="C518" s="342"/>
      <c r="D518" s="359">
        <f t="shared" ca="1" si="240"/>
        <v>-0.54853694849250778</v>
      </c>
      <c r="E518" s="360">
        <f t="shared" ca="1" si="241"/>
        <v>-5.9742783555927197</v>
      </c>
      <c r="F518" s="357">
        <f t="shared" ca="1" si="242"/>
        <v>5.9994078586111419</v>
      </c>
      <c r="G518" s="359">
        <f t="shared" ca="1" si="243"/>
        <v>9.5393581823391784</v>
      </c>
      <c r="H518" s="360">
        <f t="shared" ca="1" si="244"/>
        <v>-66.706282719984088</v>
      </c>
      <c r="I518" s="357">
        <f t="shared" ca="1" si="245"/>
        <v>67.384920485590911</v>
      </c>
      <c r="J518" s="359">
        <f t="shared" ca="1" si="246"/>
        <v>187.70931447689617</v>
      </c>
      <c r="K518" s="360">
        <f t="shared" ca="1" si="247"/>
        <v>-5.2441968609096703</v>
      </c>
      <c r="L518" s="357">
        <f t="shared" ca="1" si="232"/>
        <v>187.78255601120748</v>
      </c>
      <c r="M518" s="359">
        <f t="shared" ca="1" si="248"/>
        <v>-1.4287539899730866</v>
      </c>
      <c r="N518" s="357">
        <f t="shared" ca="1" si="249"/>
        <v>-81.8615735879346</v>
      </c>
      <c r="O518" s="343"/>
      <c r="P518" s="363">
        <f t="shared" ca="1" si="250"/>
        <v>23</v>
      </c>
      <c r="Q518" s="357">
        <f t="shared" ca="1" si="251"/>
        <v>0</v>
      </c>
      <c r="R518" s="359">
        <f t="shared" ca="1" si="252"/>
        <v>0</v>
      </c>
      <c r="S518" s="360">
        <f t="shared" ca="1" si="253"/>
        <v>1.5629999999999982</v>
      </c>
      <c r="T518" s="357">
        <f t="shared" ca="1" si="233"/>
        <v>15.333029999999983</v>
      </c>
      <c r="U518" s="364">
        <f t="shared" ca="1" si="234"/>
        <v>0</v>
      </c>
      <c r="V518" s="359">
        <f t="shared" ca="1" si="235"/>
        <v>1.2256425826069461</v>
      </c>
      <c r="W518" s="357">
        <f t="shared" ca="1" si="236"/>
        <v>6.0563362947806585</v>
      </c>
      <c r="X518" s="343"/>
      <c r="Y518" s="367" t="str">
        <f t="shared" ca="1" si="254"/>
        <v/>
      </c>
      <c r="Z518" s="368" t="str">
        <f t="shared" ca="1" si="255"/>
        <v/>
      </c>
      <c r="AA518" s="369" t="str">
        <f t="shared" ca="1" si="256"/>
        <v/>
      </c>
      <c r="AB518" s="344"/>
      <c r="AC518" s="363" t="e">
        <f t="shared" ca="1" si="257"/>
        <v>#N/A</v>
      </c>
      <c r="AD518" s="376" t="e">
        <f t="shared" ca="1" si="258"/>
        <v>#N/A</v>
      </c>
      <c r="AE518" s="377" t="e">
        <f t="shared" ca="1" si="237"/>
        <v>#N/A</v>
      </c>
      <c r="AF518" s="344"/>
      <c r="AG518" s="359">
        <f t="shared" ca="1" si="259"/>
        <v>5.8364544308341557</v>
      </c>
      <c r="AH518" s="357">
        <f t="shared" ca="1" si="260"/>
        <v>-3.8747455809686353</v>
      </c>
    </row>
    <row r="519" spans="1:34" x14ac:dyDescent="0.2">
      <c r="A519" s="402">
        <f t="shared" ca="1" si="238"/>
        <v>1E-4</v>
      </c>
      <c r="B519" s="357">
        <f t="shared" ca="1" si="239"/>
        <v>15.617899999999921</v>
      </c>
      <c r="C519" s="342"/>
      <c r="D519" s="359">
        <f t="shared" ca="1" si="240"/>
        <v>-0.54853891128835186</v>
      </c>
      <c r="E519" s="360">
        <f t="shared" ca="1" si="241"/>
        <v>-5.9742082203123132</v>
      </c>
      <c r="F519" s="357">
        <f t="shared" ca="1" si="242"/>
        <v>5.9993381965717374</v>
      </c>
      <c r="G519" s="359">
        <f t="shared" ca="1" si="243"/>
        <v>9.5393033284480495</v>
      </c>
      <c r="H519" s="360">
        <f t="shared" ca="1" si="244"/>
        <v>-66.70688014080612</v>
      </c>
      <c r="I519" s="357">
        <f t="shared" ca="1" si="245"/>
        <v>67.385504124492641</v>
      </c>
      <c r="J519" s="359">
        <f t="shared" ca="1" si="246"/>
        <v>187.70931447689617</v>
      </c>
      <c r="K519" s="360">
        <f t="shared" ca="1" si="247"/>
        <v>-5.2508675190527097</v>
      </c>
      <c r="L519" s="357">
        <f t="shared" ca="1" si="232"/>
        <v>187.78274242083307</v>
      </c>
      <c r="M519" s="359">
        <f t="shared" ca="1" si="248"/>
        <v>-1.4287560508827768</v>
      </c>
      <c r="N519" s="357">
        <f t="shared" ca="1" si="249"/>
        <v>-81.861691669361804</v>
      </c>
      <c r="O519" s="343"/>
      <c r="P519" s="363">
        <f t="shared" ca="1" si="250"/>
        <v>23</v>
      </c>
      <c r="Q519" s="357">
        <f t="shared" ca="1" si="251"/>
        <v>0</v>
      </c>
      <c r="R519" s="359">
        <f t="shared" ca="1" si="252"/>
        <v>0</v>
      </c>
      <c r="S519" s="360">
        <f t="shared" ca="1" si="253"/>
        <v>1.5629999999999982</v>
      </c>
      <c r="T519" s="357">
        <f t="shared" ca="1" si="233"/>
        <v>15.333029999999983</v>
      </c>
      <c r="U519" s="364">
        <f t="shared" ca="1" si="234"/>
        <v>0</v>
      </c>
      <c r="V519" s="359">
        <f t="shared" ca="1" si="235"/>
        <v>1.2256434001915422</v>
      </c>
      <c r="W519" s="357">
        <f t="shared" ca="1" si="236"/>
        <v>6.0564452463933058</v>
      </c>
      <c r="X519" s="343"/>
      <c r="Y519" s="367" t="str">
        <f t="shared" ca="1" si="254"/>
        <v/>
      </c>
      <c r="Z519" s="368" t="str">
        <f t="shared" ca="1" si="255"/>
        <v/>
      </c>
      <c r="AA519" s="369" t="str">
        <f t="shared" ca="1" si="256"/>
        <v/>
      </c>
      <c r="AB519" s="344"/>
      <c r="AC519" s="363" t="e">
        <f t="shared" ca="1" si="257"/>
        <v>#N/A</v>
      </c>
      <c r="AD519" s="376" t="e">
        <f t="shared" ca="1" si="258"/>
        <v>#N/A</v>
      </c>
      <c r="AE519" s="377" t="e">
        <f t="shared" ca="1" si="237"/>
        <v>#N/A</v>
      </c>
      <c r="AF519" s="344"/>
      <c r="AG519" s="359">
        <f t="shared" ca="1" si="259"/>
        <v>5.8363875862192822</v>
      </c>
      <c r="AH519" s="357">
        <f t="shared" ca="1" si="260"/>
        <v>-3.8748152877675404</v>
      </c>
    </row>
    <row r="520" spans="1:34" x14ac:dyDescent="0.2">
      <c r="A520" s="402">
        <f t="shared" ca="1" si="238"/>
        <v>1E-4</v>
      </c>
      <c r="B520" s="357">
        <f t="shared" ca="1" si="239"/>
        <v>15.61799999999992</v>
      </c>
      <c r="C520" s="342"/>
      <c r="D520" s="359">
        <f t="shared" ca="1" si="240"/>
        <v>-0.54854087396950835</v>
      </c>
      <c r="E520" s="360">
        <f t="shared" ca="1" si="241"/>
        <v>-5.974138085105837</v>
      </c>
      <c r="F520" s="357">
        <f t="shared" ca="1" si="242"/>
        <v>5.999268534607137</v>
      </c>
      <c r="G520" s="359">
        <f t="shared" ca="1" si="243"/>
        <v>9.5392484743606527</v>
      </c>
      <c r="H520" s="360">
        <f t="shared" ca="1" si="244"/>
        <v>-66.707477554614627</v>
      </c>
      <c r="I520" s="357">
        <f t="shared" ca="1" si="245"/>
        <v>67.386087756709884</v>
      </c>
      <c r="J520" s="359">
        <f t="shared" ca="1" si="246"/>
        <v>187.70931447689617</v>
      </c>
      <c r="K520" s="360">
        <f t="shared" ca="1" si="247"/>
        <v>-5.2575382369374806</v>
      </c>
      <c r="L520" s="357">
        <f t="shared" ca="1" si="232"/>
        <v>187.78292906890968</v>
      </c>
      <c r="M520" s="359">
        <f t="shared" ca="1" si="248"/>
        <v>-1.4287581117449173</v>
      </c>
      <c r="N520" s="357">
        <f t="shared" ca="1" si="249"/>
        <v>-81.861809748064616</v>
      </c>
      <c r="O520" s="343"/>
      <c r="P520" s="363">
        <f t="shared" ca="1" si="250"/>
        <v>23</v>
      </c>
      <c r="Q520" s="357">
        <f t="shared" ca="1" si="251"/>
        <v>0</v>
      </c>
      <c r="R520" s="359">
        <f t="shared" ca="1" si="252"/>
        <v>0</v>
      </c>
      <c r="S520" s="360">
        <f t="shared" ca="1" si="253"/>
        <v>1.5629999999999982</v>
      </c>
      <c r="T520" s="357">
        <f t="shared" ca="1" si="233"/>
        <v>15.333029999999983</v>
      </c>
      <c r="U520" s="364">
        <f t="shared" ca="1" si="234"/>
        <v>0</v>
      </c>
      <c r="V520" s="359">
        <f t="shared" ca="1" si="235"/>
        <v>1.2256442177840063</v>
      </c>
      <c r="W520" s="357">
        <f t="shared" ca="1" si="236"/>
        <v>6.0565541978918818</v>
      </c>
      <c r="X520" s="343"/>
      <c r="Y520" s="367" t="str">
        <f t="shared" ca="1" si="254"/>
        <v/>
      </c>
      <c r="Z520" s="368" t="str">
        <f t="shared" ca="1" si="255"/>
        <v/>
      </c>
      <c r="AA520" s="369" t="str">
        <f t="shared" ca="1" si="256"/>
        <v/>
      </c>
      <c r="AB520" s="344"/>
      <c r="AC520" s="363" t="e">
        <f t="shared" ca="1" si="257"/>
        <v>#N/A</v>
      </c>
      <c r="AD520" s="376" t="e">
        <f t="shared" ca="1" si="258"/>
        <v>#N/A</v>
      </c>
      <c r="AE520" s="377" t="e">
        <f t="shared" ca="1" si="237"/>
        <v>#N/A</v>
      </c>
      <c r="AF520" s="344"/>
      <c r="AG520" s="359">
        <f t="shared" ca="1" si="259"/>
        <v>5.8363207415700842</v>
      </c>
      <c r="AH520" s="357">
        <f t="shared" ca="1" si="260"/>
        <v>-3.8748849944934824</v>
      </c>
    </row>
    <row r="521" spans="1:34" x14ac:dyDescent="0.2">
      <c r="A521" s="402">
        <f t="shared" ca="1" si="238"/>
        <v>1E-4</v>
      </c>
      <c r="B521" s="357">
        <f t="shared" ca="1" si="239"/>
        <v>15.61809999999992</v>
      </c>
      <c r="C521" s="342"/>
      <c r="D521" s="359">
        <f t="shared" ca="1" si="240"/>
        <v>-0.54854283653597602</v>
      </c>
      <c r="E521" s="360">
        <f t="shared" ca="1" si="241"/>
        <v>-5.9740679499733087</v>
      </c>
      <c r="F521" s="357">
        <f t="shared" ca="1" si="242"/>
        <v>5.9991988727173586</v>
      </c>
      <c r="G521" s="359">
        <f t="shared" ca="1" si="243"/>
        <v>9.5391936200769987</v>
      </c>
      <c r="H521" s="360">
        <f t="shared" ca="1" si="244"/>
        <v>-66.708074961409622</v>
      </c>
      <c r="I521" s="357">
        <f t="shared" ca="1" si="245"/>
        <v>67.386671382242668</v>
      </c>
      <c r="J521" s="359">
        <f t="shared" ca="1" si="246"/>
        <v>187.70931447689617</v>
      </c>
      <c r="K521" s="360">
        <f t="shared" ca="1" si="247"/>
        <v>-5.2642090145632814</v>
      </c>
      <c r="L521" s="357">
        <f t="shared" ca="1" si="232"/>
        <v>187.7831159554429</v>
      </c>
      <c r="M521" s="359">
        <f t="shared" ca="1" si="248"/>
        <v>-1.4287601725595096</v>
      </c>
      <c r="N521" s="357">
        <f t="shared" ca="1" si="249"/>
        <v>-81.861927824043121</v>
      </c>
      <c r="O521" s="343"/>
      <c r="P521" s="363">
        <f t="shared" ca="1" si="250"/>
        <v>23</v>
      </c>
      <c r="Q521" s="357">
        <f t="shared" ca="1" si="251"/>
        <v>0</v>
      </c>
      <c r="R521" s="359">
        <f t="shared" ca="1" si="252"/>
        <v>0</v>
      </c>
      <c r="S521" s="360">
        <f t="shared" ca="1" si="253"/>
        <v>1.5629999999999982</v>
      </c>
      <c r="T521" s="357">
        <f t="shared" ca="1" si="233"/>
        <v>15.333029999999983</v>
      </c>
      <c r="U521" s="364">
        <f t="shared" ca="1" si="234"/>
        <v>0</v>
      </c>
      <c r="V521" s="359">
        <f t="shared" ca="1" si="235"/>
        <v>1.2256450353843384</v>
      </c>
      <c r="W521" s="357">
        <f t="shared" ca="1" si="236"/>
        <v>6.0566631492763623</v>
      </c>
      <c r="X521" s="343"/>
      <c r="Y521" s="367" t="str">
        <f t="shared" ca="1" si="254"/>
        <v/>
      </c>
      <c r="Z521" s="368" t="str">
        <f t="shared" ca="1" si="255"/>
        <v/>
      </c>
      <c r="AA521" s="369" t="str">
        <f t="shared" ca="1" si="256"/>
        <v/>
      </c>
      <c r="AB521" s="344"/>
      <c r="AC521" s="363" t="e">
        <f t="shared" ca="1" si="257"/>
        <v>#N/A</v>
      </c>
      <c r="AD521" s="376" t="e">
        <f t="shared" ca="1" si="258"/>
        <v>#N/A</v>
      </c>
      <c r="AE521" s="377" t="e">
        <f t="shared" ca="1" si="237"/>
        <v>#N/A</v>
      </c>
      <c r="AF521" s="344"/>
      <c r="AG521" s="359">
        <f t="shared" ca="1" si="259"/>
        <v>5.83625389688659</v>
      </c>
      <c r="AH521" s="357">
        <f t="shared" ca="1" si="260"/>
        <v>-3.874954701146442</v>
      </c>
    </row>
    <row r="522" spans="1:34" x14ac:dyDescent="0.2">
      <c r="A522" s="402">
        <f t="shared" ca="1" si="238"/>
        <v>1E-4</v>
      </c>
      <c r="B522" s="357">
        <f t="shared" ca="1" si="239"/>
        <v>15.61819999999992</v>
      </c>
      <c r="C522" s="342"/>
      <c r="D522" s="359">
        <f t="shared" ca="1" si="240"/>
        <v>-0.5485447989877571</v>
      </c>
      <c r="E522" s="360">
        <f t="shared" ca="1" si="241"/>
        <v>-5.9739978149147461</v>
      </c>
      <c r="F522" s="357">
        <f t="shared" ca="1" si="242"/>
        <v>5.999129210902419</v>
      </c>
      <c r="G522" s="359">
        <f t="shared" ca="1" si="243"/>
        <v>9.5391387655970998</v>
      </c>
      <c r="H522" s="360">
        <f t="shared" ca="1" si="244"/>
        <v>-66.70867236119112</v>
      </c>
      <c r="I522" s="357">
        <f t="shared" ca="1" si="245"/>
        <v>67.387255001090992</v>
      </c>
      <c r="J522" s="359">
        <f t="shared" ca="1" si="246"/>
        <v>187.70931447689617</v>
      </c>
      <c r="K522" s="360">
        <f t="shared" ca="1" si="247"/>
        <v>-5.2708798519294113</v>
      </c>
      <c r="L522" s="357">
        <f t="shared" ca="1" si="232"/>
        <v>187.78330308043837</v>
      </c>
      <c r="M522" s="359">
        <f t="shared" ca="1" si="248"/>
        <v>-1.4287622333265553</v>
      </c>
      <c r="N522" s="357">
        <f t="shared" ca="1" si="249"/>
        <v>-81.862045897297392</v>
      </c>
      <c r="O522" s="343"/>
      <c r="P522" s="363">
        <f t="shared" ca="1" si="250"/>
        <v>23</v>
      </c>
      <c r="Q522" s="357">
        <f t="shared" ca="1" si="251"/>
        <v>0</v>
      </c>
      <c r="R522" s="359">
        <f t="shared" ca="1" si="252"/>
        <v>0</v>
      </c>
      <c r="S522" s="360">
        <f t="shared" ca="1" si="253"/>
        <v>1.5629999999999982</v>
      </c>
      <c r="T522" s="357">
        <f t="shared" ca="1" si="233"/>
        <v>15.333029999999983</v>
      </c>
      <c r="U522" s="364">
        <f t="shared" ca="1" si="234"/>
        <v>0</v>
      </c>
      <c r="V522" s="359">
        <f t="shared" ca="1" si="235"/>
        <v>1.2256458529925378</v>
      </c>
      <c r="W522" s="357">
        <f t="shared" ca="1" si="236"/>
        <v>6.0567721005467119</v>
      </c>
      <c r="X522" s="343"/>
      <c r="Y522" s="367" t="str">
        <f t="shared" ca="1" si="254"/>
        <v/>
      </c>
      <c r="Z522" s="368" t="str">
        <f t="shared" ca="1" si="255"/>
        <v/>
      </c>
      <c r="AA522" s="369" t="str">
        <f t="shared" ca="1" si="256"/>
        <v/>
      </c>
      <c r="AB522" s="344"/>
      <c r="AC522" s="363" t="e">
        <f t="shared" ca="1" si="257"/>
        <v>#N/A</v>
      </c>
      <c r="AD522" s="376" t="e">
        <f t="shared" ca="1" si="258"/>
        <v>#N/A</v>
      </c>
      <c r="AE522" s="377" t="e">
        <f t="shared" ca="1" si="237"/>
        <v>#N/A</v>
      </c>
      <c r="AF522" s="344"/>
      <c r="AG522" s="359">
        <f t="shared" ca="1" si="259"/>
        <v>5.8361870521688193</v>
      </c>
      <c r="AH522" s="357">
        <f t="shared" ca="1" si="260"/>
        <v>-3.875024407726404</v>
      </c>
    </row>
    <row r="523" spans="1:34" x14ac:dyDescent="0.2">
      <c r="A523" s="402">
        <f t="shared" ca="1" si="238"/>
        <v>1E-4</v>
      </c>
      <c r="B523" s="357">
        <f t="shared" ca="1" si="239"/>
        <v>15.61829999999992</v>
      </c>
      <c r="C523" s="342"/>
      <c r="D523" s="359">
        <f t="shared" ca="1" si="240"/>
        <v>-0.54854676132485292</v>
      </c>
      <c r="E523" s="360">
        <f t="shared" ca="1" si="241"/>
        <v>-5.9739276799301706</v>
      </c>
      <c r="F523" s="357">
        <f t="shared" ca="1" si="242"/>
        <v>5.9990595491623404</v>
      </c>
      <c r="G523" s="359">
        <f t="shared" ca="1" si="243"/>
        <v>9.5390839109209669</v>
      </c>
      <c r="H523" s="360">
        <f t="shared" ca="1" si="244"/>
        <v>-66.709269753959106</v>
      </c>
      <c r="I523" s="357">
        <f t="shared" ca="1" si="245"/>
        <v>67.3878386132548</v>
      </c>
      <c r="J523" s="359">
        <f t="shared" ca="1" si="246"/>
        <v>187.70931447689617</v>
      </c>
      <c r="K523" s="360">
        <f t="shared" ca="1" si="247"/>
        <v>-5.2775507490351687</v>
      </c>
      <c r="L523" s="357">
        <f t="shared" ca="1" si="232"/>
        <v>187.78349044390177</v>
      </c>
      <c r="M523" s="359">
        <f t="shared" ca="1" si="248"/>
        <v>-1.4287642940460561</v>
      </c>
      <c r="N523" s="357">
        <f t="shared" ca="1" si="249"/>
        <v>-81.862163967827556</v>
      </c>
      <c r="O523" s="343"/>
      <c r="P523" s="363">
        <f t="shared" ca="1" si="250"/>
        <v>23</v>
      </c>
      <c r="Q523" s="357">
        <f t="shared" ca="1" si="251"/>
        <v>0</v>
      </c>
      <c r="R523" s="359">
        <f t="shared" ca="1" si="252"/>
        <v>0</v>
      </c>
      <c r="S523" s="360">
        <f t="shared" ca="1" si="253"/>
        <v>1.5629999999999982</v>
      </c>
      <c r="T523" s="357">
        <f t="shared" ca="1" si="233"/>
        <v>15.333029999999983</v>
      </c>
      <c r="U523" s="364">
        <f t="shared" ca="1" si="234"/>
        <v>0</v>
      </c>
      <c r="V523" s="359">
        <f t="shared" ca="1" si="235"/>
        <v>1.2256466706086049</v>
      </c>
      <c r="W523" s="357">
        <f t="shared" ca="1" si="236"/>
        <v>6.056881051702895</v>
      </c>
      <c r="X523" s="343"/>
      <c r="Y523" s="367" t="str">
        <f t="shared" ca="1" si="254"/>
        <v/>
      </c>
      <c r="Z523" s="368" t="str">
        <f t="shared" ca="1" si="255"/>
        <v/>
      </c>
      <c r="AA523" s="369" t="str">
        <f t="shared" ca="1" si="256"/>
        <v/>
      </c>
      <c r="AB523" s="344"/>
      <c r="AC523" s="363" t="e">
        <f t="shared" ca="1" si="257"/>
        <v>#N/A</v>
      </c>
      <c r="AD523" s="376" t="e">
        <f t="shared" ca="1" si="258"/>
        <v>#N/A</v>
      </c>
      <c r="AE523" s="377" t="e">
        <f t="shared" ca="1" si="237"/>
        <v>#N/A</v>
      </c>
      <c r="AF523" s="344"/>
      <c r="AG523" s="359">
        <f t="shared" ca="1" si="259"/>
        <v>5.8361202074167977</v>
      </c>
      <c r="AH523" s="357">
        <f t="shared" ca="1" si="260"/>
        <v>-3.8750941142333453</v>
      </c>
    </row>
    <row r="524" spans="1:34" x14ac:dyDescent="0.2">
      <c r="A524" s="402">
        <f t="shared" ca="1" si="238"/>
        <v>1E-4</v>
      </c>
      <c r="B524" s="357">
        <f t="shared" ca="1" si="239"/>
        <v>15.618399999999919</v>
      </c>
      <c r="C524" s="342"/>
      <c r="D524" s="359">
        <f t="shared" ca="1" si="240"/>
        <v>-0.54854872354726358</v>
      </c>
      <c r="E524" s="360">
        <f t="shared" ca="1" si="241"/>
        <v>-5.9738575450196052</v>
      </c>
      <c r="F524" s="357">
        <f t="shared" ca="1" si="242"/>
        <v>5.9989898874971441</v>
      </c>
      <c r="G524" s="359">
        <f t="shared" ca="1" si="243"/>
        <v>9.5390290560486122</v>
      </c>
      <c r="H524" s="360">
        <f t="shared" ca="1" si="244"/>
        <v>-66.709867139713609</v>
      </c>
      <c r="I524" s="357">
        <f t="shared" ca="1" si="245"/>
        <v>67.388422218734135</v>
      </c>
      <c r="J524" s="359">
        <f t="shared" ca="1" si="246"/>
        <v>187.70931447689617</v>
      </c>
      <c r="K524" s="360">
        <f t="shared" ca="1" si="247"/>
        <v>-5.284221705879852</v>
      </c>
      <c r="L524" s="357">
        <f t="shared" ca="1" si="232"/>
        <v>187.78367804583866</v>
      </c>
      <c r="M524" s="359">
        <f t="shared" ca="1" si="248"/>
        <v>-1.4287663547180138</v>
      </c>
      <c r="N524" s="357">
        <f t="shared" ca="1" si="249"/>
        <v>-81.862282035633683</v>
      </c>
      <c r="O524" s="343"/>
      <c r="P524" s="363">
        <f t="shared" ca="1" si="250"/>
        <v>23</v>
      </c>
      <c r="Q524" s="357">
        <f t="shared" ca="1" si="251"/>
        <v>0</v>
      </c>
      <c r="R524" s="359">
        <f t="shared" ca="1" si="252"/>
        <v>0</v>
      </c>
      <c r="S524" s="360">
        <f t="shared" ca="1" si="253"/>
        <v>1.5629999999999982</v>
      </c>
      <c r="T524" s="357">
        <f t="shared" ca="1" si="233"/>
        <v>15.333029999999983</v>
      </c>
      <c r="U524" s="364">
        <f t="shared" ca="1" si="234"/>
        <v>0</v>
      </c>
      <c r="V524" s="359">
        <f t="shared" ca="1" si="235"/>
        <v>1.2256474882325388</v>
      </c>
      <c r="W524" s="357">
        <f t="shared" ca="1" si="236"/>
        <v>6.0569900027448824</v>
      </c>
      <c r="X524" s="343"/>
      <c r="Y524" s="367" t="str">
        <f t="shared" ca="1" si="254"/>
        <v/>
      </c>
      <c r="Z524" s="368" t="str">
        <f t="shared" ca="1" si="255"/>
        <v/>
      </c>
      <c r="AA524" s="369" t="str">
        <f t="shared" ca="1" si="256"/>
        <v/>
      </c>
      <c r="AB524" s="344"/>
      <c r="AC524" s="363" t="e">
        <f t="shared" ca="1" si="257"/>
        <v>#N/A</v>
      </c>
      <c r="AD524" s="376" t="e">
        <f t="shared" ca="1" si="258"/>
        <v>#N/A</v>
      </c>
      <c r="AE524" s="377" t="e">
        <f t="shared" ca="1" si="237"/>
        <v>#N/A</v>
      </c>
      <c r="AF524" s="344"/>
      <c r="AG524" s="359">
        <f t="shared" ca="1" si="259"/>
        <v>5.8360533626305546</v>
      </c>
      <c r="AH524" s="357">
        <f t="shared" ca="1" si="260"/>
        <v>-3.8751638206672436</v>
      </c>
    </row>
    <row r="525" spans="1:34" x14ac:dyDescent="0.2">
      <c r="A525" s="402">
        <f t="shared" ca="1" si="238"/>
        <v>1E-4</v>
      </c>
      <c r="B525" s="357">
        <f t="shared" ca="1" si="239"/>
        <v>15.618499999999919</v>
      </c>
      <c r="C525" s="342"/>
      <c r="D525" s="359">
        <f t="shared" ca="1" si="240"/>
        <v>-0.54855068565499032</v>
      </c>
      <c r="E525" s="360">
        <f t="shared" ca="1" si="241"/>
        <v>-5.9737874101830677</v>
      </c>
      <c r="F525" s="357">
        <f t="shared" ca="1" si="242"/>
        <v>5.9989202259068488</v>
      </c>
      <c r="G525" s="359">
        <f t="shared" ca="1" si="243"/>
        <v>9.5389742009800464</v>
      </c>
      <c r="H525" s="360">
        <f t="shared" ca="1" si="244"/>
        <v>-66.710464518454629</v>
      </c>
      <c r="I525" s="357">
        <f t="shared" ca="1" si="245"/>
        <v>67.389005817528997</v>
      </c>
      <c r="J525" s="359">
        <f t="shared" ca="1" si="246"/>
        <v>187.70931447689617</v>
      </c>
      <c r="K525" s="360">
        <f t="shared" ca="1" si="247"/>
        <v>-5.2908927224627602</v>
      </c>
      <c r="L525" s="357">
        <f t="shared" ca="1" si="232"/>
        <v>187.78386588625474</v>
      </c>
      <c r="M525" s="359">
        <f t="shared" ca="1" si="248"/>
        <v>-1.42876841534243</v>
      </c>
      <c r="N525" s="357">
        <f t="shared" ca="1" si="249"/>
        <v>-81.862400100715902</v>
      </c>
      <c r="O525" s="343"/>
      <c r="P525" s="363">
        <f t="shared" ca="1" si="250"/>
        <v>23</v>
      </c>
      <c r="Q525" s="357">
        <f t="shared" ca="1" si="251"/>
        <v>0</v>
      </c>
      <c r="R525" s="359">
        <f t="shared" ca="1" si="252"/>
        <v>0</v>
      </c>
      <c r="S525" s="360">
        <f t="shared" ca="1" si="253"/>
        <v>1.5629999999999982</v>
      </c>
      <c r="T525" s="357">
        <f t="shared" ca="1" si="233"/>
        <v>15.333029999999983</v>
      </c>
      <c r="U525" s="364">
        <f t="shared" ca="1" si="234"/>
        <v>0</v>
      </c>
      <c r="V525" s="359">
        <f t="shared" ca="1" si="235"/>
        <v>1.2256483058643408</v>
      </c>
      <c r="W525" s="357">
        <f t="shared" ca="1" si="236"/>
        <v>6.0570989536726536</v>
      </c>
      <c r="X525" s="343"/>
      <c r="Y525" s="367" t="str">
        <f t="shared" ca="1" si="254"/>
        <v/>
      </c>
      <c r="Z525" s="368" t="str">
        <f t="shared" ca="1" si="255"/>
        <v/>
      </c>
      <c r="AA525" s="369" t="str">
        <f t="shared" ca="1" si="256"/>
        <v/>
      </c>
      <c r="AB525" s="344"/>
      <c r="AC525" s="363" t="e">
        <f t="shared" ca="1" si="257"/>
        <v>#N/A</v>
      </c>
      <c r="AD525" s="376" t="e">
        <f t="shared" ca="1" si="258"/>
        <v>#N/A</v>
      </c>
      <c r="AE525" s="377" t="e">
        <f t="shared" ca="1" si="237"/>
        <v>#N/A</v>
      </c>
      <c r="AF525" s="344"/>
      <c r="AG525" s="359">
        <f t="shared" ca="1" si="259"/>
        <v>5.835986517810114</v>
      </c>
      <c r="AH525" s="357">
        <f t="shared" ca="1" si="260"/>
        <v>-3.8752335270280804</v>
      </c>
    </row>
    <row r="526" spans="1:34" x14ac:dyDescent="0.2">
      <c r="A526" s="402">
        <f t="shared" ca="1" si="238"/>
        <v>1E-4</v>
      </c>
      <c r="B526" s="357">
        <f t="shared" ca="1" si="239"/>
        <v>15.618599999999919</v>
      </c>
      <c r="C526" s="342"/>
      <c r="D526" s="359">
        <f t="shared" ca="1" si="240"/>
        <v>-0.54855264764803546</v>
      </c>
      <c r="E526" s="360">
        <f t="shared" ca="1" si="241"/>
        <v>-5.9737172754205741</v>
      </c>
      <c r="F526" s="357">
        <f t="shared" ca="1" si="242"/>
        <v>5.9988505643914714</v>
      </c>
      <c r="G526" s="359">
        <f t="shared" ca="1" si="243"/>
        <v>9.5389193457152821</v>
      </c>
      <c r="H526" s="360">
        <f t="shared" ca="1" si="244"/>
        <v>-66.711061890182165</v>
      </c>
      <c r="I526" s="357">
        <f t="shared" ca="1" si="245"/>
        <v>67.389589409639356</v>
      </c>
      <c r="J526" s="359">
        <f t="shared" ca="1" si="246"/>
        <v>187.70931447689617</v>
      </c>
      <c r="K526" s="360">
        <f t="shared" ca="1" si="247"/>
        <v>-5.2975637987831918</v>
      </c>
      <c r="L526" s="357">
        <f t="shared" ca="1" si="232"/>
        <v>187.78405396515561</v>
      </c>
      <c r="M526" s="359">
        <f t="shared" ca="1" si="248"/>
        <v>-1.4287704759193067</v>
      </c>
      <c r="N526" s="357">
        <f t="shared" ca="1" si="249"/>
        <v>-81.862518163074299</v>
      </c>
      <c r="O526" s="343"/>
      <c r="P526" s="363">
        <f t="shared" ca="1" si="250"/>
        <v>23</v>
      </c>
      <c r="Q526" s="357">
        <f t="shared" ca="1" si="251"/>
        <v>0</v>
      </c>
      <c r="R526" s="359">
        <f t="shared" ca="1" si="252"/>
        <v>0</v>
      </c>
      <c r="S526" s="360">
        <f t="shared" ca="1" si="253"/>
        <v>1.5629999999999982</v>
      </c>
      <c r="T526" s="357">
        <f t="shared" ca="1" si="233"/>
        <v>15.333029999999983</v>
      </c>
      <c r="U526" s="364">
        <f t="shared" ca="1" si="234"/>
        <v>0</v>
      </c>
      <c r="V526" s="359">
        <f t="shared" ca="1" si="235"/>
        <v>1.2256491235040099</v>
      </c>
      <c r="W526" s="357">
        <f t="shared" ca="1" si="236"/>
        <v>6.0572079044861651</v>
      </c>
      <c r="X526" s="343"/>
      <c r="Y526" s="367" t="str">
        <f t="shared" ca="1" si="254"/>
        <v/>
      </c>
      <c r="Z526" s="368" t="str">
        <f t="shared" ca="1" si="255"/>
        <v/>
      </c>
      <c r="AA526" s="369" t="str">
        <f t="shared" ca="1" si="256"/>
        <v/>
      </c>
      <c r="AB526" s="344"/>
      <c r="AC526" s="363" t="e">
        <f t="shared" ca="1" si="257"/>
        <v>#N/A</v>
      </c>
      <c r="AD526" s="376" t="e">
        <f t="shared" ca="1" si="258"/>
        <v>#N/A</v>
      </c>
      <c r="AE526" s="377" t="e">
        <f t="shared" ca="1" si="237"/>
        <v>#N/A</v>
      </c>
      <c r="AF526" s="344"/>
      <c r="AG526" s="359">
        <f t="shared" ca="1" si="259"/>
        <v>5.8359196729554945</v>
      </c>
      <c r="AH526" s="357">
        <f t="shared" ca="1" si="260"/>
        <v>-3.8753032333158419</v>
      </c>
    </row>
    <row r="527" spans="1:34" x14ac:dyDescent="0.2">
      <c r="A527" s="402">
        <f t="shared" ca="1" si="238"/>
        <v>1E-4</v>
      </c>
      <c r="B527" s="357">
        <f t="shared" ca="1" si="239"/>
        <v>15.618699999999919</v>
      </c>
      <c r="C527" s="342"/>
      <c r="D527" s="359">
        <f t="shared" ca="1" si="240"/>
        <v>-0.54855460952639767</v>
      </c>
      <c r="E527" s="360">
        <f t="shared" ca="1" si="241"/>
        <v>-5.9736471407321492</v>
      </c>
      <c r="F527" s="357">
        <f t="shared" ca="1" si="242"/>
        <v>5.9987809029510357</v>
      </c>
      <c r="G527" s="359">
        <f t="shared" ca="1" si="243"/>
        <v>9.5388644902543298</v>
      </c>
      <c r="H527" s="360">
        <f t="shared" ca="1" si="244"/>
        <v>-66.711659254896233</v>
      </c>
      <c r="I527" s="357">
        <f t="shared" ca="1" si="245"/>
        <v>67.390172995065214</v>
      </c>
      <c r="J527" s="359">
        <f t="shared" ca="1" si="246"/>
        <v>187.70931447689617</v>
      </c>
      <c r="K527" s="360">
        <f t="shared" ca="1" si="247"/>
        <v>-5.3042349348404461</v>
      </c>
      <c r="L527" s="357">
        <f t="shared" ca="1" si="232"/>
        <v>187.78424228254693</v>
      </c>
      <c r="M527" s="359">
        <f t="shared" ca="1" si="248"/>
        <v>-1.4287725364486452</v>
      </c>
      <c r="N527" s="357">
        <f t="shared" ca="1" si="249"/>
        <v>-81.862636222708957</v>
      </c>
      <c r="O527" s="343"/>
      <c r="P527" s="363">
        <f t="shared" ca="1" si="250"/>
        <v>23</v>
      </c>
      <c r="Q527" s="357">
        <f t="shared" ca="1" si="251"/>
        <v>0</v>
      </c>
      <c r="R527" s="359">
        <f t="shared" ca="1" si="252"/>
        <v>0</v>
      </c>
      <c r="S527" s="360">
        <f t="shared" ca="1" si="253"/>
        <v>1.5629999999999982</v>
      </c>
      <c r="T527" s="357">
        <f t="shared" ca="1" si="233"/>
        <v>15.333029999999983</v>
      </c>
      <c r="U527" s="364">
        <f t="shared" ca="1" si="234"/>
        <v>0</v>
      </c>
      <c r="V527" s="359">
        <f t="shared" ca="1" si="235"/>
        <v>1.225649941151546</v>
      </c>
      <c r="W527" s="357">
        <f t="shared" ca="1" si="236"/>
        <v>6.0573168551853902</v>
      </c>
      <c r="X527" s="343"/>
      <c r="Y527" s="367" t="str">
        <f t="shared" ca="1" si="254"/>
        <v/>
      </c>
      <c r="Z527" s="368" t="str">
        <f t="shared" ca="1" si="255"/>
        <v/>
      </c>
      <c r="AA527" s="369" t="str">
        <f t="shared" ca="1" si="256"/>
        <v/>
      </c>
      <c r="AB527" s="344"/>
      <c r="AC527" s="363" t="e">
        <f t="shared" ca="1" si="257"/>
        <v>#N/A</v>
      </c>
      <c r="AD527" s="376" t="e">
        <f t="shared" ca="1" si="258"/>
        <v>#N/A</v>
      </c>
      <c r="AE527" s="377" t="e">
        <f t="shared" ca="1" si="237"/>
        <v>#N/A</v>
      </c>
      <c r="AF527" s="344"/>
      <c r="AG527" s="359">
        <f t="shared" ca="1" si="259"/>
        <v>5.8358528280667308</v>
      </c>
      <c r="AH527" s="357">
        <f t="shared" ca="1" si="260"/>
        <v>-3.8753729395305005</v>
      </c>
    </row>
    <row r="528" spans="1:34" x14ac:dyDescent="0.2">
      <c r="A528" s="402">
        <f t="shared" ca="1" si="238"/>
        <v>1E-4</v>
      </c>
      <c r="B528" s="357">
        <f t="shared" ca="1" si="239"/>
        <v>15.618799999999919</v>
      </c>
      <c r="C528" s="342"/>
      <c r="D528" s="359">
        <f t="shared" ca="1" si="240"/>
        <v>-0.54855657129007984</v>
      </c>
      <c r="E528" s="360">
        <f t="shared" ca="1" si="241"/>
        <v>-5.9735770061178135</v>
      </c>
      <c r="F528" s="357">
        <f t="shared" ca="1" si="242"/>
        <v>5.9987112415855615</v>
      </c>
      <c r="G528" s="359">
        <f t="shared" ca="1" si="243"/>
        <v>9.5388096345972002</v>
      </c>
      <c r="H528" s="360">
        <f t="shared" ca="1" si="244"/>
        <v>-66.712256612596846</v>
      </c>
      <c r="I528" s="357">
        <f t="shared" ca="1" si="245"/>
        <v>67.390756573806584</v>
      </c>
      <c r="J528" s="359">
        <f t="shared" ca="1" si="246"/>
        <v>187.70931447689617</v>
      </c>
      <c r="K528" s="360">
        <f t="shared" ca="1" si="247"/>
        <v>-5.3109061306338203</v>
      </c>
      <c r="L528" s="357">
        <f t="shared" ca="1" si="232"/>
        <v>187.78443083843428</v>
      </c>
      <c r="M528" s="359">
        <f t="shared" ca="1" si="248"/>
        <v>-1.4287745969304475</v>
      </c>
      <c r="N528" s="357">
        <f t="shared" ca="1" si="249"/>
        <v>-81.862754279619992</v>
      </c>
      <c r="O528" s="343"/>
      <c r="P528" s="363">
        <f t="shared" ca="1" si="250"/>
        <v>23</v>
      </c>
      <c r="Q528" s="357">
        <f t="shared" ca="1" si="251"/>
        <v>0</v>
      </c>
      <c r="R528" s="359">
        <f t="shared" ca="1" si="252"/>
        <v>0</v>
      </c>
      <c r="S528" s="360">
        <f t="shared" ca="1" si="253"/>
        <v>1.5629999999999982</v>
      </c>
      <c r="T528" s="357">
        <f t="shared" ca="1" si="233"/>
        <v>15.333029999999983</v>
      </c>
      <c r="U528" s="364">
        <f t="shared" ca="1" si="234"/>
        <v>0</v>
      </c>
      <c r="V528" s="359">
        <f t="shared" ca="1" si="235"/>
        <v>1.2256507588069498</v>
      </c>
      <c r="W528" s="357">
        <f t="shared" ca="1" si="236"/>
        <v>6.0574258057703041</v>
      </c>
      <c r="X528" s="343"/>
      <c r="Y528" s="367" t="str">
        <f t="shared" ca="1" si="254"/>
        <v/>
      </c>
      <c r="Z528" s="368" t="str">
        <f t="shared" ca="1" si="255"/>
        <v/>
      </c>
      <c r="AA528" s="369" t="str">
        <f t="shared" ca="1" si="256"/>
        <v/>
      </c>
      <c r="AB528" s="344"/>
      <c r="AC528" s="363" t="e">
        <f t="shared" ca="1" si="257"/>
        <v>#N/A</v>
      </c>
      <c r="AD528" s="376" t="e">
        <f t="shared" ca="1" si="258"/>
        <v>#N/A</v>
      </c>
      <c r="AE528" s="377" t="e">
        <f t="shared" ca="1" si="237"/>
        <v>#N/A</v>
      </c>
      <c r="AF528" s="344"/>
      <c r="AG528" s="359">
        <f t="shared" ca="1" si="259"/>
        <v>5.8357859831438388</v>
      </c>
      <c r="AH528" s="357">
        <f t="shared" ca="1" si="260"/>
        <v>-3.875442645672039</v>
      </c>
    </row>
    <row r="529" spans="1:34" x14ac:dyDescent="0.2">
      <c r="A529" s="402">
        <f t="shared" ca="1" si="238"/>
        <v>1E-4</v>
      </c>
      <c r="B529" s="357">
        <f t="shared" ca="1" si="239"/>
        <v>15.618899999999918</v>
      </c>
      <c r="C529" s="342"/>
      <c r="D529" s="359">
        <f t="shared" ca="1" si="240"/>
        <v>-0.54855853293908263</v>
      </c>
      <c r="E529" s="360">
        <f t="shared" ca="1" si="241"/>
        <v>-5.9735068715775794</v>
      </c>
      <c r="F529" s="357">
        <f t="shared" ca="1" si="242"/>
        <v>5.9986415802950619</v>
      </c>
      <c r="G529" s="359">
        <f t="shared" ca="1" si="243"/>
        <v>9.5387547787439058</v>
      </c>
      <c r="H529" s="360">
        <f t="shared" ca="1" si="244"/>
        <v>-66.712853963284005</v>
      </c>
      <c r="I529" s="357">
        <f t="shared" ca="1" si="245"/>
        <v>67.391340145863467</v>
      </c>
      <c r="J529" s="359">
        <f t="shared" ca="1" si="246"/>
        <v>187.70931447689617</v>
      </c>
      <c r="K529" s="360">
        <f t="shared" ca="1" si="247"/>
        <v>-5.3175773861626148</v>
      </c>
      <c r="L529" s="357">
        <f t="shared" ca="1" si="232"/>
        <v>187.78461963282331</v>
      </c>
      <c r="M529" s="359">
        <f t="shared" ca="1" si="248"/>
        <v>-1.4287766573647152</v>
      </c>
      <c r="N529" s="357">
        <f t="shared" ca="1" si="249"/>
        <v>-81.862872333807488</v>
      </c>
      <c r="O529" s="343"/>
      <c r="P529" s="363">
        <f t="shared" ca="1" si="250"/>
        <v>23</v>
      </c>
      <c r="Q529" s="357">
        <f t="shared" ca="1" si="251"/>
        <v>0</v>
      </c>
      <c r="R529" s="359">
        <f t="shared" ca="1" si="252"/>
        <v>0</v>
      </c>
      <c r="S529" s="360">
        <f t="shared" ca="1" si="253"/>
        <v>1.5629999999999982</v>
      </c>
      <c r="T529" s="357">
        <f t="shared" ca="1" si="233"/>
        <v>15.333029999999983</v>
      </c>
      <c r="U529" s="364">
        <f t="shared" ca="1" si="234"/>
        <v>0</v>
      </c>
      <c r="V529" s="359">
        <f t="shared" ca="1" si="235"/>
        <v>1.2256515764702203</v>
      </c>
      <c r="W529" s="357">
        <f t="shared" ca="1" si="236"/>
        <v>6.0575347562408712</v>
      </c>
      <c r="X529" s="343"/>
      <c r="Y529" s="367" t="str">
        <f t="shared" ca="1" si="254"/>
        <v/>
      </c>
      <c r="Z529" s="368" t="str">
        <f t="shared" ca="1" si="255"/>
        <v/>
      </c>
      <c r="AA529" s="369" t="str">
        <f t="shared" ca="1" si="256"/>
        <v/>
      </c>
      <c r="AB529" s="344"/>
      <c r="AC529" s="363" t="e">
        <f t="shared" ca="1" si="257"/>
        <v>#N/A</v>
      </c>
      <c r="AD529" s="376" t="e">
        <f t="shared" ca="1" si="258"/>
        <v>#N/A</v>
      </c>
      <c r="AE529" s="377" t="e">
        <f t="shared" ca="1" si="237"/>
        <v>#N/A</v>
      </c>
      <c r="AF529" s="344"/>
      <c r="AG529" s="359">
        <f t="shared" ca="1" si="259"/>
        <v>5.8357191381868496</v>
      </c>
      <c r="AH529" s="357">
        <f t="shared" ca="1" si="260"/>
        <v>-3.8755123517404422</v>
      </c>
    </row>
    <row r="530" spans="1:34" x14ac:dyDescent="0.2">
      <c r="A530" s="402">
        <f t="shared" ca="1" si="238"/>
        <v>1E-4</v>
      </c>
      <c r="B530" s="357">
        <f t="shared" ca="1" si="239"/>
        <v>15.618999999999918</v>
      </c>
      <c r="C530" s="342"/>
      <c r="D530" s="359">
        <f t="shared" ca="1" si="240"/>
        <v>-0.54856049447340693</v>
      </c>
      <c r="E530" s="360">
        <f t="shared" ca="1" si="241"/>
        <v>-5.9734367371114718</v>
      </c>
      <c r="F530" s="357">
        <f t="shared" ca="1" si="242"/>
        <v>5.9985719190795619</v>
      </c>
      <c r="G530" s="359">
        <f t="shared" ca="1" si="243"/>
        <v>9.5386999226944589</v>
      </c>
      <c r="H530" s="360">
        <f t="shared" ca="1" si="244"/>
        <v>-66.713451306957722</v>
      </c>
      <c r="I530" s="357">
        <f t="shared" ca="1" si="245"/>
        <v>67.391923711235833</v>
      </c>
      <c r="J530" s="359">
        <f t="shared" ca="1" si="246"/>
        <v>187.70931447689617</v>
      </c>
      <c r="K530" s="360">
        <f t="shared" ca="1" si="247"/>
        <v>-5.3242487014261268</v>
      </c>
      <c r="L530" s="357">
        <f t="shared" ca="1" si="232"/>
        <v>187.78480866571965</v>
      </c>
      <c r="M530" s="359">
        <f t="shared" ca="1" si="248"/>
        <v>-1.4287787177514499</v>
      </c>
      <c r="N530" s="357">
        <f t="shared" ca="1" si="249"/>
        <v>-81.862990385271559</v>
      </c>
      <c r="O530" s="343"/>
      <c r="P530" s="363">
        <f t="shared" ca="1" si="250"/>
        <v>23</v>
      </c>
      <c r="Q530" s="357">
        <f t="shared" ca="1" si="251"/>
        <v>0</v>
      </c>
      <c r="R530" s="359">
        <f t="shared" ca="1" si="252"/>
        <v>0</v>
      </c>
      <c r="S530" s="360">
        <f t="shared" ca="1" si="253"/>
        <v>1.5629999999999982</v>
      </c>
      <c r="T530" s="357">
        <f t="shared" ca="1" si="233"/>
        <v>15.333029999999983</v>
      </c>
      <c r="U530" s="364">
        <f t="shared" ca="1" si="234"/>
        <v>0</v>
      </c>
      <c r="V530" s="359">
        <f t="shared" ca="1" si="235"/>
        <v>1.2256523941413575</v>
      </c>
      <c r="W530" s="357">
        <f t="shared" ca="1" si="236"/>
        <v>6.057643706597057</v>
      </c>
      <c r="X530" s="343"/>
      <c r="Y530" s="367" t="str">
        <f t="shared" ca="1" si="254"/>
        <v/>
      </c>
      <c r="Z530" s="368" t="str">
        <f t="shared" ca="1" si="255"/>
        <v/>
      </c>
      <c r="AA530" s="369" t="str">
        <f t="shared" ca="1" si="256"/>
        <v/>
      </c>
      <c r="AB530" s="344"/>
      <c r="AC530" s="363" t="e">
        <f t="shared" ca="1" si="257"/>
        <v>#N/A</v>
      </c>
      <c r="AD530" s="376" t="e">
        <f t="shared" ca="1" si="258"/>
        <v>#N/A</v>
      </c>
      <c r="AE530" s="377" t="e">
        <f t="shared" ca="1" si="237"/>
        <v>#N/A</v>
      </c>
      <c r="AF530" s="344"/>
      <c r="AG530" s="359">
        <f t="shared" ca="1" si="259"/>
        <v>5.8356522931957819</v>
      </c>
      <c r="AH530" s="357">
        <f t="shared" ca="1" si="260"/>
        <v>-3.8755820577356865</v>
      </c>
    </row>
    <row r="531" spans="1:34" x14ac:dyDescent="0.2">
      <c r="A531" s="402">
        <f t="shared" ca="1" si="238"/>
        <v>1E-4</v>
      </c>
      <c r="B531" s="357">
        <f t="shared" ca="1" si="239"/>
        <v>15.619099999999918</v>
      </c>
      <c r="C531" s="342"/>
      <c r="D531" s="359">
        <f t="shared" ca="1" si="240"/>
        <v>-0.54856245589305319</v>
      </c>
      <c r="E531" s="360">
        <f t="shared" ca="1" si="241"/>
        <v>-5.9733666027195138</v>
      </c>
      <c r="F531" s="357">
        <f t="shared" ca="1" si="242"/>
        <v>5.9985022579390836</v>
      </c>
      <c r="G531" s="359">
        <f t="shared" ca="1" si="243"/>
        <v>9.5386450664488702</v>
      </c>
      <c r="H531" s="360">
        <f t="shared" ca="1" si="244"/>
        <v>-66.714048643618</v>
      </c>
      <c r="I531" s="357">
        <f t="shared" ca="1" si="245"/>
        <v>67.392507269923698</v>
      </c>
      <c r="J531" s="359">
        <f t="shared" ca="1" si="246"/>
        <v>187.70931447689617</v>
      </c>
      <c r="K531" s="360">
        <f t="shared" ca="1" si="247"/>
        <v>-5.3309200764236557</v>
      </c>
      <c r="L531" s="357">
        <f t="shared" ca="1" si="232"/>
        <v>187.78499793712894</v>
      </c>
      <c r="M531" s="359">
        <f t="shared" ca="1" si="248"/>
        <v>-1.4287807780906534</v>
      </c>
      <c r="N531" s="357">
        <f t="shared" ca="1" si="249"/>
        <v>-81.863108434012275</v>
      </c>
      <c r="O531" s="343"/>
      <c r="P531" s="363">
        <f t="shared" ca="1" si="250"/>
        <v>23</v>
      </c>
      <c r="Q531" s="357">
        <f t="shared" ca="1" si="251"/>
        <v>0</v>
      </c>
      <c r="R531" s="359">
        <f t="shared" ca="1" si="252"/>
        <v>0</v>
      </c>
      <c r="S531" s="360">
        <f t="shared" ca="1" si="253"/>
        <v>1.5629999999999982</v>
      </c>
      <c r="T531" s="357">
        <f t="shared" ca="1" si="233"/>
        <v>15.333029999999983</v>
      </c>
      <c r="U531" s="364">
        <f t="shared" ca="1" si="234"/>
        <v>0</v>
      </c>
      <c r="V531" s="359">
        <f t="shared" ca="1" si="235"/>
        <v>1.2256532118203622</v>
      </c>
      <c r="W531" s="357">
        <f t="shared" ca="1" si="236"/>
        <v>6.0577526568388382</v>
      </c>
      <c r="X531" s="343"/>
      <c r="Y531" s="367" t="str">
        <f t="shared" ca="1" si="254"/>
        <v/>
      </c>
      <c r="Z531" s="368" t="str">
        <f t="shared" ca="1" si="255"/>
        <v/>
      </c>
      <c r="AA531" s="369" t="str">
        <f t="shared" ca="1" si="256"/>
        <v/>
      </c>
      <c r="AB531" s="344"/>
      <c r="AC531" s="363" t="e">
        <f t="shared" ca="1" si="257"/>
        <v>#N/A</v>
      </c>
      <c r="AD531" s="376" t="e">
        <f t="shared" ca="1" si="258"/>
        <v>#N/A</v>
      </c>
      <c r="AE531" s="377" t="e">
        <f t="shared" ca="1" si="237"/>
        <v>#N/A</v>
      </c>
      <c r="AF531" s="344"/>
      <c r="AG531" s="359">
        <f t="shared" ca="1" si="259"/>
        <v>5.8355854481706686</v>
      </c>
      <c r="AH531" s="357">
        <f t="shared" ca="1" si="260"/>
        <v>-3.8756517636577503</v>
      </c>
    </row>
    <row r="532" spans="1:34" x14ac:dyDescent="0.2">
      <c r="A532" s="402">
        <f t="shared" ca="1" si="238"/>
        <v>1E-4</v>
      </c>
      <c r="B532" s="357">
        <f t="shared" ca="1" si="239"/>
        <v>15.619199999999918</v>
      </c>
      <c r="C532" s="342"/>
      <c r="D532" s="359">
        <f t="shared" ca="1" si="240"/>
        <v>-0.54856441719802396</v>
      </c>
      <c r="E532" s="360">
        <f t="shared" ca="1" si="241"/>
        <v>-5.9732964684017169</v>
      </c>
      <c r="F532" s="357">
        <f t="shared" ca="1" si="242"/>
        <v>5.9984325968736396</v>
      </c>
      <c r="G532" s="359">
        <f t="shared" ca="1" si="243"/>
        <v>9.5385902100071505</v>
      </c>
      <c r="H532" s="360">
        <f t="shared" ca="1" si="244"/>
        <v>-66.714645973264837</v>
      </c>
      <c r="I532" s="357">
        <f t="shared" ca="1" si="245"/>
        <v>67.393090821927046</v>
      </c>
      <c r="J532" s="359">
        <f t="shared" ca="1" si="246"/>
        <v>187.70931447689617</v>
      </c>
      <c r="K532" s="360">
        <f t="shared" ca="1" si="247"/>
        <v>-5.3375915111544998</v>
      </c>
      <c r="L532" s="357">
        <f t="shared" ca="1" si="232"/>
        <v>187.78518744705676</v>
      </c>
      <c r="M532" s="359">
        <f t="shared" ca="1" si="248"/>
        <v>-1.4287828383823276</v>
      </c>
      <c r="N532" s="357">
        <f t="shared" ca="1" si="249"/>
        <v>-81.86322648002978</v>
      </c>
      <c r="O532" s="343"/>
      <c r="P532" s="363">
        <f t="shared" ca="1" si="250"/>
        <v>23</v>
      </c>
      <c r="Q532" s="357">
        <f t="shared" ca="1" si="251"/>
        <v>0</v>
      </c>
      <c r="R532" s="359">
        <f t="shared" ca="1" si="252"/>
        <v>0</v>
      </c>
      <c r="S532" s="360">
        <f t="shared" ca="1" si="253"/>
        <v>1.5629999999999982</v>
      </c>
      <c r="T532" s="357">
        <f t="shared" ca="1" si="233"/>
        <v>15.333029999999983</v>
      </c>
      <c r="U532" s="364">
        <f t="shared" ca="1" si="234"/>
        <v>0</v>
      </c>
      <c r="V532" s="359">
        <f t="shared" ca="1" si="235"/>
        <v>1.2256540295072338</v>
      </c>
      <c r="W532" s="357">
        <f t="shared" ca="1" si="236"/>
        <v>6.0578616069661813</v>
      </c>
      <c r="X532" s="343"/>
      <c r="Y532" s="367" t="str">
        <f t="shared" ca="1" si="254"/>
        <v/>
      </c>
      <c r="Z532" s="368" t="str">
        <f t="shared" ca="1" si="255"/>
        <v/>
      </c>
      <c r="AA532" s="369" t="str">
        <f t="shared" ca="1" si="256"/>
        <v/>
      </c>
      <c r="AB532" s="344"/>
      <c r="AC532" s="363" t="e">
        <f t="shared" ca="1" si="257"/>
        <v>#N/A</v>
      </c>
      <c r="AD532" s="376" t="e">
        <f t="shared" ca="1" si="258"/>
        <v>#N/A</v>
      </c>
      <c r="AE532" s="377" t="e">
        <f t="shared" ca="1" si="237"/>
        <v>#N/A</v>
      </c>
      <c r="AF532" s="344"/>
      <c r="AG532" s="359">
        <f t="shared" ca="1" si="259"/>
        <v>5.8355186031115256</v>
      </c>
      <c r="AH532" s="357">
        <f t="shared" ca="1" si="260"/>
        <v>-3.8757214695066189</v>
      </c>
    </row>
    <row r="533" spans="1:34" x14ac:dyDescent="0.2">
      <c r="A533" s="402">
        <f t="shared" ca="1" si="238"/>
        <v>1E-4</v>
      </c>
      <c r="B533" s="357">
        <f t="shared" ca="1" si="239"/>
        <v>15.619299999999917</v>
      </c>
      <c r="C533" s="342"/>
      <c r="D533" s="359">
        <f t="shared" ca="1" si="240"/>
        <v>-0.54856637838831857</v>
      </c>
      <c r="E533" s="360">
        <f t="shared" ca="1" si="241"/>
        <v>-5.9732263341581069</v>
      </c>
      <c r="F533" s="357">
        <f t="shared" ca="1" si="242"/>
        <v>5.9983629358832538</v>
      </c>
      <c r="G533" s="359">
        <f t="shared" ca="1" si="243"/>
        <v>9.538535353369312</v>
      </c>
      <c r="H533" s="360">
        <f t="shared" ca="1" si="244"/>
        <v>-66.715243295898247</v>
      </c>
      <c r="I533" s="357">
        <f t="shared" ca="1" si="245"/>
        <v>67.393674367245865</v>
      </c>
      <c r="J533" s="359">
        <f t="shared" ca="1" si="246"/>
        <v>187.70931447689617</v>
      </c>
      <c r="K533" s="360">
        <f t="shared" ca="1" si="247"/>
        <v>-5.3442630056179583</v>
      </c>
      <c r="L533" s="357">
        <f t="shared" ca="1" si="232"/>
        <v>187.7853771955088</v>
      </c>
      <c r="M533" s="359">
        <f t="shared" ca="1" si="248"/>
        <v>-1.4287848986264737</v>
      </c>
      <c r="N533" s="357">
        <f t="shared" ca="1" si="249"/>
        <v>-81.863344523324116</v>
      </c>
      <c r="O533" s="343"/>
      <c r="P533" s="363">
        <f t="shared" ca="1" si="250"/>
        <v>23</v>
      </c>
      <c r="Q533" s="357">
        <f t="shared" ca="1" si="251"/>
        <v>0</v>
      </c>
      <c r="R533" s="359">
        <f t="shared" ca="1" si="252"/>
        <v>0</v>
      </c>
      <c r="S533" s="360">
        <f t="shared" ca="1" si="253"/>
        <v>1.5629999999999982</v>
      </c>
      <c r="T533" s="357">
        <f t="shared" ca="1" si="233"/>
        <v>15.333029999999983</v>
      </c>
      <c r="U533" s="364">
        <f t="shared" ca="1" si="234"/>
        <v>0</v>
      </c>
      <c r="V533" s="359">
        <f t="shared" ca="1" si="235"/>
        <v>1.2256548472019724</v>
      </c>
      <c r="W533" s="357">
        <f t="shared" ca="1" si="236"/>
        <v>6.0579705569790496</v>
      </c>
      <c r="X533" s="343"/>
      <c r="Y533" s="367" t="str">
        <f t="shared" ca="1" si="254"/>
        <v/>
      </c>
      <c r="Z533" s="368" t="str">
        <f t="shared" ca="1" si="255"/>
        <v/>
      </c>
      <c r="AA533" s="369" t="str">
        <f t="shared" ca="1" si="256"/>
        <v/>
      </c>
      <c r="AB533" s="344"/>
      <c r="AC533" s="363" t="e">
        <f t="shared" ca="1" si="257"/>
        <v>#N/A</v>
      </c>
      <c r="AD533" s="376" t="e">
        <f t="shared" ca="1" si="258"/>
        <v>#N/A</v>
      </c>
      <c r="AE533" s="377" t="e">
        <f t="shared" ca="1" si="237"/>
        <v>#N/A</v>
      </c>
      <c r="AF533" s="344"/>
      <c r="AG533" s="359">
        <f t="shared" ca="1" si="259"/>
        <v>5.8354517580183831</v>
      </c>
      <c r="AH533" s="357">
        <f t="shared" ca="1" si="260"/>
        <v>-3.87579117528227</v>
      </c>
    </row>
    <row r="534" spans="1:34" x14ac:dyDescent="0.2">
      <c r="A534" s="402">
        <f t="shared" ca="1" si="238"/>
        <v>1E-4</v>
      </c>
      <c r="B534" s="357">
        <f t="shared" ca="1" si="239"/>
        <v>15.619399999999917</v>
      </c>
      <c r="C534" s="342"/>
      <c r="D534" s="359">
        <f t="shared" ca="1" si="240"/>
        <v>-0.54856833946393913</v>
      </c>
      <c r="E534" s="360">
        <f t="shared" ca="1" si="241"/>
        <v>-5.9731561999887042</v>
      </c>
      <c r="F534" s="357">
        <f t="shared" ca="1" si="242"/>
        <v>5.9982932749679492</v>
      </c>
      <c r="G534" s="359">
        <f t="shared" ca="1" si="243"/>
        <v>9.5384804965353656</v>
      </c>
      <c r="H534" s="360">
        <f t="shared" ca="1" si="244"/>
        <v>-66.715840611518246</v>
      </c>
      <c r="I534" s="357">
        <f t="shared" ca="1" si="245"/>
        <v>67.394257905880181</v>
      </c>
      <c r="J534" s="359">
        <f t="shared" ca="1" si="246"/>
        <v>187.70931447689617</v>
      </c>
      <c r="K534" s="360">
        <f t="shared" ca="1" si="247"/>
        <v>-5.3509345598133295</v>
      </c>
      <c r="L534" s="357">
        <f t="shared" ca="1" si="232"/>
        <v>187.78556718249064</v>
      </c>
      <c r="M534" s="359">
        <f t="shared" ca="1" si="248"/>
        <v>-1.4287869588230939</v>
      </c>
      <c r="N534" s="357">
        <f t="shared" ca="1" si="249"/>
        <v>-81.863462563895425</v>
      </c>
      <c r="O534" s="343"/>
      <c r="P534" s="363">
        <f t="shared" ca="1" si="250"/>
        <v>23</v>
      </c>
      <c r="Q534" s="357">
        <f t="shared" ca="1" si="251"/>
        <v>0</v>
      </c>
      <c r="R534" s="359">
        <f t="shared" ca="1" si="252"/>
        <v>0</v>
      </c>
      <c r="S534" s="360">
        <f t="shared" ca="1" si="253"/>
        <v>1.5629999999999982</v>
      </c>
      <c r="T534" s="357">
        <f t="shared" ca="1" si="233"/>
        <v>15.333029999999983</v>
      </c>
      <c r="U534" s="364">
        <f t="shared" ca="1" si="234"/>
        <v>0</v>
      </c>
      <c r="V534" s="359">
        <f t="shared" ca="1" si="235"/>
        <v>1.2256556649045773</v>
      </c>
      <c r="W534" s="357">
        <f t="shared" ca="1" si="236"/>
        <v>6.0580795068774203</v>
      </c>
      <c r="X534" s="343"/>
      <c r="Y534" s="367" t="str">
        <f t="shared" ca="1" si="254"/>
        <v/>
      </c>
      <c r="Z534" s="368" t="str">
        <f t="shared" ca="1" si="255"/>
        <v/>
      </c>
      <c r="AA534" s="369" t="str">
        <f t="shared" ca="1" si="256"/>
        <v/>
      </c>
      <c r="AB534" s="344"/>
      <c r="AC534" s="363" t="e">
        <f t="shared" ca="1" si="257"/>
        <v>#N/A</v>
      </c>
      <c r="AD534" s="376" t="e">
        <f t="shared" ca="1" si="258"/>
        <v>#N/A</v>
      </c>
      <c r="AE534" s="377" t="e">
        <f t="shared" ca="1" si="237"/>
        <v>#N/A</v>
      </c>
      <c r="AF534" s="344"/>
      <c r="AG534" s="359">
        <f t="shared" ca="1" si="259"/>
        <v>5.8353849128912705</v>
      </c>
      <c r="AH534" s="357">
        <f t="shared" ca="1" si="260"/>
        <v>-3.8758608809846811</v>
      </c>
    </row>
    <row r="535" spans="1:34" x14ac:dyDescent="0.2">
      <c r="A535" s="402">
        <f t="shared" ca="1" si="238"/>
        <v>1E-4</v>
      </c>
      <c r="B535" s="357">
        <f t="shared" ca="1" si="239"/>
        <v>15.619499999999917</v>
      </c>
      <c r="C535" s="342"/>
      <c r="D535" s="359">
        <f t="shared" ca="1" si="240"/>
        <v>-0.5485703004248863</v>
      </c>
      <c r="E535" s="360">
        <f t="shared" ca="1" si="241"/>
        <v>-5.9730860658935256</v>
      </c>
      <c r="F535" s="357">
        <f t="shared" ca="1" si="242"/>
        <v>5.9982236141277401</v>
      </c>
      <c r="G535" s="359">
        <f t="shared" ca="1" si="243"/>
        <v>9.5384256395053235</v>
      </c>
      <c r="H535" s="360">
        <f t="shared" ca="1" si="244"/>
        <v>-66.716437920124832</v>
      </c>
      <c r="I535" s="357">
        <f t="shared" ca="1" si="245"/>
        <v>67.394841437829967</v>
      </c>
      <c r="J535" s="359">
        <f t="shared" ca="1" si="246"/>
        <v>187.70931447689617</v>
      </c>
      <c r="K535" s="360">
        <f t="shared" ca="1" si="247"/>
        <v>-5.3576061737399119</v>
      </c>
      <c r="L535" s="357">
        <f t="shared" ca="1" si="232"/>
        <v>187.7857574080079</v>
      </c>
      <c r="M535" s="359">
        <f t="shared" ca="1" si="248"/>
        <v>-1.4287890189721897</v>
      </c>
      <c r="N535" s="357">
        <f t="shared" ca="1" si="249"/>
        <v>-81.863580601743777</v>
      </c>
      <c r="O535" s="343"/>
      <c r="P535" s="363">
        <f t="shared" ca="1" si="250"/>
        <v>23</v>
      </c>
      <c r="Q535" s="357">
        <f t="shared" ca="1" si="251"/>
        <v>0</v>
      </c>
      <c r="R535" s="359">
        <f t="shared" ca="1" si="252"/>
        <v>0</v>
      </c>
      <c r="S535" s="360">
        <f t="shared" ca="1" si="253"/>
        <v>1.5629999999999982</v>
      </c>
      <c r="T535" s="357">
        <f t="shared" ca="1" si="233"/>
        <v>15.333029999999983</v>
      </c>
      <c r="U535" s="364">
        <f t="shared" ca="1" si="234"/>
        <v>0</v>
      </c>
      <c r="V535" s="359">
        <f t="shared" ca="1" si="235"/>
        <v>1.2256564826150489</v>
      </c>
      <c r="W535" s="357">
        <f t="shared" ca="1" si="236"/>
        <v>6.0581884566612567</v>
      </c>
      <c r="X535" s="343"/>
      <c r="Y535" s="367" t="str">
        <f t="shared" ca="1" si="254"/>
        <v/>
      </c>
      <c r="Z535" s="368" t="str">
        <f t="shared" ca="1" si="255"/>
        <v/>
      </c>
      <c r="AA535" s="369" t="str">
        <f t="shared" ca="1" si="256"/>
        <v/>
      </c>
      <c r="AB535" s="344"/>
      <c r="AC535" s="363" t="e">
        <f t="shared" ca="1" si="257"/>
        <v>#N/A</v>
      </c>
      <c r="AD535" s="376" t="e">
        <f t="shared" ca="1" si="258"/>
        <v>#N/A</v>
      </c>
      <c r="AE535" s="377" t="e">
        <f t="shared" ca="1" si="237"/>
        <v>#N/A</v>
      </c>
      <c r="AF535" s="344"/>
      <c r="AG535" s="359">
        <f t="shared" ca="1" si="259"/>
        <v>5.8353180677302028</v>
      </c>
      <c r="AH535" s="357">
        <f t="shared" ca="1" si="260"/>
        <v>-3.8759305866138369</v>
      </c>
    </row>
    <row r="536" spans="1:34" x14ac:dyDescent="0.2">
      <c r="A536" s="402">
        <f t="shared" ca="1" si="238"/>
        <v>1E-4</v>
      </c>
      <c r="B536" s="357">
        <f t="shared" ca="1" si="239"/>
        <v>15.619599999999917</v>
      </c>
      <c r="C536" s="342"/>
      <c r="D536" s="359">
        <f t="shared" ca="1" si="240"/>
        <v>-0.54857226127116088</v>
      </c>
      <c r="E536" s="360">
        <f t="shared" ca="1" si="241"/>
        <v>-5.9730159318725917</v>
      </c>
      <c r="F536" s="357">
        <f t="shared" ca="1" si="242"/>
        <v>5.9981539533626478</v>
      </c>
      <c r="G536" s="359">
        <f t="shared" ca="1" si="243"/>
        <v>9.5383707822791965</v>
      </c>
      <c r="H536" s="360">
        <f t="shared" ca="1" si="244"/>
        <v>-66.717035221718021</v>
      </c>
      <c r="I536" s="357">
        <f t="shared" ca="1" si="245"/>
        <v>67.395424963095238</v>
      </c>
      <c r="J536" s="359">
        <f t="shared" ca="1" si="246"/>
        <v>187.70931447689617</v>
      </c>
      <c r="K536" s="360">
        <f t="shared" ca="1" si="247"/>
        <v>-5.3642778473970036</v>
      </c>
      <c r="L536" s="357">
        <f t="shared" ca="1" si="232"/>
        <v>187.78594787206623</v>
      </c>
      <c r="M536" s="359">
        <f t="shared" ca="1" si="248"/>
        <v>-1.4287910790737628</v>
      </c>
      <c r="N536" s="357">
        <f t="shared" ca="1" si="249"/>
        <v>-81.863698636869287</v>
      </c>
      <c r="O536" s="343"/>
      <c r="P536" s="363">
        <f t="shared" ca="1" si="250"/>
        <v>23</v>
      </c>
      <c r="Q536" s="357">
        <f t="shared" ca="1" si="251"/>
        <v>0</v>
      </c>
      <c r="R536" s="359">
        <f t="shared" ca="1" si="252"/>
        <v>0</v>
      </c>
      <c r="S536" s="360">
        <f t="shared" ca="1" si="253"/>
        <v>1.5629999999999982</v>
      </c>
      <c r="T536" s="357">
        <f t="shared" ca="1" si="233"/>
        <v>15.333029999999983</v>
      </c>
      <c r="U536" s="364">
        <f t="shared" ca="1" si="234"/>
        <v>0</v>
      </c>
      <c r="V536" s="359">
        <f t="shared" ca="1" si="235"/>
        <v>1.2256573003333873</v>
      </c>
      <c r="W536" s="357">
        <f t="shared" ca="1" si="236"/>
        <v>6.0582974063305359</v>
      </c>
      <c r="X536" s="343"/>
      <c r="Y536" s="367" t="str">
        <f t="shared" ca="1" si="254"/>
        <v/>
      </c>
      <c r="Z536" s="368" t="str">
        <f t="shared" ca="1" si="255"/>
        <v/>
      </c>
      <c r="AA536" s="369" t="str">
        <f t="shared" ca="1" si="256"/>
        <v/>
      </c>
      <c r="AB536" s="344"/>
      <c r="AC536" s="363" t="e">
        <f t="shared" ca="1" si="257"/>
        <v>#N/A</v>
      </c>
      <c r="AD536" s="376" t="e">
        <f t="shared" ca="1" si="258"/>
        <v>#N/A</v>
      </c>
      <c r="AE536" s="377" t="e">
        <f t="shared" ca="1" si="237"/>
        <v>#N/A</v>
      </c>
      <c r="AF536" s="344"/>
      <c r="AG536" s="359">
        <f t="shared" ca="1" si="259"/>
        <v>5.835251222535212</v>
      </c>
      <c r="AH536" s="357">
        <f t="shared" ca="1" si="260"/>
        <v>-3.8760002921697145</v>
      </c>
    </row>
    <row r="537" spans="1:34" x14ac:dyDescent="0.2">
      <c r="A537" s="402">
        <f t="shared" ca="1" si="238"/>
        <v>1E-4</v>
      </c>
      <c r="B537" s="357">
        <f t="shared" ca="1" si="239"/>
        <v>15.619699999999916</v>
      </c>
      <c r="C537" s="342"/>
      <c r="D537" s="359">
        <f t="shared" ca="1" si="240"/>
        <v>-0.54857422200276462</v>
      </c>
      <c r="E537" s="360">
        <f t="shared" ca="1" si="241"/>
        <v>-5.9729457979259202</v>
      </c>
      <c r="F537" s="357">
        <f t="shared" ca="1" si="242"/>
        <v>5.9980842926726901</v>
      </c>
      <c r="G537" s="359">
        <f t="shared" ca="1" si="243"/>
        <v>9.5383159248569971</v>
      </c>
      <c r="H537" s="360">
        <f t="shared" ca="1" si="244"/>
        <v>-66.717632516297812</v>
      </c>
      <c r="I537" s="357">
        <f t="shared" ca="1" si="245"/>
        <v>67.396008481675977</v>
      </c>
      <c r="J537" s="359">
        <f t="shared" ca="1" si="246"/>
        <v>187.70931447689617</v>
      </c>
      <c r="K537" s="360">
        <f t="shared" ca="1" si="247"/>
        <v>-5.3709495807839041</v>
      </c>
      <c r="L537" s="357">
        <f t="shared" ca="1" si="232"/>
        <v>187.78613857467121</v>
      </c>
      <c r="M537" s="359">
        <f t="shared" ca="1" si="248"/>
        <v>-1.4287931391278148</v>
      </c>
      <c r="N537" s="357">
        <f t="shared" ca="1" si="249"/>
        <v>-81.863816669272026</v>
      </c>
      <c r="O537" s="343"/>
      <c r="P537" s="363">
        <f t="shared" ca="1" si="250"/>
        <v>23</v>
      </c>
      <c r="Q537" s="357">
        <f t="shared" ca="1" si="251"/>
        <v>0</v>
      </c>
      <c r="R537" s="359">
        <f t="shared" ca="1" si="252"/>
        <v>0</v>
      </c>
      <c r="S537" s="360">
        <f t="shared" ca="1" si="253"/>
        <v>1.5629999999999982</v>
      </c>
      <c r="T537" s="357">
        <f t="shared" ca="1" si="233"/>
        <v>15.333029999999983</v>
      </c>
      <c r="U537" s="364">
        <f t="shared" ca="1" si="234"/>
        <v>0</v>
      </c>
      <c r="V537" s="359">
        <f t="shared" ca="1" si="235"/>
        <v>1.2256581180595922</v>
      </c>
      <c r="W537" s="357">
        <f t="shared" ca="1" si="236"/>
        <v>6.0584063558852215</v>
      </c>
      <c r="X537" s="343"/>
      <c r="Y537" s="367" t="str">
        <f t="shared" ca="1" si="254"/>
        <v/>
      </c>
      <c r="Z537" s="368" t="str">
        <f t="shared" ca="1" si="255"/>
        <v/>
      </c>
      <c r="AA537" s="369" t="str">
        <f t="shared" ca="1" si="256"/>
        <v/>
      </c>
      <c r="AB537" s="344"/>
      <c r="AC537" s="363" t="e">
        <f t="shared" ca="1" si="257"/>
        <v>#N/A</v>
      </c>
      <c r="AD537" s="376" t="e">
        <f t="shared" ca="1" si="258"/>
        <v>#N/A</v>
      </c>
      <c r="AE537" s="377" t="e">
        <f t="shared" ca="1" si="237"/>
        <v>#N/A</v>
      </c>
      <c r="AF537" s="344"/>
      <c r="AG537" s="359">
        <f t="shared" ca="1" si="259"/>
        <v>5.8351843773063186</v>
      </c>
      <c r="AH537" s="357">
        <f t="shared" ca="1" si="260"/>
        <v>-3.8760699976522988</v>
      </c>
    </row>
    <row r="538" spans="1:34" x14ac:dyDescent="0.2">
      <c r="A538" s="402">
        <f t="shared" ca="1" si="238"/>
        <v>1E-4</v>
      </c>
      <c r="B538" s="357">
        <f t="shared" ca="1" si="239"/>
        <v>15.619799999999916</v>
      </c>
      <c r="C538" s="342"/>
      <c r="D538" s="359">
        <f t="shared" ca="1" si="240"/>
        <v>-0.54857618261969843</v>
      </c>
      <c r="E538" s="360">
        <f t="shared" ca="1" si="241"/>
        <v>-5.9728756640535341</v>
      </c>
      <c r="F538" s="357">
        <f t="shared" ca="1" si="242"/>
        <v>5.99801463205789</v>
      </c>
      <c r="G538" s="359">
        <f t="shared" ca="1" si="243"/>
        <v>9.5382610672387358</v>
      </c>
      <c r="H538" s="360">
        <f t="shared" ca="1" si="244"/>
        <v>-66.718229803864219</v>
      </c>
      <c r="I538" s="357">
        <f t="shared" ca="1" si="245"/>
        <v>67.396591993572173</v>
      </c>
      <c r="J538" s="359">
        <f t="shared" ca="1" si="246"/>
        <v>187.70931447689617</v>
      </c>
      <c r="K538" s="360">
        <f t="shared" ca="1" si="247"/>
        <v>-5.3776213738999123</v>
      </c>
      <c r="L538" s="357">
        <f t="shared" ca="1" si="232"/>
        <v>187.7863295158285</v>
      </c>
      <c r="M538" s="359">
        <f t="shared" ca="1" si="248"/>
        <v>-1.4287951991343477</v>
      </c>
      <c r="N538" s="357">
        <f t="shared" ca="1" si="249"/>
        <v>-81.863934698952136</v>
      </c>
      <c r="O538" s="343"/>
      <c r="P538" s="363">
        <f t="shared" ca="1" si="250"/>
        <v>23</v>
      </c>
      <c r="Q538" s="357">
        <f t="shared" ca="1" si="251"/>
        <v>0</v>
      </c>
      <c r="R538" s="359">
        <f t="shared" ca="1" si="252"/>
        <v>0</v>
      </c>
      <c r="S538" s="360">
        <f t="shared" ca="1" si="253"/>
        <v>1.5629999999999982</v>
      </c>
      <c r="T538" s="357">
        <f t="shared" ca="1" si="233"/>
        <v>15.333029999999983</v>
      </c>
      <c r="U538" s="364">
        <f t="shared" ca="1" si="234"/>
        <v>0</v>
      </c>
      <c r="V538" s="359">
        <f t="shared" ca="1" si="235"/>
        <v>1.2256589357936631</v>
      </c>
      <c r="W538" s="357">
        <f t="shared" ca="1" si="236"/>
        <v>6.0585153053252769</v>
      </c>
      <c r="X538" s="343"/>
      <c r="Y538" s="367" t="str">
        <f t="shared" ca="1" si="254"/>
        <v/>
      </c>
      <c r="Z538" s="368" t="str">
        <f t="shared" ca="1" si="255"/>
        <v/>
      </c>
      <c r="AA538" s="369" t="str">
        <f t="shared" ca="1" si="256"/>
        <v/>
      </c>
      <c r="AB538" s="344"/>
      <c r="AC538" s="363" t="e">
        <f t="shared" ca="1" si="257"/>
        <v>#N/A</v>
      </c>
      <c r="AD538" s="376" t="e">
        <f t="shared" ca="1" si="258"/>
        <v>#N/A</v>
      </c>
      <c r="AE538" s="377" t="e">
        <f t="shared" ca="1" si="237"/>
        <v>#N/A</v>
      </c>
      <c r="AF538" s="344"/>
      <c r="AG538" s="359">
        <f t="shared" ca="1" si="259"/>
        <v>5.8351175320435491</v>
      </c>
      <c r="AH538" s="357">
        <f t="shared" ca="1" si="260"/>
        <v>-3.8761397030615665</v>
      </c>
    </row>
    <row r="539" spans="1:34" x14ac:dyDescent="0.2">
      <c r="A539" s="402">
        <f t="shared" ca="1" si="238"/>
        <v>1E-4</v>
      </c>
      <c r="B539" s="357">
        <f t="shared" ca="1" si="239"/>
        <v>15.619899999999916</v>
      </c>
      <c r="C539" s="342"/>
      <c r="D539" s="359">
        <f t="shared" ca="1" si="240"/>
        <v>-0.54857814312196185</v>
      </c>
      <c r="E539" s="360">
        <f t="shared" ca="1" si="241"/>
        <v>-5.9728055302554557</v>
      </c>
      <c r="F539" s="357">
        <f t="shared" ca="1" si="242"/>
        <v>5.9979449715182698</v>
      </c>
      <c r="G539" s="359">
        <f t="shared" ca="1" si="243"/>
        <v>9.5382062094244233</v>
      </c>
      <c r="H539" s="360">
        <f t="shared" ca="1" si="244"/>
        <v>-66.718827084417242</v>
      </c>
      <c r="I539" s="357">
        <f t="shared" ca="1" si="245"/>
        <v>67.397175498783852</v>
      </c>
      <c r="J539" s="359">
        <f t="shared" ca="1" si="246"/>
        <v>187.70931447689617</v>
      </c>
      <c r="K539" s="360">
        <f t="shared" ca="1" si="247"/>
        <v>-5.3842932267443269</v>
      </c>
      <c r="L539" s="357">
        <f t="shared" ca="1" si="232"/>
        <v>187.78652069554369</v>
      </c>
      <c r="M539" s="359">
        <f t="shared" ca="1" si="248"/>
        <v>-1.4287972590933629</v>
      </c>
      <c r="N539" s="357">
        <f t="shared" ca="1" si="249"/>
        <v>-81.864052725909673</v>
      </c>
      <c r="O539" s="343"/>
      <c r="P539" s="363">
        <f t="shared" ca="1" si="250"/>
        <v>23</v>
      </c>
      <c r="Q539" s="357">
        <f t="shared" ca="1" si="251"/>
        <v>0</v>
      </c>
      <c r="R539" s="359">
        <f t="shared" ca="1" si="252"/>
        <v>0</v>
      </c>
      <c r="S539" s="360">
        <f t="shared" ca="1" si="253"/>
        <v>1.5629999999999982</v>
      </c>
      <c r="T539" s="357">
        <f t="shared" ca="1" si="233"/>
        <v>15.333029999999983</v>
      </c>
      <c r="U539" s="364">
        <f t="shared" ca="1" si="234"/>
        <v>0</v>
      </c>
      <c r="V539" s="359">
        <f t="shared" ca="1" si="235"/>
        <v>1.2256597535356009</v>
      </c>
      <c r="W539" s="357">
        <f t="shared" ca="1" si="236"/>
        <v>6.0586242546506863</v>
      </c>
      <c r="X539" s="343"/>
      <c r="Y539" s="367" t="str">
        <f t="shared" ca="1" si="254"/>
        <v/>
      </c>
      <c r="Z539" s="368" t="str">
        <f t="shared" ca="1" si="255"/>
        <v/>
      </c>
      <c r="AA539" s="369" t="str">
        <f t="shared" ca="1" si="256"/>
        <v/>
      </c>
      <c r="AB539" s="344"/>
      <c r="AC539" s="363" t="e">
        <f t="shared" ca="1" si="257"/>
        <v>#N/A</v>
      </c>
      <c r="AD539" s="376" t="e">
        <f t="shared" ca="1" si="258"/>
        <v>#N/A</v>
      </c>
      <c r="AE539" s="377" t="e">
        <f t="shared" ca="1" si="237"/>
        <v>#N/A</v>
      </c>
      <c r="AF539" s="344"/>
      <c r="AG539" s="359">
        <f t="shared" ca="1" si="259"/>
        <v>5.8350506867469338</v>
      </c>
      <c r="AH539" s="357">
        <f t="shared" ca="1" si="260"/>
        <v>-3.8762094083974947</v>
      </c>
    </row>
    <row r="540" spans="1:34" x14ac:dyDescent="0.2">
      <c r="A540" s="402">
        <f t="shared" ca="1" si="238"/>
        <v>1E-4</v>
      </c>
      <c r="B540" s="357">
        <f t="shared" ca="1" si="239"/>
        <v>15.619999999999916</v>
      </c>
      <c r="C540" s="342"/>
      <c r="D540" s="359">
        <f t="shared" ca="1" si="240"/>
        <v>-0.54858010350955866</v>
      </c>
      <c r="E540" s="360">
        <f t="shared" ca="1" si="241"/>
        <v>-5.9727353965316965</v>
      </c>
      <c r="F540" s="357">
        <f t="shared" ca="1" si="242"/>
        <v>5.9978753110538401</v>
      </c>
      <c r="G540" s="359">
        <f t="shared" ca="1" si="243"/>
        <v>9.5381513514140721</v>
      </c>
      <c r="H540" s="360">
        <f t="shared" ca="1" si="244"/>
        <v>-66.719424357956896</v>
      </c>
      <c r="I540" s="357">
        <f t="shared" ca="1" si="245"/>
        <v>67.397758997310987</v>
      </c>
      <c r="J540" s="359">
        <f t="shared" ca="1" si="246"/>
        <v>187.70931447689617</v>
      </c>
      <c r="K540" s="360">
        <f t="shared" ca="1" si="247"/>
        <v>-5.3909651393164459</v>
      </c>
      <c r="L540" s="357">
        <f t="shared" ca="1" si="232"/>
        <v>187.78671211382243</v>
      </c>
      <c r="M540" s="359">
        <f t="shared" ca="1" si="248"/>
        <v>-1.4287993190048625</v>
      </c>
      <c r="N540" s="357">
        <f t="shared" ca="1" si="249"/>
        <v>-81.86417075014478</v>
      </c>
      <c r="O540" s="343"/>
      <c r="P540" s="363">
        <f t="shared" ca="1" si="250"/>
        <v>23</v>
      </c>
      <c r="Q540" s="357">
        <f t="shared" ca="1" si="251"/>
        <v>0</v>
      </c>
      <c r="R540" s="359">
        <f t="shared" ca="1" si="252"/>
        <v>0</v>
      </c>
      <c r="S540" s="360">
        <f t="shared" ca="1" si="253"/>
        <v>1.5629999999999982</v>
      </c>
      <c r="T540" s="357">
        <f t="shared" ca="1" si="233"/>
        <v>15.333029999999983</v>
      </c>
      <c r="U540" s="364">
        <f t="shared" ca="1" si="234"/>
        <v>0</v>
      </c>
      <c r="V540" s="359">
        <f t="shared" ca="1" si="235"/>
        <v>1.2256605712854047</v>
      </c>
      <c r="W540" s="357">
        <f t="shared" ca="1" si="236"/>
        <v>6.058733203861407</v>
      </c>
      <c r="X540" s="343"/>
      <c r="Y540" s="367" t="str">
        <f t="shared" ca="1" si="254"/>
        <v/>
      </c>
      <c r="Z540" s="368" t="str">
        <f t="shared" ca="1" si="255"/>
        <v/>
      </c>
      <c r="AA540" s="369" t="str">
        <f t="shared" ca="1" si="256"/>
        <v/>
      </c>
      <c r="AB540" s="344"/>
      <c r="AC540" s="363" t="e">
        <f t="shared" ca="1" si="257"/>
        <v>#N/A</v>
      </c>
      <c r="AD540" s="376" t="e">
        <f t="shared" ca="1" si="258"/>
        <v>#N/A</v>
      </c>
      <c r="AE540" s="377" t="e">
        <f t="shared" ca="1" si="237"/>
        <v>#N/A</v>
      </c>
      <c r="AF540" s="344"/>
      <c r="AG540" s="359">
        <f t="shared" ca="1" si="259"/>
        <v>5.834983841416487</v>
      </c>
      <c r="AH540" s="357">
        <f t="shared" ca="1" si="260"/>
        <v>-3.8762791136600727</v>
      </c>
    </row>
    <row r="541" spans="1:34" x14ac:dyDescent="0.2">
      <c r="A541" s="402">
        <f t="shared" ca="1" si="238"/>
        <v>1E-4</v>
      </c>
      <c r="B541" s="357">
        <f t="shared" ca="1" si="239"/>
        <v>15.620099999999915</v>
      </c>
      <c r="C541" s="342"/>
      <c r="D541" s="359">
        <f t="shared" ca="1" si="240"/>
        <v>-0.54858206378248664</v>
      </c>
      <c r="E541" s="360">
        <f t="shared" ca="1" si="241"/>
        <v>-5.9726652628822823</v>
      </c>
      <c r="F541" s="357">
        <f t="shared" ca="1" si="242"/>
        <v>5.9978056506646267</v>
      </c>
      <c r="G541" s="359">
        <f t="shared" ca="1" si="243"/>
        <v>9.5380964932076946</v>
      </c>
      <c r="H541" s="360">
        <f t="shared" ca="1" si="244"/>
        <v>-66.720021624483181</v>
      </c>
      <c r="I541" s="357">
        <f t="shared" ca="1" si="245"/>
        <v>67.398342489153578</v>
      </c>
      <c r="J541" s="359">
        <f t="shared" ca="1" si="246"/>
        <v>187.70931447689617</v>
      </c>
      <c r="K541" s="360">
        <f t="shared" ca="1" si="247"/>
        <v>-5.3976371116155679</v>
      </c>
      <c r="L541" s="357">
        <f t="shared" ca="1" si="232"/>
        <v>187.78690377067031</v>
      </c>
      <c r="M541" s="359">
        <f t="shared" ca="1" si="248"/>
        <v>-1.4288013788688476</v>
      </c>
      <c r="N541" s="357">
        <f t="shared" ca="1" si="249"/>
        <v>-81.864288771657499</v>
      </c>
      <c r="O541" s="343"/>
      <c r="P541" s="363">
        <f t="shared" ca="1" si="250"/>
        <v>23</v>
      </c>
      <c r="Q541" s="357">
        <f t="shared" ca="1" si="251"/>
        <v>0</v>
      </c>
      <c r="R541" s="359">
        <f t="shared" ca="1" si="252"/>
        <v>0</v>
      </c>
      <c r="S541" s="360">
        <f t="shared" ca="1" si="253"/>
        <v>1.5629999999999982</v>
      </c>
      <c r="T541" s="357">
        <f t="shared" ca="1" si="233"/>
        <v>15.333029999999983</v>
      </c>
      <c r="U541" s="364">
        <f t="shared" ca="1" si="234"/>
        <v>0</v>
      </c>
      <c r="V541" s="359">
        <f t="shared" ca="1" si="235"/>
        <v>1.225661389043075</v>
      </c>
      <c r="W541" s="357">
        <f t="shared" ca="1" si="236"/>
        <v>6.0588421529574132</v>
      </c>
      <c r="X541" s="343"/>
      <c r="Y541" s="367" t="str">
        <f t="shared" ca="1" si="254"/>
        <v/>
      </c>
      <c r="Z541" s="368" t="str">
        <f t="shared" ca="1" si="255"/>
        <v/>
      </c>
      <c r="AA541" s="369" t="str">
        <f t="shared" ca="1" si="256"/>
        <v/>
      </c>
      <c r="AB541" s="344"/>
      <c r="AC541" s="363" t="e">
        <f t="shared" ca="1" si="257"/>
        <v>#N/A</v>
      </c>
      <c r="AD541" s="376" t="e">
        <f t="shared" ca="1" si="258"/>
        <v>#N/A</v>
      </c>
      <c r="AE541" s="377" t="e">
        <f t="shared" ca="1" si="237"/>
        <v>#N/A</v>
      </c>
      <c r="AF541" s="344"/>
      <c r="AG541" s="359">
        <f t="shared" ca="1" si="259"/>
        <v>5.8349169960522431</v>
      </c>
      <c r="AH541" s="357">
        <f t="shared" ca="1" si="260"/>
        <v>-3.8763488188492734</v>
      </c>
    </row>
    <row r="542" spans="1:34" x14ac:dyDescent="0.2">
      <c r="A542" s="402">
        <f t="shared" ca="1" si="238"/>
        <v>1E-4</v>
      </c>
      <c r="B542" s="357">
        <f t="shared" ca="1" si="239"/>
        <v>15.620199999999915</v>
      </c>
      <c r="C542" s="342"/>
      <c r="D542" s="359">
        <f t="shared" ca="1" si="240"/>
        <v>-0.54858402394074968</v>
      </c>
      <c r="E542" s="360">
        <f t="shared" ca="1" si="241"/>
        <v>-5.9725951293072317</v>
      </c>
      <c r="F542" s="357">
        <f t="shared" ca="1" si="242"/>
        <v>5.99773599035065</v>
      </c>
      <c r="G542" s="359">
        <f t="shared" ca="1" si="243"/>
        <v>9.5380416348052997</v>
      </c>
      <c r="H542" s="360">
        <f t="shared" ca="1" si="244"/>
        <v>-66.72061888399611</v>
      </c>
      <c r="I542" s="357">
        <f t="shared" ca="1" si="245"/>
        <v>67.398925974311624</v>
      </c>
      <c r="J542" s="359">
        <f t="shared" ca="1" si="246"/>
        <v>187.70931447689617</v>
      </c>
      <c r="K542" s="360">
        <f t="shared" ca="1" si="247"/>
        <v>-5.404309143640992</v>
      </c>
      <c r="L542" s="357">
        <f t="shared" ca="1" si="232"/>
        <v>187.78709566609294</v>
      </c>
      <c r="M542" s="359">
        <f t="shared" ca="1" si="248"/>
        <v>-1.4288034386853203</v>
      </c>
      <c r="N542" s="357">
        <f t="shared" ca="1" si="249"/>
        <v>-81.864406790447958</v>
      </c>
      <c r="O542" s="343"/>
      <c r="P542" s="363">
        <f t="shared" ca="1" si="250"/>
        <v>23</v>
      </c>
      <c r="Q542" s="357">
        <f t="shared" ca="1" si="251"/>
        <v>0</v>
      </c>
      <c r="R542" s="359">
        <f t="shared" ca="1" si="252"/>
        <v>0</v>
      </c>
      <c r="S542" s="360">
        <f t="shared" ca="1" si="253"/>
        <v>1.5629999999999982</v>
      </c>
      <c r="T542" s="357">
        <f t="shared" ca="1" si="233"/>
        <v>15.333029999999983</v>
      </c>
      <c r="U542" s="364">
        <f t="shared" ca="1" si="234"/>
        <v>0</v>
      </c>
      <c r="V542" s="359">
        <f t="shared" ca="1" si="235"/>
        <v>1.2256622068086116</v>
      </c>
      <c r="W542" s="357">
        <f t="shared" ca="1" si="236"/>
        <v>6.0589511019386739</v>
      </c>
      <c r="X542" s="343"/>
      <c r="Y542" s="367" t="str">
        <f t="shared" ca="1" si="254"/>
        <v/>
      </c>
      <c r="Z542" s="368" t="str">
        <f t="shared" ca="1" si="255"/>
        <v/>
      </c>
      <c r="AA542" s="369" t="str">
        <f t="shared" ca="1" si="256"/>
        <v/>
      </c>
      <c r="AB542" s="344"/>
      <c r="AC542" s="363" t="e">
        <f t="shared" ca="1" si="257"/>
        <v>#N/A</v>
      </c>
      <c r="AD542" s="376" t="e">
        <f t="shared" ca="1" si="258"/>
        <v>#N/A</v>
      </c>
      <c r="AE542" s="377" t="e">
        <f t="shared" ca="1" si="237"/>
        <v>#N/A</v>
      </c>
      <c r="AF542" s="344"/>
      <c r="AG542" s="359">
        <f t="shared" ca="1" si="259"/>
        <v>5.8348501506542192</v>
      </c>
      <c r="AH542" s="357">
        <f t="shared" ca="1" si="260"/>
        <v>-3.8764185239650804</v>
      </c>
    </row>
    <row r="543" spans="1:34" x14ac:dyDescent="0.2">
      <c r="A543" s="402">
        <f t="shared" ca="1" si="238"/>
        <v>1E-4</v>
      </c>
      <c r="B543" s="357">
        <f t="shared" ca="1" si="239"/>
        <v>15.620299999999915</v>
      </c>
      <c r="C543" s="342"/>
      <c r="D543" s="359">
        <f t="shared" ca="1" si="240"/>
        <v>-0.54858598398434766</v>
      </c>
      <c r="E543" s="360">
        <f t="shared" ca="1" si="241"/>
        <v>-5.9725249958065625</v>
      </c>
      <c r="F543" s="357">
        <f t="shared" ca="1" si="242"/>
        <v>5.997666330111926</v>
      </c>
      <c r="G543" s="359">
        <f t="shared" ca="1" si="243"/>
        <v>9.5379867762069015</v>
      </c>
      <c r="H543" s="360">
        <f t="shared" ca="1" si="244"/>
        <v>-66.721216136495684</v>
      </c>
      <c r="I543" s="357">
        <f t="shared" ca="1" si="245"/>
        <v>67.399509452785111</v>
      </c>
      <c r="J543" s="359">
        <f t="shared" ca="1" si="246"/>
        <v>187.70931447689617</v>
      </c>
      <c r="K543" s="360">
        <f t="shared" ca="1" si="247"/>
        <v>-5.4109812353920166</v>
      </c>
      <c r="L543" s="357">
        <f t="shared" ca="1" si="232"/>
        <v>187.78728780009595</v>
      </c>
      <c r="M543" s="359">
        <f t="shared" ca="1" si="248"/>
        <v>-1.4288054984542824</v>
      </c>
      <c r="N543" s="357">
        <f t="shared" ca="1" si="249"/>
        <v>-81.864524806516243</v>
      </c>
      <c r="O543" s="343"/>
      <c r="P543" s="363">
        <f t="shared" ca="1" si="250"/>
        <v>23</v>
      </c>
      <c r="Q543" s="357">
        <f t="shared" ca="1" si="251"/>
        <v>0</v>
      </c>
      <c r="R543" s="359">
        <f t="shared" ca="1" si="252"/>
        <v>0</v>
      </c>
      <c r="S543" s="360">
        <f t="shared" ca="1" si="253"/>
        <v>1.5629999999999982</v>
      </c>
      <c r="T543" s="357">
        <f t="shared" ca="1" si="233"/>
        <v>15.333029999999983</v>
      </c>
      <c r="U543" s="364">
        <f t="shared" ca="1" si="234"/>
        <v>0</v>
      </c>
      <c r="V543" s="359">
        <f t="shared" ca="1" si="235"/>
        <v>1.2256630245820144</v>
      </c>
      <c r="W543" s="357">
        <f t="shared" ca="1" si="236"/>
        <v>6.0590600508051535</v>
      </c>
      <c r="X543" s="343"/>
      <c r="Y543" s="367" t="str">
        <f t="shared" ca="1" si="254"/>
        <v/>
      </c>
      <c r="Z543" s="368" t="str">
        <f t="shared" ca="1" si="255"/>
        <v/>
      </c>
      <c r="AA543" s="369" t="str">
        <f t="shared" ca="1" si="256"/>
        <v/>
      </c>
      <c r="AB543" s="344"/>
      <c r="AC543" s="363" t="e">
        <f t="shared" ca="1" si="257"/>
        <v>#N/A</v>
      </c>
      <c r="AD543" s="376" t="e">
        <f t="shared" ca="1" si="258"/>
        <v>#N/A</v>
      </c>
      <c r="AE543" s="377" t="e">
        <f t="shared" ca="1" si="237"/>
        <v>#N/A</v>
      </c>
      <c r="AF543" s="344"/>
      <c r="AG543" s="359">
        <f t="shared" ca="1" si="259"/>
        <v>5.8347833052224436</v>
      </c>
      <c r="AH543" s="357">
        <f t="shared" ca="1" si="260"/>
        <v>-3.8764882290074736</v>
      </c>
    </row>
    <row r="544" spans="1:34" x14ac:dyDescent="0.2">
      <c r="A544" s="402">
        <f t="shared" ca="1" si="238"/>
        <v>1E-4</v>
      </c>
      <c r="B544" s="357">
        <f t="shared" ca="1" si="239"/>
        <v>15.620399999999915</v>
      </c>
      <c r="C544" s="342"/>
      <c r="D544" s="359">
        <f t="shared" ca="1" si="240"/>
        <v>-0.54858794391328103</v>
      </c>
      <c r="E544" s="360">
        <f t="shared" ca="1" si="241"/>
        <v>-5.9724548623802995</v>
      </c>
      <c r="F544" s="357">
        <f t="shared" ca="1" si="242"/>
        <v>5.9975966699484786</v>
      </c>
      <c r="G544" s="359">
        <f t="shared" ca="1" si="243"/>
        <v>9.5379319174125108</v>
      </c>
      <c r="H544" s="360">
        <f t="shared" ca="1" si="244"/>
        <v>-66.721813381981917</v>
      </c>
      <c r="I544" s="357">
        <f t="shared" ca="1" si="245"/>
        <v>67.400092924574054</v>
      </c>
      <c r="J544" s="359">
        <f t="shared" ca="1" si="246"/>
        <v>187.70931447689617</v>
      </c>
      <c r="K544" s="360">
        <f t="shared" ca="1" si="247"/>
        <v>-5.4176533868679408</v>
      </c>
      <c r="L544" s="357">
        <f t="shared" ca="1" si="232"/>
        <v>187.78748017268495</v>
      </c>
      <c r="M544" s="359">
        <f t="shared" ca="1" si="248"/>
        <v>-1.4288075581757353</v>
      </c>
      <c r="N544" s="357">
        <f t="shared" ca="1" si="249"/>
        <v>-81.864642819862482</v>
      </c>
      <c r="O544" s="343"/>
      <c r="P544" s="363">
        <f t="shared" ca="1" si="250"/>
        <v>23</v>
      </c>
      <c r="Q544" s="357">
        <f t="shared" ca="1" si="251"/>
        <v>0</v>
      </c>
      <c r="R544" s="359">
        <f t="shared" ca="1" si="252"/>
        <v>0</v>
      </c>
      <c r="S544" s="360">
        <f t="shared" ca="1" si="253"/>
        <v>1.5629999999999982</v>
      </c>
      <c r="T544" s="357">
        <f t="shared" ca="1" si="233"/>
        <v>15.333029999999983</v>
      </c>
      <c r="U544" s="364">
        <f t="shared" ca="1" si="234"/>
        <v>0</v>
      </c>
      <c r="V544" s="359">
        <f t="shared" ca="1" si="235"/>
        <v>1.2256638423632826</v>
      </c>
      <c r="W544" s="357">
        <f t="shared" ca="1" si="236"/>
        <v>6.0591689995568272</v>
      </c>
      <c r="X544" s="343"/>
      <c r="Y544" s="367" t="str">
        <f t="shared" ca="1" si="254"/>
        <v/>
      </c>
      <c r="Z544" s="368" t="str">
        <f t="shared" ca="1" si="255"/>
        <v/>
      </c>
      <c r="AA544" s="369" t="str">
        <f t="shared" ca="1" si="256"/>
        <v/>
      </c>
      <c r="AB544" s="344"/>
      <c r="AC544" s="363" t="e">
        <f t="shared" ca="1" si="257"/>
        <v>#N/A</v>
      </c>
      <c r="AD544" s="376" t="e">
        <f t="shared" ca="1" si="258"/>
        <v>#N/A</v>
      </c>
      <c r="AE544" s="377" t="e">
        <f t="shared" ca="1" si="237"/>
        <v>#N/A</v>
      </c>
      <c r="AF544" s="344"/>
      <c r="AG544" s="359">
        <f t="shared" ca="1" si="259"/>
        <v>5.8347164597569456</v>
      </c>
      <c r="AH544" s="357">
        <f t="shared" ca="1" si="260"/>
        <v>-3.8765579339764304</v>
      </c>
    </row>
    <row r="545" spans="1:34" x14ac:dyDescent="0.2">
      <c r="A545" s="402">
        <f t="shared" ca="1" si="238"/>
        <v>1E-4</v>
      </c>
      <c r="B545" s="357">
        <f t="shared" ca="1" si="239"/>
        <v>15.620499999999915</v>
      </c>
      <c r="C545" s="342"/>
      <c r="D545" s="359">
        <f t="shared" ca="1" si="240"/>
        <v>-0.54858990372755168</v>
      </c>
      <c r="E545" s="360">
        <f t="shared" ca="1" si="241"/>
        <v>-5.9723847290284571</v>
      </c>
      <c r="F545" s="357">
        <f t="shared" ca="1" si="242"/>
        <v>5.9975270098603239</v>
      </c>
      <c r="G545" s="359">
        <f t="shared" ca="1" si="243"/>
        <v>9.5378770584221382</v>
      </c>
      <c r="H545" s="360">
        <f t="shared" ca="1" si="244"/>
        <v>-66.722410620454824</v>
      </c>
      <c r="I545" s="357">
        <f t="shared" ca="1" si="245"/>
        <v>67.400676389678452</v>
      </c>
      <c r="J545" s="359">
        <f t="shared" ca="1" si="246"/>
        <v>187.70931447689617</v>
      </c>
      <c r="K545" s="360">
        <f t="shared" ca="1" si="247"/>
        <v>-5.4243255980680622</v>
      </c>
      <c r="L545" s="357">
        <f t="shared" ca="1" si="232"/>
        <v>187.78767278386556</v>
      </c>
      <c r="M545" s="359">
        <f t="shared" ca="1" si="248"/>
        <v>-1.428809617849681</v>
      </c>
      <c r="N545" s="357">
        <f t="shared" ca="1" si="249"/>
        <v>-81.86476083048673</v>
      </c>
      <c r="O545" s="343"/>
      <c r="P545" s="363">
        <f t="shared" ca="1" si="250"/>
        <v>23</v>
      </c>
      <c r="Q545" s="357">
        <f t="shared" ca="1" si="251"/>
        <v>0</v>
      </c>
      <c r="R545" s="359">
        <f t="shared" ca="1" si="252"/>
        <v>0</v>
      </c>
      <c r="S545" s="360">
        <f t="shared" ca="1" si="253"/>
        <v>1.5629999999999982</v>
      </c>
      <c r="T545" s="357">
        <f t="shared" ca="1" si="233"/>
        <v>15.333029999999983</v>
      </c>
      <c r="U545" s="364">
        <f t="shared" ca="1" si="234"/>
        <v>0</v>
      </c>
      <c r="V545" s="359">
        <f t="shared" ca="1" si="235"/>
        <v>1.2256646601524175</v>
      </c>
      <c r="W545" s="357">
        <f t="shared" ca="1" si="236"/>
        <v>6.0592779481936665</v>
      </c>
      <c r="X545" s="343"/>
      <c r="Y545" s="367" t="str">
        <f t="shared" ca="1" si="254"/>
        <v/>
      </c>
      <c r="Z545" s="368" t="str">
        <f t="shared" ca="1" si="255"/>
        <v/>
      </c>
      <c r="AA545" s="369" t="str">
        <f t="shared" ca="1" si="256"/>
        <v/>
      </c>
      <c r="AB545" s="344"/>
      <c r="AC545" s="363" t="e">
        <f t="shared" ca="1" si="257"/>
        <v>#N/A</v>
      </c>
      <c r="AD545" s="376" t="e">
        <f t="shared" ca="1" si="258"/>
        <v>#N/A</v>
      </c>
      <c r="AE545" s="377" t="e">
        <f t="shared" ca="1" si="237"/>
        <v>#N/A</v>
      </c>
      <c r="AF545" s="344"/>
      <c r="AG545" s="359">
        <f t="shared" ca="1" si="259"/>
        <v>5.8346496142577449</v>
      </c>
      <c r="AH545" s="357">
        <f t="shared" ca="1" si="260"/>
        <v>-3.876627638871935</v>
      </c>
    </row>
    <row r="546" spans="1:34" x14ac:dyDescent="0.2">
      <c r="A546" s="402">
        <f t="shared" ca="1" si="238"/>
        <v>1E-4</v>
      </c>
      <c r="B546" s="357">
        <f t="shared" ca="1" si="239"/>
        <v>15.620599999999914</v>
      </c>
      <c r="C546" s="342"/>
      <c r="D546" s="359">
        <f t="shared" ca="1" si="240"/>
        <v>-0.5485918634271606</v>
      </c>
      <c r="E546" s="360">
        <f t="shared" ca="1" si="241"/>
        <v>-5.9723145957510555</v>
      </c>
      <c r="F546" s="357">
        <f t="shared" ca="1" si="242"/>
        <v>5.9974573498474815</v>
      </c>
      <c r="G546" s="359">
        <f t="shared" ca="1" si="243"/>
        <v>9.5378221992357961</v>
      </c>
      <c r="H546" s="360">
        <f t="shared" ca="1" si="244"/>
        <v>-66.723007851914403</v>
      </c>
      <c r="I546" s="357">
        <f t="shared" ca="1" si="245"/>
        <v>67.401259848098292</v>
      </c>
      <c r="J546" s="359">
        <f t="shared" ca="1" si="246"/>
        <v>187.70931447689617</v>
      </c>
      <c r="K546" s="360">
        <f t="shared" ca="1" si="247"/>
        <v>-5.4309978689916809</v>
      </c>
      <c r="L546" s="357">
        <f t="shared" ca="1" si="232"/>
        <v>187.78786563364335</v>
      </c>
      <c r="M546" s="359">
        <f t="shared" ca="1" si="248"/>
        <v>-1.4288116774761208</v>
      </c>
      <c r="N546" s="357">
        <f t="shared" ca="1" si="249"/>
        <v>-81.864878838389117</v>
      </c>
      <c r="O546" s="343"/>
      <c r="P546" s="363">
        <f t="shared" ca="1" si="250"/>
        <v>23</v>
      </c>
      <c r="Q546" s="357">
        <f t="shared" ca="1" si="251"/>
        <v>0</v>
      </c>
      <c r="R546" s="359">
        <f t="shared" ca="1" si="252"/>
        <v>0</v>
      </c>
      <c r="S546" s="360">
        <f t="shared" ca="1" si="253"/>
        <v>1.5629999999999982</v>
      </c>
      <c r="T546" s="357">
        <f t="shared" ca="1" si="233"/>
        <v>15.333029999999983</v>
      </c>
      <c r="U546" s="364">
        <f t="shared" ca="1" si="234"/>
        <v>0</v>
      </c>
      <c r="V546" s="359">
        <f t="shared" ca="1" si="235"/>
        <v>1.225665477949418</v>
      </c>
      <c r="W546" s="357">
        <f t="shared" ca="1" si="236"/>
        <v>6.059386896715635</v>
      </c>
      <c r="X546" s="343"/>
      <c r="Y546" s="367" t="str">
        <f t="shared" ca="1" si="254"/>
        <v/>
      </c>
      <c r="Z546" s="368" t="str">
        <f t="shared" ca="1" si="255"/>
        <v/>
      </c>
      <c r="AA546" s="369" t="str">
        <f t="shared" ca="1" si="256"/>
        <v/>
      </c>
      <c r="AB546" s="344"/>
      <c r="AC546" s="363" t="e">
        <f t="shared" ca="1" si="257"/>
        <v>#N/A</v>
      </c>
      <c r="AD546" s="376" t="e">
        <f t="shared" ca="1" si="258"/>
        <v>#N/A</v>
      </c>
      <c r="AE546" s="377" t="e">
        <f t="shared" ca="1" si="237"/>
        <v>#N/A</v>
      </c>
      <c r="AF546" s="344"/>
      <c r="AG546" s="359">
        <f t="shared" ca="1" si="259"/>
        <v>5.8345827687248626</v>
      </c>
      <c r="AH546" s="357">
        <f t="shared" ca="1" si="260"/>
        <v>-3.8766973436939689</v>
      </c>
    </row>
    <row r="547" spans="1:34" x14ac:dyDescent="0.2">
      <c r="A547" s="402">
        <f t="shared" ca="1" si="238"/>
        <v>1E-4</v>
      </c>
      <c r="B547" s="357">
        <f t="shared" ca="1" si="239"/>
        <v>15.620699999999914</v>
      </c>
      <c r="C547" s="342"/>
      <c r="D547" s="359">
        <f t="shared" ca="1" si="240"/>
        <v>-0.54859382301210902</v>
      </c>
      <c r="E547" s="360">
        <f t="shared" ca="1" si="241"/>
        <v>-5.9722444625481161</v>
      </c>
      <c r="F547" s="357">
        <f t="shared" ca="1" si="242"/>
        <v>5.9973876899099725</v>
      </c>
      <c r="G547" s="359">
        <f t="shared" ca="1" si="243"/>
        <v>9.5377673398534952</v>
      </c>
      <c r="H547" s="360">
        <f t="shared" ca="1" si="244"/>
        <v>-66.723605076360656</v>
      </c>
      <c r="I547" s="357">
        <f t="shared" ca="1" si="245"/>
        <v>67.401843299833558</v>
      </c>
      <c r="J547" s="359">
        <f t="shared" ca="1" si="246"/>
        <v>187.70931447689617</v>
      </c>
      <c r="K547" s="360">
        <f t="shared" ca="1" si="247"/>
        <v>-5.4376701996380943</v>
      </c>
      <c r="L547" s="357">
        <f t="shared" ca="1" si="232"/>
        <v>187.78805872202398</v>
      </c>
      <c r="M547" s="359">
        <f t="shared" ca="1" si="248"/>
        <v>-1.4288137370550569</v>
      </c>
      <c r="N547" s="357">
        <f t="shared" ca="1" si="249"/>
        <v>-81.864996843569728</v>
      </c>
      <c r="O547" s="343"/>
      <c r="P547" s="363">
        <f t="shared" ca="1" si="250"/>
        <v>23</v>
      </c>
      <c r="Q547" s="357">
        <f t="shared" ca="1" si="251"/>
        <v>0</v>
      </c>
      <c r="R547" s="359">
        <f t="shared" ca="1" si="252"/>
        <v>0</v>
      </c>
      <c r="S547" s="360">
        <f t="shared" ca="1" si="253"/>
        <v>1.5629999999999982</v>
      </c>
      <c r="T547" s="357">
        <f t="shared" ca="1" si="233"/>
        <v>15.333029999999983</v>
      </c>
      <c r="U547" s="364">
        <f t="shared" ca="1" si="234"/>
        <v>0</v>
      </c>
      <c r="V547" s="359">
        <f t="shared" ca="1" si="235"/>
        <v>1.2256662957542839</v>
      </c>
      <c r="W547" s="357">
        <f t="shared" ca="1" si="236"/>
        <v>6.0594958451226972</v>
      </c>
      <c r="X547" s="343"/>
      <c r="Y547" s="367" t="str">
        <f t="shared" ca="1" si="254"/>
        <v/>
      </c>
      <c r="Z547" s="368" t="str">
        <f t="shared" ca="1" si="255"/>
        <v/>
      </c>
      <c r="AA547" s="369" t="str">
        <f t="shared" ca="1" si="256"/>
        <v/>
      </c>
      <c r="AB547" s="344"/>
      <c r="AC547" s="363" t="e">
        <f t="shared" ca="1" si="257"/>
        <v>#N/A</v>
      </c>
      <c r="AD547" s="376" t="e">
        <f t="shared" ca="1" si="258"/>
        <v>#N/A</v>
      </c>
      <c r="AE547" s="377" t="e">
        <f t="shared" ca="1" si="237"/>
        <v>#N/A</v>
      </c>
      <c r="AF547" s="344"/>
      <c r="AG547" s="359">
        <f t="shared" ca="1" si="259"/>
        <v>5.8345159231583299</v>
      </c>
      <c r="AH547" s="357">
        <f t="shared" ca="1" si="260"/>
        <v>-3.8767670484425092</v>
      </c>
    </row>
    <row r="548" spans="1:34" x14ac:dyDescent="0.2">
      <c r="A548" s="402">
        <f t="shared" ca="1" si="238"/>
        <v>1E-4</v>
      </c>
      <c r="B548" s="357">
        <f t="shared" ca="1" si="239"/>
        <v>15.620799999999914</v>
      </c>
      <c r="C548" s="342"/>
      <c r="D548" s="359">
        <f t="shared" ca="1" si="240"/>
        <v>-0.54859578248239649</v>
      </c>
      <c r="E548" s="360">
        <f t="shared" ca="1" si="241"/>
        <v>-5.9721743294196621</v>
      </c>
      <c r="F548" s="357">
        <f t="shared" ca="1" si="242"/>
        <v>5.9973180300478202</v>
      </c>
      <c r="G548" s="359">
        <f t="shared" ca="1" si="243"/>
        <v>9.5377124802752462</v>
      </c>
      <c r="H548" s="360">
        <f t="shared" ca="1" si="244"/>
        <v>-66.724202293793596</v>
      </c>
      <c r="I548" s="357">
        <f t="shared" ca="1" si="245"/>
        <v>67.402426744884252</v>
      </c>
      <c r="J548" s="359">
        <f t="shared" ca="1" si="246"/>
        <v>187.70931447689617</v>
      </c>
      <c r="K548" s="360">
        <f t="shared" ca="1" si="247"/>
        <v>-5.4443425900066016</v>
      </c>
      <c r="L548" s="357">
        <f t="shared" ca="1" si="232"/>
        <v>187.78825204901307</v>
      </c>
      <c r="M548" s="359">
        <f t="shared" ca="1" si="248"/>
        <v>-1.4288157965864905</v>
      </c>
      <c r="N548" s="357">
        <f t="shared" ca="1" si="249"/>
        <v>-81.865114846028646</v>
      </c>
      <c r="O548" s="343"/>
      <c r="P548" s="363">
        <f t="shared" ca="1" si="250"/>
        <v>23</v>
      </c>
      <c r="Q548" s="357">
        <f t="shared" ca="1" si="251"/>
        <v>0</v>
      </c>
      <c r="R548" s="359">
        <f t="shared" ca="1" si="252"/>
        <v>0</v>
      </c>
      <c r="S548" s="360">
        <f t="shared" ca="1" si="253"/>
        <v>1.5629999999999982</v>
      </c>
      <c r="T548" s="357">
        <f t="shared" ca="1" si="233"/>
        <v>15.333029999999983</v>
      </c>
      <c r="U548" s="364">
        <f t="shared" ca="1" si="234"/>
        <v>0</v>
      </c>
      <c r="V548" s="359">
        <f t="shared" ca="1" si="235"/>
        <v>1.2256671135670163</v>
      </c>
      <c r="W548" s="357">
        <f t="shared" ca="1" si="236"/>
        <v>6.0596047934148336</v>
      </c>
      <c r="X548" s="343"/>
      <c r="Y548" s="367" t="str">
        <f t="shared" ca="1" si="254"/>
        <v/>
      </c>
      <c r="Z548" s="368" t="str">
        <f t="shared" ca="1" si="255"/>
        <v/>
      </c>
      <c r="AA548" s="369" t="str">
        <f t="shared" ca="1" si="256"/>
        <v/>
      </c>
      <c r="AB548" s="344"/>
      <c r="AC548" s="363" t="e">
        <f t="shared" ca="1" si="257"/>
        <v>#N/A</v>
      </c>
      <c r="AD548" s="376" t="e">
        <f t="shared" ca="1" si="258"/>
        <v>#N/A</v>
      </c>
      <c r="AE548" s="377" t="e">
        <f t="shared" ca="1" si="237"/>
        <v>#N/A</v>
      </c>
      <c r="AF548" s="344"/>
      <c r="AG548" s="359">
        <f t="shared" ca="1" si="259"/>
        <v>5.8344490775581743</v>
      </c>
      <c r="AH548" s="357">
        <f t="shared" ca="1" si="260"/>
        <v>-3.8768367531175332</v>
      </c>
    </row>
    <row r="549" spans="1:34" x14ac:dyDescent="0.2">
      <c r="A549" s="402">
        <f t="shared" ca="1" si="238"/>
        <v>1E-4</v>
      </c>
      <c r="B549" s="357">
        <f t="shared" ca="1" si="239"/>
        <v>15.620899999999914</v>
      </c>
      <c r="C549" s="342"/>
      <c r="D549" s="359">
        <f t="shared" ca="1" si="240"/>
        <v>-0.54859774183802623</v>
      </c>
      <c r="E549" s="360">
        <f t="shared" ca="1" si="241"/>
        <v>-5.9721041963657076</v>
      </c>
      <c r="F549" s="357">
        <f t="shared" ca="1" si="242"/>
        <v>5.9972483702610377</v>
      </c>
      <c r="G549" s="359">
        <f t="shared" ca="1" si="243"/>
        <v>9.5376576205010632</v>
      </c>
      <c r="H549" s="360">
        <f t="shared" ca="1" si="244"/>
        <v>-66.724799504213237</v>
      </c>
      <c r="I549" s="357">
        <f t="shared" ca="1" si="245"/>
        <v>67.403010183250402</v>
      </c>
      <c r="J549" s="359">
        <f t="shared" ca="1" si="246"/>
        <v>187.70931447689617</v>
      </c>
      <c r="K549" s="360">
        <f t="shared" ca="1" si="247"/>
        <v>-5.4510150400965021</v>
      </c>
      <c r="L549" s="357">
        <f t="shared" ca="1" si="232"/>
        <v>187.78844561461617</v>
      </c>
      <c r="M549" s="359">
        <f t="shared" ca="1" si="248"/>
        <v>-1.4288178560704237</v>
      </c>
      <c r="N549" s="357">
        <f t="shared" ca="1" si="249"/>
        <v>-81.865232845765988</v>
      </c>
      <c r="O549" s="343"/>
      <c r="P549" s="363">
        <f t="shared" ca="1" si="250"/>
        <v>23</v>
      </c>
      <c r="Q549" s="357">
        <f t="shared" ca="1" si="251"/>
        <v>0</v>
      </c>
      <c r="R549" s="359">
        <f t="shared" ca="1" si="252"/>
        <v>0</v>
      </c>
      <c r="S549" s="360">
        <f t="shared" ca="1" si="253"/>
        <v>1.5629999999999982</v>
      </c>
      <c r="T549" s="357">
        <f t="shared" ca="1" si="233"/>
        <v>15.333029999999983</v>
      </c>
      <c r="U549" s="364">
        <f t="shared" ca="1" si="234"/>
        <v>0</v>
      </c>
      <c r="V549" s="359">
        <f t="shared" ca="1" si="235"/>
        <v>1.2256679313876138</v>
      </c>
      <c r="W549" s="357">
        <f t="shared" ca="1" si="236"/>
        <v>6.0597137415920104</v>
      </c>
      <c r="X549" s="343"/>
      <c r="Y549" s="367" t="str">
        <f t="shared" ca="1" si="254"/>
        <v/>
      </c>
      <c r="Z549" s="368" t="str">
        <f t="shared" ca="1" si="255"/>
        <v/>
      </c>
      <c r="AA549" s="369" t="str">
        <f t="shared" ca="1" si="256"/>
        <v/>
      </c>
      <c r="AB549" s="344"/>
      <c r="AC549" s="363" t="e">
        <f t="shared" ca="1" si="257"/>
        <v>#N/A</v>
      </c>
      <c r="AD549" s="376" t="e">
        <f t="shared" ca="1" si="258"/>
        <v>#N/A</v>
      </c>
      <c r="AE549" s="377" t="e">
        <f t="shared" ca="1" si="237"/>
        <v>#N/A</v>
      </c>
      <c r="AF549" s="344"/>
      <c r="AG549" s="359">
        <f t="shared" ca="1" si="259"/>
        <v>5.8343822319244145</v>
      </c>
      <c r="AH549" s="357">
        <f t="shared" ca="1" si="260"/>
        <v>-3.876906457719028</v>
      </c>
    </row>
    <row r="550" spans="1:34" x14ac:dyDescent="0.2">
      <c r="A550" s="402">
        <f t="shared" ca="1" si="238"/>
        <v>1E-4</v>
      </c>
      <c r="B550" s="357">
        <f t="shared" ca="1" si="239"/>
        <v>15.620999999999913</v>
      </c>
      <c r="C550" s="342"/>
      <c r="D550" s="359">
        <f t="shared" ca="1" si="240"/>
        <v>-0.54859970107899803</v>
      </c>
      <c r="E550" s="360">
        <f t="shared" ca="1" si="241"/>
        <v>-5.9720340633862712</v>
      </c>
      <c r="F550" s="357">
        <f t="shared" ca="1" si="242"/>
        <v>5.9971787105496448</v>
      </c>
      <c r="G550" s="359">
        <f t="shared" ca="1" si="243"/>
        <v>9.5376027605309552</v>
      </c>
      <c r="H550" s="360">
        <f t="shared" ca="1" si="244"/>
        <v>-66.725396707619581</v>
      </c>
      <c r="I550" s="357">
        <f t="shared" ca="1" si="245"/>
        <v>67.403593614931964</v>
      </c>
      <c r="J550" s="359">
        <f t="shared" ca="1" si="246"/>
        <v>187.70931447689617</v>
      </c>
      <c r="K550" s="360">
        <f t="shared" ca="1" si="247"/>
        <v>-5.457687549907094</v>
      </c>
      <c r="L550" s="357">
        <f t="shared" ca="1" si="232"/>
        <v>187.78863941883893</v>
      </c>
      <c r="M550" s="359">
        <f t="shared" ca="1" si="248"/>
        <v>-1.4288199155068582</v>
      </c>
      <c r="N550" s="357">
        <f t="shared" ca="1" si="249"/>
        <v>-81.865350842781865</v>
      </c>
      <c r="O550" s="343"/>
      <c r="P550" s="363">
        <f t="shared" ca="1" si="250"/>
        <v>23</v>
      </c>
      <c r="Q550" s="357">
        <f t="shared" ca="1" si="251"/>
        <v>0</v>
      </c>
      <c r="R550" s="359">
        <f t="shared" ca="1" si="252"/>
        <v>0</v>
      </c>
      <c r="S550" s="360">
        <f t="shared" ca="1" si="253"/>
        <v>1.5629999999999982</v>
      </c>
      <c r="T550" s="357">
        <f t="shared" ca="1" si="233"/>
        <v>15.333029999999983</v>
      </c>
      <c r="U550" s="364">
        <f t="shared" ca="1" si="234"/>
        <v>0</v>
      </c>
      <c r="V550" s="359">
        <f t="shared" ca="1" si="235"/>
        <v>1.2256687492160774</v>
      </c>
      <c r="W550" s="357">
        <f t="shared" ca="1" si="236"/>
        <v>6.0598226896541911</v>
      </c>
      <c r="X550" s="343"/>
      <c r="Y550" s="367" t="str">
        <f t="shared" ca="1" si="254"/>
        <v/>
      </c>
      <c r="Z550" s="368" t="str">
        <f t="shared" ca="1" si="255"/>
        <v/>
      </c>
      <c r="AA550" s="369" t="str">
        <f t="shared" ca="1" si="256"/>
        <v/>
      </c>
      <c r="AB550" s="344"/>
      <c r="AC550" s="363" t="e">
        <f t="shared" ca="1" si="257"/>
        <v>#N/A</v>
      </c>
      <c r="AD550" s="376" t="e">
        <f t="shared" ca="1" si="258"/>
        <v>#N/A</v>
      </c>
      <c r="AE550" s="377" t="e">
        <f t="shared" ca="1" si="237"/>
        <v>#N/A</v>
      </c>
      <c r="AF550" s="344"/>
      <c r="AG550" s="359">
        <f t="shared" ca="1" si="259"/>
        <v>5.8343153862570762</v>
      </c>
      <c r="AH550" s="357">
        <f t="shared" ca="1" si="260"/>
        <v>-3.8769761622469723</v>
      </c>
    </row>
    <row r="551" spans="1:34" x14ac:dyDescent="0.2">
      <c r="A551" s="402">
        <f t="shared" ca="1" si="238"/>
        <v>1E-4</v>
      </c>
      <c r="B551" s="357">
        <f t="shared" ca="1" si="239"/>
        <v>15.621099999999913</v>
      </c>
      <c r="C551" s="342"/>
      <c r="D551" s="359">
        <f t="shared" ca="1" si="240"/>
        <v>-0.54860166020531198</v>
      </c>
      <c r="E551" s="360">
        <f t="shared" ca="1" si="241"/>
        <v>-5.9719639304813796</v>
      </c>
      <c r="F551" s="357">
        <f t="shared" ca="1" si="242"/>
        <v>5.997109050913668</v>
      </c>
      <c r="G551" s="359">
        <f t="shared" ca="1" si="243"/>
        <v>9.5375479003649346</v>
      </c>
      <c r="H551" s="360">
        <f t="shared" ca="1" si="244"/>
        <v>-66.725993904012626</v>
      </c>
      <c r="I551" s="357">
        <f t="shared" ca="1" si="245"/>
        <v>67.404177039928953</v>
      </c>
      <c r="J551" s="359">
        <f t="shared" ca="1" si="246"/>
        <v>187.70931447689617</v>
      </c>
      <c r="K551" s="360">
        <f t="shared" ca="1" si="247"/>
        <v>-5.4643601194376759</v>
      </c>
      <c r="L551" s="357">
        <f t="shared" ca="1" si="232"/>
        <v>187.78883346168695</v>
      </c>
      <c r="M551" s="359">
        <f t="shared" ca="1" si="248"/>
        <v>-1.4288219748957953</v>
      </c>
      <c r="N551" s="357">
        <f t="shared" ca="1" si="249"/>
        <v>-81.865468837076335</v>
      </c>
      <c r="O551" s="343"/>
      <c r="P551" s="363">
        <f t="shared" ca="1" si="250"/>
        <v>23</v>
      </c>
      <c r="Q551" s="357">
        <f t="shared" ca="1" si="251"/>
        <v>0</v>
      </c>
      <c r="R551" s="359">
        <f t="shared" ca="1" si="252"/>
        <v>0</v>
      </c>
      <c r="S551" s="360">
        <f t="shared" ca="1" si="253"/>
        <v>1.5629999999999982</v>
      </c>
      <c r="T551" s="357">
        <f t="shared" ca="1" si="233"/>
        <v>15.333029999999983</v>
      </c>
      <c r="U551" s="364">
        <f t="shared" ca="1" si="234"/>
        <v>0</v>
      </c>
      <c r="V551" s="359">
        <f t="shared" ca="1" si="235"/>
        <v>1.225669567052406</v>
      </c>
      <c r="W551" s="357">
        <f t="shared" ca="1" si="236"/>
        <v>6.0599316376013492</v>
      </c>
      <c r="X551" s="343"/>
      <c r="Y551" s="367" t="str">
        <f t="shared" ca="1" si="254"/>
        <v/>
      </c>
      <c r="Z551" s="368" t="str">
        <f t="shared" ca="1" si="255"/>
        <v/>
      </c>
      <c r="AA551" s="369" t="str">
        <f t="shared" ca="1" si="256"/>
        <v/>
      </c>
      <c r="AB551" s="344"/>
      <c r="AC551" s="363" t="e">
        <f t="shared" ca="1" si="257"/>
        <v>#N/A</v>
      </c>
      <c r="AD551" s="376" t="e">
        <f t="shared" ca="1" si="258"/>
        <v>#N/A</v>
      </c>
      <c r="AE551" s="377" t="e">
        <f t="shared" ca="1" si="237"/>
        <v>#N/A</v>
      </c>
      <c r="AF551" s="344"/>
      <c r="AG551" s="359">
        <f t="shared" ca="1" si="259"/>
        <v>5.834248540556187</v>
      </c>
      <c r="AH551" s="357">
        <f t="shared" ca="1" si="260"/>
        <v>-3.8770458667013425</v>
      </c>
    </row>
    <row r="552" spans="1:34" x14ac:dyDescent="0.2">
      <c r="A552" s="402">
        <f t="shared" ca="1" si="238"/>
        <v>1E-4</v>
      </c>
      <c r="B552" s="357">
        <f t="shared" ca="1" si="239"/>
        <v>15.621199999999913</v>
      </c>
      <c r="C552" s="342"/>
      <c r="D552" s="359">
        <f t="shared" ca="1" si="240"/>
        <v>-0.54860361921697109</v>
      </c>
      <c r="E552" s="360">
        <f t="shared" ca="1" si="241"/>
        <v>-5.9718937976510489</v>
      </c>
      <c r="F552" s="357">
        <f t="shared" ca="1" si="242"/>
        <v>5.9970393913531224</v>
      </c>
      <c r="G552" s="359">
        <f t="shared" ca="1" si="243"/>
        <v>9.5374930400030138</v>
      </c>
      <c r="H552" s="360">
        <f t="shared" ca="1" si="244"/>
        <v>-66.726591093392386</v>
      </c>
      <c r="I552" s="357">
        <f t="shared" ca="1" si="245"/>
        <v>67.404760458241356</v>
      </c>
      <c r="J552" s="359">
        <f t="shared" ca="1" si="246"/>
        <v>187.70931447689617</v>
      </c>
      <c r="K552" s="360">
        <f t="shared" ca="1" si="247"/>
        <v>-5.4710327486875459</v>
      </c>
      <c r="L552" s="357">
        <f t="shared" ca="1" si="232"/>
        <v>187.78902774316586</v>
      </c>
      <c r="M552" s="359">
        <f t="shared" ca="1" si="248"/>
        <v>-1.4288240342372371</v>
      </c>
      <c r="N552" s="357">
        <f t="shared" ca="1" si="249"/>
        <v>-81.865586828649526</v>
      </c>
      <c r="O552" s="343"/>
      <c r="P552" s="363">
        <f t="shared" ca="1" si="250"/>
        <v>23</v>
      </c>
      <c r="Q552" s="357">
        <f t="shared" ca="1" si="251"/>
        <v>0</v>
      </c>
      <c r="R552" s="359">
        <f t="shared" ca="1" si="252"/>
        <v>0</v>
      </c>
      <c r="S552" s="360">
        <f t="shared" ca="1" si="253"/>
        <v>1.5629999999999982</v>
      </c>
      <c r="T552" s="357">
        <f t="shared" ca="1" si="233"/>
        <v>15.333029999999983</v>
      </c>
      <c r="U552" s="364">
        <f t="shared" ca="1" si="234"/>
        <v>0</v>
      </c>
      <c r="V552" s="359">
        <f t="shared" ca="1" si="235"/>
        <v>1.2256703848966004</v>
      </c>
      <c r="W552" s="357">
        <f t="shared" ca="1" si="236"/>
        <v>6.0600405854334527</v>
      </c>
      <c r="X552" s="343"/>
      <c r="Y552" s="367" t="str">
        <f t="shared" ca="1" si="254"/>
        <v/>
      </c>
      <c r="Z552" s="368" t="str">
        <f t="shared" ca="1" si="255"/>
        <v/>
      </c>
      <c r="AA552" s="369" t="str">
        <f t="shared" ca="1" si="256"/>
        <v/>
      </c>
      <c r="AB552" s="344"/>
      <c r="AC552" s="363" t="e">
        <f t="shared" ca="1" si="257"/>
        <v>#N/A</v>
      </c>
      <c r="AD552" s="376" t="e">
        <f t="shared" ca="1" si="258"/>
        <v>#N/A</v>
      </c>
      <c r="AE552" s="377" t="e">
        <f t="shared" ca="1" si="237"/>
        <v>#N/A</v>
      </c>
      <c r="AF552" s="344"/>
      <c r="AG552" s="359">
        <f t="shared" ca="1" si="259"/>
        <v>5.8341816948217691</v>
      </c>
      <c r="AH552" s="357">
        <f t="shared" ca="1" si="260"/>
        <v>-3.8771155710821219</v>
      </c>
    </row>
    <row r="553" spans="1:34" x14ac:dyDescent="0.2">
      <c r="A553" s="402">
        <f t="shared" ca="1" si="238"/>
        <v>1E-4</v>
      </c>
      <c r="B553" s="357">
        <f t="shared" ca="1" si="239"/>
        <v>15.621299999999913</v>
      </c>
      <c r="C553" s="342"/>
      <c r="D553" s="359">
        <f t="shared" ca="1" si="240"/>
        <v>-0.54860557811397503</v>
      </c>
      <c r="E553" s="360">
        <f t="shared" ca="1" si="241"/>
        <v>-5.9718236648952994</v>
      </c>
      <c r="F553" s="357">
        <f t="shared" ca="1" si="242"/>
        <v>5.9969697318680284</v>
      </c>
      <c r="G553" s="359">
        <f t="shared" ca="1" si="243"/>
        <v>9.5374381794452017</v>
      </c>
      <c r="H553" s="360">
        <f t="shared" ca="1" si="244"/>
        <v>-66.727188275758877</v>
      </c>
      <c r="I553" s="357">
        <f t="shared" ca="1" si="245"/>
        <v>67.405343869869199</v>
      </c>
      <c r="J553" s="359">
        <f t="shared" ca="1" si="246"/>
        <v>187.70931447689617</v>
      </c>
      <c r="K553" s="360">
        <f t="shared" ca="1" si="247"/>
        <v>-5.4777054376560033</v>
      </c>
      <c r="L553" s="357">
        <f t="shared" ca="1" si="232"/>
        <v>187.78922226328118</v>
      </c>
      <c r="M553" s="359">
        <f t="shared" ca="1" si="248"/>
        <v>-1.4288260935311852</v>
      </c>
      <c r="N553" s="357">
        <f t="shared" ca="1" si="249"/>
        <v>-81.865704817501523</v>
      </c>
      <c r="O553" s="343"/>
      <c r="P553" s="363">
        <f t="shared" ca="1" si="250"/>
        <v>23</v>
      </c>
      <c r="Q553" s="357">
        <f t="shared" ca="1" si="251"/>
        <v>0</v>
      </c>
      <c r="R553" s="359">
        <f t="shared" ca="1" si="252"/>
        <v>0</v>
      </c>
      <c r="S553" s="360">
        <f t="shared" ca="1" si="253"/>
        <v>1.5629999999999982</v>
      </c>
      <c r="T553" s="357">
        <f t="shared" ca="1" si="233"/>
        <v>15.333029999999983</v>
      </c>
      <c r="U553" s="364">
        <f t="shared" ca="1" si="234"/>
        <v>0</v>
      </c>
      <c r="V553" s="359">
        <f t="shared" ca="1" si="235"/>
        <v>1.2256712027486603</v>
      </c>
      <c r="W553" s="357">
        <f t="shared" ca="1" si="236"/>
        <v>6.0601495331504767</v>
      </c>
      <c r="X553" s="343"/>
      <c r="Y553" s="367" t="str">
        <f t="shared" ca="1" si="254"/>
        <v/>
      </c>
      <c r="Z553" s="368" t="str">
        <f t="shared" ca="1" si="255"/>
        <v/>
      </c>
      <c r="AA553" s="369" t="str">
        <f t="shared" ca="1" si="256"/>
        <v/>
      </c>
      <c r="AB553" s="344"/>
      <c r="AC553" s="363" t="e">
        <f t="shared" ca="1" si="257"/>
        <v>#N/A</v>
      </c>
      <c r="AD553" s="376" t="e">
        <f t="shared" ca="1" si="258"/>
        <v>#N/A</v>
      </c>
      <c r="AE553" s="377" t="e">
        <f t="shared" ca="1" si="237"/>
        <v>#N/A</v>
      </c>
      <c r="AF553" s="344"/>
      <c r="AG553" s="359">
        <f t="shared" ca="1" si="259"/>
        <v>5.8341148490538499</v>
      </c>
      <c r="AH553" s="357">
        <f t="shared" ca="1" si="260"/>
        <v>-3.8771852753892899</v>
      </c>
    </row>
    <row r="554" spans="1:34" x14ac:dyDescent="0.2">
      <c r="A554" s="402">
        <f t="shared" ca="1" si="238"/>
        <v>1E-4</v>
      </c>
      <c r="B554" s="357">
        <f t="shared" ca="1" si="239"/>
        <v>15.621399999999912</v>
      </c>
      <c r="C554" s="342"/>
      <c r="D554" s="359">
        <f t="shared" ca="1" si="240"/>
        <v>-0.54860753689632591</v>
      </c>
      <c r="E554" s="360">
        <f t="shared" ca="1" si="241"/>
        <v>-5.9717535322141471</v>
      </c>
      <c r="F554" s="357">
        <f t="shared" ca="1" si="242"/>
        <v>5.9969000724584021</v>
      </c>
      <c r="G554" s="359">
        <f t="shared" ca="1" si="243"/>
        <v>9.5373833186915125</v>
      </c>
      <c r="H554" s="360">
        <f t="shared" ca="1" si="244"/>
        <v>-66.727785451112098</v>
      </c>
      <c r="I554" s="357">
        <f t="shared" ca="1" si="245"/>
        <v>67.405927274812427</v>
      </c>
      <c r="J554" s="359">
        <f t="shared" ca="1" si="246"/>
        <v>187.70931447689617</v>
      </c>
      <c r="K554" s="360">
        <f t="shared" ca="1" si="247"/>
        <v>-5.4843781863423464</v>
      </c>
      <c r="L554" s="357">
        <f t="shared" ca="1" si="232"/>
        <v>187.78941702203861</v>
      </c>
      <c r="M554" s="359">
        <f t="shared" ca="1" si="248"/>
        <v>-1.4288281527776412</v>
      </c>
      <c r="N554" s="357">
        <f t="shared" ca="1" si="249"/>
        <v>-81.86582280363244</v>
      </c>
      <c r="O554" s="343"/>
      <c r="P554" s="363">
        <f t="shared" ca="1" si="250"/>
        <v>23</v>
      </c>
      <c r="Q554" s="357">
        <f t="shared" ca="1" si="251"/>
        <v>0</v>
      </c>
      <c r="R554" s="359">
        <f t="shared" ca="1" si="252"/>
        <v>0</v>
      </c>
      <c r="S554" s="360">
        <f t="shared" ca="1" si="253"/>
        <v>1.5629999999999982</v>
      </c>
      <c r="T554" s="357">
        <f t="shared" ca="1" si="233"/>
        <v>15.333029999999983</v>
      </c>
      <c r="U554" s="364">
        <f t="shared" ca="1" si="234"/>
        <v>0</v>
      </c>
      <c r="V554" s="359">
        <f t="shared" ca="1" si="235"/>
        <v>1.2256720206085852</v>
      </c>
      <c r="W554" s="357">
        <f t="shared" ca="1" si="236"/>
        <v>6.0602584807523794</v>
      </c>
      <c r="X554" s="343"/>
      <c r="Y554" s="367" t="str">
        <f t="shared" ca="1" si="254"/>
        <v/>
      </c>
      <c r="Z554" s="368" t="str">
        <f t="shared" ca="1" si="255"/>
        <v/>
      </c>
      <c r="AA554" s="369" t="str">
        <f t="shared" ca="1" si="256"/>
        <v/>
      </c>
      <c r="AB554" s="344"/>
      <c r="AC554" s="363" t="e">
        <f t="shared" ca="1" si="257"/>
        <v>#N/A</v>
      </c>
      <c r="AD554" s="376" t="e">
        <f t="shared" ca="1" si="258"/>
        <v>#N/A</v>
      </c>
      <c r="AE554" s="377" t="e">
        <f t="shared" ca="1" si="237"/>
        <v>#N/A</v>
      </c>
      <c r="AF554" s="344"/>
      <c r="AG554" s="359">
        <f t="shared" ca="1" si="259"/>
        <v>5.83404800325245</v>
      </c>
      <c r="AH554" s="357">
        <f t="shared" ca="1" si="260"/>
        <v>-3.8772549796228302</v>
      </c>
    </row>
    <row r="555" spans="1:34" x14ac:dyDescent="0.2">
      <c r="A555" s="402">
        <f t="shared" ca="1" si="238"/>
        <v>1E-4</v>
      </c>
      <c r="B555" s="357">
        <f t="shared" ca="1" si="239"/>
        <v>15.621499999999912</v>
      </c>
      <c r="C555" s="342"/>
      <c r="D555" s="359">
        <f t="shared" ca="1" si="240"/>
        <v>-0.54860949556402372</v>
      </c>
      <c r="E555" s="360">
        <f t="shared" ca="1" si="241"/>
        <v>-5.9716833996076186</v>
      </c>
      <c r="F555" s="357">
        <f t="shared" ca="1" si="242"/>
        <v>5.9968304131242718</v>
      </c>
      <c r="G555" s="359">
        <f t="shared" ca="1" si="243"/>
        <v>9.5373284577419568</v>
      </c>
      <c r="H555" s="360">
        <f t="shared" ca="1" si="244"/>
        <v>-66.728382619452063</v>
      </c>
      <c r="I555" s="357">
        <f t="shared" ca="1" si="245"/>
        <v>67.406510673071082</v>
      </c>
      <c r="J555" s="359">
        <f t="shared" ca="1" si="246"/>
        <v>187.70931447689617</v>
      </c>
      <c r="K555" s="360">
        <f t="shared" ca="1" si="247"/>
        <v>-5.4910509947458745</v>
      </c>
      <c r="L555" s="357">
        <f t="shared" ca="1" si="232"/>
        <v>187.78961201944372</v>
      </c>
      <c r="M555" s="359">
        <f t="shared" ca="1" si="248"/>
        <v>-1.4288302119766068</v>
      </c>
      <c r="N555" s="357">
        <f t="shared" ca="1" si="249"/>
        <v>-81.865940787042334</v>
      </c>
      <c r="O555" s="343"/>
      <c r="P555" s="363">
        <f t="shared" ca="1" si="250"/>
        <v>23</v>
      </c>
      <c r="Q555" s="357">
        <f t="shared" ca="1" si="251"/>
        <v>0</v>
      </c>
      <c r="R555" s="359">
        <f t="shared" ca="1" si="252"/>
        <v>0</v>
      </c>
      <c r="S555" s="360">
        <f t="shared" ca="1" si="253"/>
        <v>1.5629999999999982</v>
      </c>
      <c r="T555" s="357">
        <f t="shared" ca="1" si="233"/>
        <v>15.333029999999983</v>
      </c>
      <c r="U555" s="364">
        <f t="shared" ca="1" si="234"/>
        <v>0</v>
      </c>
      <c r="V555" s="359">
        <f t="shared" ca="1" si="235"/>
        <v>1.225672838476376</v>
      </c>
      <c r="W555" s="357">
        <f t="shared" ca="1" si="236"/>
        <v>6.0603674282391413</v>
      </c>
      <c r="X555" s="343"/>
      <c r="Y555" s="367" t="str">
        <f t="shared" ca="1" si="254"/>
        <v/>
      </c>
      <c r="Z555" s="368" t="str">
        <f t="shared" ca="1" si="255"/>
        <v/>
      </c>
      <c r="AA555" s="369" t="str">
        <f t="shared" ca="1" si="256"/>
        <v/>
      </c>
      <c r="AB555" s="344"/>
      <c r="AC555" s="363" t="e">
        <f t="shared" ca="1" si="257"/>
        <v>#N/A</v>
      </c>
      <c r="AD555" s="376" t="e">
        <f t="shared" ca="1" si="258"/>
        <v>#N/A</v>
      </c>
      <c r="AE555" s="377" t="e">
        <f t="shared" ca="1" si="237"/>
        <v>#N/A</v>
      </c>
      <c r="AF555" s="344"/>
      <c r="AG555" s="359">
        <f t="shared" ca="1" si="259"/>
        <v>5.8339811574176004</v>
      </c>
      <c r="AH555" s="357">
        <f t="shared" ca="1" si="260"/>
        <v>-3.8773246837827169</v>
      </c>
    </row>
    <row r="556" spans="1:34" x14ac:dyDescent="0.2">
      <c r="A556" s="402">
        <f t="shared" ca="1" si="238"/>
        <v>1E-4</v>
      </c>
      <c r="B556" s="357">
        <f t="shared" ca="1" si="239"/>
        <v>15.621599999999912</v>
      </c>
      <c r="C556" s="342"/>
      <c r="D556" s="359">
        <f t="shared" ca="1" si="240"/>
        <v>-0.54861145411707068</v>
      </c>
      <c r="E556" s="360">
        <f t="shared" ca="1" si="241"/>
        <v>-5.9716132670757265</v>
      </c>
      <c r="F556" s="357">
        <f t="shared" ca="1" si="242"/>
        <v>5.9967607538656464</v>
      </c>
      <c r="G556" s="359">
        <f t="shared" ca="1" si="243"/>
        <v>9.5372735965965454</v>
      </c>
      <c r="H556" s="360">
        <f t="shared" ca="1" si="244"/>
        <v>-66.728979780778772</v>
      </c>
      <c r="I556" s="357">
        <f t="shared" ca="1" si="245"/>
        <v>67.40709406464515</v>
      </c>
      <c r="J556" s="359">
        <f t="shared" ca="1" si="246"/>
        <v>187.70931447689617</v>
      </c>
      <c r="K556" s="360">
        <f t="shared" ca="1" si="247"/>
        <v>-5.497723862865886</v>
      </c>
      <c r="L556" s="357">
        <f t="shared" ca="1" si="232"/>
        <v>187.78980725550207</v>
      </c>
      <c r="M556" s="359">
        <f t="shared" ca="1" si="248"/>
        <v>-1.4288322711280839</v>
      </c>
      <c r="N556" s="357">
        <f t="shared" ca="1" si="249"/>
        <v>-81.86605876773136</v>
      </c>
      <c r="O556" s="343"/>
      <c r="P556" s="363">
        <f t="shared" ca="1" si="250"/>
        <v>23</v>
      </c>
      <c r="Q556" s="357">
        <f t="shared" ca="1" si="251"/>
        <v>0</v>
      </c>
      <c r="R556" s="359">
        <f t="shared" ca="1" si="252"/>
        <v>0</v>
      </c>
      <c r="S556" s="360">
        <f t="shared" ca="1" si="253"/>
        <v>1.5629999999999982</v>
      </c>
      <c r="T556" s="357">
        <f t="shared" ca="1" si="233"/>
        <v>15.333029999999983</v>
      </c>
      <c r="U556" s="364">
        <f t="shared" ca="1" si="234"/>
        <v>0</v>
      </c>
      <c r="V556" s="359">
        <f t="shared" ca="1" si="235"/>
        <v>1.2256736563520314</v>
      </c>
      <c r="W556" s="357">
        <f t="shared" ca="1" si="236"/>
        <v>6.0604763756107252</v>
      </c>
      <c r="X556" s="343"/>
      <c r="Y556" s="367" t="str">
        <f t="shared" ca="1" si="254"/>
        <v/>
      </c>
      <c r="Z556" s="368" t="str">
        <f t="shared" ca="1" si="255"/>
        <v/>
      </c>
      <c r="AA556" s="369" t="str">
        <f t="shared" ca="1" si="256"/>
        <v/>
      </c>
      <c r="AB556" s="344"/>
      <c r="AC556" s="363" t="e">
        <f t="shared" ca="1" si="257"/>
        <v>#N/A</v>
      </c>
      <c r="AD556" s="376" t="e">
        <f t="shared" ca="1" si="258"/>
        <v>#N/A</v>
      </c>
      <c r="AE556" s="377" t="e">
        <f t="shared" ca="1" si="237"/>
        <v>#N/A</v>
      </c>
      <c r="AF556" s="344"/>
      <c r="AG556" s="359">
        <f t="shared" ca="1" si="259"/>
        <v>5.8339143115493188</v>
      </c>
      <c r="AH556" s="357">
        <f t="shared" ca="1" si="260"/>
        <v>-3.8773943878689368</v>
      </c>
    </row>
    <row r="557" spans="1:34" x14ac:dyDescent="0.2">
      <c r="A557" s="402">
        <f t="shared" ca="1" si="238"/>
        <v>1E-4</v>
      </c>
      <c r="B557" s="357">
        <f t="shared" ca="1" si="239"/>
        <v>15.621699999999912</v>
      </c>
      <c r="C557" s="342"/>
      <c r="D557" s="359">
        <f t="shared" ca="1" si="240"/>
        <v>-0.54861341255546647</v>
      </c>
      <c r="E557" s="360">
        <f t="shared" ca="1" si="241"/>
        <v>-5.9715431346184946</v>
      </c>
      <c r="F557" s="357">
        <f t="shared" ca="1" si="242"/>
        <v>5.9966910946825527</v>
      </c>
      <c r="G557" s="359">
        <f t="shared" ca="1" si="243"/>
        <v>9.5372187352552906</v>
      </c>
      <c r="H557" s="360">
        <f t="shared" ca="1" si="244"/>
        <v>-66.72957693509224</v>
      </c>
      <c r="I557" s="357">
        <f t="shared" ca="1" si="245"/>
        <v>67.407677449534617</v>
      </c>
      <c r="J557" s="359">
        <f t="shared" ca="1" si="246"/>
        <v>187.70931447689617</v>
      </c>
      <c r="K557" s="360">
        <f t="shared" ca="1" si="247"/>
        <v>-5.50439679070168</v>
      </c>
      <c r="L557" s="357">
        <f t="shared" ca="1" si="232"/>
        <v>187.79000273021933</v>
      </c>
      <c r="M557" s="359">
        <f t="shared" ca="1" si="248"/>
        <v>-1.4288343302320738</v>
      </c>
      <c r="N557" s="357">
        <f t="shared" ca="1" si="249"/>
        <v>-81.866176745699562</v>
      </c>
      <c r="O557" s="343"/>
      <c r="P557" s="363">
        <f t="shared" ca="1" si="250"/>
        <v>23</v>
      </c>
      <c r="Q557" s="357">
        <f t="shared" ca="1" si="251"/>
        <v>0</v>
      </c>
      <c r="R557" s="359">
        <f t="shared" ca="1" si="252"/>
        <v>0</v>
      </c>
      <c r="S557" s="360">
        <f t="shared" ca="1" si="253"/>
        <v>1.5629999999999982</v>
      </c>
      <c r="T557" s="357">
        <f t="shared" ca="1" si="233"/>
        <v>15.333029999999983</v>
      </c>
      <c r="U557" s="364">
        <f t="shared" ca="1" si="234"/>
        <v>0</v>
      </c>
      <c r="V557" s="359">
        <f t="shared" ca="1" si="235"/>
        <v>1.2256744742355516</v>
      </c>
      <c r="W557" s="357">
        <f t="shared" ca="1" si="236"/>
        <v>6.0605853228670989</v>
      </c>
      <c r="X557" s="343"/>
      <c r="Y557" s="367" t="str">
        <f t="shared" ca="1" si="254"/>
        <v/>
      </c>
      <c r="Z557" s="368" t="str">
        <f t="shared" ca="1" si="255"/>
        <v/>
      </c>
      <c r="AA557" s="369" t="str">
        <f t="shared" ca="1" si="256"/>
        <v/>
      </c>
      <c r="AB557" s="344"/>
      <c r="AC557" s="363" t="e">
        <f t="shared" ca="1" si="257"/>
        <v>#N/A</v>
      </c>
      <c r="AD557" s="376" t="e">
        <f t="shared" ca="1" si="258"/>
        <v>#N/A</v>
      </c>
      <c r="AE557" s="377" t="e">
        <f t="shared" ca="1" si="237"/>
        <v>#N/A</v>
      </c>
      <c r="AF557" s="344"/>
      <c r="AG557" s="359">
        <f t="shared" ca="1" si="259"/>
        <v>5.8338474656476356</v>
      </c>
      <c r="AH557" s="357">
        <f t="shared" ca="1" si="260"/>
        <v>-3.8774640918814667</v>
      </c>
    </row>
    <row r="558" spans="1:34" x14ac:dyDescent="0.2">
      <c r="A558" s="402">
        <f t="shared" ca="1" si="238"/>
        <v>1E-4</v>
      </c>
      <c r="B558" s="357">
        <f t="shared" ca="1" si="239"/>
        <v>15.621799999999912</v>
      </c>
      <c r="C558" s="342"/>
      <c r="D558" s="359">
        <f t="shared" ca="1" si="240"/>
        <v>-0.54861537087921308</v>
      </c>
      <c r="E558" s="360">
        <f t="shared" ca="1" si="241"/>
        <v>-5.9714730022359443</v>
      </c>
      <c r="F558" s="357">
        <f t="shared" ca="1" si="242"/>
        <v>5.9966214355750109</v>
      </c>
      <c r="G558" s="359">
        <f t="shared" ca="1" si="243"/>
        <v>9.5371638737182032</v>
      </c>
      <c r="H558" s="360">
        <f t="shared" ca="1" si="244"/>
        <v>-66.730174082392466</v>
      </c>
      <c r="I558" s="357">
        <f t="shared" ca="1" si="245"/>
        <v>67.408260827739497</v>
      </c>
      <c r="J558" s="359">
        <f t="shared" ca="1" si="246"/>
        <v>187.70931447689617</v>
      </c>
      <c r="K558" s="360">
        <f t="shared" ca="1" si="247"/>
        <v>-5.511069778252554</v>
      </c>
      <c r="L558" s="357">
        <f t="shared" ca="1" si="232"/>
        <v>187.79019844360107</v>
      </c>
      <c r="M558" s="359">
        <f t="shared" ca="1" si="248"/>
        <v>-1.4288363892885787</v>
      </c>
      <c r="N558" s="357">
        <f t="shared" ca="1" si="249"/>
        <v>-81.866294720947067</v>
      </c>
      <c r="O558" s="343"/>
      <c r="P558" s="363">
        <f t="shared" ca="1" si="250"/>
        <v>23</v>
      </c>
      <c r="Q558" s="357">
        <f t="shared" ca="1" si="251"/>
        <v>0</v>
      </c>
      <c r="R558" s="359">
        <f t="shared" ca="1" si="252"/>
        <v>0</v>
      </c>
      <c r="S558" s="360">
        <f t="shared" ca="1" si="253"/>
        <v>1.5629999999999982</v>
      </c>
      <c r="T558" s="357">
        <f t="shared" ca="1" si="233"/>
        <v>15.333029999999983</v>
      </c>
      <c r="U558" s="364">
        <f t="shared" ca="1" si="234"/>
        <v>0</v>
      </c>
      <c r="V558" s="359">
        <f t="shared" ca="1" si="235"/>
        <v>1.2256752921269376</v>
      </c>
      <c r="W558" s="357">
        <f t="shared" ca="1" si="236"/>
        <v>6.0606942700082378</v>
      </c>
      <c r="X558" s="343"/>
      <c r="Y558" s="367" t="str">
        <f t="shared" ca="1" si="254"/>
        <v/>
      </c>
      <c r="Z558" s="368" t="str">
        <f t="shared" ca="1" si="255"/>
        <v/>
      </c>
      <c r="AA558" s="369" t="str">
        <f t="shared" ca="1" si="256"/>
        <v/>
      </c>
      <c r="AB558" s="344"/>
      <c r="AC558" s="363" t="e">
        <f t="shared" ca="1" si="257"/>
        <v>#N/A</v>
      </c>
      <c r="AD558" s="376" t="e">
        <f t="shared" ca="1" si="258"/>
        <v>#N/A</v>
      </c>
      <c r="AE558" s="377" t="e">
        <f t="shared" ca="1" si="237"/>
        <v>#N/A</v>
      </c>
      <c r="AF558" s="344"/>
      <c r="AG558" s="359">
        <f t="shared" ca="1" si="259"/>
        <v>5.8337806197125754</v>
      </c>
      <c r="AH558" s="357">
        <f t="shared" ca="1" si="260"/>
        <v>-3.8775337958202853</v>
      </c>
    </row>
    <row r="559" spans="1:34" x14ac:dyDescent="0.2">
      <c r="A559" s="402">
        <f t="shared" ca="1" si="238"/>
        <v>1E-4</v>
      </c>
      <c r="B559" s="357">
        <f t="shared" ca="1" si="239"/>
        <v>15.621899999999911</v>
      </c>
      <c r="C559" s="342"/>
      <c r="D559" s="359">
        <f t="shared" ca="1" si="240"/>
        <v>-0.54861732908831118</v>
      </c>
      <c r="E559" s="360">
        <f t="shared" ca="1" si="241"/>
        <v>-5.9714028699280917</v>
      </c>
      <c r="F559" s="357">
        <f t="shared" ca="1" si="242"/>
        <v>5.9965517765430363</v>
      </c>
      <c r="G559" s="359">
        <f t="shared" ca="1" si="243"/>
        <v>9.5371090119852937</v>
      </c>
      <c r="H559" s="360">
        <f t="shared" ca="1" si="244"/>
        <v>-66.730771222679465</v>
      </c>
      <c r="I559" s="357">
        <f t="shared" ca="1" si="245"/>
        <v>67.408844199259761</v>
      </c>
      <c r="J559" s="359">
        <f t="shared" ca="1" si="246"/>
        <v>187.70931447689617</v>
      </c>
      <c r="K559" s="360">
        <f t="shared" ca="1" si="247"/>
        <v>-5.5177428255178071</v>
      </c>
      <c r="L559" s="357">
        <f t="shared" ca="1" si="232"/>
        <v>187.79039439565287</v>
      </c>
      <c r="M559" s="359">
        <f t="shared" ca="1" si="248"/>
        <v>-1.4288384482976002</v>
      </c>
      <c r="N559" s="357">
        <f t="shared" ca="1" si="249"/>
        <v>-81.866412693473976</v>
      </c>
      <c r="O559" s="343"/>
      <c r="P559" s="363">
        <f t="shared" ca="1" si="250"/>
        <v>23</v>
      </c>
      <c r="Q559" s="357">
        <f t="shared" ca="1" si="251"/>
        <v>0</v>
      </c>
      <c r="R559" s="359">
        <f t="shared" ca="1" si="252"/>
        <v>0</v>
      </c>
      <c r="S559" s="360">
        <f t="shared" ca="1" si="253"/>
        <v>1.5629999999999982</v>
      </c>
      <c r="T559" s="357">
        <f t="shared" ca="1" si="233"/>
        <v>15.333029999999983</v>
      </c>
      <c r="U559" s="364">
        <f t="shared" ca="1" si="234"/>
        <v>0</v>
      </c>
      <c r="V559" s="359">
        <f t="shared" ca="1" si="235"/>
        <v>1.2256761100261886</v>
      </c>
      <c r="W559" s="357">
        <f t="shared" ca="1" si="236"/>
        <v>6.0608032170341071</v>
      </c>
      <c r="X559" s="343"/>
      <c r="Y559" s="367" t="str">
        <f t="shared" ca="1" si="254"/>
        <v/>
      </c>
      <c r="Z559" s="368" t="str">
        <f t="shared" ca="1" si="255"/>
        <v/>
      </c>
      <c r="AA559" s="369" t="str">
        <f t="shared" ca="1" si="256"/>
        <v/>
      </c>
      <c r="AB559" s="344"/>
      <c r="AC559" s="363" t="e">
        <f t="shared" ca="1" si="257"/>
        <v>#N/A</v>
      </c>
      <c r="AD559" s="376" t="e">
        <f t="shared" ca="1" si="258"/>
        <v>#N/A</v>
      </c>
      <c r="AE559" s="377" t="e">
        <f t="shared" ca="1" si="237"/>
        <v>#N/A</v>
      </c>
      <c r="AF559" s="344"/>
      <c r="AG559" s="359">
        <f t="shared" ca="1" si="259"/>
        <v>5.8337137737441589</v>
      </c>
      <c r="AH559" s="357">
        <f t="shared" ca="1" si="260"/>
        <v>-3.8776034996853772</v>
      </c>
    </row>
    <row r="560" spans="1:34" x14ac:dyDescent="0.2">
      <c r="A560" s="402">
        <f t="shared" ca="1" si="238"/>
        <v>1E-4</v>
      </c>
      <c r="B560" s="357">
        <f t="shared" ca="1" si="239"/>
        <v>15.621999999999911</v>
      </c>
      <c r="C560" s="342"/>
      <c r="D560" s="359">
        <f t="shared" ca="1" si="240"/>
        <v>-0.54861928718276132</v>
      </c>
      <c r="E560" s="360">
        <f t="shared" ca="1" si="241"/>
        <v>-5.9713327376949579</v>
      </c>
      <c r="F560" s="357">
        <f t="shared" ca="1" si="242"/>
        <v>5.996482117586651</v>
      </c>
      <c r="G560" s="359">
        <f t="shared" ca="1" si="243"/>
        <v>9.5370541500565746</v>
      </c>
      <c r="H560" s="360">
        <f t="shared" ca="1" si="244"/>
        <v>-66.731368355953236</v>
      </c>
      <c r="I560" s="357">
        <f t="shared" ca="1" si="245"/>
        <v>67.409427564095424</v>
      </c>
      <c r="J560" s="359">
        <f t="shared" ca="1" si="246"/>
        <v>187.70931447689617</v>
      </c>
      <c r="K560" s="360">
        <f t="shared" ca="1" si="247"/>
        <v>-5.5244159324967388</v>
      </c>
      <c r="L560" s="357">
        <f t="shared" ca="1" si="232"/>
        <v>187.79059058638035</v>
      </c>
      <c r="M560" s="359">
        <f t="shared" ca="1" si="248"/>
        <v>-1.4288405072591397</v>
      </c>
      <c r="N560" s="357">
        <f t="shared" ca="1" si="249"/>
        <v>-81.866530663280372</v>
      </c>
      <c r="O560" s="343"/>
      <c r="P560" s="363">
        <f t="shared" ca="1" si="250"/>
        <v>23</v>
      </c>
      <c r="Q560" s="357">
        <f t="shared" ca="1" si="251"/>
        <v>0</v>
      </c>
      <c r="R560" s="359">
        <f t="shared" ca="1" si="252"/>
        <v>0</v>
      </c>
      <c r="S560" s="360">
        <f t="shared" ca="1" si="253"/>
        <v>1.5629999999999982</v>
      </c>
      <c r="T560" s="357">
        <f t="shared" ca="1" si="233"/>
        <v>15.333029999999983</v>
      </c>
      <c r="U560" s="364">
        <f t="shared" ca="1" si="234"/>
        <v>0</v>
      </c>
      <c r="V560" s="359">
        <f t="shared" ca="1" si="235"/>
        <v>1.225676927933304</v>
      </c>
      <c r="W560" s="357">
        <f t="shared" ca="1" si="236"/>
        <v>6.0609121639446766</v>
      </c>
      <c r="X560" s="343"/>
      <c r="Y560" s="367" t="str">
        <f t="shared" ca="1" si="254"/>
        <v/>
      </c>
      <c r="Z560" s="368" t="str">
        <f t="shared" ca="1" si="255"/>
        <v/>
      </c>
      <c r="AA560" s="369" t="str">
        <f t="shared" ca="1" si="256"/>
        <v/>
      </c>
      <c r="AB560" s="344"/>
      <c r="AC560" s="363" t="e">
        <f t="shared" ca="1" si="257"/>
        <v>#N/A</v>
      </c>
      <c r="AD560" s="376" t="e">
        <f t="shared" ca="1" si="258"/>
        <v>#N/A</v>
      </c>
      <c r="AE560" s="377" t="e">
        <f t="shared" ca="1" si="237"/>
        <v>#N/A</v>
      </c>
      <c r="AF560" s="344"/>
      <c r="AG560" s="359">
        <f t="shared" ca="1" si="259"/>
        <v>5.8336469277424152</v>
      </c>
      <c r="AH560" s="357">
        <f t="shared" ca="1" si="260"/>
        <v>-3.8776732034767205</v>
      </c>
    </row>
    <row r="561" spans="1:34" x14ac:dyDescent="0.2">
      <c r="A561" s="402">
        <f t="shared" ca="1" si="238"/>
        <v>1E-4</v>
      </c>
      <c r="B561" s="357">
        <f t="shared" ca="1" si="239"/>
        <v>15.622099999999911</v>
      </c>
      <c r="C561" s="342"/>
      <c r="D561" s="359">
        <f t="shared" ca="1" si="240"/>
        <v>-0.54862124516256561</v>
      </c>
      <c r="E561" s="360">
        <f t="shared" ca="1" si="241"/>
        <v>-5.9712626055365625</v>
      </c>
      <c r="F561" s="357">
        <f t="shared" ca="1" si="242"/>
        <v>5.9964124587058736</v>
      </c>
      <c r="G561" s="359">
        <f t="shared" ca="1" si="243"/>
        <v>9.5369992879320584</v>
      </c>
      <c r="H561" s="360">
        <f t="shared" ca="1" si="244"/>
        <v>-66.731965482213795</v>
      </c>
      <c r="I561" s="357">
        <f t="shared" ca="1" si="245"/>
        <v>67.410010922246485</v>
      </c>
      <c r="J561" s="359">
        <f t="shared" ca="1" si="246"/>
        <v>187.70931447689617</v>
      </c>
      <c r="K561" s="360">
        <f t="shared" ca="1" si="247"/>
        <v>-5.5310890991886472</v>
      </c>
      <c r="L561" s="357">
        <f t="shared" ca="1" si="232"/>
        <v>187.79078701578908</v>
      </c>
      <c r="M561" s="359">
        <f t="shared" ca="1" si="248"/>
        <v>-1.4288425661731992</v>
      </c>
      <c r="N561" s="357">
        <f t="shared" ca="1" si="249"/>
        <v>-81.866648630366356</v>
      </c>
      <c r="O561" s="343"/>
      <c r="P561" s="363">
        <f t="shared" ca="1" si="250"/>
        <v>23</v>
      </c>
      <c r="Q561" s="357">
        <f t="shared" ca="1" si="251"/>
        <v>0</v>
      </c>
      <c r="R561" s="359">
        <f t="shared" ca="1" si="252"/>
        <v>0</v>
      </c>
      <c r="S561" s="360">
        <f t="shared" ca="1" si="253"/>
        <v>1.5629999999999982</v>
      </c>
      <c r="T561" s="357">
        <f t="shared" ca="1" si="233"/>
        <v>15.333029999999983</v>
      </c>
      <c r="U561" s="364">
        <f t="shared" ca="1" si="234"/>
        <v>0</v>
      </c>
      <c r="V561" s="359">
        <f t="shared" ca="1" si="235"/>
        <v>1.2256777458482844</v>
      </c>
      <c r="W561" s="357">
        <f t="shared" ca="1" si="236"/>
        <v>6.061021110739917</v>
      </c>
      <c r="X561" s="343"/>
      <c r="Y561" s="367" t="str">
        <f t="shared" ca="1" si="254"/>
        <v/>
      </c>
      <c r="Z561" s="368" t="str">
        <f t="shared" ca="1" si="255"/>
        <v/>
      </c>
      <c r="AA561" s="369" t="str">
        <f t="shared" ca="1" si="256"/>
        <v/>
      </c>
      <c r="AB561" s="344"/>
      <c r="AC561" s="363" t="e">
        <f t="shared" ca="1" si="257"/>
        <v>#N/A</v>
      </c>
      <c r="AD561" s="376" t="e">
        <f t="shared" ca="1" si="258"/>
        <v>#N/A</v>
      </c>
      <c r="AE561" s="377" t="e">
        <f t="shared" ca="1" si="237"/>
        <v>#N/A</v>
      </c>
      <c r="AF561" s="344"/>
      <c r="AG561" s="359">
        <f t="shared" ca="1" si="259"/>
        <v>5.8335800817073666</v>
      </c>
      <c r="AH561" s="357">
        <f t="shared" ca="1" si="260"/>
        <v>-3.8777429071942953</v>
      </c>
    </row>
    <row r="562" spans="1:34" x14ac:dyDescent="0.2">
      <c r="A562" s="402">
        <f t="shared" ca="1" si="238"/>
        <v>1E-4</v>
      </c>
      <c r="B562" s="357">
        <f t="shared" ca="1" si="239"/>
        <v>15.622199999999911</v>
      </c>
      <c r="C562" s="342"/>
      <c r="D562" s="359">
        <f t="shared" ca="1" si="240"/>
        <v>-0.54862320302772427</v>
      </c>
      <c r="E562" s="360">
        <f t="shared" ca="1" si="241"/>
        <v>-5.9711924734529251</v>
      </c>
      <c r="F562" s="357">
        <f t="shared" ca="1" si="242"/>
        <v>5.9963427999007246</v>
      </c>
      <c r="G562" s="359">
        <f t="shared" ca="1" si="243"/>
        <v>9.5369444256117557</v>
      </c>
      <c r="H562" s="360">
        <f t="shared" ca="1" si="244"/>
        <v>-66.73256260146114</v>
      </c>
      <c r="I562" s="357">
        <f t="shared" ca="1" si="245"/>
        <v>67.410594273712931</v>
      </c>
      <c r="J562" s="359">
        <f t="shared" ca="1" si="246"/>
        <v>187.70931447689617</v>
      </c>
      <c r="K562" s="360">
        <f t="shared" ca="1" si="247"/>
        <v>-5.5377623255928308</v>
      </c>
      <c r="L562" s="357">
        <f t="shared" ca="1" si="232"/>
        <v>187.79098368388469</v>
      </c>
      <c r="M562" s="359">
        <f t="shared" ca="1" si="248"/>
        <v>-1.4288446250397802</v>
      </c>
      <c r="N562" s="357">
        <f t="shared" ca="1" si="249"/>
        <v>-81.866766594732027</v>
      </c>
      <c r="O562" s="343"/>
      <c r="P562" s="363">
        <f t="shared" ca="1" si="250"/>
        <v>23</v>
      </c>
      <c r="Q562" s="357">
        <f t="shared" ca="1" si="251"/>
        <v>0</v>
      </c>
      <c r="R562" s="359">
        <f t="shared" ca="1" si="252"/>
        <v>0</v>
      </c>
      <c r="S562" s="360">
        <f t="shared" ca="1" si="253"/>
        <v>1.5629999999999982</v>
      </c>
      <c r="T562" s="357">
        <f t="shared" ca="1" si="233"/>
        <v>15.333029999999983</v>
      </c>
      <c r="U562" s="364">
        <f t="shared" ca="1" si="234"/>
        <v>0</v>
      </c>
      <c r="V562" s="359">
        <f t="shared" ca="1" si="235"/>
        <v>1.2256785637711294</v>
      </c>
      <c r="W562" s="357">
        <f t="shared" ca="1" si="236"/>
        <v>6.0611300574197946</v>
      </c>
      <c r="X562" s="343"/>
      <c r="Y562" s="367" t="str">
        <f t="shared" ca="1" si="254"/>
        <v/>
      </c>
      <c r="Z562" s="368" t="str">
        <f t="shared" ca="1" si="255"/>
        <v/>
      </c>
      <c r="AA562" s="369" t="str">
        <f t="shared" ca="1" si="256"/>
        <v/>
      </c>
      <c r="AB562" s="344"/>
      <c r="AC562" s="363" t="e">
        <f t="shared" ca="1" si="257"/>
        <v>#N/A</v>
      </c>
      <c r="AD562" s="376" t="e">
        <f t="shared" ca="1" si="258"/>
        <v>#N/A</v>
      </c>
      <c r="AE562" s="377" t="e">
        <f t="shared" ca="1" si="237"/>
        <v>#N/A</v>
      </c>
      <c r="AF562" s="344"/>
      <c r="AG562" s="359">
        <f t="shared" ca="1" si="259"/>
        <v>5.8335132356390407</v>
      </c>
      <c r="AH562" s="357">
        <f t="shared" ca="1" si="260"/>
        <v>-3.8778126108380833</v>
      </c>
    </row>
    <row r="563" spans="1:34" x14ac:dyDescent="0.2">
      <c r="A563" s="402">
        <f t="shared" ca="1" si="238"/>
        <v>1E-4</v>
      </c>
      <c r="B563" s="357">
        <f t="shared" ca="1" si="239"/>
        <v>15.62229999999991</v>
      </c>
      <c r="C563" s="342"/>
      <c r="D563" s="359">
        <f t="shared" ca="1" si="240"/>
        <v>-0.54862516077823853</v>
      </c>
      <c r="E563" s="360">
        <f t="shared" ca="1" si="241"/>
        <v>-5.9711223414440671</v>
      </c>
      <c r="F563" s="357">
        <f t="shared" ca="1" si="242"/>
        <v>5.9962731411712245</v>
      </c>
      <c r="G563" s="359">
        <f t="shared" ca="1" si="243"/>
        <v>9.5368895630956771</v>
      </c>
      <c r="H563" s="360">
        <f t="shared" ca="1" si="244"/>
        <v>-66.733159713695287</v>
      </c>
      <c r="I563" s="357">
        <f t="shared" ca="1" si="245"/>
        <v>67.411177618494747</v>
      </c>
      <c r="J563" s="359">
        <f t="shared" ca="1" si="246"/>
        <v>187.70931447689617</v>
      </c>
      <c r="K563" s="360">
        <f t="shared" ca="1" si="247"/>
        <v>-5.5444356117085887</v>
      </c>
      <c r="L563" s="357">
        <f t="shared" ca="1" si="232"/>
        <v>187.79118059067278</v>
      </c>
      <c r="M563" s="359">
        <f t="shared" ca="1" si="248"/>
        <v>-1.4288466838588842</v>
      </c>
      <c r="N563" s="357">
        <f t="shared" ca="1" si="249"/>
        <v>-81.866884556377471</v>
      </c>
      <c r="O563" s="343"/>
      <c r="P563" s="363">
        <f t="shared" ca="1" si="250"/>
        <v>23</v>
      </c>
      <c r="Q563" s="357">
        <f t="shared" ca="1" si="251"/>
        <v>0</v>
      </c>
      <c r="R563" s="359">
        <f t="shared" ca="1" si="252"/>
        <v>0</v>
      </c>
      <c r="S563" s="360">
        <f t="shared" ca="1" si="253"/>
        <v>1.5629999999999982</v>
      </c>
      <c r="T563" s="357">
        <f t="shared" ca="1" si="233"/>
        <v>15.333029999999983</v>
      </c>
      <c r="U563" s="364">
        <f t="shared" ca="1" si="234"/>
        <v>0</v>
      </c>
      <c r="V563" s="359">
        <f t="shared" ca="1" si="235"/>
        <v>1.2256793817018394</v>
      </c>
      <c r="W563" s="357">
        <f t="shared" ca="1" si="236"/>
        <v>6.0612390039842792</v>
      </c>
      <c r="X563" s="343"/>
      <c r="Y563" s="367" t="str">
        <f t="shared" ca="1" si="254"/>
        <v/>
      </c>
      <c r="Z563" s="368" t="str">
        <f t="shared" ca="1" si="255"/>
        <v/>
      </c>
      <c r="AA563" s="369" t="str">
        <f t="shared" ca="1" si="256"/>
        <v/>
      </c>
      <c r="AB563" s="344"/>
      <c r="AC563" s="363" t="e">
        <f t="shared" ca="1" si="257"/>
        <v>#N/A</v>
      </c>
      <c r="AD563" s="376" t="e">
        <f t="shared" ca="1" si="258"/>
        <v>#N/A</v>
      </c>
      <c r="AE563" s="377" t="e">
        <f t="shared" ca="1" si="237"/>
        <v>#N/A</v>
      </c>
      <c r="AF563" s="344"/>
      <c r="AG563" s="359">
        <f t="shared" ca="1" si="259"/>
        <v>5.8334463895374586</v>
      </c>
      <c r="AH563" s="357">
        <f t="shared" ca="1" si="260"/>
        <v>-3.8778823144080623</v>
      </c>
    </row>
    <row r="564" spans="1:34" x14ac:dyDescent="0.2">
      <c r="A564" s="402">
        <f t="shared" ca="1" si="238"/>
        <v>1E-4</v>
      </c>
      <c r="B564" s="357">
        <f t="shared" ca="1" si="239"/>
        <v>15.62239999999991</v>
      </c>
      <c r="C564" s="342"/>
      <c r="D564" s="359">
        <f t="shared" ca="1" si="240"/>
        <v>-0.54862711841411027</v>
      </c>
      <c r="E564" s="360">
        <f t="shared" ca="1" si="241"/>
        <v>-5.9710522095100078</v>
      </c>
      <c r="F564" s="357">
        <f t="shared" ca="1" si="242"/>
        <v>5.9962034825173935</v>
      </c>
      <c r="G564" s="359">
        <f t="shared" ca="1" si="243"/>
        <v>9.5368347003838352</v>
      </c>
      <c r="H564" s="360">
        <f t="shared" ca="1" si="244"/>
        <v>-66.733756818916234</v>
      </c>
      <c r="I564" s="357">
        <f t="shared" ca="1" si="245"/>
        <v>67.411760956591948</v>
      </c>
      <c r="J564" s="359">
        <f t="shared" ca="1" si="246"/>
        <v>187.70931447689617</v>
      </c>
      <c r="K564" s="360">
        <f t="shared" ca="1" si="247"/>
        <v>-5.5511089575352193</v>
      </c>
      <c r="L564" s="357">
        <f t="shared" ca="1" si="232"/>
        <v>187.79137773615892</v>
      </c>
      <c r="M564" s="359">
        <f t="shared" ca="1" si="248"/>
        <v>-1.4288487426305136</v>
      </c>
      <c r="N564" s="357">
        <f t="shared" ca="1" si="249"/>
        <v>-81.867002515302815</v>
      </c>
      <c r="O564" s="343"/>
      <c r="P564" s="363">
        <f t="shared" ca="1" si="250"/>
        <v>23</v>
      </c>
      <c r="Q564" s="357">
        <f t="shared" ca="1" si="251"/>
        <v>0</v>
      </c>
      <c r="R564" s="359">
        <f t="shared" ca="1" si="252"/>
        <v>0</v>
      </c>
      <c r="S564" s="360">
        <f t="shared" ca="1" si="253"/>
        <v>1.5629999999999982</v>
      </c>
      <c r="T564" s="357">
        <f t="shared" ca="1" si="233"/>
        <v>15.333029999999983</v>
      </c>
      <c r="U564" s="364">
        <f t="shared" ca="1" si="234"/>
        <v>0</v>
      </c>
      <c r="V564" s="359">
        <f t="shared" ca="1" si="235"/>
        <v>1.2256801996404139</v>
      </c>
      <c r="W564" s="357">
        <f t="shared" ca="1" si="236"/>
        <v>6.0613479504333423</v>
      </c>
      <c r="X564" s="343"/>
      <c r="Y564" s="367" t="str">
        <f t="shared" ca="1" si="254"/>
        <v/>
      </c>
      <c r="Z564" s="368" t="str">
        <f t="shared" ca="1" si="255"/>
        <v/>
      </c>
      <c r="AA564" s="369" t="str">
        <f t="shared" ca="1" si="256"/>
        <v/>
      </c>
      <c r="AB564" s="344"/>
      <c r="AC564" s="363" t="e">
        <f t="shared" ca="1" si="257"/>
        <v>#N/A</v>
      </c>
      <c r="AD564" s="376" t="e">
        <f t="shared" ca="1" si="258"/>
        <v>#N/A</v>
      </c>
      <c r="AE564" s="377" t="e">
        <f t="shared" ca="1" si="237"/>
        <v>#N/A</v>
      </c>
      <c r="AF564" s="344"/>
      <c r="AG564" s="359">
        <f t="shared" ca="1" si="259"/>
        <v>5.8333795434026481</v>
      </c>
      <c r="AH564" s="357">
        <f t="shared" ca="1" si="260"/>
        <v>-3.8779520179042137</v>
      </c>
    </row>
    <row r="565" spans="1:34" x14ac:dyDescent="0.2">
      <c r="A565" s="402">
        <f t="shared" ca="1" si="238"/>
        <v>1E-4</v>
      </c>
      <c r="B565" s="357">
        <f t="shared" ca="1" si="239"/>
        <v>15.62249999999991</v>
      </c>
      <c r="C565" s="342"/>
      <c r="D565" s="359">
        <f t="shared" ca="1" si="240"/>
        <v>-0.54862907593533861</v>
      </c>
      <c r="E565" s="360">
        <f t="shared" ca="1" si="241"/>
        <v>-5.9709820776507652</v>
      </c>
      <c r="F565" s="357">
        <f t="shared" ca="1" si="242"/>
        <v>5.9961338239392479</v>
      </c>
      <c r="G565" s="359">
        <f t="shared" ca="1" si="243"/>
        <v>9.5367798374762422</v>
      </c>
      <c r="H565" s="360">
        <f t="shared" ca="1" si="244"/>
        <v>-66.734353917123997</v>
      </c>
      <c r="I565" s="357">
        <f t="shared" ca="1" si="245"/>
        <v>67.412344288004533</v>
      </c>
      <c r="J565" s="359">
        <f t="shared" ca="1" si="246"/>
        <v>187.70931447689617</v>
      </c>
      <c r="K565" s="360">
        <f t="shared" ca="1" si="247"/>
        <v>-5.5577823630720209</v>
      </c>
      <c r="L565" s="357">
        <f t="shared" ca="1" si="232"/>
        <v>187.79157512034871</v>
      </c>
      <c r="M565" s="359">
        <f t="shared" ca="1" si="248"/>
        <v>-1.4288508013546695</v>
      </c>
      <c r="N565" s="357">
        <f t="shared" ca="1" si="249"/>
        <v>-81.86712047150813</v>
      </c>
      <c r="O565" s="343"/>
      <c r="P565" s="363">
        <f t="shared" ca="1" si="250"/>
        <v>23</v>
      </c>
      <c r="Q565" s="357">
        <f t="shared" ca="1" si="251"/>
        <v>0</v>
      </c>
      <c r="R565" s="359">
        <f t="shared" ca="1" si="252"/>
        <v>0</v>
      </c>
      <c r="S565" s="360">
        <f t="shared" ca="1" si="253"/>
        <v>1.5629999999999982</v>
      </c>
      <c r="T565" s="357">
        <f t="shared" ca="1" si="233"/>
        <v>15.333029999999983</v>
      </c>
      <c r="U565" s="364">
        <f t="shared" ca="1" si="234"/>
        <v>0</v>
      </c>
      <c r="V565" s="359">
        <f t="shared" ca="1" si="235"/>
        <v>1.2256810175868533</v>
      </c>
      <c r="W565" s="357">
        <f t="shared" ca="1" si="236"/>
        <v>6.0614568967669538</v>
      </c>
      <c r="X565" s="343"/>
      <c r="Y565" s="367" t="str">
        <f t="shared" ca="1" si="254"/>
        <v/>
      </c>
      <c r="Z565" s="368" t="str">
        <f t="shared" ca="1" si="255"/>
        <v/>
      </c>
      <c r="AA565" s="369" t="str">
        <f t="shared" ca="1" si="256"/>
        <v/>
      </c>
      <c r="AB565" s="344"/>
      <c r="AC565" s="363" t="e">
        <f t="shared" ca="1" si="257"/>
        <v>#N/A</v>
      </c>
      <c r="AD565" s="376" t="e">
        <f t="shared" ca="1" si="258"/>
        <v>#N/A</v>
      </c>
      <c r="AE565" s="377" t="e">
        <f t="shared" ca="1" si="237"/>
        <v>#N/A</v>
      </c>
      <c r="AF565" s="344"/>
      <c r="AG565" s="359">
        <f t="shared" ca="1" si="259"/>
        <v>5.8333126972346356</v>
      </c>
      <c r="AH565" s="357">
        <f t="shared" ca="1" si="260"/>
        <v>-3.8780217213265193</v>
      </c>
    </row>
    <row r="566" spans="1:34" x14ac:dyDescent="0.2">
      <c r="A566" s="402">
        <f t="shared" ca="1" si="238"/>
        <v>1E-4</v>
      </c>
      <c r="B566" s="357">
        <f t="shared" ca="1" si="239"/>
        <v>15.62259999999991</v>
      </c>
      <c r="C566" s="342"/>
      <c r="D566" s="359">
        <f t="shared" ca="1" si="240"/>
        <v>-0.54863103334192687</v>
      </c>
      <c r="E566" s="360">
        <f t="shared" ca="1" si="241"/>
        <v>-5.9709119458663604</v>
      </c>
      <c r="F566" s="357">
        <f t="shared" ca="1" si="242"/>
        <v>5.9960641654368105</v>
      </c>
      <c r="G566" s="359">
        <f t="shared" ca="1" si="243"/>
        <v>9.5367249743729072</v>
      </c>
      <c r="H566" s="360">
        <f t="shared" ca="1" si="244"/>
        <v>-66.734951008318589</v>
      </c>
      <c r="I566" s="357">
        <f t="shared" ca="1" si="245"/>
        <v>67.412927612732489</v>
      </c>
      <c r="J566" s="359">
        <f t="shared" ca="1" si="246"/>
        <v>187.70931447689617</v>
      </c>
      <c r="K566" s="360">
        <f t="shared" ca="1" si="247"/>
        <v>-5.5644558283182928</v>
      </c>
      <c r="L566" s="357">
        <f t="shared" ca="1" si="232"/>
        <v>187.79177274324775</v>
      </c>
      <c r="M566" s="359">
        <f t="shared" ca="1" si="248"/>
        <v>-1.4288528600313537</v>
      </c>
      <c r="N566" s="357">
        <f t="shared" ca="1" si="249"/>
        <v>-81.867238424993516</v>
      </c>
      <c r="O566" s="343"/>
      <c r="P566" s="363">
        <f t="shared" ca="1" si="250"/>
        <v>23</v>
      </c>
      <c r="Q566" s="357">
        <f t="shared" ca="1" si="251"/>
        <v>0</v>
      </c>
      <c r="R566" s="359">
        <f t="shared" ca="1" si="252"/>
        <v>0</v>
      </c>
      <c r="S566" s="360">
        <f t="shared" ca="1" si="253"/>
        <v>1.5629999999999982</v>
      </c>
      <c r="T566" s="357">
        <f t="shared" ca="1" si="233"/>
        <v>15.333029999999983</v>
      </c>
      <c r="U566" s="364">
        <f t="shared" ca="1" si="234"/>
        <v>0</v>
      </c>
      <c r="V566" s="359">
        <f t="shared" ca="1" si="235"/>
        <v>1.2256818355411565</v>
      </c>
      <c r="W566" s="357">
        <f t="shared" ca="1" si="236"/>
        <v>6.0615658429850772</v>
      </c>
      <c r="X566" s="343"/>
      <c r="Y566" s="367" t="str">
        <f t="shared" ca="1" si="254"/>
        <v/>
      </c>
      <c r="Z566" s="368" t="str">
        <f t="shared" ca="1" si="255"/>
        <v/>
      </c>
      <c r="AA566" s="369" t="str">
        <f t="shared" ca="1" si="256"/>
        <v/>
      </c>
      <c r="AB566" s="344"/>
      <c r="AC566" s="363" t="e">
        <f t="shared" ca="1" si="257"/>
        <v>#N/A</v>
      </c>
      <c r="AD566" s="376" t="e">
        <f t="shared" ca="1" si="258"/>
        <v>#N/A</v>
      </c>
      <c r="AE566" s="377" t="e">
        <f t="shared" ca="1" si="237"/>
        <v>#N/A</v>
      </c>
      <c r="AF566" s="344"/>
      <c r="AG566" s="359">
        <f t="shared" ca="1" si="259"/>
        <v>5.8332458510334391</v>
      </c>
      <c r="AH566" s="357">
        <f t="shared" ca="1" si="260"/>
        <v>-3.8780914246749592</v>
      </c>
    </row>
    <row r="567" spans="1:34" x14ac:dyDescent="0.2">
      <c r="A567" s="402">
        <f t="shared" ca="1" si="238"/>
        <v>1E-4</v>
      </c>
      <c r="B567" s="357">
        <f t="shared" ca="1" si="239"/>
        <v>15.622699999999909</v>
      </c>
      <c r="C567" s="342"/>
      <c r="D567" s="359">
        <f t="shared" ca="1" si="240"/>
        <v>-0.54863299063387427</v>
      </c>
      <c r="E567" s="360">
        <f t="shared" ca="1" si="241"/>
        <v>-5.970841814156814</v>
      </c>
      <c r="F567" s="357">
        <f t="shared" ca="1" si="242"/>
        <v>5.9959945070101011</v>
      </c>
      <c r="G567" s="359">
        <f t="shared" ca="1" si="243"/>
        <v>9.5366701110738443</v>
      </c>
      <c r="H567" s="360">
        <f t="shared" ca="1" si="244"/>
        <v>-66.735548092500011</v>
      </c>
      <c r="I567" s="357">
        <f t="shared" ca="1" si="245"/>
        <v>67.413510930775814</v>
      </c>
      <c r="J567" s="359">
        <f t="shared" ca="1" si="246"/>
        <v>187.70931447689617</v>
      </c>
      <c r="K567" s="360">
        <f t="shared" ca="1" si="247"/>
        <v>-5.5711293532733341</v>
      </c>
      <c r="L567" s="357">
        <f t="shared" ca="1" si="232"/>
        <v>187.7919706048616</v>
      </c>
      <c r="M567" s="359">
        <f t="shared" ca="1" si="248"/>
        <v>-1.4288549186605681</v>
      </c>
      <c r="N567" s="357">
        <f t="shared" ca="1" si="249"/>
        <v>-81.867356375759087</v>
      </c>
      <c r="O567" s="343"/>
      <c r="P567" s="363">
        <f t="shared" ca="1" si="250"/>
        <v>23</v>
      </c>
      <c r="Q567" s="357">
        <f t="shared" ca="1" si="251"/>
        <v>0</v>
      </c>
      <c r="R567" s="359">
        <f t="shared" ca="1" si="252"/>
        <v>0</v>
      </c>
      <c r="S567" s="360">
        <f t="shared" ca="1" si="253"/>
        <v>1.5629999999999982</v>
      </c>
      <c r="T567" s="357">
        <f t="shared" ca="1" si="233"/>
        <v>15.333029999999983</v>
      </c>
      <c r="U567" s="364">
        <f t="shared" ca="1" si="234"/>
        <v>0</v>
      </c>
      <c r="V567" s="359">
        <f t="shared" ca="1" si="235"/>
        <v>1.2256826535033245</v>
      </c>
      <c r="W567" s="357">
        <f t="shared" ca="1" si="236"/>
        <v>6.0616747890876894</v>
      </c>
      <c r="X567" s="343"/>
      <c r="Y567" s="367" t="str">
        <f t="shared" ca="1" si="254"/>
        <v/>
      </c>
      <c r="Z567" s="368" t="str">
        <f t="shared" ca="1" si="255"/>
        <v/>
      </c>
      <c r="AA567" s="369" t="str">
        <f t="shared" ca="1" si="256"/>
        <v/>
      </c>
      <c r="AB567" s="344"/>
      <c r="AC567" s="363" t="e">
        <f t="shared" ca="1" si="257"/>
        <v>#N/A</v>
      </c>
      <c r="AD567" s="376" t="e">
        <f t="shared" ca="1" si="258"/>
        <v>#N/A</v>
      </c>
      <c r="AE567" s="377" t="e">
        <f t="shared" ca="1" si="237"/>
        <v>#N/A</v>
      </c>
      <c r="AF567" s="344"/>
      <c r="AG567" s="359">
        <f t="shared" ca="1" si="259"/>
        <v>5.8331790047990912</v>
      </c>
      <c r="AH567" s="357">
        <f t="shared" ca="1" si="260"/>
        <v>-3.8781611279495101</v>
      </c>
    </row>
    <row r="568" spans="1:34" x14ac:dyDescent="0.2">
      <c r="A568" s="402">
        <f t="shared" ca="1" si="238"/>
        <v>1E-4</v>
      </c>
      <c r="B568" s="357">
        <f t="shared" ca="1" si="239"/>
        <v>15.622799999999909</v>
      </c>
      <c r="C568" s="342"/>
      <c r="D568" s="359">
        <f t="shared" ca="1" si="240"/>
        <v>-0.54863494781118261</v>
      </c>
      <c r="E568" s="360">
        <f t="shared" ca="1" si="241"/>
        <v>-5.9707716825221429</v>
      </c>
      <c r="F568" s="357">
        <f t="shared" ca="1" si="242"/>
        <v>5.9959248486591354</v>
      </c>
      <c r="G568" s="359">
        <f t="shared" ca="1" si="243"/>
        <v>9.5366152475790624</v>
      </c>
      <c r="H568" s="360">
        <f t="shared" ca="1" si="244"/>
        <v>-66.736145169668262</v>
      </c>
      <c r="I568" s="357">
        <f t="shared" ca="1" si="245"/>
        <v>67.41409424213451</v>
      </c>
      <c r="J568" s="359">
        <f t="shared" ca="1" si="246"/>
        <v>187.70931447689617</v>
      </c>
      <c r="K568" s="360">
        <f t="shared" ca="1" si="247"/>
        <v>-5.5778029379364424</v>
      </c>
      <c r="L568" s="357">
        <f t="shared" ca="1" si="232"/>
        <v>187.79216870519588</v>
      </c>
      <c r="M568" s="359">
        <f t="shared" ca="1" si="248"/>
        <v>-1.4288569772423143</v>
      </c>
      <c r="N568" s="357">
        <f t="shared" ca="1" si="249"/>
        <v>-81.867474323804927</v>
      </c>
      <c r="O568" s="343"/>
      <c r="P568" s="363">
        <f t="shared" ca="1" si="250"/>
        <v>23</v>
      </c>
      <c r="Q568" s="357">
        <f t="shared" ca="1" si="251"/>
        <v>0</v>
      </c>
      <c r="R568" s="359">
        <f t="shared" ca="1" si="252"/>
        <v>0</v>
      </c>
      <c r="S568" s="360">
        <f t="shared" ca="1" si="253"/>
        <v>1.5629999999999982</v>
      </c>
      <c r="T568" s="357">
        <f t="shared" ca="1" si="233"/>
        <v>15.333029999999983</v>
      </c>
      <c r="U568" s="364">
        <f t="shared" ca="1" si="234"/>
        <v>0</v>
      </c>
      <c r="V568" s="359">
        <f t="shared" ca="1" si="235"/>
        <v>1.2256834714733569</v>
      </c>
      <c r="W568" s="357">
        <f t="shared" ca="1" si="236"/>
        <v>6.061783735074755</v>
      </c>
      <c r="X568" s="343"/>
      <c r="Y568" s="367" t="str">
        <f t="shared" ca="1" si="254"/>
        <v/>
      </c>
      <c r="Z568" s="368" t="str">
        <f t="shared" ca="1" si="255"/>
        <v/>
      </c>
      <c r="AA568" s="369" t="str">
        <f t="shared" ca="1" si="256"/>
        <v/>
      </c>
      <c r="AB568" s="344"/>
      <c r="AC568" s="363" t="e">
        <f t="shared" ca="1" si="257"/>
        <v>#N/A</v>
      </c>
      <c r="AD568" s="376" t="e">
        <f t="shared" ca="1" si="258"/>
        <v>#N/A</v>
      </c>
      <c r="AE568" s="377" t="e">
        <f t="shared" ca="1" si="237"/>
        <v>#N/A</v>
      </c>
      <c r="AF568" s="344"/>
      <c r="AG568" s="359">
        <f t="shared" ca="1" si="259"/>
        <v>5.8331121585316135</v>
      </c>
      <c r="AH568" s="357">
        <f t="shared" ca="1" si="260"/>
        <v>-3.8782308311501579</v>
      </c>
    </row>
    <row r="569" spans="1:34" x14ac:dyDescent="0.2">
      <c r="A569" s="402">
        <f t="shared" ca="1" si="238"/>
        <v>1E-4</v>
      </c>
      <c r="B569" s="357">
        <f t="shared" ca="1" si="239"/>
        <v>15.622899999999909</v>
      </c>
      <c r="C569" s="342"/>
      <c r="D569" s="359">
        <f t="shared" ca="1" si="240"/>
        <v>-0.54863690487385286</v>
      </c>
      <c r="E569" s="360">
        <f t="shared" ca="1" si="241"/>
        <v>-5.9707015509623691</v>
      </c>
      <c r="F569" s="357">
        <f t="shared" ca="1" si="242"/>
        <v>5.9958551903839377</v>
      </c>
      <c r="G569" s="359">
        <f t="shared" ca="1" si="243"/>
        <v>9.5365603838885757</v>
      </c>
      <c r="H569" s="360">
        <f t="shared" ca="1" si="244"/>
        <v>-66.736742239823357</v>
      </c>
      <c r="I569" s="357">
        <f t="shared" ca="1" si="245"/>
        <v>67.414677546808576</v>
      </c>
      <c r="J569" s="359">
        <f t="shared" ca="1" si="246"/>
        <v>187.70931447689617</v>
      </c>
      <c r="K569" s="360">
        <f t="shared" ca="1" si="247"/>
        <v>-5.5844765823069169</v>
      </c>
      <c r="L569" s="357">
        <f t="shared" ca="1" si="232"/>
        <v>187.7923670442562</v>
      </c>
      <c r="M569" s="359">
        <f t="shared" ca="1" si="248"/>
        <v>-1.4288590357765938</v>
      </c>
      <c r="N569" s="357">
        <f t="shared" ca="1" si="249"/>
        <v>-81.867592269131123</v>
      </c>
      <c r="O569" s="343"/>
      <c r="P569" s="363">
        <f t="shared" ca="1" si="250"/>
        <v>23</v>
      </c>
      <c r="Q569" s="357">
        <f t="shared" ca="1" si="251"/>
        <v>0</v>
      </c>
      <c r="R569" s="359">
        <f t="shared" ca="1" si="252"/>
        <v>0</v>
      </c>
      <c r="S569" s="360">
        <f t="shared" ca="1" si="253"/>
        <v>1.5629999999999982</v>
      </c>
      <c r="T569" s="357">
        <f t="shared" ca="1" si="233"/>
        <v>15.333029999999983</v>
      </c>
      <c r="U569" s="364">
        <f t="shared" ca="1" si="234"/>
        <v>0</v>
      </c>
      <c r="V569" s="359">
        <f t="shared" ca="1" si="235"/>
        <v>1.2256842894512534</v>
      </c>
      <c r="W569" s="357">
        <f t="shared" ca="1" si="236"/>
        <v>6.0618926809462463</v>
      </c>
      <c r="X569" s="343"/>
      <c r="Y569" s="367" t="str">
        <f t="shared" ca="1" si="254"/>
        <v/>
      </c>
      <c r="Z569" s="368" t="str">
        <f t="shared" ca="1" si="255"/>
        <v/>
      </c>
      <c r="AA569" s="369" t="str">
        <f t="shared" ca="1" si="256"/>
        <v/>
      </c>
      <c r="AB569" s="344"/>
      <c r="AC569" s="363" t="e">
        <f t="shared" ca="1" si="257"/>
        <v>#N/A</v>
      </c>
      <c r="AD569" s="376" t="e">
        <f t="shared" ca="1" si="258"/>
        <v>#N/A</v>
      </c>
      <c r="AE569" s="377" t="e">
        <f t="shared" ca="1" si="237"/>
        <v>#N/A</v>
      </c>
      <c r="AF569" s="344"/>
      <c r="AG569" s="359">
        <f t="shared" ca="1" si="259"/>
        <v>5.833045312231028</v>
      </c>
      <c r="AH569" s="357">
        <f t="shared" ca="1" si="260"/>
        <v>-3.878300534276879</v>
      </c>
    </row>
    <row r="570" spans="1:34" x14ac:dyDescent="0.2">
      <c r="A570" s="402">
        <f t="shared" ca="1" si="238"/>
        <v>1E-4</v>
      </c>
      <c r="B570" s="357">
        <f t="shared" ca="1" si="239"/>
        <v>15.622999999999909</v>
      </c>
      <c r="C570" s="342"/>
      <c r="D570" s="359">
        <f t="shared" ca="1" si="240"/>
        <v>-0.54863886182188681</v>
      </c>
      <c r="E570" s="360">
        <f t="shared" ca="1" si="241"/>
        <v>-5.9706314194775096</v>
      </c>
      <c r="F570" s="357">
        <f t="shared" ca="1" si="242"/>
        <v>5.9957855321845228</v>
      </c>
      <c r="G570" s="359">
        <f t="shared" ca="1" si="243"/>
        <v>9.5365055200023932</v>
      </c>
      <c r="H570" s="360">
        <f t="shared" ca="1" si="244"/>
        <v>-66.73733930296531</v>
      </c>
      <c r="I570" s="357">
        <f t="shared" ca="1" si="245"/>
        <v>67.415260844797999</v>
      </c>
      <c r="J570" s="359">
        <f t="shared" ca="1" si="246"/>
        <v>187.70931447689617</v>
      </c>
      <c r="K570" s="360">
        <f t="shared" ca="1" si="247"/>
        <v>-5.5911502863840568</v>
      </c>
      <c r="L570" s="357">
        <f t="shared" ca="1" si="232"/>
        <v>187.79256562204807</v>
      </c>
      <c r="M570" s="359">
        <f t="shared" ca="1" si="248"/>
        <v>-1.4288610942634088</v>
      </c>
      <c r="N570" s="357">
        <f t="shared" ca="1" si="249"/>
        <v>-81.867710211737801</v>
      </c>
      <c r="O570" s="343"/>
      <c r="P570" s="363">
        <f t="shared" ca="1" si="250"/>
        <v>23</v>
      </c>
      <c r="Q570" s="357">
        <f t="shared" ca="1" si="251"/>
        <v>0</v>
      </c>
      <c r="R570" s="359">
        <f t="shared" ca="1" si="252"/>
        <v>0</v>
      </c>
      <c r="S570" s="360">
        <f t="shared" ca="1" si="253"/>
        <v>1.5629999999999982</v>
      </c>
      <c r="T570" s="357">
        <f t="shared" ca="1" si="233"/>
        <v>15.333029999999983</v>
      </c>
      <c r="U570" s="364">
        <f t="shared" ca="1" si="234"/>
        <v>0</v>
      </c>
      <c r="V570" s="359">
        <f t="shared" ca="1" si="235"/>
        <v>1.2256851074370145</v>
      </c>
      <c r="W570" s="357">
        <f t="shared" ca="1" si="236"/>
        <v>6.0620016267021306</v>
      </c>
      <c r="X570" s="343"/>
      <c r="Y570" s="367" t="str">
        <f t="shared" ca="1" si="254"/>
        <v/>
      </c>
      <c r="Z570" s="368" t="str">
        <f t="shared" ca="1" si="255"/>
        <v/>
      </c>
      <c r="AA570" s="369" t="str">
        <f t="shared" ca="1" si="256"/>
        <v/>
      </c>
      <c r="AB570" s="344"/>
      <c r="AC570" s="363" t="e">
        <f t="shared" ca="1" si="257"/>
        <v>#N/A</v>
      </c>
      <c r="AD570" s="376" t="e">
        <f t="shared" ca="1" si="258"/>
        <v>#N/A</v>
      </c>
      <c r="AE570" s="377" t="e">
        <f t="shared" ca="1" si="237"/>
        <v>#N/A</v>
      </c>
      <c r="AF570" s="344"/>
      <c r="AG570" s="359">
        <f t="shared" ca="1" si="259"/>
        <v>5.832978465897364</v>
      </c>
      <c r="AH570" s="357">
        <f t="shared" ca="1" si="260"/>
        <v>-3.8783702373296567</v>
      </c>
    </row>
    <row r="571" spans="1:34" x14ac:dyDescent="0.2">
      <c r="A571" s="402">
        <f t="shared" ca="1" si="238"/>
        <v>1E-4</v>
      </c>
      <c r="B571" s="357">
        <f t="shared" ca="1" si="239"/>
        <v>15.623099999999909</v>
      </c>
      <c r="C571" s="342"/>
      <c r="D571" s="359">
        <f t="shared" ca="1" si="240"/>
        <v>-0.54864081865528347</v>
      </c>
      <c r="E571" s="360">
        <f t="shared" ca="1" si="241"/>
        <v>-5.9705612880675876</v>
      </c>
      <c r="F571" s="357">
        <f t="shared" ca="1" si="242"/>
        <v>5.995715874060914</v>
      </c>
      <c r="G571" s="359">
        <f t="shared" ca="1" si="243"/>
        <v>9.5364506559205271</v>
      </c>
      <c r="H571" s="360">
        <f t="shared" ca="1" si="244"/>
        <v>-66.737936359094121</v>
      </c>
      <c r="I571" s="357">
        <f t="shared" ca="1" si="245"/>
        <v>67.415844136102777</v>
      </c>
      <c r="J571" s="359">
        <f t="shared" ca="1" si="246"/>
        <v>187.70931447689617</v>
      </c>
      <c r="K571" s="360">
        <f t="shared" ca="1" si="247"/>
        <v>-5.5978240501671594</v>
      </c>
      <c r="L571" s="357">
        <f t="shared" ca="1" si="232"/>
        <v>187.79276443857714</v>
      </c>
      <c r="M571" s="359">
        <f t="shared" ca="1" si="248"/>
        <v>-1.4288631527027604</v>
      </c>
      <c r="N571" s="357">
        <f t="shared" ca="1" si="249"/>
        <v>-81.867828151625034</v>
      </c>
      <c r="O571" s="343"/>
      <c r="P571" s="363">
        <f t="shared" ca="1" si="250"/>
        <v>23</v>
      </c>
      <c r="Q571" s="357">
        <f t="shared" ca="1" si="251"/>
        <v>0</v>
      </c>
      <c r="R571" s="359">
        <f t="shared" ca="1" si="252"/>
        <v>0</v>
      </c>
      <c r="S571" s="360">
        <f t="shared" ca="1" si="253"/>
        <v>1.5629999999999982</v>
      </c>
      <c r="T571" s="357">
        <f t="shared" ca="1" si="233"/>
        <v>15.333029999999983</v>
      </c>
      <c r="U571" s="364">
        <f t="shared" ca="1" si="234"/>
        <v>0</v>
      </c>
      <c r="V571" s="359">
        <f t="shared" ca="1" si="235"/>
        <v>1.2256859254306391</v>
      </c>
      <c r="W571" s="357">
        <f t="shared" ca="1" si="236"/>
        <v>6.0621105723423749</v>
      </c>
      <c r="X571" s="343"/>
      <c r="Y571" s="367" t="str">
        <f t="shared" ca="1" si="254"/>
        <v/>
      </c>
      <c r="Z571" s="368" t="str">
        <f t="shared" ca="1" si="255"/>
        <v/>
      </c>
      <c r="AA571" s="369" t="str">
        <f t="shared" ca="1" si="256"/>
        <v/>
      </c>
      <c r="AB571" s="344"/>
      <c r="AC571" s="363" t="e">
        <f t="shared" ca="1" si="257"/>
        <v>#N/A</v>
      </c>
      <c r="AD571" s="376" t="e">
        <f t="shared" ca="1" si="258"/>
        <v>#N/A</v>
      </c>
      <c r="AE571" s="377" t="e">
        <f t="shared" ca="1" si="237"/>
        <v>#N/A</v>
      </c>
      <c r="AF571" s="344"/>
      <c r="AG571" s="359">
        <f t="shared" ca="1" si="259"/>
        <v>5.8329116195306447</v>
      </c>
      <c r="AH571" s="357">
        <f t="shared" ca="1" si="260"/>
        <v>-3.8784399403084695</v>
      </c>
    </row>
    <row r="572" spans="1:34" x14ac:dyDescent="0.2">
      <c r="A572" s="402">
        <f t="shared" ca="1" si="238"/>
        <v>1E-4</v>
      </c>
      <c r="B572" s="357">
        <f t="shared" ca="1" si="239"/>
        <v>15.623199999999908</v>
      </c>
      <c r="C572" s="342"/>
      <c r="D572" s="359">
        <f t="shared" ca="1" si="240"/>
        <v>-0.54864277537404593</v>
      </c>
      <c r="E572" s="360">
        <f t="shared" ca="1" si="241"/>
        <v>-5.9704911567326233</v>
      </c>
      <c r="F572" s="357">
        <f t="shared" ca="1" si="242"/>
        <v>5.9956462160131325</v>
      </c>
      <c r="G572" s="359">
        <f t="shared" ca="1" si="243"/>
        <v>9.53639579164299</v>
      </c>
      <c r="H572" s="360">
        <f t="shared" ca="1" si="244"/>
        <v>-66.73853340820979</v>
      </c>
      <c r="I572" s="357">
        <f t="shared" ca="1" si="245"/>
        <v>67.416427420722911</v>
      </c>
      <c r="J572" s="359">
        <f t="shared" ca="1" si="246"/>
        <v>187.70931447689617</v>
      </c>
      <c r="K572" s="360">
        <f t="shared" ca="1" si="247"/>
        <v>-5.6044978736555242</v>
      </c>
      <c r="L572" s="357">
        <f t="shared" ca="1" si="232"/>
        <v>187.79296349384902</v>
      </c>
      <c r="M572" s="359">
        <f t="shared" ca="1" si="248"/>
        <v>-1.4288652110946507</v>
      </c>
      <c r="N572" s="357">
        <f t="shared" ca="1" si="249"/>
        <v>-81.867946088792934</v>
      </c>
      <c r="O572" s="343"/>
      <c r="P572" s="363">
        <f t="shared" ca="1" si="250"/>
        <v>23</v>
      </c>
      <c r="Q572" s="357">
        <f t="shared" ca="1" si="251"/>
        <v>0</v>
      </c>
      <c r="R572" s="359">
        <f t="shared" ca="1" si="252"/>
        <v>0</v>
      </c>
      <c r="S572" s="360">
        <f t="shared" ca="1" si="253"/>
        <v>1.5629999999999982</v>
      </c>
      <c r="T572" s="357">
        <f t="shared" ca="1" si="233"/>
        <v>15.333029999999983</v>
      </c>
      <c r="U572" s="364">
        <f t="shared" ca="1" si="234"/>
        <v>0</v>
      </c>
      <c r="V572" s="359">
        <f t="shared" ca="1" si="235"/>
        <v>1.2256867434321284</v>
      </c>
      <c r="W572" s="357">
        <f t="shared" ca="1" si="236"/>
        <v>6.0622195178669527</v>
      </c>
      <c r="X572" s="343"/>
      <c r="Y572" s="367" t="str">
        <f t="shared" ca="1" si="254"/>
        <v/>
      </c>
      <c r="Z572" s="368" t="str">
        <f t="shared" ca="1" si="255"/>
        <v/>
      </c>
      <c r="AA572" s="369" t="str">
        <f t="shared" ca="1" si="256"/>
        <v/>
      </c>
      <c r="AB572" s="344"/>
      <c r="AC572" s="363" t="e">
        <f t="shared" ca="1" si="257"/>
        <v>#N/A</v>
      </c>
      <c r="AD572" s="376" t="e">
        <f t="shared" ca="1" si="258"/>
        <v>#N/A</v>
      </c>
      <c r="AE572" s="377" t="e">
        <f t="shared" ca="1" si="237"/>
        <v>#N/A</v>
      </c>
      <c r="AF572" s="344"/>
      <c r="AG572" s="359">
        <f t="shared" ca="1" si="259"/>
        <v>5.8328447731308932</v>
      </c>
      <c r="AH572" s="357">
        <f t="shared" ca="1" si="260"/>
        <v>-3.8785096432132962</v>
      </c>
    </row>
    <row r="573" spans="1:34" x14ac:dyDescent="0.2">
      <c r="A573" s="402">
        <f t="shared" ca="1" si="238"/>
        <v>1E-4</v>
      </c>
      <c r="B573" s="357">
        <f t="shared" ca="1" si="239"/>
        <v>15.623299999999908</v>
      </c>
      <c r="C573" s="342"/>
      <c r="D573" s="359">
        <f t="shared" ca="1" si="240"/>
        <v>-0.54864473197817432</v>
      </c>
      <c r="E573" s="360">
        <f t="shared" ca="1" si="241"/>
        <v>-5.970421025472632</v>
      </c>
      <c r="F573" s="357">
        <f t="shared" ca="1" si="242"/>
        <v>5.9955765580411926</v>
      </c>
      <c r="G573" s="359">
        <f t="shared" ca="1" si="243"/>
        <v>9.5363409271697925</v>
      </c>
      <c r="H573" s="360">
        <f t="shared" ca="1" si="244"/>
        <v>-66.739130450312331</v>
      </c>
      <c r="I573" s="357">
        <f t="shared" ca="1" si="245"/>
        <v>67.417010698658387</v>
      </c>
      <c r="J573" s="359">
        <f t="shared" ca="1" si="246"/>
        <v>187.70931447689617</v>
      </c>
      <c r="K573" s="360">
        <f t="shared" ca="1" si="247"/>
        <v>-5.6111717568484503</v>
      </c>
      <c r="L573" s="357">
        <f t="shared" ca="1" si="232"/>
        <v>187.79316278786922</v>
      </c>
      <c r="M573" s="359">
        <f t="shared" ca="1" si="248"/>
        <v>-1.4288672694390812</v>
      </c>
      <c r="N573" s="357">
        <f t="shared" ca="1" si="249"/>
        <v>-81.868064023241587</v>
      </c>
      <c r="O573" s="343"/>
      <c r="P573" s="363">
        <f t="shared" ca="1" si="250"/>
        <v>23</v>
      </c>
      <c r="Q573" s="357">
        <f t="shared" ca="1" si="251"/>
        <v>0</v>
      </c>
      <c r="R573" s="359">
        <f t="shared" ca="1" si="252"/>
        <v>0</v>
      </c>
      <c r="S573" s="360">
        <f t="shared" ca="1" si="253"/>
        <v>1.5629999999999982</v>
      </c>
      <c r="T573" s="357">
        <f t="shared" ca="1" si="233"/>
        <v>15.333029999999983</v>
      </c>
      <c r="U573" s="364">
        <f t="shared" ca="1" si="234"/>
        <v>0</v>
      </c>
      <c r="V573" s="359">
        <f t="shared" ca="1" si="235"/>
        <v>1.2256875614414811</v>
      </c>
      <c r="W573" s="357">
        <f t="shared" ca="1" si="236"/>
        <v>6.0623284632758283</v>
      </c>
      <c r="X573" s="343"/>
      <c r="Y573" s="367" t="str">
        <f t="shared" ca="1" si="254"/>
        <v/>
      </c>
      <c r="Z573" s="368" t="str">
        <f t="shared" ca="1" si="255"/>
        <v/>
      </c>
      <c r="AA573" s="369" t="str">
        <f t="shared" ca="1" si="256"/>
        <v/>
      </c>
      <c r="AB573" s="344"/>
      <c r="AC573" s="363" t="e">
        <f t="shared" ca="1" si="257"/>
        <v>#N/A</v>
      </c>
      <c r="AD573" s="376" t="e">
        <f t="shared" ca="1" si="258"/>
        <v>#N/A</v>
      </c>
      <c r="AE573" s="377" t="e">
        <f t="shared" ca="1" si="237"/>
        <v>#N/A</v>
      </c>
      <c r="AF573" s="344"/>
      <c r="AG573" s="359">
        <f t="shared" ca="1" si="259"/>
        <v>5.8327779266981388</v>
      </c>
      <c r="AH573" s="357">
        <f t="shared" ca="1" si="260"/>
        <v>-3.8785793460441202</v>
      </c>
    </row>
    <row r="574" spans="1:34" x14ac:dyDescent="0.2">
      <c r="A574" s="402">
        <f t="shared" ca="1" si="238"/>
        <v>1E-4</v>
      </c>
      <c r="B574" s="357">
        <f t="shared" ca="1" si="239"/>
        <v>15.623399999999908</v>
      </c>
      <c r="C574" s="342"/>
      <c r="D574" s="359">
        <f t="shared" ca="1" si="240"/>
        <v>-0.54864668846766984</v>
      </c>
      <c r="E574" s="360">
        <f t="shared" ca="1" si="241"/>
        <v>-5.9703508942876402</v>
      </c>
      <c r="F574" s="357">
        <f t="shared" ca="1" si="242"/>
        <v>5.9955069001451218</v>
      </c>
      <c r="G574" s="359">
        <f t="shared" ca="1" si="243"/>
        <v>9.5362860625009453</v>
      </c>
      <c r="H574" s="360">
        <f t="shared" ca="1" si="244"/>
        <v>-66.739727485401758</v>
      </c>
      <c r="I574" s="357">
        <f t="shared" ca="1" si="245"/>
        <v>67.417593969909234</v>
      </c>
      <c r="J574" s="359">
        <f t="shared" ca="1" si="246"/>
        <v>187.70931447689617</v>
      </c>
      <c r="K574" s="360">
        <f t="shared" ca="1" si="247"/>
        <v>-5.617845699745236</v>
      </c>
      <c r="L574" s="357">
        <f t="shared" ca="1" si="232"/>
        <v>187.79336232064338</v>
      </c>
      <c r="M574" s="359">
        <f t="shared" ca="1" si="248"/>
        <v>-1.4288693277360538</v>
      </c>
      <c r="N574" s="357">
        <f t="shared" ca="1" si="249"/>
        <v>-81.868181954971107</v>
      </c>
      <c r="O574" s="343"/>
      <c r="P574" s="363">
        <f t="shared" ca="1" si="250"/>
        <v>23</v>
      </c>
      <c r="Q574" s="357">
        <f t="shared" ca="1" si="251"/>
        <v>0</v>
      </c>
      <c r="R574" s="359">
        <f t="shared" ca="1" si="252"/>
        <v>0</v>
      </c>
      <c r="S574" s="360">
        <f t="shared" ca="1" si="253"/>
        <v>1.5629999999999982</v>
      </c>
      <c r="T574" s="357">
        <f t="shared" ca="1" si="233"/>
        <v>15.333029999999983</v>
      </c>
      <c r="U574" s="364">
        <f t="shared" ca="1" si="234"/>
        <v>0</v>
      </c>
      <c r="V574" s="359">
        <f t="shared" ca="1" si="235"/>
        <v>1.2256883794586977</v>
      </c>
      <c r="W574" s="357">
        <f t="shared" ca="1" si="236"/>
        <v>6.0624374085689778</v>
      </c>
      <c r="X574" s="343"/>
      <c r="Y574" s="367" t="str">
        <f t="shared" ca="1" si="254"/>
        <v/>
      </c>
      <c r="Z574" s="368" t="str">
        <f t="shared" ca="1" si="255"/>
        <v/>
      </c>
      <c r="AA574" s="369" t="str">
        <f t="shared" ca="1" si="256"/>
        <v/>
      </c>
      <c r="AB574" s="344"/>
      <c r="AC574" s="363" t="e">
        <f t="shared" ca="1" si="257"/>
        <v>#N/A</v>
      </c>
      <c r="AD574" s="376" t="e">
        <f t="shared" ca="1" si="258"/>
        <v>#N/A</v>
      </c>
      <c r="AE574" s="377" t="e">
        <f t="shared" ca="1" si="237"/>
        <v>#N/A</v>
      </c>
      <c r="AF574" s="344"/>
      <c r="AG574" s="359">
        <f t="shared" ca="1" si="259"/>
        <v>5.8327110802324036</v>
      </c>
      <c r="AH574" s="357">
        <f t="shared" ca="1" si="260"/>
        <v>-3.8786490488009182</v>
      </c>
    </row>
    <row r="575" spans="1:34" x14ac:dyDescent="0.2">
      <c r="A575" s="402">
        <f t="shared" ca="1" si="238"/>
        <v>1E-4</v>
      </c>
      <c r="B575" s="357">
        <f t="shared" ca="1" si="239"/>
        <v>15.623499999999908</v>
      </c>
      <c r="C575" s="342"/>
      <c r="D575" s="359">
        <f t="shared" ca="1" si="240"/>
        <v>-0.54864864484253317</v>
      </c>
      <c r="E575" s="360">
        <f t="shared" ca="1" si="241"/>
        <v>-5.9702807631776604</v>
      </c>
      <c r="F575" s="357">
        <f t="shared" ca="1" si="242"/>
        <v>5.9954372423249307</v>
      </c>
      <c r="G575" s="359">
        <f t="shared" ca="1" si="243"/>
        <v>9.5362311976364609</v>
      </c>
      <c r="H575" s="360">
        <f t="shared" ca="1" si="244"/>
        <v>-66.740324513478072</v>
      </c>
      <c r="I575" s="357">
        <f t="shared" ca="1" si="245"/>
        <v>67.418177234475408</v>
      </c>
      <c r="J575" s="359">
        <f t="shared" ca="1" si="246"/>
        <v>187.70931447689617</v>
      </c>
      <c r="K575" s="360">
        <f t="shared" ca="1" si="247"/>
        <v>-5.6245197023451796</v>
      </c>
      <c r="L575" s="357">
        <f t="shared" ca="1" si="232"/>
        <v>187.79356209217707</v>
      </c>
      <c r="M575" s="359">
        <f t="shared" ca="1" si="248"/>
        <v>-1.42887138598557</v>
      </c>
      <c r="N575" s="357">
        <f t="shared" ca="1" si="249"/>
        <v>-81.868299883981564</v>
      </c>
      <c r="O575" s="343"/>
      <c r="P575" s="363">
        <f t="shared" ca="1" si="250"/>
        <v>23</v>
      </c>
      <c r="Q575" s="357">
        <f t="shared" ca="1" si="251"/>
        <v>0</v>
      </c>
      <c r="R575" s="359">
        <f t="shared" ca="1" si="252"/>
        <v>0</v>
      </c>
      <c r="S575" s="360">
        <f t="shared" ca="1" si="253"/>
        <v>1.5629999999999982</v>
      </c>
      <c r="T575" s="357">
        <f t="shared" ca="1" si="233"/>
        <v>15.333029999999983</v>
      </c>
      <c r="U575" s="364">
        <f t="shared" ca="1" si="234"/>
        <v>0</v>
      </c>
      <c r="V575" s="359">
        <f t="shared" ca="1" si="235"/>
        <v>1.2256891974837787</v>
      </c>
      <c r="W575" s="357">
        <f t="shared" ca="1" si="236"/>
        <v>6.0625463537463657</v>
      </c>
      <c r="X575" s="343"/>
      <c r="Y575" s="367" t="str">
        <f t="shared" ca="1" si="254"/>
        <v/>
      </c>
      <c r="Z575" s="368" t="str">
        <f t="shared" ca="1" si="255"/>
        <v/>
      </c>
      <c r="AA575" s="369" t="str">
        <f t="shared" ca="1" si="256"/>
        <v/>
      </c>
      <c r="AB575" s="344"/>
      <c r="AC575" s="363" t="e">
        <f t="shared" ca="1" si="257"/>
        <v>#N/A</v>
      </c>
      <c r="AD575" s="376" t="e">
        <f t="shared" ca="1" si="258"/>
        <v>#N/A</v>
      </c>
      <c r="AE575" s="377" t="e">
        <f t="shared" ca="1" si="237"/>
        <v>#N/A</v>
      </c>
      <c r="AF575" s="344"/>
      <c r="AG575" s="359">
        <f t="shared" ca="1" si="259"/>
        <v>5.8326442337337108</v>
      </c>
      <c r="AH575" s="357">
        <f t="shared" ca="1" si="260"/>
        <v>-3.8787187514836754</v>
      </c>
    </row>
    <row r="576" spans="1:34" x14ac:dyDescent="0.2">
      <c r="A576" s="402">
        <f t="shared" ca="1" si="238"/>
        <v>1E-4</v>
      </c>
      <c r="B576" s="357">
        <f t="shared" ca="1" si="239"/>
        <v>15.623599999999907</v>
      </c>
      <c r="C576" s="342"/>
      <c r="D576" s="359">
        <f t="shared" ca="1" si="240"/>
        <v>-0.54865060110276631</v>
      </c>
      <c r="E576" s="360">
        <f t="shared" ca="1" si="241"/>
        <v>-5.9702106321427166</v>
      </c>
      <c r="F576" s="357">
        <f t="shared" ca="1" si="242"/>
        <v>5.995367584580646</v>
      </c>
      <c r="G576" s="359">
        <f t="shared" ca="1" si="243"/>
        <v>9.5361763325763498</v>
      </c>
      <c r="H576" s="360">
        <f t="shared" ca="1" si="244"/>
        <v>-66.740921534541286</v>
      </c>
      <c r="I576" s="357">
        <f t="shared" ca="1" si="245"/>
        <v>67.41876049235691</v>
      </c>
      <c r="J576" s="359">
        <f t="shared" ca="1" si="246"/>
        <v>187.70931447689617</v>
      </c>
      <c r="K576" s="360">
        <f t="shared" ca="1" si="247"/>
        <v>-5.6311937646475805</v>
      </c>
      <c r="L576" s="357">
        <f t="shared" ca="1" si="232"/>
        <v>187.79376210247588</v>
      </c>
      <c r="M576" s="359">
        <f t="shared" ca="1" si="248"/>
        <v>-1.4288734441876316</v>
      </c>
      <c r="N576" s="357">
        <f t="shared" ca="1" si="249"/>
        <v>-81.868417810273087</v>
      </c>
      <c r="O576" s="343"/>
      <c r="P576" s="363">
        <f t="shared" ca="1" si="250"/>
        <v>23</v>
      </c>
      <c r="Q576" s="357">
        <f t="shared" ca="1" si="251"/>
        <v>0</v>
      </c>
      <c r="R576" s="359">
        <f t="shared" ca="1" si="252"/>
        <v>0</v>
      </c>
      <c r="S576" s="360">
        <f t="shared" ca="1" si="253"/>
        <v>1.5629999999999982</v>
      </c>
      <c r="T576" s="357">
        <f t="shared" ca="1" si="233"/>
        <v>15.333029999999983</v>
      </c>
      <c r="U576" s="364">
        <f t="shared" ca="1" si="234"/>
        <v>0</v>
      </c>
      <c r="V576" s="359">
        <f t="shared" ca="1" si="235"/>
        <v>1.225690015516723</v>
      </c>
      <c r="W576" s="357">
        <f t="shared" ca="1" si="236"/>
        <v>6.0626552988079601</v>
      </c>
      <c r="X576" s="343"/>
      <c r="Y576" s="367" t="str">
        <f t="shared" ca="1" si="254"/>
        <v/>
      </c>
      <c r="Z576" s="368" t="str">
        <f t="shared" ca="1" si="255"/>
        <v/>
      </c>
      <c r="AA576" s="369" t="str">
        <f t="shared" ca="1" si="256"/>
        <v/>
      </c>
      <c r="AB576" s="344"/>
      <c r="AC576" s="363" t="e">
        <f t="shared" ca="1" si="257"/>
        <v>#N/A</v>
      </c>
      <c r="AD576" s="376" t="e">
        <f t="shared" ca="1" si="258"/>
        <v>#N/A</v>
      </c>
      <c r="AE576" s="377" t="e">
        <f t="shared" ca="1" si="237"/>
        <v>#N/A</v>
      </c>
      <c r="AF576" s="344"/>
      <c r="AG576" s="359">
        <f t="shared" ca="1" si="259"/>
        <v>5.8325773872020878</v>
      </c>
      <c r="AH576" s="357">
        <f t="shared" ca="1" si="260"/>
        <v>-3.8787884540923692</v>
      </c>
    </row>
    <row r="577" spans="1:34" x14ac:dyDescent="0.2">
      <c r="A577" s="402">
        <f t="shared" ca="1" si="238"/>
        <v>1E-4</v>
      </c>
      <c r="B577" s="357">
        <f t="shared" ca="1" si="239"/>
        <v>15.623699999999907</v>
      </c>
      <c r="C577" s="342"/>
      <c r="D577" s="359">
        <f t="shared" ca="1" si="240"/>
        <v>-0.54865255724836881</v>
      </c>
      <c r="E577" s="360">
        <f t="shared" ca="1" si="241"/>
        <v>-5.9701405011828284</v>
      </c>
      <c r="F577" s="357">
        <f t="shared" ca="1" si="242"/>
        <v>5.9952979269122837</v>
      </c>
      <c r="G577" s="359">
        <f t="shared" ca="1" si="243"/>
        <v>9.5361214673206245</v>
      </c>
      <c r="H577" s="360">
        <f t="shared" ca="1" si="244"/>
        <v>-66.741518548591401</v>
      </c>
      <c r="I577" s="357">
        <f t="shared" ca="1" si="245"/>
        <v>67.419343743553782</v>
      </c>
      <c r="J577" s="359">
        <f t="shared" ca="1" si="246"/>
        <v>187.70931447689617</v>
      </c>
      <c r="K577" s="360">
        <f t="shared" ca="1" si="247"/>
        <v>-5.6378678866517369</v>
      </c>
      <c r="L577" s="357">
        <f t="shared" ca="1" si="232"/>
        <v>187.79396235154536</v>
      </c>
      <c r="M577" s="359">
        <f t="shared" ca="1" si="248"/>
        <v>-1.4288755023422404</v>
      </c>
      <c r="N577" s="357">
        <f t="shared" ca="1" si="249"/>
        <v>-81.868535733845746</v>
      </c>
      <c r="O577" s="343"/>
      <c r="P577" s="363">
        <f t="shared" ca="1" si="250"/>
        <v>23</v>
      </c>
      <c r="Q577" s="357">
        <f t="shared" ca="1" si="251"/>
        <v>0</v>
      </c>
      <c r="R577" s="359">
        <f t="shared" ca="1" si="252"/>
        <v>0</v>
      </c>
      <c r="S577" s="360">
        <f t="shared" ca="1" si="253"/>
        <v>1.5629999999999982</v>
      </c>
      <c r="T577" s="357">
        <f t="shared" ca="1" si="233"/>
        <v>15.333029999999983</v>
      </c>
      <c r="U577" s="364">
        <f t="shared" ca="1" si="234"/>
        <v>0</v>
      </c>
      <c r="V577" s="359">
        <f t="shared" ca="1" si="235"/>
        <v>1.2256908335575316</v>
      </c>
      <c r="W577" s="357">
        <f t="shared" ca="1" si="236"/>
        <v>6.0627642437537395</v>
      </c>
      <c r="X577" s="343"/>
      <c r="Y577" s="367" t="str">
        <f t="shared" ca="1" si="254"/>
        <v/>
      </c>
      <c r="Z577" s="368" t="str">
        <f t="shared" ca="1" si="255"/>
        <v/>
      </c>
      <c r="AA577" s="369" t="str">
        <f t="shared" ca="1" si="256"/>
        <v/>
      </c>
      <c r="AB577" s="344"/>
      <c r="AC577" s="363" t="e">
        <f t="shared" ca="1" si="257"/>
        <v>#N/A</v>
      </c>
      <c r="AD577" s="376" t="e">
        <f t="shared" ca="1" si="258"/>
        <v>#N/A</v>
      </c>
      <c r="AE577" s="377" t="e">
        <f t="shared" ca="1" si="237"/>
        <v>#N/A</v>
      </c>
      <c r="AF577" s="344"/>
      <c r="AG577" s="359">
        <f t="shared" ca="1" si="259"/>
        <v>5.8325105406375579</v>
      </c>
      <c r="AH577" s="357">
        <f t="shared" ca="1" si="260"/>
        <v>-3.8788581566269782</v>
      </c>
    </row>
    <row r="578" spans="1:34" x14ac:dyDescent="0.2">
      <c r="A578" s="402">
        <f t="shared" ca="1" si="238"/>
        <v>1E-4</v>
      </c>
      <c r="B578" s="357">
        <f t="shared" ca="1" si="239"/>
        <v>15.623799999999907</v>
      </c>
      <c r="C578" s="342"/>
      <c r="D578" s="359">
        <f t="shared" ca="1" si="240"/>
        <v>-0.54865451327934323</v>
      </c>
      <c r="E578" s="360">
        <f t="shared" ca="1" si="241"/>
        <v>-5.9700703702980107</v>
      </c>
      <c r="F578" s="357">
        <f t="shared" ca="1" si="242"/>
        <v>5.9952282693198615</v>
      </c>
      <c r="G578" s="359">
        <f t="shared" ca="1" si="243"/>
        <v>9.5360666018692974</v>
      </c>
      <c r="H578" s="360">
        <f t="shared" ca="1" si="244"/>
        <v>-66.74211555562843</v>
      </c>
      <c r="I578" s="357">
        <f t="shared" ca="1" si="245"/>
        <v>67.419926988065967</v>
      </c>
      <c r="J578" s="359">
        <f t="shared" ca="1" si="246"/>
        <v>187.70931447689617</v>
      </c>
      <c r="K578" s="360">
        <f t="shared" ca="1" si="247"/>
        <v>-5.6445420683569481</v>
      </c>
      <c r="L578" s="357">
        <f t="shared" ca="1" si="232"/>
        <v>187.79416283939113</v>
      </c>
      <c r="M578" s="359">
        <f t="shared" ca="1" si="248"/>
        <v>-1.4288775604493977</v>
      </c>
      <c r="N578" s="357">
        <f t="shared" ca="1" si="249"/>
        <v>-81.868653654699656</v>
      </c>
      <c r="O578" s="343"/>
      <c r="P578" s="363">
        <f t="shared" ca="1" si="250"/>
        <v>23</v>
      </c>
      <c r="Q578" s="357">
        <f t="shared" ca="1" si="251"/>
        <v>0</v>
      </c>
      <c r="R578" s="359">
        <f t="shared" ca="1" si="252"/>
        <v>0</v>
      </c>
      <c r="S578" s="360">
        <f t="shared" ca="1" si="253"/>
        <v>1.5629999999999982</v>
      </c>
      <c r="T578" s="357">
        <f t="shared" ca="1" si="233"/>
        <v>15.333029999999983</v>
      </c>
      <c r="U578" s="364">
        <f t="shared" ca="1" si="234"/>
        <v>0</v>
      </c>
      <c r="V578" s="359">
        <f t="shared" ca="1" si="235"/>
        <v>1.2256916516062031</v>
      </c>
      <c r="W578" s="357">
        <f t="shared" ca="1" si="236"/>
        <v>6.0628731885836586</v>
      </c>
      <c r="X578" s="343"/>
      <c r="Y578" s="367" t="str">
        <f t="shared" ca="1" si="254"/>
        <v/>
      </c>
      <c r="Z578" s="368" t="str">
        <f t="shared" ca="1" si="255"/>
        <v/>
      </c>
      <c r="AA578" s="369" t="str">
        <f t="shared" ca="1" si="256"/>
        <v/>
      </c>
      <c r="AB578" s="344"/>
      <c r="AC578" s="363" t="e">
        <f t="shared" ca="1" si="257"/>
        <v>#N/A</v>
      </c>
      <c r="AD578" s="376" t="e">
        <f t="shared" ca="1" si="258"/>
        <v>#N/A</v>
      </c>
      <c r="AE578" s="377" t="e">
        <f t="shared" ca="1" si="237"/>
        <v>#N/A</v>
      </c>
      <c r="AF578" s="344"/>
      <c r="AG578" s="359">
        <f t="shared" ca="1" si="259"/>
        <v>5.8324436940401458</v>
      </c>
      <c r="AH578" s="357">
        <f t="shared" ca="1" si="260"/>
        <v>-3.8789278590874896</v>
      </c>
    </row>
    <row r="579" spans="1:34" x14ac:dyDescent="0.2">
      <c r="A579" s="402">
        <f t="shared" ca="1" si="238"/>
        <v>1E-4</v>
      </c>
      <c r="B579" s="357">
        <f t="shared" ca="1" si="239"/>
        <v>15.623899999999907</v>
      </c>
      <c r="C579" s="342"/>
      <c r="D579" s="359">
        <f t="shared" ca="1" si="240"/>
        <v>-0.54865646919569</v>
      </c>
      <c r="E579" s="360">
        <f t="shared" ca="1" si="241"/>
        <v>-5.9700002394882912</v>
      </c>
      <c r="F579" s="357">
        <f t="shared" ca="1" si="242"/>
        <v>5.9951586118034053</v>
      </c>
      <c r="G579" s="359">
        <f t="shared" ca="1" si="243"/>
        <v>9.5360117362223775</v>
      </c>
      <c r="H579" s="360">
        <f t="shared" ca="1" si="244"/>
        <v>-66.742712555652375</v>
      </c>
      <c r="I579" s="357">
        <f t="shared" ca="1" si="245"/>
        <v>67.42051022589348</v>
      </c>
      <c r="J579" s="359">
        <f t="shared" ca="1" si="246"/>
        <v>187.70931447689617</v>
      </c>
      <c r="K579" s="360">
        <f t="shared" ca="1" si="247"/>
        <v>-5.6512163097625123</v>
      </c>
      <c r="L579" s="357">
        <f t="shared" ca="1" si="232"/>
        <v>187.79436356601875</v>
      </c>
      <c r="M579" s="359">
        <f t="shared" ca="1" si="248"/>
        <v>-1.4288796185091057</v>
      </c>
      <c r="N579" s="357">
        <f t="shared" ca="1" si="249"/>
        <v>-81.868771572834902</v>
      </c>
      <c r="O579" s="343"/>
      <c r="P579" s="363">
        <f t="shared" ca="1" si="250"/>
        <v>23</v>
      </c>
      <c r="Q579" s="357">
        <f t="shared" ca="1" si="251"/>
        <v>0</v>
      </c>
      <c r="R579" s="359">
        <f t="shared" ca="1" si="252"/>
        <v>0</v>
      </c>
      <c r="S579" s="360">
        <f t="shared" ca="1" si="253"/>
        <v>1.5629999999999982</v>
      </c>
      <c r="T579" s="357">
        <f t="shared" ca="1" si="233"/>
        <v>15.333029999999983</v>
      </c>
      <c r="U579" s="364">
        <f t="shared" ca="1" si="234"/>
        <v>0</v>
      </c>
      <c r="V579" s="359">
        <f t="shared" ca="1" si="235"/>
        <v>1.2256924696627385</v>
      </c>
      <c r="W579" s="357">
        <f t="shared" ca="1" si="236"/>
        <v>6.0629821332976945</v>
      </c>
      <c r="X579" s="343"/>
      <c r="Y579" s="367" t="str">
        <f t="shared" ca="1" si="254"/>
        <v/>
      </c>
      <c r="Z579" s="368" t="str">
        <f t="shared" ca="1" si="255"/>
        <v/>
      </c>
      <c r="AA579" s="369" t="str">
        <f t="shared" ca="1" si="256"/>
        <v/>
      </c>
      <c r="AB579" s="344"/>
      <c r="AC579" s="363" t="e">
        <f t="shared" ca="1" si="257"/>
        <v>#N/A</v>
      </c>
      <c r="AD579" s="376" t="e">
        <f t="shared" ca="1" si="258"/>
        <v>#N/A</v>
      </c>
      <c r="AE579" s="377" t="e">
        <f t="shared" ca="1" si="237"/>
        <v>#N/A</v>
      </c>
      <c r="AF579" s="344"/>
      <c r="AG579" s="359">
        <f t="shared" ca="1" si="259"/>
        <v>5.83237684740988</v>
      </c>
      <c r="AH579" s="357">
        <f t="shared" ca="1" si="260"/>
        <v>-3.8789975614738745</v>
      </c>
    </row>
    <row r="580" spans="1:34" x14ac:dyDescent="0.2">
      <c r="A580" s="402">
        <f t="shared" ca="1" si="238"/>
        <v>1E-4</v>
      </c>
      <c r="B580" s="357">
        <f t="shared" ca="1" si="239"/>
        <v>15.623999999999906</v>
      </c>
      <c r="C580" s="342"/>
      <c r="D580" s="359">
        <f t="shared" ca="1" si="240"/>
        <v>-0.54865842499740936</v>
      </c>
      <c r="E580" s="360">
        <f t="shared" ca="1" si="241"/>
        <v>-5.9699301087536867</v>
      </c>
      <c r="F580" s="357">
        <f t="shared" ca="1" si="242"/>
        <v>5.9950889543629327</v>
      </c>
      <c r="G580" s="359">
        <f t="shared" ca="1" si="243"/>
        <v>9.5359568703798772</v>
      </c>
      <c r="H580" s="360">
        <f t="shared" ca="1" si="244"/>
        <v>-66.743309548663248</v>
      </c>
      <c r="I580" s="357">
        <f t="shared" ca="1" si="245"/>
        <v>67.421093457036335</v>
      </c>
      <c r="J580" s="359">
        <f t="shared" ca="1" si="246"/>
        <v>187.70931447689617</v>
      </c>
      <c r="K580" s="360">
        <f t="shared" ca="1" si="247"/>
        <v>-5.657890610867728</v>
      </c>
      <c r="L580" s="357">
        <f t="shared" ref="L580:L643" ca="1" si="261">SQRT(pos_x^2+pos_z^2)</f>
        <v>187.79456453143376</v>
      </c>
      <c r="M580" s="359">
        <f t="shared" ca="1" si="248"/>
        <v>-1.4288816765213659</v>
      </c>
      <c r="N580" s="357">
        <f t="shared" ca="1" si="249"/>
        <v>-81.868889488251597</v>
      </c>
      <c r="O580" s="343"/>
      <c r="P580" s="363">
        <f t="shared" ca="1" si="250"/>
        <v>23</v>
      </c>
      <c r="Q580" s="357">
        <f t="shared" ca="1" si="251"/>
        <v>0</v>
      </c>
      <c r="R580" s="359">
        <f t="shared" ca="1" si="252"/>
        <v>0</v>
      </c>
      <c r="S580" s="360">
        <f t="shared" ca="1" si="253"/>
        <v>1.5629999999999982</v>
      </c>
      <c r="T580" s="357">
        <f t="shared" ref="T580:T643" ca="1" si="262">m*g</f>
        <v>15.333029999999983</v>
      </c>
      <c r="U580" s="364">
        <f t="shared" ref="U580:U643" ca="1" si="263">IF(pos_xz&lt;L_rampe,Poids*COS(Beta),0)</f>
        <v>0</v>
      </c>
      <c r="V580" s="359">
        <f t="shared" ref="V580:V643" ca="1" si="264">Rho_moyen*(20000-Alt_rampe-pos_z)/(20000+Alt_rampe+pos_z)</f>
        <v>1.2256932877271374</v>
      </c>
      <c r="W580" s="357">
        <f t="shared" ref="W580:W643" ca="1" si="265">1/2*Rho*Sref*Cx*vit_xz^2</f>
        <v>6.0630910778958214</v>
      </c>
      <c r="X580" s="343"/>
      <c r="Y580" s="367" t="str">
        <f t="shared" ca="1" si="254"/>
        <v/>
      </c>
      <c r="Z580" s="368" t="str">
        <f t="shared" ca="1" si="255"/>
        <v/>
      </c>
      <c r="AA580" s="369" t="str">
        <f t="shared" ca="1" si="256"/>
        <v/>
      </c>
      <c r="AB580" s="344"/>
      <c r="AC580" s="363" t="e">
        <f t="shared" ca="1" si="257"/>
        <v>#N/A</v>
      </c>
      <c r="AD580" s="376" t="e">
        <f t="shared" ca="1" si="258"/>
        <v>#N/A</v>
      </c>
      <c r="AE580" s="377" t="e">
        <f t="shared" ref="AE580:AE643" ca="1" si="266">IF(t&lt;T_para, pos_z, NA())</f>
        <v>#N/A</v>
      </c>
      <c r="AF580" s="344"/>
      <c r="AG580" s="359">
        <f t="shared" ca="1" si="259"/>
        <v>5.8323100007467819</v>
      </c>
      <c r="AH580" s="357">
        <f t="shared" ca="1" si="260"/>
        <v>-3.8790672637861174</v>
      </c>
    </row>
    <row r="581" spans="1:34" x14ac:dyDescent="0.2">
      <c r="A581" s="402">
        <f t="shared" ref="A581:A644" ca="1" si="267">IF(B580+0.01&lt;=T_ini+ROUNDUP(Temps_fin_propu,0), 0.01, IF(K580&gt;0, 0.1, 0.0001))</f>
        <v>1E-4</v>
      </c>
      <c r="B581" s="357">
        <f t="shared" ref="B581:B644" ca="1" si="268">B580+pas</f>
        <v>15.624099999999906</v>
      </c>
      <c r="C581" s="342"/>
      <c r="D581" s="359">
        <f t="shared" ref="D581:D644" ca="1" si="269">IF(AND(L580&lt;L_rampe,Poussee&lt;Poids*SIN(M580)),0,(-W580+Poussee)/m*COS(M580)-U580/m*SIN(M580))</f>
        <v>-0.54866038068450362</v>
      </c>
      <c r="E581" s="360">
        <f t="shared" ref="E581:E644" ca="1" si="270">IF(AND(L580&lt;L_rampe,Poussee&lt;Poids*SIN(M580)),0,(-W580+Poussee)/m*SIN(M580)+U580/m*COS(M580)-Poids/m)</f>
        <v>-5.9698599780942123</v>
      </c>
      <c r="F581" s="357">
        <f t="shared" ref="F581:F644" ca="1" si="271">SQRT(acc_x^2+acc_z^2)</f>
        <v>5.9950192969984579</v>
      </c>
      <c r="G581" s="359">
        <f t="shared" ref="G581:G644" ca="1" si="272">G580+acc_x*pas</f>
        <v>9.5359020043418088</v>
      </c>
      <c r="H581" s="360">
        <f t="shared" ref="H581:H644" ca="1" si="273">H580+acc_z*pas</f>
        <v>-66.743906534661051</v>
      </c>
      <c r="I581" s="357">
        <f t="shared" ref="I581:I644" ca="1" si="274">SQRT(vit_x^2+vit_z^2)</f>
        <v>67.421676681494503</v>
      </c>
      <c r="J581" s="359">
        <f t="shared" ref="J581:J644" ca="1" si="275">J580+0.5*(vit_x+G580)*pas*(K580&gt;=0)</f>
        <v>187.70931447689617</v>
      </c>
      <c r="K581" s="360">
        <f t="shared" ref="K581:K644" ca="1" si="276">K580+0.5*(vit_z+H580)*pas</f>
        <v>-5.6645649716718944</v>
      </c>
      <c r="L581" s="357">
        <f t="shared" ca="1" si="261"/>
        <v>187.79476573564182</v>
      </c>
      <c r="M581" s="359">
        <f t="shared" ref="M581:M644" ca="1" si="277">IF(AND(L580&gt;L_rampe,G581&gt;0),ATAN2(G581,H581),$M$4)</f>
        <v>-1.42888373448618</v>
      </c>
      <c r="N581" s="357">
        <f t="shared" ref="N581:N644" ca="1" si="278">DEGREES(Beta)</f>
        <v>-81.86900740094984</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1.5629999999999982</v>
      </c>
      <c r="T581" s="357">
        <f t="shared" ca="1" si="262"/>
        <v>15.333029999999983</v>
      </c>
      <c r="U581" s="364">
        <f t="shared" ca="1" si="263"/>
        <v>0</v>
      </c>
      <c r="V581" s="359">
        <f t="shared" ca="1" si="264"/>
        <v>1.2256941057993995</v>
      </c>
      <c r="W581" s="357">
        <f t="shared" ca="1" si="265"/>
        <v>6.0632000223779992</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t="e">
        <f t="shared" ca="1" si="266"/>
        <v>#N/A</v>
      </c>
      <c r="AF581" s="344"/>
      <c r="AG581" s="359">
        <f t="shared" ref="AG581:AG644" ca="1" si="288">IF(AND(L580&lt;L_rampe,Poussee&lt;Poids*SIN(M580)),0,(-W580+Poussee)/m-Poids*SIN(M580)/m)</f>
        <v>5.8322431540508735</v>
      </c>
      <c r="AH581" s="357">
        <f t="shared" ref="AH581:AH644" ca="1" si="289">IF(AND(L580&lt;L_rampe,Poussee&lt;Poids*SIN(M580)), g*SIN(M580), (-W580+Poussee)/m)</f>
        <v>-3.8791369660242023</v>
      </c>
    </row>
    <row r="582" spans="1:34" x14ac:dyDescent="0.2">
      <c r="A582" s="402">
        <f t="shared" ca="1" si="267"/>
        <v>1E-4</v>
      </c>
      <c r="B582" s="357">
        <f t="shared" ca="1" si="268"/>
        <v>15.624199999999906</v>
      </c>
      <c r="C582" s="342"/>
      <c r="D582" s="359">
        <f t="shared" ca="1" si="269"/>
        <v>-0.54866233625697269</v>
      </c>
      <c r="E582" s="360">
        <f t="shared" ca="1" si="270"/>
        <v>-5.9697898475098938</v>
      </c>
      <c r="F582" s="357">
        <f t="shared" ca="1" si="271"/>
        <v>5.9949496397100086</v>
      </c>
      <c r="G582" s="359">
        <f t="shared" ca="1" si="272"/>
        <v>9.5358471381081831</v>
      </c>
      <c r="H582" s="360">
        <f t="shared" ca="1" si="273"/>
        <v>-66.744503513645796</v>
      </c>
      <c r="I582" s="357">
        <f t="shared" ca="1" si="274"/>
        <v>67.422259899267999</v>
      </c>
      <c r="J582" s="359">
        <f t="shared" ca="1" si="275"/>
        <v>187.70931447689617</v>
      </c>
      <c r="K582" s="360">
        <f t="shared" ca="1" si="276"/>
        <v>-5.6712393921743098</v>
      </c>
      <c r="L582" s="357">
        <f t="shared" ca="1" si="261"/>
        <v>187.79496717864845</v>
      </c>
      <c r="M582" s="359">
        <f t="shared" ca="1" si="277"/>
        <v>-1.4288857924035496</v>
      </c>
      <c r="N582" s="357">
        <f t="shared" ca="1" si="278"/>
        <v>-81.869125310929704</v>
      </c>
      <c r="O582" s="343"/>
      <c r="P582" s="363">
        <f t="shared" ca="1" si="279"/>
        <v>23</v>
      </c>
      <c r="Q582" s="357">
        <f t="shared" ca="1" si="280"/>
        <v>0</v>
      </c>
      <c r="R582" s="359">
        <f t="shared" ca="1" si="281"/>
        <v>0</v>
      </c>
      <c r="S582" s="360">
        <f t="shared" ca="1" si="282"/>
        <v>1.5629999999999982</v>
      </c>
      <c r="T582" s="357">
        <f t="shared" ca="1" si="262"/>
        <v>15.333029999999983</v>
      </c>
      <c r="U582" s="364">
        <f t="shared" ca="1" si="263"/>
        <v>0</v>
      </c>
      <c r="V582" s="359">
        <f t="shared" ca="1" si="264"/>
        <v>1.2256949238795254</v>
      </c>
      <c r="W582" s="357">
        <f t="shared" ca="1" si="265"/>
        <v>6.0633089667442039</v>
      </c>
      <c r="X582" s="343"/>
      <c r="Y582" s="367" t="str">
        <f t="shared" ca="1" si="283"/>
        <v/>
      </c>
      <c r="Z582" s="368" t="str">
        <f t="shared" ca="1" si="284"/>
        <v/>
      </c>
      <c r="AA582" s="369" t="str">
        <f t="shared" ca="1" si="285"/>
        <v/>
      </c>
      <c r="AB582" s="344"/>
      <c r="AC582" s="363" t="e">
        <f t="shared" ca="1" si="286"/>
        <v>#N/A</v>
      </c>
      <c r="AD582" s="376" t="e">
        <f t="shared" ca="1" si="287"/>
        <v>#N/A</v>
      </c>
      <c r="AE582" s="377" t="e">
        <f t="shared" ca="1" si="266"/>
        <v>#N/A</v>
      </c>
      <c r="AF582" s="344"/>
      <c r="AG582" s="359">
        <f t="shared" ca="1" si="288"/>
        <v>5.8321763073221877</v>
      </c>
      <c r="AH582" s="357">
        <f t="shared" ca="1" si="289"/>
        <v>-3.8792066681881039</v>
      </c>
    </row>
    <row r="583" spans="1:34" x14ac:dyDescent="0.2">
      <c r="A583" s="402">
        <f t="shared" ca="1" si="267"/>
        <v>1E-4</v>
      </c>
      <c r="B583" s="357">
        <f t="shared" ca="1" si="268"/>
        <v>15.624299999999906</v>
      </c>
      <c r="C583" s="342"/>
      <c r="D583" s="359">
        <f t="shared" ca="1" si="269"/>
        <v>-0.54866429171481856</v>
      </c>
      <c r="E583" s="360">
        <f t="shared" ca="1" si="270"/>
        <v>-5.9697197170007463</v>
      </c>
      <c r="F583" s="357">
        <f t="shared" ca="1" si="271"/>
        <v>5.9948799824975971</v>
      </c>
      <c r="G583" s="359">
        <f t="shared" ca="1" si="272"/>
        <v>9.5357922716790124</v>
      </c>
      <c r="H583" s="360">
        <f t="shared" ca="1" si="273"/>
        <v>-66.745100485617499</v>
      </c>
      <c r="I583" s="357">
        <f t="shared" ca="1" si="274"/>
        <v>67.422843110356823</v>
      </c>
      <c r="J583" s="359">
        <f t="shared" ca="1" si="275"/>
        <v>187.70931447689617</v>
      </c>
      <c r="K583" s="360">
        <f t="shared" ca="1" si="276"/>
        <v>-5.6779138723742726</v>
      </c>
      <c r="L583" s="357">
        <f t="shared" ca="1" si="261"/>
        <v>187.79516886045923</v>
      </c>
      <c r="M583" s="359">
        <f t="shared" ca="1" si="277"/>
        <v>-1.4288878502734765</v>
      </c>
      <c r="N583" s="357">
        <f t="shared" ca="1" si="278"/>
        <v>-81.869243218191301</v>
      </c>
      <c r="O583" s="343"/>
      <c r="P583" s="363">
        <f t="shared" ca="1" si="279"/>
        <v>23</v>
      </c>
      <c r="Q583" s="357">
        <f t="shared" ca="1" si="280"/>
        <v>0</v>
      </c>
      <c r="R583" s="359">
        <f t="shared" ca="1" si="281"/>
        <v>0</v>
      </c>
      <c r="S583" s="360">
        <f t="shared" ca="1" si="282"/>
        <v>1.5629999999999982</v>
      </c>
      <c r="T583" s="357">
        <f t="shared" ca="1" si="262"/>
        <v>15.333029999999983</v>
      </c>
      <c r="U583" s="364">
        <f t="shared" ca="1" si="263"/>
        <v>0</v>
      </c>
      <c r="V583" s="359">
        <f t="shared" ca="1" si="264"/>
        <v>1.2256957419675145</v>
      </c>
      <c r="W583" s="357">
        <f t="shared" ca="1" si="265"/>
        <v>6.0634179109944055</v>
      </c>
      <c r="X583" s="343"/>
      <c r="Y583" s="367" t="str">
        <f t="shared" ca="1" si="283"/>
        <v/>
      </c>
      <c r="Z583" s="368" t="str">
        <f t="shared" ca="1" si="284"/>
        <v/>
      </c>
      <c r="AA583" s="369" t="str">
        <f t="shared" ca="1" si="285"/>
        <v/>
      </c>
      <c r="AB583" s="344"/>
      <c r="AC583" s="363" t="e">
        <f t="shared" ca="1" si="286"/>
        <v>#N/A</v>
      </c>
      <c r="AD583" s="376" t="e">
        <f t="shared" ca="1" si="287"/>
        <v>#N/A</v>
      </c>
      <c r="AE583" s="377" t="e">
        <f t="shared" ca="1" si="266"/>
        <v>#N/A</v>
      </c>
      <c r="AF583" s="344"/>
      <c r="AG583" s="359">
        <f t="shared" ca="1" si="288"/>
        <v>5.8321094605607424</v>
      </c>
      <c r="AH583" s="357">
        <f t="shared" ca="1" si="289"/>
        <v>-3.8792763702778061</v>
      </c>
    </row>
    <row r="584" spans="1:34" x14ac:dyDescent="0.2">
      <c r="A584" s="402">
        <f t="shared" ca="1" si="267"/>
        <v>1E-4</v>
      </c>
      <c r="B584" s="357">
        <f t="shared" ca="1" si="268"/>
        <v>15.624399999999905</v>
      </c>
      <c r="C584" s="342"/>
      <c r="D584" s="359">
        <f t="shared" ca="1" si="269"/>
        <v>-0.54866624705804234</v>
      </c>
      <c r="E584" s="360">
        <f t="shared" ca="1" si="270"/>
        <v>-5.9696495865667911</v>
      </c>
      <c r="F584" s="357">
        <f t="shared" ca="1" si="271"/>
        <v>5.9948103253612466</v>
      </c>
      <c r="G584" s="359">
        <f t="shared" ca="1" si="272"/>
        <v>9.5357374050543058</v>
      </c>
      <c r="H584" s="360">
        <f t="shared" ca="1" si="273"/>
        <v>-66.745697450576159</v>
      </c>
      <c r="I584" s="357">
        <f t="shared" ca="1" si="274"/>
        <v>67.42342631476096</v>
      </c>
      <c r="J584" s="359">
        <f t="shared" ca="1" si="275"/>
        <v>187.70931447689617</v>
      </c>
      <c r="K584" s="360">
        <f t="shared" ca="1" si="276"/>
        <v>-5.6845884122710819</v>
      </c>
      <c r="L584" s="357">
        <f t="shared" ca="1" si="261"/>
        <v>187.79537078107975</v>
      </c>
      <c r="M584" s="359">
        <f t="shared" ca="1" si="277"/>
        <v>-1.4288899080959623</v>
      </c>
      <c r="N584" s="357">
        <f t="shared" ca="1" si="278"/>
        <v>-81.869361122734716</v>
      </c>
      <c r="O584" s="343"/>
      <c r="P584" s="363">
        <f t="shared" ca="1" si="279"/>
        <v>23</v>
      </c>
      <c r="Q584" s="357">
        <f t="shared" ca="1" si="280"/>
        <v>0</v>
      </c>
      <c r="R584" s="359">
        <f t="shared" ca="1" si="281"/>
        <v>0</v>
      </c>
      <c r="S584" s="360">
        <f t="shared" ca="1" si="282"/>
        <v>1.5629999999999982</v>
      </c>
      <c r="T584" s="357">
        <f t="shared" ca="1" si="262"/>
        <v>15.333029999999983</v>
      </c>
      <c r="U584" s="364">
        <f t="shared" ca="1" si="263"/>
        <v>0</v>
      </c>
      <c r="V584" s="359">
        <f t="shared" ca="1" si="264"/>
        <v>1.2256965600633665</v>
      </c>
      <c r="W584" s="357">
        <f t="shared" ca="1" si="265"/>
        <v>6.0635268551285675</v>
      </c>
      <c r="X584" s="343"/>
      <c r="Y584" s="367" t="str">
        <f t="shared" ca="1" si="283"/>
        <v/>
      </c>
      <c r="Z584" s="368" t="str">
        <f t="shared" ca="1" si="284"/>
        <v/>
      </c>
      <c r="AA584" s="369" t="str">
        <f t="shared" ca="1" si="285"/>
        <v/>
      </c>
      <c r="AB584" s="344"/>
      <c r="AC584" s="363" t="e">
        <f t="shared" ca="1" si="286"/>
        <v>#N/A</v>
      </c>
      <c r="AD584" s="376" t="e">
        <f t="shared" ca="1" si="287"/>
        <v>#N/A</v>
      </c>
      <c r="AE584" s="377" t="e">
        <f t="shared" ca="1" si="266"/>
        <v>#N/A</v>
      </c>
      <c r="AF584" s="344"/>
      <c r="AG584" s="359">
        <f t="shared" ca="1" si="288"/>
        <v>5.8320426137665633</v>
      </c>
      <c r="AH584" s="357">
        <f t="shared" ca="1" si="289"/>
        <v>-3.8793460722932904</v>
      </c>
    </row>
    <row r="585" spans="1:34" x14ac:dyDescent="0.2">
      <c r="A585" s="402">
        <f t="shared" ca="1" si="267"/>
        <v>1E-4</v>
      </c>
      <c r="B585" s="357">
        <f t="shared" ca="1" si="268"/>
        <v>15.624499999999905</v>
      </c>
      <c r="C585" s="342"/>
      <c r="D585" s="359">
        <f t="shared" ca="1" si="269"/>
        <v>-0.54866820228664481</v>
      </c>
      <c r="E585" s="360">
        <f t="shared" ca="1" si="270"/>
        <v>-5.9695794562080504</v>
      </c>
      <c r="F585" s="357">
        <f t="shared" ca="1" si="271"/>
        <v>5.9947406683009783</v>
      </c>
      <c r="G585" s="359">
        <f t="shared" ca="1" si="272"/>
        <v>9.5356825382340773</v>
      </c>
      <c r="H585" s="360">
        <f t="shared" ca="1" si="273"/>
        <v>-66.746294408521777</v>
      </c>
      <c r="I585" s="357">
        <f t="shared" ca="1" si="274"/>
        <v>67.424009512480396</v>
      </c>
      <c r="J585" s="359">
        <f t="shared" ca="1" si="275"/>
        <v>187.70931447689617</v>
      </c>
      <c r="K585" s="360">
        <f t="shared" ca="1" si="276"/>
        <v>-5.691263011864037</v>
      </c>
      <c r="L585" s="357">
        <f t="shared" ca="1" si="261"/>
        <v>187.79557294051557</v>
      </c>
      <c r="M585" s="359">
        <f t="shared" ca="1" si="277"/>
        <v>-1.4288919658710089</v>
      </c>
      <c r="N585" s="357">
        <f t="shared" ca="1" si="278"/>
        <v>-81.869479024560079</v>
      </c>
      <c r="O585" s="343"/>
      <c r="P585" s="363">
        <f t="shared" ca="1" si="279"/>
        <v>23</v>
      </c>
      <c r="Q585" s="357">
        <f t="shared" ca="1" si="280"/>
        <v>0</v>
      </c>
      <c r="R585" s="359">
        <f t="shared" ca="1" si="281"/>
        <v>0</v>
      </c>
      <c r="S585" s="360">
        <f t="shared" ca="1" si="282"/>
        <v>1.5629999999999982</v>
      </c>
      <c r="T585" s="357">
        <f t="shared" ca="1" si="262"/>
        <v>15.333029999999983</v>
      </c>
      <c r="U585" s="364">
        <f t="shared" ca="1" si="263"/>
        <v>0</v>
      </c>
      <c r="V585" s="359">
        <f t="shared" ca="1" si="264"/>
        <v>1.2256973781670819</v>
      </c>
      <c r="W585" s="357">
        <f t="shared" ca="1" si="265"/>
        <v>6.0636357991466614</v>
      </c>
      <c r="X585" s="343"/>
      <c r="Y585" s="367" t="str">
        <f t="shared" ca="1" si="283"/>
        <v/>
      </c>
      <c r="Z585" s="368" t="str">
        <f t="shared" ca="1" si="284"/>
        <v/>
      </c>
      <c r="AA585" s="369" t="str">
        <f t="shared" ca="1" si="285"/>
        <v/>
      </c>
      <c r="AB585" s="344"/>
      <c r="AC585" s="363" t="e">
        <f t="shared" ca="1" si="286"/>
        <v>#N/A</v>
      </c>
      <c r="AD585" s="376" t="e">
        <f t="shared" ca="1" si="287"/>
        <v>#N/A</v>
      </c>
      <c r="AE585" s="377" t="e">
        <f t="shared" ca="1" si="266"/>
        <v>#N/A</v>
      </c>
      <c r="AF585" s="344"/>
      <c r="AG585" s="359">
        <f t="shared" ca="1" si="288"/>
        <v>5.8319757669396779</v>
      </c>
      <c r="AH585" s="357">
        <f t="shared" ca="1" si="289"/>
        <v>-3.8794157742345328</v>
      </c>
    </row>
    <row r="586" spans="1:34" x14ac:dyDescent="0.2">
      <c r="A586" s="402">
        <f t="shared" ca="1" si="267"/>
        <v>1E-4</v>
      </c>
      <c r="B586" s="357">
        <f t="shared" ca="1" si="268"/>
        <v>15.624599999999905</v>
      </c>
      <c r="C586" s="342"/>
      <c r="D586" s="359">
        <f t="shared" ca="1" si="269"/>
        <v>-0.5486701574006263</v>
      </c>
      <c r="E586" s="360">
        <f t="shared" ca="1" si="270"/>
        <v>-5.9695093259245411</v>
      </c>
      <c r="F586" s="357">
        <f t="shared" ca="1" si="271"/>
        <v>5.9946710113168091</v>
      </c>
      <c r="G586" s="359">
        <f t="shared" ca="1" si="272"/>
        <v>9.5356276712183377</v>
      </c>
      <c r="H586" s="360">
        <f t="shared" ca="1" si="273"/>
        <v>-66.746891359454366</v>
      </c>
      <c r="I586" s="357">
        <f t="shared" ca="1" si="274"/>
        <v>67.424592703515145</v>
      </c>
      <c r="J586" s="359">
        <f t="shared" ca="1" si="275"/>
        <v>187.70931447689617</v>
      </c>
      <c r="K586" s="360">
        <f t="shared" ca="1" si="276"/>
        <v>-5.6979376711524354</v>
      </c>
      <c r="L586" s="357">
        <f t="shared" ca="1" si="261"/>
        <v>187.79577533877227</v>
      </c>
      <c r="M586" s="359">
        <f t="shared" ca="1" si="277"/>
        <v>-1.4288940235986178</v>
      </c>
      <c r="N586" s="357">
        <f t="shared" ca="1" si="278"/>
        <v>-81.869596923667459</v>
      </c>
      <c r="O586" s="343"/>
      <c r="P586" s="363">
        <f t="shared" ca="1" si="279"/>
        <v>23</v>
      </c>
      <c r="Q586" s="357">
        <f t="shared" ca="1" si="280"/>
        <v>0</v>
      </c>
      <c r="R586" s="359">
        <f t="shared" ca="1" si="281"/>
        <v>0</v>
      </c>
      <c r="S586" s="360">
        <f t="shared" ca="1" si="282"/>
        <v>1.5629999999999982</v>
      </c>
      <c r="T586" s="357">
        <f t="shared" ca="1" si="262"/>
        <v>15.333029999999983</v>
      </c>
      <c r="U586" s="364">
        <f t="shared" ca="1" si="263"/>
        <v>0</v>
      </c>
      <c r="V586" s="359">
        <f t="shared" ca="1" si="264"/>
        <v>1.2256981962786604</v>
      </c>
      <c r="W586" s="357">
        <f t="shared" ca="1" si="265"/>
        <v>6.063744743048658</v>
      </c>
      <c r="X586" s="343"/>
      <c r="Y586" s="367" t="str">
        <f t="shared" ca="1" si="283"/>
        <v/>
      </c>
      <c r="Z586" s="368" t="str">
        <f t="shared" ca="1" si="284"/>
        <v/>
      </c>
      <c r="AA586" s="369" t="str">
        <f t="shared" ca="1" si="285"/>
        <v/>
      </c>
      <c r="AB586" s="344"/>
      <c r="AC586" s="363" t="e">
        <f t="shared" ca="1" si="286"/>
        <v>#N/A</v>
      </c>
      <c r="AD586" s="376" t="e">
        <f t="shared" ca="1" si="287"/>
        <v>#N/A</v>
      </c>
      <c r="AE586" s="377" t="e">
        <f t="shared" ca="1" si="266"/>
        <v>#N/A</v>
      </c>
      <c r="AF586" s="344"/>
      <c r="AG586" s="359">
        <f t="shared" ca="1" si="288"/>
        <v>5.8319089200801093</v>
      </c>
      <c r="AH586" s="357">
        <f t="shared" ca="1" si="289"/>
        <v>-3.8794854761015154</v>
      </c>
    </row>
    <row r="587" spans="1:34" x14ac:dyDescent="0.2">
      <c r="A587" s="402">
        <f t="shared" ca="1" si="267"/>
        <v>1E-4</v>
      </c>
      <c r="B587" s="357">
        <f t="shared" ca="1" si="268"/>
        <v>15.624699999999905</v>
      </c>
      <c r="C587" s="342"/>
      <c r="D587" s="359">
        <f t="shared" ca="1" si="269"/>
        <v>-0.54867211239998825</v>
      </c>
      <c r="E587" s="360">
        <f t="shared" ca="1" si="270"/>
        <v>-5.9694391957162845</v>
      </c>
      <c r="F587" s="357">
        <f t="shared" ca="1" si="271"/>
        <v>5.9946013544087604</v>
      </c>
      <c r="G587" s="359">
        <f t="shared" ca="1" si="272"/>
        <v>9.5355728040070975</v>
      </c>
      <c r="H587" s="360">
        <f t="shared" ca="1" si="273"/>
        <v>-66.747488303373942</v>
      </c>
      <c r="I587" s="357">
        <f t="shared" ca="1" si="274"/>
        <v>67.425175887865223</v>
      </c>
      <c r="J587" s="359">
        <f t="shared" ca="1" si="275"/>
        <v>187.70931447689617</v>
      </c>
      <c r="K587" s="360">
        <f t="shared" ca="1" si="276"/>
        <v>-5.7046123901355772</v>
      </c>
      <c r="L587" s="357">
        <f t="shared" ca="1" si="261"/>
        <v>187.79597797585546</v>
      </c>
      <c r="M587" s="359">
        <f t="shared" ca="1" si="277"/>
        <v>-1.428896081278791</v>
      </c>
      <c r="N587" s="357">
        <f t="shared" ca="1" si="278"/>
        <v>-81.86971482005697</v>
      </c>
      <c r="O587" s="343"/>
      <c r="P587" s="363">
        <f t="shared" ca="1" si="279"/>
        <v>23</v>
      </c>
      <c r="Q587" s="357">
        <f t="shared" ca="1" si="280"/>
        <v>0</v>
      </c>
      <c r="R587" s="359">
        <f t="shared" ca="1" si="281"/>
        <v>0</v>
      </c>
      <c r="S587" s="360">
        <f t="shared" ca="1" si="282"/>
        <v>1.5629999999999982</v>
      </c>
      <c r="T587" s="357">
        <f t="shared" ca="1" si="262"/>
        <v>15.333029999999983</v>
      </c>
      <c r="U587" s="364">
        <f t="shared" ca="1" si="263"/>
        <v>0</v>
      </c>
      <c r="V587" s="359">
        <f t="shared" ca="1" si="264"/>
        <v>1.2256990143981015</v>
      </c>
      <c r="W587" s="357">
        <f t="shared" ca="1" si="265"/>
        <v>6.063853686834527</v>
      </c>
      <c r="X587" s="343"/>
      <c r="Y587" s="367" t="str">
        <f t="shared" ca="1" si="283"/>
        <v/>
      </c>
      <c r="Z587" s="368" t="str">
        <f t="shared" ca="1" si="284"/>
        <v/>
      </c>
      <c r="AA587" s="369" t="str">
        <f t="shared" ca="1" si="285"/>
        <v/>
      </c>
      <c r="AB587" s="344"/>
      <c r="AC587" s="363" t="e">
        <f t="shared" ca="1" si="286"/>
        <v>#N/A</v>
      </c>
      <c r="AD587" s="376" t="e">
        <f t="shared" ca="1" si="287"/>
        <v>#N/A</v>
      </c>
      <c r="AE587" s="377" t="e">
        <f t="shared" ca="1" si="266"/>
        <v>#N/A</v>
      </c>
      <c r="AF587" s="344"/>
      <c r="AG587" s="359">
        <f t="shared" ca="1" si="288"/>
        <v>5.8318420731878824</v>
      </c>
      <c r="AH587" s="357">
        <f t="shared" ca="1" si="289"/>
        <v>-3.8795551778942197</v>
      </c>
    </row>
    <row r="588" spans="1:34" x14ac:dyDescent="0.2">
      <c r="A588" s="402">
        <f t="shared" ca="1" si="267"/>
        <v>1E-4</v>
      </c>
      <c r="B588" s="357">
        <f t="shared" ca="1" si="268"/>
        <v>15.624799999999905</v>
      </c>
      <c r="C588" s="342"/>
      <c r="D588" s="359">
        <f t="shared" ca="1" si="269"/>
        <v>-0.54867406728473167</v>
      </c>
      <c r="E588" s="360">
        <f t="shared" ca="1" si="270"/>
        <v>-5.9693690655832992</v>
      </c>
      <c r="F588" s="357">
        <f t="shared" ca="1" si="271"/>
        <v>5.9945316975768508</v>
      </c>
      <c r="G588" s="359">
        <f t="shared" ca="1" si="272"/>
        <v>9.5355179366003693</v>
      </c>
      <c r="H588" s="360">
        <f t="shared" ca="1" si="273"/>
        <v>-66.748085240280503</v>
      </c>
      <c r="I588" s="357">
        <f t="shared" ca="1" si="274"/>
        <v>67.425759065530585</v>
      </c>
      <c r="J588" s="359">
        <f t="shared" ca="1" si="275"/>
        <v>187.70931447689617</v>
      </c>
      <c r="K588" s="360">
        <f t="shared" ca="1" si="276"/>
        <v>-5.7112871688127598</v>
      </c>
      <c r="L588" s="357">
        <f t="shared" ca="1" si="261"/>
        <v>187.79618085177066</v>
      </c>
      <c r="M588" s="359">
        <f t="shared" ca="1" si="277"/>
        <v>-1.4288981389115296</v>
      </c>
      <c r="N588" s="357">
        <f t="shared" ca="1" si="278"/>
        <v>-81.869832713728684</v>
      </c>
      <c r="O588" s="343"/>
      <c r="P588" s="363">
        <f t="shared" ca="1" si="279"/>
        <v>23</v>
      </c>
      <c r="Q588" s="357">
        <f t="shared" ca="1" si="280"/>
        <v>0</v>
      </c>
      <c r="R588" s="359">
        <f t="shared" ca="1" si="281"/>
        <v>0</v>
      </c>
      <c r="S588" s="360">
        <f t="shared" ca="1" si="282"/>
        <v>1.5629999999999982</v>
      </c>
      <c r="T588" s="357">
        <f t="shared" ca="1" si="262"/>
        <v>15.333029999999983</v>
      </c>
      <c r="U588" s="364">
        <f t="shared" ca="1" si="263"/>
        <v>0</v>
      </c>
      <c r="V588" s="359">
        <f t="shared" ca="1" si="264"/>
        <v>1.2256998325254056</v>
      </c>
      <c r="W588" s="357">
        <f t="shared" ca="1" si="265"/>
        <v>6.0639626305042329</v>
      </c>
      <c r="X588" s="343"/>
      <c r="Y588" s="367" t="str">
        <f t="shared" ca="1" si="283"/>
        <v/>
      </c>
      <c r="Z588" s="368" t="str">
        <f t="shared" ca="1" si="284"/>
        <v/>
      </c>
      <c r="AA588" s="369" t="str">
        <f t="shared" ca="1" si="285"/>
        <v/>
      </c>
      <c r="AB588" s="344"/>
      <c r="AC588" s="363" t="e">
        <f t="shared" ca="1" si="286"/>
        <v>#N/A</v>
      </c>
      <c r="AD588" s="376" t="e">
        <f t="shared" ca="1" si="287"/>
        <v>#N/A</v>
      </c>
      <c r="AE588" s="377" t="e">
        <f t="shared" ca="1" si="266"/>
        <v>#N/A</v>
      </c>
      <c r="AF588" s="344"/>
      <c r="AG588" s="359">
        <f t="shared" ca="1" si="288"/>
        <v>5.8317752262630211</v>
      </c>
      <c r="AH588" s="357">
        <f t="shared" ca="1" si="289"/>
        <v>-3.8796248796126256</v>
      </c>
    </row>
    <row r="589" spans="1:34" x14ac:dyDescent="0.2">
      <c r="A589" s="402">
        <f t="shared" ca="1" si="267"/>
        <v>1E-4</v>
      </c>
      <c r="B589" s="357">
        <f t="shared" ca="1" si="268"/>
        <v>15.624899999999904</v>
      </c>
      <c r="C589" s="342"/>
      <c r="D589" s="359">
        <f t="shared" ca="1" si="269"/>
        <v>-0.54867602205485877</v>
      </c>
      <c r="E589" s="360">
        <f t="shared" ca="1" si="270"/>
        <v>-5.9692989355256056</v>
      </c>
      <c r="F589" s="357">
        <f t="shared" ca="1" si="271"/>
        <v>5.9944620408211007</v>
      </c>
      <c r="G589" s="359">
        <f t="shared" ca="1" si="272"/>
        <v>9.5354630689981636</v>
      </c>
      <c r="H589" s="360">
        <f t="shared" ca="1" si="273"/>
        <v>-66.74868217017405</v>
      </c>
      <c r="I589" s="357">
        <f t="shared" ca="1" si="274"/>
        <v>67.426342236511232</v>
      </c>
      <c r="J589" s="359">
        <f t="shared" ca="1" si="275"/>
        <v>187.70931447689617</v>
      </c>
      <c r="K589" s="360">
        <f t="shared" ca="1" si="276"/>
        <v>-5.7179620071832824</v>
      </c>
      <c r="L589" s="357">
        <f t="shared" ca="1" si="261"/>
        <v>187.79638396652339</v>
      </c>
      <c r="M589" s="359">
        <f t="shared" ca="1" si="277"/>
        <v>-1.428900196496836</v>
      </c>
      <c r="N589" s="357">
        <f t="shared" ca="1" si="278"/>
        <v>-81.869950604682714</v>
      </c>
      <c r="O589" s="343"/>
      <c r="P589" s="363">
        <f t="shared" ca="1" si="279"/>
        <v>23</v>
      </c>
      <c r="Q589" s="357">
        <f t="shared" ca="1" si="280"/>
        <v>0</v>
      </c>
      <c r="R589" s="359">
        <f t="shared" ca="1" si="281"/>
        <v>0</v>
      </c>
      <c r="S589" s="360">
        <f t="shared" ca="1" si="282"/>
        <v>1.5629999999999982</v>
      </c>
      <c r="T589" s="357">
        <f t="shared" ca="1" si="262"/>
        <v>15.333029999999983</v>
      </c>
      <c r="U589" s="364">
        <f t="shared" ca="1" si="263"/>
        <v>0</v>
      </c>
      <c r="V589" s="359">
        <f t="shared" ca="1" si="264"/>
        <v>1.225700650660573</v>
      </c>
      <c r="W589" s="357">
        <f t="shared" ca="1" si="265"/>
        <v>6.0640715740577491</v>
      </c>
      <c r="X589" s="343"/>
      <c r="Y589" s="367" t="str">
        <f t="shared" ca="1" si="283"/>
        <v/>
      </c>
      <c r="Z589" s="368" t="str">
        <f t="shared" ca="1" si="284"/>
        <v/>
      </c>
      <c r="AA589" s="369" t="str">
        <f t="shared" ca="1" si="285"/>
        <v/>
      </c>
      <c r="AB589" s="344"/>
      <c r="AC589" s="363" t="e">
        <f t="shared" ca="1" si="286"/>
        <v>#N/A</v>
      </c>
      <c r="AD589" s="376" t="e">
        <f t="shared" ca="1" si="287"/>
        <v>#N/A</v>
      </c>
      <c r="AE589" s="377" t="e">
        <f t="shared" ca="1" si="266"/>
        <v>#N/A</v>
      </c>
      <c r="AF589" s="344"/>
      <c r="AG589" s="359">
        <f t="shared" ca="1" si="288"/>
        <v>5.8317083793055566</v>
      </c>
      <c r="AH589" s="357">
        <f t="shared" ca="1" si="289"/>
        <v>-3.8796945812567114</v>
      </c>
    </row>
    <row r="590" spans="1:34" x14ac:dyDescent="0.2">
      <c r="A590" s="402">
        <f t="shared" ca="1" si="267"/>
        <v>1E-4</v>
      </c>
      <c r="B590" s="357">
        <f t="shared" ca="1" si="268"/>
        <v>15.624999999999904</v>
      </c>
      <c r="C590" s="342"/>
      <c r="D590" s="359">
        <f t="shared" ca="1" si="269"/>
        <v>-0.54867797671036844</v>
      </c>
      <c r="E590" s="360">
        <f t="shared" ca="1" si="270"/>
        <v>-5.9692288055432243</v>
      </c>
      <c r="F590" s="357">
        <f t="shared" ca="1" si="271"/>
        <v>5.9943923841415296</v>
      </c>
      <c r="G590" s="359">
        <f t="shared" ca="1" si="272"/>
        <v>9.535408201200493</v>
      </c>
      <c r="H590" s="360">
        <f t="shared" ca="1" si="273"/>
        <v>-66.749279093054611</v>
      </c>
      <c r="I590" s="357">
        <f t="shared" ca="1" si="274"/>
        <v>67.426925400807193</v>
      </c>
      <c r="J590" s="359">
        <f t="shared" ca="1" si="275"/>
        <v>187.70931447689617</v>
      </c>
      <c r="K590" s="360">
        <f t="shared" ca="1" si="276"/>
        <v>-5.7246369052464434</v>
      </c>
      <c r="L590" s="357">
        <f t="shared" ca="1" si="261"/>
        <v>187.79658732011936</v>
      </c>
      <c r="M590" s="359">
        <f t="shared" ca="1" si="277"/>
        <v>-1.4289022540347114</v>
      </c>
      <c r="N590" s="357">
        <f t="shared" ca="1" si="278"/>
        <v>-81.870068492919174</v>
      </c>
      <c r="O590" s="343"/>
      <c r="P590" s="363">
        <f t="shared" ca="1" si="279"/>
        <v>23</v>
      </c>
      <c r="Q590" s="357">
        <f t="shared" ca="1" si="280"/>
        <v>0</v>
      </c>
      <c r="R590" s="359">
        <f t="shared" ca="1" si="281"/>
        <v>0</v>
      </c>
      <c r="S590" s="360">
        <f t="shared" ca="1" si="282"/>
        <v>1.5629999999999982</v>
      </c>
      <c r="T590" s="357">
        <f t="shared" ca="1" si="262"/>
        <v>15.333029999999983</v>
      </c>
      <c r="U590" s="364">
        <f t="shared" ca="1" si="263"/>
        <v>0</v>
      </c>
      <c r="V590" s="359">
        <f t="shared" ca="1" si="264"/>
        <v>1.2257014688036032</v>
      </c>
      <c r="W590" s="357">
        <f t="shared" ca="1" si="265"/>
        <v>6.0641805174950489</v>
      </c>
      <c r="X590" s="343"/>
      <c r="Y590" s="367" t="str">
        <f t="shared" ca="1" si="283"/>
        <v/>
      </c>
      <c r="Z590" s="368" t="str">
        <f t="shared" ca="1" si="284"/>
        <v/>
      </c>
      <c r="AA590" s="369" t="str">
        <f t="shared" ca="1" si="285"/>
        <v/>
      </c>
      <c r="AB590" s="344"/>
      <c r="AC590" s="363" t="e">
        <f t="shared" ca="1" si="286"/>
        <v>#N/A</v>
      </c>
      <c r="AD590" s="376" t="e">
        <f t="shared" ca="1" si="287"/>
        <v>#N/A</v>
      </c>
      <c r="AE590" s="377" t="e">
        <f t="shared" ca="1" si="266"/>
        <v>#N/A</v>
      </c>
      <c r="AF590" s="344"/>
      <c r="AG590" s="359">
        <f t="shared" ca="1" si="288"/>
        <v>5.8316415323155066</v>
      </c>
      <c r="AH590" s="357">
        <f t="shared" ca="1" si="289"/>
        <v>-3.8797642828264594</v>
      </c>
    </row>
    <row r="591" spans="1:34" x14ac:dyDescent="0.2">
      <c r="A591" s="402">
        <f t="shared" ca="1" si="267"/>
        <v>1E-4</v>
      </c>
      <c r="B591" s="357">
        <f t="shared" ca="1" si="268"/>
        <v>15.625099999999904</v>
      </c>
      <c r="C591" s="342"/>
      <c r="D591" s="359">
        <f t="shared" ca="1" si="269"/>
        <v>-0.5486799312512638</v>
      </c>
      <c r="E591" s="360">
        <f t="shared" ca="1" si="270"/>
        <v>-5.9691586756361712</v>
      </c>
      <c r="F591" s="357">
        <f t="shared" ca="1" si="271"/>
        <v>5.9943227275381545</v>
      </c>
      <c r="G591" s="359">
        <f t="shared" ca="1" si="272"/>
        <v>9.5353533332073681</v>
      </c>
      <c r="H591" s="360">
        <f t="shared" ca="1" si="273"/>
        <v>-66.749876008922172</v>
      </c>
      <c r="I591" s="357">
        <f t="shared" ca="1" si="274"/>
        <v>67.427508558418438</v>
      </c>
      <c r="J591" s="359">
        <f t="shared" ca="1" si="275"/>
        <v>187.70931447689617</v>
      </c>
      <c r="K591" s="360">
        <f t="shared" ca="1" si="276"/>
        <v>-5.7313118630015421</v>
      </c>
      <c r="L591" s="357">
        <f t="shared" ca="1" si="261"/>
        <v>187.79679091256401</v>
      </c>
      <c r="M591" s="359">
        <f t="shared" ca="1" si="277"/>
        <v>-1.4289043115251576</v>
      </c>
      <c r="N591" s="357">
        <f t="shared" ca="1" si="278"/>
        <v>-81.87018637843812</v>
      </c>
      <c r="O591" s="343"/>
      <c r="P591" s="363">
        <f t="shared" ca="1" si="279"/>
        <v>23</v>
      </c>
      <c r="Q591" s="357">
        <f t="shared" ca="1" si="280"/>
        <v>0</v>
      </c>
      <c r="R591" s="359">
        <f t="shared" ca="1" si="281"/>
        <v>0</v>
      </c>
      <c r="S591" s="360">
        <f t="shared" ca="1" si="282"/>
        <v>1.5629999999999982</v>
      </c>
      <c r="T591" s="357">
        <f t="shared" ca="1" si="262"/>
        <v>15.333029999999983</v>
      </c>
      <c r="U591" s="364">
        <f t="shared" ca="1" si="263"/>
        <v>0</v>
      </c>
      <c r="V591" s="359">
        <f t="shared" ca="1" si="264"/>
        <v>1.2257022869544953</v>
      </c>
      <c r="W591" s="357">
        <f t="shared" ca="1" si="265"/>
        <v>6.0642894608160898</v>
      </c>
      <c r="X591" s="343"/>
      <c r="Y591" s="367" t="str">
        <f t="shared" ca="1" si="283"/>
        <v/>
      </c>
      <c r="Z591" s="368" t="str">
        <f t="shared" ca="1" si="284"/>
        <v/>
      </c>
      <c r="AA591" s="369" t="str">
        <f t="shared" ca="1" si="285"/>
        <v/>
      </c>
      <c r="AB591" s="344"/>
      <c r="AC591" s="363" t="e">
        <f t="shared" ca="1" si="286"/>
        <v>#N/A</v>
      </c>
      <c r="AD591" s="376" t="e">
        <f t="shared" ca="1" si="287"/>
        <v>#N/A</v>
      </c>
      <c r="AE591" s="377" t="e">
        <f t="shared" ca="1" si="266"/>
        <v>#N/A</v>
      </c>
      <c r="AF591" s="344"/>
      <c r="AG591" s="359">
        <f t="shared" ca="1" si="288"/>
        <v>5.8315746852928934</v>
      </c>
      <c r="AH591" s="357">
        <f t="shared" ca="1" si="289"/>
        <v>-3.879833984321853</v>
      </c>
    </row>
    <row r="592" spans="1:34" x14ac:dyDescent="0.2">
      <c r="A592" s="402">
        <f t="shared" ca="1" si="267"/>
        <v>1E-4</v>
      </c>
      <c r="B592" s="357">
        <f t="shared" ca="1" si="268"/>
        <v>15.625199999999904</v>
      </c>
      <c r="C592" s="342"/>
      <c r="D592" s="359">
        <f t="shared" ca="1" si="269"/>
        <v>-0.5486818856775445</v>
      </c>
      <c r="E592" s="360">
        <f t="shared" ca="1" si="270"/>
        <v>-5.9690885458044738</v>
      </c>
      <c r="F592" s="357">
        <f t="shared" ca="1" si="271"/>
        <v>5.9942530710110029</v>
      </c>
      <c r="G592" s="359">
        <f t="shared" ca="1" si="272"/>
        <v>9.5352984650187995</v>
      </c>
      <c r="H592" s="360">
        <f t="shared" ca="1" si="273"/>
        <v>-66.750472917776747</v>
      </c>
      <c r="I592" s="357">
        <f t="shared" ca="1" si="274"/>
        <v>67.428091709344983</v>
      </c>
      <c r="J592" s="359">
        <f t="shared" ca="1" si="275"/>
        <v>187.70931447689617</v>
      </c>
      <c r="K592" s="360">
        <f t="shared" ca="1" si="276"/>
        <v>-5.7379868804478766</v>
      </c>
      <c r="L592" s="357">
        <f t="shared" ca="1" si="261"/>
        <v>187.79699474386297</v>
      </c>
      <c r="M592" s="359">
        <f t="shared" ca="1" si="277"/>
        <v>-1.4289063689681767</v>
      </c>
      <c r="N592" s="357">
        <f t="shared" ca="1" si="278"/>
        <v>-81.87030426123971</v>
      </c>
      <c r="O592" s="343"/>
      <c r="P592" s="363">
        <f t="shared" ca="1" si="279"/>
        <v>23</v>
      </c>
      <c r="Q592" s="357">
        <f t="shared" ca="1" si="280"/>
        <v>0</v>
      </c>
      <c r="R592" s="359">
        <f t="shared" ca="1" si="281"/>
        <v>0</v>
      </c>
      <c r="S592" s="360">
        <f t="shared" ca="1" si="282"/>
        <v>1.5629999999999982</v>
      </c>
      <c r="T592" s="357">
        <f t="shared" ca="1" si="262"/>
        <v>15.333029999999983</v>
      </c>
      <c r="U592" s="364">
        <f t="shared" ca="1" si="263"/>
        <v>0</v>
      </c>
      <c r="V592" s="359">
        <f t="shared" ca="1" si="264"/>
        <v>1.225703105113251</v>
      </c>
      <c r="W592" s="357">
        <f t="shared" ca="1" si="265"/>
        <v>6.0643984040208538</v>
      </c>
      <c r="X592" s="343"/>
      <c r="Y592" s="367" t="str">
        <f t="shared" ca="1" si="283"/>
        <v/>
      </c>
      <c r="Z592" s="368" t="str">
        <f t="shared" ca="1" si="284"/>
        <v/>
      </c>
      <c r="AA592" s="369" t="str">
        <f t="shared" ca="1" si="285"/>
        <v/>
      </c>
      <c r="AB592" s="344"/>
      <c r="AC592" s="363" t="e">
        <f t="shared" ca="1" si="286"/>
        <v>#N/A</v>
      </c>
      <c r="AD592" s="376" t="e">
        <f t="shared" ca="1" si="287"/>
        <v>#N/A</v>
      </c>
      <c r="AE592" s="377" t="e">
        <f t="shared" ca="1" si="266"/>
        <v>#N/A</v>
      </c>
      <c r="AF592" s="344"/>
      <c r="AG592" s="359">
        <f t="shared" ca="1" si="288"/>
        <v>5.8315078382377532</v>
      </c>
      <c r="AH592" s="357">
        <f t="shared" ca="1" si="289"/>
        <v>-3.8799036857428644</v>
      </c>
    </row>
    <row r="593" spans="1:34" x14ac:dyDescent="0.2">
      <c r="A593" s="402">
        <f t="shared" ca="1" si="267"/>
        <v>1E-4</v>
      </c>
      <c r="B593" s="357">
        <f t="shared" ca="1" si="268"/>
        <v>15.625299999999903</v>
      </c>
      <c r="C593" s="342"/>
      <c r="D593" s="359">
        <f t="shared" ca="1" si="269"/>
        <v>-0.54868383998921155</v>
      </c>
      <c r="E593" s="360">
        <f t="shared" ca="1" si="270"/>
        <v>-5.9690184160481419</v>
      </c>
      <c r="F593" s="357">
        <f t="shared" ca="1" si="271"/>
        <v>5.9941834145600827</v>
      </c>
      <c r="G593" s="359">
        <f t="shared" ca="1" si="272"/>
        <v>9.5352435966348015</v>
      </c>
      <c r="H593" s="360">
        <f t="shared" ca="1" si="273"/>
        <v>-66.751069819618351</v>
      </c>
      <c r="I593" s="357">
        <f t="shared" ca="1" si="274"/>
        <v>67.428674853586799</v>
      </c>
      <c r="J593" s="359">
        <f t="shared" ca="1" si="275"/>
        <v>187.70931447689617</v>
      </c>
      <c r="K593" s="360">
        <f t="shared" ca="1" si="276"/>
        <v>-5.7446619575847464</v>
      </c>
      <c r="L593" s="357">
        <f t="shared" ca="1" si="261"/>
        <v>187.79719881402175</v>
      </c>
      <c r="M593" s="359">
        <f t="shared" ca="1" si="277"/>
        <v>-1.4289084263637699</v>
      </c>
      <c r="N593" s="357">
        <f t="shared" ca="1" si="278"/>
        <v>-81.870422141323985</v>
      </c>
      <c r="O593" s="343"/>
      <c r="P593" s="363">
        <f t="shared" ca="1" si="279"/>
        <v>23</v>
      </c>
      <c r="Q593" s="357">
        <f t="shared" ca="1" si="280"/>
        <v>0</v>
      </c>
      <c r="R593" s="359">
        <f t="shared" ca="1" si="281"/>
        <v>0</v>
      </c>
      <c r="S593" s="360">
        <f t="shared" ca="1" si="282"/>
        <v>1.5629999999999982</v>
      </c>
      <c r="T593" s="357">
        <f t="shared" ca="1" si="262"/>
        <v>15.333029999999983</v>
      </c>
      <c r="U593" s="364">
        <f t="shared" ca="1" si="263"/>
        <v>0</v>
      </c>
      <c r="V593" s="359">
        <f t="shared" ca="1" si="264"/>
        <v>1.2257039232798688</v>
      </c>
      <c r="W593" s="357">
        <f t="shared" ca="1" si="265"/>
        <v>6.0645073471093012</v>
      </c>
      <c r="X593" s="343"/>
      <c r="Y593" s="367" t="str">
        <f t="shared" ca="1" si="283"/>
        <v/>
      </c>
      <c r="Z593" s="368" t="str">
        <f t="shared" ca="1" si="284"/>
        <v/>
      </c>
      <c r="AA593" s="369" t="str">
        <f t="shared" ca="1" si="285"/>
        <v/>
      </c>
      <c r="AB593" s="344"/>
      <c r="AC593" s="363" t="e">
        <f t="shared" ca="1" si="286"/>
        <v>#N/A</v>
      </c>
      <c r="AD593" s="376" t="e">
        <f t="shared" ca="1" si="287"/>
        <v>#N/A</v>
      </c>
      <c r="AE593" s="377" t="e">
        <f t="shared" ca="1" si="266"/>
        <v>#N/A</v>
      </c>
      <c r="AF593" s="344"/>
      <c r="AG593" s="359">
        <f t="shared" ca="1" si="288"/>
        <v>5.8314409911501013</v>
      </c>
      <c r="AH593" s="357">
        <f t="shared" ca="1" si="289"/>
        <v>-3.8799733870894824</v>
      </c>
    </row>
    <row r="594" spans="1:34" x14ac:dyDescent="0.2">
      <c r="A594" s="402">
        <f t="shared" ca="1" si="267"/>
        <v>1E-4</v>
      </c>
      <c r="B594" s="357">
        <f t="shared" ca="1" si="268"/>
        <v>15.625399999999903</v>
      </c>
      <c r="C594" s="342"/>
      <c r="D594" s="359">
        <f t="shared" ca="1" si="269"/>
        <v>-0.54868579418626662</v>
      </c>
      <c r="E594" s="360">
        <f t="shared" ca="1" si="270"/>
        <v>-5.9689482863672048</v>
      </c>
      <c r="F594" s="357">
        <f t="shared" ca="1" si="271"/>
        <v>5.994113758185426</v>
      </c>
      <c r="G594" s="359">
        <f t="shared" ca="1" si="272"/>
        <v>9.5351887280553829</v>
      </c>
      <c r="H594" s="360">
        <f t="shared" ca="1" si="273"/>
        <v>-66.751666714446984</v>
      </c>
      <c r="I594" s="357">
        <f t="shared" ca="1" si="274"/>
        <v>67.429257991143899</v>
      </c>
      <c r="J594" s="359">
        <f t="shared" ca="1" si="275"/>
        <v>187.70931447689617</v>
      </c>
      <c r="K594" s="360">
        <f t="shared" ca="1" si="276"/>
        <v>-5.7513370944114497</v>
      </c>
      <c r="L594" s="357">
        <f t="shared" ca="1" si="261"/>
        <v>187.797403123046</v>
      </c>
      <c r="M594" s="359">
        <f t="shared" ca="1" si="277"/>
        <v>-1.4289104837119389</v>
      </c>
      <c r="N594" s="357">
        <f t="shared" ca="1" si="278"/>
        <v>-81.870540018691059</v>
      </c>
      <c r="O594" s="343"/>
      <c r="P594" s="363">
        <f t="shared" ca="1" si="279"/>
        <v>23</v>
      </c>
      <c r="Q594" s="357">
        <f t="shared" ca="1" si="280"/>
        <v>0</v>
      </c>
      <c r="R594" s="359">
        <f t="shared" ca="1" si="281"/>
        <v>0</v>
      </c>
      <c r="S594" s="360">
        <f t="shared" ca="1" si="282"/>
        <v>1.5629999999999982</v>
      </c>
      <c r="T594" s="357">
        <f t="shared" ca="1" si="262"/>
        <v>15.333029999999983</v>
      </c>
      <c r="U594" s="364">
        <f t="shared" ca="1" si="263"/>
        <v>0</v>
      </c>
      <c r="V594" s="359">
        <f t="shared" ca="1" si="264"/>
        <v>1.2257047414543489</v>
      </c>
      <c r="W594" s="357">
        <f t="shared" ca="1" si="265"/>
        <v>6.0646162900814051</v>
      </c>
      <c r="X594" s="343"/>
      <c r="Y594" s="367" t="str">
        <f t="shared" ca="1" si="283"/>
        <v/>
      </c>
      <c r="Z594" s="368" t="str">
        <f t="shared" ca="1" si="284"/>
        <v/>
      </c>
      <c r="AA594" s="369" t="str">
        <f t="shared" ca="1" si="285"/>
        <v/>
      </c>
      <c r="AB594" s="344"/>
      <c r="AC594" s="363" t="e">
        <f t="shared" ca="1" si="286"/>
        <v>#N/A</v>
      </c>
      <c r="AD594" s="376" t="e">
        <f t="shared" ca="1" si="287"/>
        <v>#N/A</v>
      </c>
      <c r="AE594" s="377" t="e">
        <f t="shared" ca="1" si="266"/>
        <v>#N/A</v>
      </c>
      <c r="AF594" s="344"/>
      <c r="AG594" s="359">
        <f t="shared" ca="1" si="288"/>
        <v>5.8313741440299651</v>
      </c>
      <c r="AH594" s="357">
        <f t="shared" ca="1" si="289"/>
        <v>-3.8800430883616817</v>
      </c>
    </row>
    <row r="595" spans="1:34" x14ac:dyDescent="0.2">
      <c r="A595" s="402">
        <f t="shared" ca="1" si="267"/>
        <v>1E-4</v>
      </c>
      <c r="B595" s="357">
        <f t="shared" ca="1" si="268"/>
        <v>15.625499999999903</v>
      </c>
      <c r="C595" s="342"/>
      <c r="D595" s="359">
        <f t="shared" ca="1" si="269"/>
        <v>-0.54868774826871147</v>
      </c>
      <c r="E595" s="360">
        <f t="shared" ca="1" si="270"/>
        <v>-5.9688781567616758</v>
      </c>
      <c r="F595" s="357">
        <f t="shared" ca="1" si="271"/>
        <v>5.9940441018870425</v>
      </c>
      <c r="G595" s="359">
        <f t="shared" ca="1" si="272"/>
        <v>9.5351338592805561</v>
      </c>
      <c r="H595" s="360">
        <f t="shared" ca="1" si="273"/>
        <v>-66.752263602262659</v>
      </c>
      <c r="I595" s="357">
        <f t="shared" ca="1" si="274"/>
        <v>67.429841122016285</v>
      </c>
      <c r="J595" s="359">
        <f t="shared" ca="1" si="275"/>
        <v>187.70931447689617</v>
      </c>
      <c r="K595" s="360">
        <f t="shared" ca="1" si="276"/>
        <v>-5.7580122909272848</v>
      </c>
      <c r="L595" s="357">
        <f t="shared" ca="1" si="261"/>
        <v>187.79760767094123</v>
      </c>
      <c r="M595" s="359">
        <f t="shared" ca="1" si="277"/>
        <v>-1.4289125410126857</v>
      </c>
      <c r="N595" s="357">
        <f t="shared" ca="1" si="278"/>
        <v>-81.870657893341047</v>
      </c>
      <c r="O595" s="343"/>
      <c r="P595" s="363">
        <f t="shared" ca="1" si="279"/>
        <v>23</v>
      </c>
      <c r="Q595" s="357">
        <f t="shared" ca="1" si="280"/>
        <v>0</v>
      </c>
      <c r="R595" s="359">
        <f t="shared" ca="1" si="281"/>
        <v>0</v>
      </c>
      <c r="S595" s="360">
        <f t="shared" ca="1" si="282"/>
        <v>1.5629999999999982</v>
      </c>
      <c r="T595" s="357">
        <f t="shared" ca="1" si="262"/>
        <v>15.333029999999983</v>
      </c>
      <c r="U595" s="364">
        <f t="shared" ca="1" si="263"/>
        <v>0</v>
      </c>
      <c r="V595" s="359">
        <f t="shared" ca="1" si="264"/>
        <v>1.2257055596366917</v>
      </c>
      <c r="W595" s="357">
        <f t="shared" ca="1" si="265"/>
        <v>6.0647252329371346</v>
      </c>
      <c r="X595" s="343"/>
      <c r="Y595" s="367" t="str">
        <f t="shared" ca="1" si="283"/>
        <v/>
      </c>
      <c r="Z595" s="368" t="str">
        <f t="shared" ca="1" si="284"/>
        <v/>
      </c>
      <c r="AA595" s="369" t="str">
        <f t="shared" ca="1" si="285"/>
        <v/>
      </c>
      <c r="AB595" s="344"/>
      <c r="AC595" s="363" t="e">
        <f t="shared" ca="1" si="286"/>
        <v>#N/A</v>
      </c>
      <c r="AD595" s="376" t="e">
        <f t="shared" ca="1" si="287"/>
        <v>#N/A</v>
      </c>
      <c r="AE595" s="377" t="e">
        <f t="shared" ca="1" si="266"/>
        <v>#N/A</v>
      </c>
      <c r="AF595" s="344"/>
      <c r="AG595" s="359">
        <f t="shared" ca="1" si="288"/>
        <v>5.8313072968773687</v>
      </c>
      <c r="AH595" s="357">
        <f t="shared" ca="1" si="289"/>
        <v>-3.8801127895594449</v>
      </c>
    </row>
    <row r="596" spans="1:34" x14ac:dyDescent="0.2">
      <c r="A596" s="402">
        <f t="shared" ca="1" si="267"/>
        <v>1E-4</v>
      </c>
      <c r="B596" s="357">
        <f t="shared" ca="1" si="268"/>
        <v>15.625599999999903</v>
      </c>
      <c r="C596" s="342"/>
      <c r="D596" s="359">
        <f t="shared" ca="1" si="269"/>
        <v>-0.54868970223654534</v>
      </c>
      <c r="E596" s="360">
        <f t="shared" ca="1" si="270"/>
        <v>-5.9688080272315762</v>
      </c>
      <c r="F596" s="357">
        <f t="shared" ca="1" si="271"/>
        <v>5.9939744456649571</v>
      </c>
      <c r="G596" s="359">
        <f t="shared" ca="1" si="272"/>
        <v>9.5350789903103319</v>
      </c>
      <c r="H596" s="360">
        <f t="shared" ca="1" si="273"/>
        <v>-66.752860483065376</v>
      </c>
      <c r="I596" s="357">
        <f t="shared" ca="1" si="274"/>
        <v>67.430424246203941</v>
      </c>
      <c r="J596" s="359">
        <f t="shared" ca="1" si="275"/>
        <v>187.70931447689617</v>
      </c>
      <c r="K596" s="360">
        <f t="shared" ca="1" si="276"/>
        <v>-5.7646875471315511</v>
      </c>
      <c r="L596" s="357">
        <f t="shared" ca="1" si="261"/>
        <v>187.79781245771304</v>
      </c>
      <c r="M596" s="359">
        <f t="shared" ca="1" si="277"/>
        <v>-1.4289145982660119</v>
      </c>
      <c r="N596" s="357">
        <f t="shared" ca="1" si="278"/>
        <v>-81.870775765274018</v>
      </c>
      <c r="O596" s="343"/>
      <c r="P596" s="363">
        <f t="shared" ca="1" si="279"/>
        <v>23</v>
      </c>
      <c r="Q596" s="357">
        <f t="shared" ca="1" si="280"/>
        <v>0</v>
      </c>
      <c r="R596" s="359">
        <f t="shared" ca="1" si="281"/>
        <v>0</v>
      </c>
      <c r="S596" s="360">
        <f t="shared" ca="1" si="282"/>
        <v>1.5629999999999982</v>
      </c>
      <c r="T596" s="357">
        <f t="shared" ca="1" si="262"/>
        <v>15.333029999999983</v>
      </c>
      <c r="U596" s="364">
        <f t="shared" ca="1" si="263"/>
        <v>0</v>
      </c>
      <c r="V596" s="359">
        <f t="shared" ca="1" si="264"/>
        <v>1.2257063778268968</v>
      </c>
      <c r="W596" s="357">
        <f t="shared" ca="1" si="265"/>
        <v>6.0648341756764585</v>
      </c>
      <c r="X596" s="343"/>
      <c r="Y596" s="367" t="str">
        <f t="shared" ca="1" si="283"/>
        <v/>
      </c>
      <c r="Z596" s="368" t="str">
        <f t="shared" ca="1" si="284"/>
        <v/>
      </c>
      <c r="AA596" s="369" t="str">
        <f t="shared" ca="1" si="285"/>
        <v/>
      </c>
      <c r="AB596" s="344"/>
      <c r="AC596" s="363" t="e">
        <f t="shared" ca="1" si="286"/>
        <v>#N/A</v>
      </c>
      <c r="AD596" s="376" t="e">
        <f t="shared" ca="1" si="287"/>
        <v>#N/A</v>
      </c>
      <c r="AE596" s="377" t="e">
        <f t="shared" ca="1" si="266"/>
        <v>#N/A</v>
      </c>
      <c r="AF596" s="344"/>
      <c r="AG596" s="359">
        <f t="shared" ca="1" si="288"/>
        <v>5.8312404496923413</v>
      </c>
      <c r="AH596" s="357">
        <f t="shared" ca="1" si="289"/>
        <v>-3.8801824906827522</v>
      </c>
    </row>
    <row r="597" spans="1:34" x14ac:dyDescent="0.2">
      <c r="A597" s="402">
        <f t="shared" ca="1" si="267"/>
        <v>1E-4</v>
      </c>
      <c r="B597" s="357">
        <f t="shared" ca="1" si="268"/>
        <v>15.625699999999902</v>
      </c>
      <c r="C597" s="342"/>
      <c r="D597" s="359">
        <f t="shared" ca="1" si="269"/>
        <v>-0.54869165608977066</v>
      </c>
      <c r="E597" s="360">
        <f t="shared" ca="1" si="270"/>
        <v>-5.9687378977769274</v>
      </c>
      <c r="F597" s="357">
        <f t="shared" ca="1" si="271"/>
        <v>5.9939047895191884</v>
      </c>
      <c r="G597" s="359">
        <f t="shared" ca="1" si="272"/>
        <v>9.5350241211447226</v>
      </c>
      <c r="H597" s="360">
        <f t="shared" ca="1" si="273"/>
        <v>-66.753457356855151</v>
      </c>
      <c r="I597" s="357">
        <f t="shared" ca="1" si="274"/>
        <v>67.431007363706868</v>
      </c>
      <c r="J597" s="359">
        <f t="shared" ca="1" si="275"/>
        <v>187.70931447689617</v>
      </c>
      <c r="K597" s="360">
        <f t="shared" ca="1" si="276"/>
        <v>-5.7713628630235467</v>
      </c>
      <c r="L597" s="357">
        <f t="shared" ca="1" si="261"/>
        <v>187.79801748336692</v>
      </c>
      <c r="M597" s="359">
        <f t="shared" ca="1" si="277"/>
        <v>-1.4289166554719193</v>
      </c>
      <c r="N597" s="357">
        <f t="shared" ca="1" si="278"/>
        <v>-81.870893634490102</v>
      </c>
      <c r="O597" s="343"/>
      <c r="P597" s="363">
        <f t="shared" ca="1" si="279"/>
        <v>23</v>
      </c>
      <c r="Q597" s="357">
        <f t="shared" ca="1" si="280"/>
        <v>0</v>
      </c>
      <c r="R597" s="359">
        <f t="shared" ca="1" si="281"/>
        <v>0</v>
      </c>
      <c r="S597" s="360">
        <f t="shared" ca="1" si="282"/>
        <v>1.5629999999999982</v>
      </c>
      <c r="T597" s="357">
        <f t="shared" ca="1" si="262"/>
        <v>15.333029999999983</v>
      </c>
      <c r="U597" s="364">
        <f t="shared" ca="1" si="263"/>
        <v>0</v>
      </c>
      <c r="V597" s="359">
        <f t="shared" ca="1" si="264"/>
        <v>1.2257071960249641</v>
      </c>
      <c r="W597" s="357">
        <f t="shared" ca="1" si="265"/>
        <v>6.064943118299345</v>
      </c>
      <c r="X597" s="343"/>
      <c r="Y597" s="367" t="str">
        <f t="shared" ca="1" si="283"/>
        <v/>
      </c>
      <c r="Z597" s="368" t="str">
        <f t="shared" ca="1" si="284"/>
        <v/>
      </c>
      <c r="AA597" s="369" t="str">
        <f t="shared" ca="1" si="285"/>
        <v/>
      </c>
      <c r="AB597" s="344"/>
      <c r="AC597" s="363" t="e">
        <f t="shared" ca="1" si="286"/>
        <v>#N/A</v>
      </c>
      <c r="AD597" s="376" t="e">
        <f t="shared" ca="1" si="287"/>
        <v>#N/A</v>
      </c>
      <c r="AE597" s="377" t="e">
        <f t="shared" ca="1" si="266"/>
        <v>#N/A</v>
      </c>
      <c r="AF597" s="344"/>
      <c r="AG597" s="359">
        <f t="shared" ca="1" si="288"/>
        <v>5.8311736024749017</v>
      </c>
      <c r="AH597" s="357">
        <f t="shared" ca="1" si="289"/>
        <v>-3.880252191731584</v>
      </c>
    </row>
    <row r="598" spans="1:34" x14ac:dyDescent="0.2">
      <c r="A598" s="402">
        <f t="shared" ca="1" si="267"/>
        <v>1E-4</v>
      </c>
      <c r="B598" s="357">
        <f t="shared" ca="1" si="268"/>
        <v>15.625799999999902</v>
      </c>
      <c r="C598" s="342"/>
      <c r="D598" s="359">
        <f t="shared" ca="1" si="269"/>
        <v>-0.548693609828387</v>
      </c>
      <c r="E598" s="360">
        <f t="shared" ca="1" si="270"/>
        <v>-5.968667768397748</v>
      </c>
      <c r="F598" s="357">
        <f t="shared" ca="1" si="271"/>
        <v>5.9938351334497559</v>
      </c>
      <c r="G598" s="359">
        <f t="shared" ca="1" si="272"/>
        <v>9.534969251783739</v>
      </c>
      <c r="H598" s="360">
        <f t="shared" ca="1" si="273"/>
        <v>-66.754054223631996</v>
      </c>
      <c r="I598" s="357">
        <f t="shared" ca="1" si="274"/>
        <v>67.43159047452508</v>
      </c>
      <c r="J598" s="359">
        <f t="shared" ca="1" si="275"/>
        <v>187.70931447689617</v>
      </c>
      <c r="K598" s="360">
        <f t="shared" ca="1" si="276"/>
        <v>-5.778038238602571</v>
      </c>
      <c r="L598" s="357">
        <f t="shared" ca="1" si="261"/>
        <v>187.79822274790848</v>
      </c>
      <c r="M598" s="359">
        <f t="shared" ca="1" si="277"/>
        <v>-1.4289187126304093</v>
      </c>
      <c r="N598" s="357">
        <f t="shared" ca="1" si="278"/>
        <v>-81.871011500989368</v>
      </c>
      <c r="O598" s="343"/>
      <c r="P598" s="363">
        <f t="shared" ca="1" si="279"/>
        <v>23</v>
      </c>
      <c r="Q598" s="357">
        <f t="shared" ca="1" si="280"/>
        <v>0</v>
      </c>
      <c r="R598" s="359">
        <f t="shared" ca="1" si="281"/>
        <v>0</v>
      </c>
      <c r="S598" s="360">
        <f t="shared" ca="1" si="282"/>
        <v>1.5629999999999982</v>
      </c>
      <c r="T598" s="357">
        <f t="shared" ca="1" si="262"/>
        <v>15.333029999999983</v>
      </c>
      <c r="U598" s="364">
        <f t="shared" ca="1" si="263"/>
        <v>0</v>
      </c>
      <c r="V598" s="359">
        <f t="shared" ca="1" si="264"/>
        <v>1.2257080142308936</v>
      </c>
      <c r="W598" s="357">
        <f t="shared" ca="1" si="265"/>
        <v>6.0650520608057681</v>
      </c>
      <c r="X598" s="343"/>
      <c r="Y598" s="367" t="str">
        <f t="shared" ca="1" si="283"/>
        <v/>
      </c>
      <c r="Z598" s="368" t="str">
        <f t="shared" ca="1" si="284"/>
        <v/>
      </c>
      <c r="AA598" s="369" t="str">
        <f t="shared" ca="1" si="285"/>
        <v/>
      </c>
      <c r="AB598" s="344"/>
      <c r="AC598" s="363" t="e">
        <f t="shared" ca="1" si="286"/>
        <v>#N/A</v>
      </c>
      <c r="AD598" s="376" t="e">
        <f t="shared" ca="1" si="287"/>
        <v>#N/A</v>
      </c>
      <c r="AE598" s="377" t="e">
        <f t="shared" ca="1" si="266"/>
        <v>#N/A</v>
      </c>
      <c r="AF598" s="344"/>
      <c r="AG598" s="359">
        <f t="shared" ca="1" si="288"/>
        <v>5.8311067552250782</v>
      </c>
      <c r="AH598" s="357">
        <f t="shared" ca="1" si="289"/>
        <v>-3.8803218927059193</v>
      </c>
    </row>
    <row r="599" spans="1:34" x14ac:dyDescent="0.2">
      <c r="A599" s="402">
        <f t="shared" ca="1" si="267"/>
        <v>1E-4</v>
      </c>
      <c r="B599" s="357">
        <f t="shared" ca="1" si="268"/>
        <v>15.625899999999902</v>
      </c>
      <c r="C599" s="342"/>
      <c r="D599" s="359">
        <f t="shared" ca="1" si="269"/>
        <v>-0.54869556345239734</v>
      </c>
      <c r="E599" s="360">
        <f t="shared" ca="1" si="270"/>
        <v>-5.9685976390940549</v>
      </c>
      <c r="F599" s="357">
        <f t="shared" ca="1" si="271"/>
        <v>5.9937654774566775</v>
      </c>
      <c r="G599" s="359">
        <f t="shared" ca="1" si="272"/>
        <v>9.5349143822273934</v>
      </c>
      <c r="H599" s="360">
        <f t="shared" ca="1" si="273"/>
        <v>-66.754651083395899</v>
      </c>
      <c r="I599" s="357">
        <f t="shared" ca="1" si="274"/>
        <v>67.432173578658549</v>
      </c>
      <c r="J599" s="359">
        <f t="shared" ca="1" si="275"/>
        <v>187.70931447689617</v>
      </c>
      <c r="K599" s="360">
        <f t="shared" ca="1" si="276"/>
        <v>-5.7847136738679223</v>
      </c>
      <c r="L599" s="357">
        <f t="shared" ca="1" si="261"/>
        <v>187.7984282513433</v>
      </c>
      <c r="M599" s="359">
        <f t="shared" ca="1" si="277"/>
        <v>-1.4289207697414836</v>
      </c>
      <c r="N599" s="357">
        <f t="shared" ca="1" si="278"/>
        <v>-81.871129364771917</v>
      </c>
      <c r="O599" s="343"/>
      <c r="P599" s="363">
        <f t="shared" ca="1" si="279"/>
        <v>23</v>
      </c>
      <c r="Q599" s="357">
        <f t="shared" ca="1" si="280"/>
        <v>0</v>
      </c>
      <c r="R599" s="359">
        <f t="shared" ca="1" si="281"/>
        <v>0</v>
      </c>
      <c r="S599" s="360">
        <f t="shared" ca="1" si="282"/>
        <v>1.5629999999999982</v>
      </c>
      <c r="T599" s="357">
        <f t="shared" ca="1" si="262"/>
        <v>15.333029999999983</v>
      </c>
      <c r="U599" s="364">
        <f t="shared" ca="1" si="263"/>
        <v>0</v>
      </c>
      <c r="V599" s="359">
        <f t="shared" ca="1" si="264"/>
        <v>1.2257088324446856</v>
      </c>
      <c r="W599" s="357">
        <f t="shared" ca="1" si="265"/>
        <v>6.0651610031956942</v>
      </c>
      <c r="X599" s="343"/>
      <c r="Y599" s="367" t="str">
        <f t="shared" ca="1" si="283"/>
        <v/>
      </c>
      <c r="Z599" s="368" t="str">
        <f t="shared" ca="1" si="284"/>
        <v/>
      </c>
      <c r="AA599" s="369" t="str">
        <f t="shared" ca="1" si="285"/>
        <v/>
      </c>
      <c r="AB599" s="344"/>
      <c r="AC599" s="363" t="e">
        <f t="shared" ca="1" si="286"/>
        <v>#N/A</v>
      </c>
      <c r="AD599" s="376" t="e">
        <f t="shared" ca="1" si="287"/>
        <v>#N/A</v>
      </c>
      <c r="AE599" s="377" t="e">
        <f t="shared" ca="1" si="266"/>
        <v>#N/A</v>
      </c>
      <c r="AF599" s="344"/>
      <c r="AG599" s="359">
        <f t="shared" ca="1" si="288"/>
        <v>5.8310399079428947</v>
      </c>
      <c r="AH599" s="357">
        <f t="shared" ca="1" si="289"/>
        <v>-3.8803915936057423</v>
      </c>
    </row>
    <row r="600" spans="1:34" x14ac:dyDescent="0.2">
      <c r="A600" s="402">
        <f t="shared" ca="1" si="267"/>
        <v>1E-4</v>
      </c>
      <c r="B600" s="357">
        <f t="shared" ca="1" si="268"/>
        <v>15.625999999999902</v>
      </c>
      <c r="C600" s="342"/>
      <c r="D600" s="359">
        <f t="shared" ca="1" si="269"/>
        <v>-0.54869751696180213</v>
      </c>
      <c r="E600" s="360">
        <f t="shared" ca="1" si="270"/>
        <v>-5.9685275098658721</v>
      </c>
      <c r="F600" s="357">
        <f t="shared" ca="1" si="271"/>
        <v>5.9936958215399754</v>
      </c>
      <c r="G600" s="359">
        <f t="shared" ca="1" si="272"/>
        <v>9.5348595124756965</v>
      </c>
      <c r="H600" s="360">
        <f t="shared" ca="1" si="273"/>
        <v>-66.755247936146887</v>
      </c>
      <c r="I600" s="357">
        <f t="shared" ca="1" si="274"/>
        <v>67.432756676107275</v>
      </c>
      <c r="J600" s="359">
        <f t="shared" ca="1" si="275"/>
        <v>187.70931447689617</v>
      </c>
      <c r="K600" s="360">
        <f t="shared" ca="1" si="276"/>
        <v>-5.7913891688188999</v>
      </c>
      <c r="L600" s="357">
        <f t="shared" ca="1" si="261"/>
        <v>187.79863399367687</v>
      </c>
      <c r="M600" s="359">
        <f t="shared" ca="1" si="277"/>
        <v>-1.4289228268051444</v>
      </c>
      <c r="N600" s="357">
        <f t="shared" ca="1" si="278"/>
        <v>-81.871247225837877</v>
      </c>
      <c r="O600" s="343"/>
      <c r="P600" s="363">
        <f t="shared" ca="1" si="279"/>
        <v>23</v>
      </c>
      <c r="Q600" s="357">
        <f t="shared" ca="1" si="280"/>
        <v>0</v>
      </c>
      <c r="R600" s="359">
        <f t="shared" ca="1" si="281"/>
        <v>0</v>
      </c>
      <c r="S600" s="360">
        <f t="shared" ca="1" si="282"/>
        <v>1.5629999999999982</v>
      </c>
      <c r="T600" s="357">
        <f t="shared" ca="1" si="262"/>
        <v>15.333029999999983</v>
      </c>
      <c r="U600" s="364">
        <f t="shared" ca="1" si="263"/>
        <v>0</v>
      </c>
      <c r="V600" s="359">
        <f t="shared" ca="1" si="264"/>
        <v>1.2257096506663396</v>
      </c>
      <c r="W600" s="357">
        <f t="shared" ca="1" si="265"/>
        <v>6.0652699454690904</v>
      </c>
      <c r="X600" s="343"/>
      <c r="Y600" s="367" t="str">
        <f t="shared" ca="1" si="283"/>
        <v/>
      </c>
      <c r="Z600" s="368" t="str">
        <f t="shared" ca="1" si="284"/>
        <v/>
      </c>
      <c r="AA600" s="369" t="str">
        <f t="shared" ca="1" si="285"/>
        <v/>
      </c>
      <c r="AB600" s="344"/>
      <c r="AC600" s="363" t="e">
        <f t="shared" ca="1" si="286"/>
        <v>#N/A</v>
      </c>
      <c r="AD600" s="376" t="e">
        <f t="shared" ca="1" si="287"/>
        <v>#N/A</v>
      </c>
      <c r="AE600" s="377" t="e">
        <f t="shared" ca="1" si="266"/>
        <v>#N/A</v>
      </c>
      <c r="AF600" s="344"/>
      <c r="AG600" s="359">
        <f t="shared" ca="1" si="288"/>
        <v>5.8309730606283754</v>
      </c>
      <c r="AH600" s="357">
        <f t="shared" ca="1" si="289"/>
        <v>-3.880461294431031</v>
      </c>
    </row>
    <row r="601" spans="1:34" x14ac:dyDescent="0.2">
      <c r="A601" s="402">
        <f t="shared" ca="1" si="267"/>
        <v>1E-4</v>
      </c>
      <c r="B601" s="357">
        <f t="shared" ca="1" si="268"/>
        <v>15.626099999999902</v>
      </c>
      <c r="C601" s="342"/>
      <c r="D601" s="359">
        <f t="shared" ca="1" si="269"/>
        <v>-0.54869947035660127</v>
      </c>
      <c r="E601" s="360">
        <f t="shared" ca="1" si="270"/>
        <v>-5.9684573807132173</v>
      </c>
      <c r="F601" s="357">
        <f t="shared" ca="1" si="271"/>
        <v>5.9936261656996672</v>
      </c>
      <c r="G601" s="359">
        <f t="shared" ca="1" si="272"/>
        <v>9.5348046425286608</v>
      </c>
      <c r="H601" s="360">
        <f t="shared" ca="1" si="273"/>
        <v>-66.75584478188496</v>
      </c>
      <c r="I601" s="357">
        <f t="shared" ca="1" si="274"/>
        <v>67.433339766871285</v>
      </c>
      <c r="J601" s="359">
        <f t="shared" ca="1" si="275"/>
        <v>187.70931447689617</v>
      </c>
      <c r="K601" s="360">
        <f t="shared" ca="1" si="276"/>
        <v>-5.7980647234548011</v>
      </c>
      <c r="L601" s="357">
        <f t="shared" ca="1" si="261"/>
        <v>187.79883997491484</v>
      </c>
      <c r="M601" s="359">
        <f t="shared" ca="1" si="277"/>
        <v>-1.4289248838213928</v>
      </c>
      <c r="N601" s="357">
        <f t="shared" ca="1" si="278"/>
        <v>-81.871365084187303</v>
      </c>
      <c r="O601" s="343"/>
      <c r="P601" s="363">
        <f t="shared" ca="1" si="279"/>
        <v>23</v>
      </c>
      <c r="Q601" s="357">
        <f t="shared" ca="1" si="280"/>
        <v>0</v>
      </c>
      <c r="R601" s="359">
        <f t="shared" ca="1" si="281"/>
        <v>0</v>
      </c>
      <c r="S601" s="360">
        <f t="shared" ca="1" si="282"/>
        <v>1.5629999999999982</v>
      </c>
      <c r="T601" s="357">
        <f t="shared" ca="1" si="262"/>
        <v>15.333029999999983</v>
      </c>
      <c r="U601" s="364">
        <f t="shared" ca="1" si="263"/>
        <v>0</v>
      </c>
      <c r="V601" s="359">
        <f t="shared" ca="1" si="264"/>
        <v>1.2257104688958553</v>
      </c>
      <c r="W601" s="357">
        <f t="shared" ca="1" si="265"/>
        <v>6.0653788876259291</v>
      </c>
      <c r="X601" s="343"/>
      <c r="Y601" s="367" t="str">
        <f t="shared" ca="1" si="283"/>
        <v/>
      </c>
      <c r="Z601" s="368" t="str">
        <f t="shared" ca="1" si="284"/>
        <v/>
      </c>
      <c r="AA601" s="369" t="str">
        <f t="shared" ca="1" si="285"/>
        <v/>
      </c>
      <c r="AB601" s="344"/>
      <c r="AC601" s="363" t="e">
        <f t="shared" ca="1" si="286"/>
        <v>#N/A</v>
      </c>
      <c r="AD601" s="376" t="e">
        <f t="shared" ca="1" si="287"/>
        <v>#N/A</v>
      </c>
      <c r="AE601" s="377" t="e">
        <f t="shared" ca="1" si="266"/>
        <v>#N/A</v>
      </c>
      <c r="AF601" s="344"/>
      <c r="AG601" s="359">
        <f t="shared" ca="1" si="288"/>
        <v>5.8309062132815459</v>
      </c>
      <c r="AH601" s="357">
        <f t="shared" ca="1" si="289"/>
        <v>-3.8805309951817644</v>
      </c>
    </row>
    <row r="602" spans="1:34" x14ac:dyDescent="0.2">
      <c r="A602" s="402">
        <f t="shared" ca="1" si="267"/>
        <v>1E-4</v>
      </c>
      <c r="B602" s="357">
        <f t="shared" ca="1" si="268"/>
        <v>15.626199999999901</v>
      </c>
      <c r="C602" s="342"/>
      <c r="D602" s="359">
        <f t="shared" ca="1" si="269"/>
        <v>-0.54870142363679708</v>
      </c>
      <c r="E602" s="360">
        <f t="shared" ca="1" si="270"/>
        <v>-5.9683872516361109</v>
      </c>
      <c r="F602" s="357">
        <f t="shared" ca="1" si="271"/>
        <v>5.9935565099357735</v>
      </c>
      <c r="G602" s="359">
        <f t="shared" ca="1" si="272"/>
        <v>9.5347497723862968</v>
      </c>
      <c r="H602" s="360">
        <f t="shared" ca="1" si="273"/>
        <v>-66.756441620610119</v>
      </c>
      <c r="I602" s="357">
        <f t="shared" ca="1" si="274"/>
        <v>67.433922850950523</v>
      </c>
      <c r="J602" s="359">
        <f t="shared" ca="1" si="275"/>
        <v>187.70931447689617</v>
      </c>
      <c r="K602" s="360">
        <f t="shared" ca="1" si="276"/>
        <v>-5.804740337774926</v>
      </c>
      <c r="L602" s="357">
        <f t="shared" ca="1" si="261"/>
        <v>187.79904619506269</v>
      </c>
      <c r="M602" s="359">
        <f t="shared" ca="1" si="277"/>
        <v>-1.428926940790231</v>
      </c>
      <c r="N602" s="357">
        <f t="shared" ca="1" si="278"/>
        <v>-81.871482939820311</v>
      </c>
      <c r="O602" s="343"/>
      <c r="P602" s="363">
        <f t="shared" ca="1" si="279"/>
        <v>23</v>
      </c>
      <c r="Q602" s="357">
        <f t="shared" ca="1" si="280"/>
        <v>0</v>
      </c>
      <c r="R602" s="359">
        <f t="shared" ca="1" si="281"/>
        <v>0</v>
      </c>
      <c r="S602" s="360">
        <f t="shared" ca="1" si="282"/>
        <v>1.5629999999999982</v>
      </c>
      <c r="T602" s="357">
        <f t="shared" ca="1" si="262"/>
        <v>15.333029999999983</v>
      </c>
      <c r="U602" s="364">
        <f t="shared" ca="1" si="263"/>
        <v>0</v>
      </c>
      <c r="V602" s="359">
        <f t="shared" ca="1" si="264"/>
        <v>1.2257112871332332</v>
      </c>
      <c r="W602" s="357">
        <f t="shared" ca="1" si="265"/>
        <v>6.0654878296661749</v>
      </c>
      <c r="X602" s="343"/>
      <c r="Y602" s="367" t="str">
        <f t="shared" ca="1" si="283"/>
        <v/>
      </c>
      <c r="Z602" s="368" t="str">
        <f t="shared" ca="1" si="284"/>
        <v/>
      </c>
      <c r="AA602" s="369" t="str">
        <f t="shared" ca="1" si="285"/>
        <v/>
      </c>
      <c r="AB602" s="344"/>
      <c r="AC602" s="363" t="e">
        <f t="shared" ca="1" si="286"/>
        <v>#N/A</v>
      </c>
      <c r="AD602" s="376" t="e">
        <f t="shared" ca="1" si="287"/>
        <v>#N/A</v>
      </c>
      <c r="AE602" s="377" t="e">
        <f t="shared" ca="1" si="266"/>
        <v>#N/A</v>
      </c>
      <c r="AF602" s="344"/>
      <c r="AG602" s="359">
        <f t="shared" ca="1" si="288"/>
        <v>5.830839365902432</v>
      </c>
      <c r="AH602" s="357">
        <f t="shared" ca="1" si="289"/>
        <v>-3.8806006958579244</v>
      </c>
    </row>
    <row r="603" spans="1:34" x14ac:dyDescent="0.2">
      <c r="A603" s="402">
        <f t="shared" ca="1" si="267"/>
        <v>1E-4</v>
      </c>
      <c r="B603" s="357">
        <f t="shared" ca="1" si="268"/>
        <v>15.626299999999901</v>
      </c>
      <c r="C603" s="342"/>
      <c r="D603" s="359">
        <f t="shared" ca="1" si="269"/>
        <v>-0.54870337680238923</v>
      </c>
      <c r="E603" s="360">
        <f t="shared" ca="1" si="270"/>
        <v>-5.9683171226345735</v>
      </c>
      <c r="F603" s="357">
        <f t="shared" ca="1" si="271"/>
        <v>5.9934868542483164</v>
      </c>
      <c r="G603" s="359">
        <f t="shared" ca="1" si="272"/>
        <v>9.5346949020486171</v>
      </c>
      <c r="H603" s="360">
        <f t="shared" ca="1" si="273"/>
        <v>-66.757038452322377</v>
      </c>
      <c r="I603" s="357">
        <f t="shared" ca="1" si="274"/>
        <v>67.434505928345018</v>
      </c>
      <c r="J603" s="359">
        <f t="shared" ca="1" si="275"/>
        <v>187.70931447689617</v>
      </c>
      <c r="K603" s="360">
        <f t="shared" ca="1" si="276"/>
        <v>-5.8114160117785723</v>
      </c>
      <c r="L603" s="357">
        <f t="shared" ca="1" si="261"/>
        <v>187.79925265412601</v>
      </c>
      <c r="M603" s="359">
        <f t="shared" ca="1" si="277"/>
        <v>-1.4289289977116602</v>
      </c>
      <c r="N603" s="357">
        <f t="shared" ca="1" si="278"/>
        <v>-81.871600792736999</v>
      </c>
      <c r="O603" s="343"/>
      <c r="P603" s="363">
        <f t="shared" ca="1" si="279"/>
        <v>23</v>
      </c>
      <c r="Q603" s="357">
        <f t="shared" ca="1" si="280"/>
        <v>0</v>
      </c>
      <c r="R603" s="359">
        <f t="shared" ca="1" si="281"/>
        <v>0</v>
      </c>
      <c r="S603" s="360">
        <f t="shared" ca="1" si="282"/>
        <v>1.5629999999999982</v>
      </c>
      <c r="T603" s="357">
        <f t="shared" ca="1" si="262"/>
        <v>15.333029999999983</v>
      </c>
      <c r="U603" s="364">
        <f t="shared" ca="1" si="263"/>
        <v>0</v>
      </c>
      <c r="V603" s="359">
        <f t="shared" ca="1" si="264"/>
        <v>1.2257121053784732</v>
      </c>
      <c r="W603" s="357">
        <f t="shared" ca="1" si="265"/>
        <v>6.0655967715898029</v>
      </c>
      <c r="X603" s="343"/>
      <c r="Y603" s="367" t="str">
        <f t="shared" ca="1" si="283"/>
        <v/>
      </c>
      <c r="Z603" s="368" t="str">
        <f t="shared" ca="1" si="284"/>
        <v/>
      </c>
      <c r="AA603" s="369" t="str">
        <f t="shared" ca="1" si="285"/>
        <v/>
      </c>
      <c r="AB603" s="344"/>
      <c r="AC603" s="363" t="e">
        <f t="shared" ca="1" si="286"/>
        <v>#N/A</v>
      </c>
      <c r="AD603" s="376" t="e">
        <f t="shared" ca="1" si="287"/>
        <v>#N/A</v>
      </c>
      <c r="AE603" s="377" t="e">
        <f t="shared" ca="1" si="266"/>
        <v>#N/A</v>
      </c>
      <c r="AF603" s="344"/>
      <c r="AG603" s="359">
        <f t="shared" ca="1" si="288"/>
        <v>5.8307725184910577</v>
      </c>
      <c r="AH603" s="357">
        <f t="shared" ca="1" si="289"/>
        <v>-3.8806703964594895</v>
      </c>
    </row>
    <row r="604" spans="1:34" x14ac:dyDescent="0.2">
      <c r="A604" s="402">
        <f t="shared" ca="1" si="267"/>
        <v>1E-4</v>
      </c>
      <c r="B604" s="357">
        <f t="shared" ca="1" si="268"/>
        <v>15.626399999999901</v>
      </c>
      <c r="C604" s="342"/>
      <c r="D604" s="359">
        <f t="shared" ca="1" si="269"/>
        <v>-0.54870532985338072</v>
      </c>
      <c r="E604" s="360">
        <f t="shared" ca="1" si="270"/>
        <v>-5.9682469937086227</v>
      </c>
      <c r="F604" s="357">
        <f t="shared" ca="1" si="271"/>
        <v>5.993417198637311</v>
      </c>
      <c r="G604" s="359">
        <f t="shared" ca="1" si="272"/>
        <v>9.5346400315156323</v>
      </c>
      <c r="H604" s="360">
        <f t="shared" ca="1" si="273"/>
        <v>-66.757635277021748</v>
      </c>
      <c r="I604" s="357">
        <f t="shared" ca="1" si="274"/>
        <v>67.435088999054784</v>
      </c>
      <c r="J604" s="359">
        <f t="shared" ca="1" si="275"/>
        <v>187.70931447689617</v>
      </c>
      <c r="K604" s="360">
        <f t="shared" ca="1" si="276"/>
        <v>-5.8180917454650398</v>
      </c>
      <c r="L604" s="357">
        <f t="shared" ca="1" si="261"/>
        <v>187.79945935211035</v>
      </c>
      <c r="M604" s="359">
        <f t="shared" ca="1" si="277"/>
        <v>-1.4289310545856826</v>
      </c>
      <c r="N604" s="357">
        <f t="shared" ca="1" si="278"/>
        <v>-81.871718642937466</v>
      </c>
      <c r="O604" s="343"/>
      <c r="P604" s="363">
        <f t="shared" ca="1" si="279"/>
        <v>23</v>
      </c>
      <c r="Q604" s="357">
        <f t="shared" ca="1" si="280"/>
        <v>0</v>
      </c>
      <c r="R604" s="359">
        <f t="shared" ca="1" si="281"/>
        <v>0</v>
      </c>
      <c r="S604" s="360">
        <f t="shared" ca="1" si="282"/>
        <v>1.5629999999999982</v>
      </c>
      <c r="T604" s="357">
        <f t="shared" ca="1" si="262"/>
        <v>15.333029999999983</v>
      </c>
      <c r="U604" s="364">
        <f t="shared" ca="1" si="263"/>
        <v>0</v>
      </c>
      <c r="V604" s="359">
        <f t="shared" ca="1" si="264"/>
        <v>1.2257129236315745</v>
      </c>
      <c r="W604" s="357">
        <f t="shared" ca="1" si="265"/>
        <v>6.0657057133967811</v>
      </c>
      <c r="X604" s="343"/>
      <c r="Y604" s="367" t="str">
        <f t="shared" ca="1" si="283"/>
        <v/>
      </c>
      <c r="Z604" s="368" t="str">
        <f t="shared" ca="1" si="284"/>
        <v/>
      </c>
      <c r="AA604" s="369" t="str">
        <f t="shared" ca="1" si="285"/>
        <v/>
      </c>
      <c r="AB604" s="344"/>
      <c r="AC604" s="363" t="e">
        <f t="shared" ca="1" si="286"/>
        <v>#N/A</v>
      </c>
      <c r="AD604" s="376" t="e">
        <f t="shared" ca="1" si="287"/>
        <v>#N/A</v>
      </c>
      <c r="AE604" s="377" t="e">
        <f t="shared" ca="1" si="266"/>
        <v>#N/A</v>
      </c>
      <c r="AF604" s="344"/>
      <c r="AG604" s="359">
        <f t="shared" ca="1" si="288"/>
        <v>5.830705671047447</v>
      </c>
      <c r="AH604" s="357">
        <f t="shared" ca="1" si="289"/>
        <v>-3.8807400969864427</v>
      </c>
    </row>
    <row r="605" spans="1:34" x14ac:dyDescent="0.2">
      <c r="A605" s="402">
        <f t="shared" ca="1" si="267"/>
        <v>1E-4</v>
      </c>
      <c r="B605" s="357">
        <f t="shared" ca="1" si="268"/>
        <v>15.626499999999901</v>
      </c>
      <c r="C605" s="342"/>
      <c r="D605" s="359">
        <f t="shared" ca="1" si="269"/>
        <v>-0.54870728278977055</v>
      </c>
      <c r="E605" s="360">
        <f t="shared" ca="1" si="270"/>
        <v>-5.9681768648582789</v>
      </c>
      <c r="F605" s="357">
        <f t="shared" ca="1" si="271"/>
        <v>5.9933475431027805</v>
      </c>
      <c r="G605" s="359">
        <f t="shared" ca="1" si="272"/>
        <v>9.5345851607873531</v>
      </c>
      <c r="H605" s="360">
        <f t="shared" ca="1" si="273"/>
        <v>-66.758232094708234</v>
      </c>
      <c r="I605" s="357">
        <f t="shared" ca="1" si="274"/>
        <v>67.435672063079792</v>
      </c>
      <c r="J605" s="359">
        <f t="shared" ca="1" si="275"/>
        <v>187.70931447689617</v>
      </c>
      <c r="K605" s="360">
        <f t="shared" ca="1" si="276"/>
        <v>-5.8247675388336262</v>
      </c>
      <c r="L605" s="357">
        <f t="shared" ca="1" si="261"/>
        <v>187.79966628902125</v>
      </c>
      <c r="M605" s="359">
        <f t="shared" ca="1" si="277"/>
        <v>-1.4289331114122994</v>
      </c>
      <c r="N605" s="357">
        <f t="shared" ca="1" si="278"/>
        <v>-81.871836490421799</v>
      </c>
      <c r="O605" s="343"/>
      <c r="P605" s="363">
        <f t="shared" ca="1" si="279"/>
        <v>23</v>
      </c>
      <c r="Q605" s="357">
        <f t="shared" ca="1" si="280"/>
        <v>0</v>
      </c>
      <c r="R605" s="359">
        <f t="shared" ca="1" si="281"/>
        <v>0</v>
      </c>
      <c r="S605" s="360">
        <f t="shared" ca="1" si="282"/>
        <v>1.5629999999999982</v>
      </c>
      <c r="T605" s="357">
        <f t="shared" ca="1" si="262"/>
        <v>15.333029999999983</v>
      </c>
      <c r="U605" s="364">
        <f t="shared" ca="1" si="263"/>
        <v>0</v>
      </c>
      <c r="V605" s="359">
        <f t="shared" ca="1" si="264"/>
        <v>1.2257137418925375</v>
      </c>
      <c r="W605" s="357">
        <f t="shared" ca="1" si="265"/>
        <v>6.0658146550870766</v>
      </c>
      <c r="X605" s="343"/>
      <c r="Y605" s="367" t="str">
        <f t="shared" ca="1" si="283"/>
        <v/>
      </c>
      <c r="Z605" s="368" t="str">
        <f t="shared" ca="1" si="284"/>
        <v/>
      </c>
      <c r="AA605" s="369" t="str">
        <f t="shared" ca="1" si="285"/>
        <v/>
      </c>
      <c r="AB605" s="344"/>
      <c r="AC605" s="363" t="e">
        <f t="shared" ca="1" si="286"/>
        <v>#N/A</v>
      </c>
      <c r="AD605" s="376" t="e">
        <f t="shared" ca="1" si="287"/>
        <v>#N/A</v>
      </c>
      <c r="AE605" s="377" t="e">
        <f t="shared" ca="1" si="266"/>
        <v>#N/A</v>
      </c>
      <c r="AF605" s="344"/>
      <c r="AG605" s="359">
        <f t="shared" ca="1" si="288"/>
        <v>5.8306388235716247</v>
      </c>
      <c r="AH605" s="357">
        <f t="shared" ca="1" si="289"/>
        <v>-3.8808097974387641</v>
      </c>
    </row>
    <row r="606" spans="1:34" x14ac:dyDescent="0.2">
      <c r="A606" s="402">
        <f t="shared" ca="1" si="267"/>
        <v>1E-4</v>
      </c>
      <c r="B606" s="357">
        <f t="shared" ca="1" si="268"/>
        <v>15.6265999999999</v>
      </c>
      <c r="C606" s="342"/>
      <c r="D606" s="359">
        <f t="shared" ca="1" si="269"/>
        <v>-0.54870923561156149</v>
      </c>
      <c r="E606" s="360">
        <f t="shared" ca="1" si="270"/>
        <v>-5.9681067360835627</v>
      </c>
      <c r="F606" s="357">
        <f t="shared" ca="1" si="271"/>
        <v>5.9932778876447417</v>
      </c>
      <c r="G606" s="359">
        <f t="shared" ca="1" si="272"/>
        <v>9.5345302898637918</v>
      </c>
      <c r="H606" s="360">
        <f t="shared" ca="1" si="273"/>
        <v>-66.758828905381847</v>
      </c>
      <c r="I606" s="357">
        <f t="shared" ca="1" si="274"/>
        <v>67.436255120420029</v>
      </c>
      <c r="J606" s="359">
        <f t="shared" ca="1" si="275"/>
        <v>187.70931447689617</v>
      </c>
      <c r="K606" s="360">
        <f t="shared" ca="1" si="276"/>
        <v>-5.8314433918836306</v>
      </c>
      <c r="L606" s="357">
        <f t="shared" ca="1" si="261"/>
        <v>187.79987346486431</v>
      </c>
      <c r="M606" s="359">
        <f t="shared" ca="1" si="277"/>
        <v>-1.4289351681915128</v>
      </c>
      <c r="N606" s="357">
        <f t="shared" ca="1" si="278"/>
        <v>-81.871954335190125</v>
      </c>
      <c r="O606" s="343"/>
      <c r="P606" s="363">
        <f t="shared" ca="1" si="279"/>
        <v>23</v>
      </c>
      <c r="Q606" s="357">
        <f t="shared" ca="1" si="280"/>
        <v>0</v>
      </c>
      <c r="R606" s="359">
        <f t="shared" ca="1" si="281"/>
        <v>0</v>
      </c>
      <c r="S606" s="360">
        <f t="shared" ca="1" si="282"/>
        <v>1.5629999999999982</v>
      </c>
      <c r="T606" s="357">
        <f t="shared" ca="1" si="262"/>
        <v>15.333029999999983</v>
      </c>
      <c r="U606" s="364">
        <f t="shared" ca="1" si="263"/>
        <v>0</v>
      </c>
      <c r="V606" s="359">
        <f t="shared" ca="1" si="264"/>
        <v>1.2257145601613624</v>
      </c>
      <c r="W606" s="357">
        <f t="shared" ca="1" si="265"/>
        <v>6.0659235966606602</v>
      </c>
      <c r="X606" s="343"/>
      <c r="Y606" s="367" t="str">
        <f t="shared" ca="1" si="283"/>
        <v/>
      </c>
      <c r="Z606" s="368" t="str">
        <f t="shared" ca="1" si="284"/>
        <v/>
      </c>
      <c r="AA606" s="369" t="str">
        <f t="shared" ca="1" si="285"/>
        <v/>
      </c>
      <c r="AB606" s="344"/>
      <c r="AC606" s="363" t="e">
        <f t="shared" ca="1" si="286"/>
        <v>#N/A</v>
      </c>
      <c r="AD606" s="376" t="e">
        <f t="shared" ca="1" si="287"/>
        <v>#N/A</v>
      </c>
      <c r="AE606" s="377" t="e">
        <f t="shared" ca="1" si="266"/>
        <v>#N/A</v>
      </c>
      <c r="AF606" s="344"/>
      <c r="AG606" s="359">
        <f t="shared" ca="1" si="288"/>
        <v>5.8305719760636183</v>
      </c>
      <c r="AH606" s="357">
        <f t="shared" ca="1" si="289"/>
        <v>-3.8808794978164323</v>
      </c>
    </row>
    <row r="607" spans="1:34" x14ac:dyDescent="0.2">
      <c r="A607" s="402">
        <f t="shared" ca="1" si="267"/>
        <v>1E-4</v>
      </c>
      <c r="B607" s="357">
        <f t="shared" ca="1" si="268"/>
        <v>15.6266999999999</v>
      </c>
      <c r="C607" s="342"/>
      <c r="D607" s="359">
        <f t="shared" ca="1" si="269"/>
        <v>-0.54871118831875298</v>
      </c>
      <c r="E607" s="360">
        <f t="shared" ca="1" si="270"/>
        <v>-5.9680366073844926</v>
      </c>
      <c r="F607" s="357">
        <f t="shared" ca="1" si="271"/>
        <v>5.9932082322632159</v>
      </c>
      <c r="G607" s="359">
        <f t="shared" ca="1" si="272"/>
        <v>9.5344754187449592</v>
      </c>
      <c r="H607" s="360">
        <f t="shared" ca="1" si="273"/>
        <v>-66.759425709042588</v>
      </c>
      <c r="I607" s="357">
        <f t="shared" ca="1" si="274"/>
        <v>67.436838171075522</v>
      </c>
      <c r="J607" s="359">
        <f t="shared" ca="1" si="275"/>
        <v>187.70931447689617</v>
      </c>
      <c r="K607" s="360">
        <f t="shared" ca="1" si="276"/>
        <v>-5.8381193046143522</v>
      </c>
      <c r="L607" s="357">
        <f t="shared" ca="1" si="261"/>
        <v>187.80008087964501</v>
      </c>
      <c r="M607" s="359">
        <f t="shared" ca="1" si="277"/>
        <v>-1.4289372249233241</v>
      </c>
      <c r="N607" s="357">
        <f t="shared" ca="1" si="278"/>
        <v>-81.872072177242501</v>
      </c>
      <c r="O607" s="343"/>
      <c r="P607" s="363">
        <f t="shared" ca="1" si="279"/>
        <v>23</v>
      </c>
      <c r="Q607" s="357">
        <f t="shared" ca="1" si="280"/>
        <v>0</v>
      </c>
      <c r="R607" s="359">
        <f t="shared" ca="1" si="281"/>
        <v>0</v>
      </c>
      <c r="S607" s="360">
        <f t="shared" ca="1" si="282"/>
        <v>1.5629999999999982</v>
      </c>
      <c r="T607" s="357">
        <f t="shared" ca="1" si="262"/>
        <v>15.333029999999983</v>
      </c>
      <c r="U607" s="364">
        <f t="shared" ca="1" si="263"/>
        <v>0</v>
      </c>
      <c r="V607" s="359">
        <f t="shared" ca="1" si="264"/>
        <v>1.2257153784380488</v>
      </c>
      <c r="W607" s="357">
        <f t="shared" ca="1" si="265"/>
        <v>6.0660325381175006</v>
      </c>
      <c r="X607" s="343"/>
      <c r="Y607" s="367" t="str">
        <f t="shared" ca="1" si="283"/>
        <v/>
      </c>
      <c r="Z607" s="368" t="str">
        <f t="shared" ca="1" si="284"/>
        <v/>
      </c>
      <c r="AA607" s="369" t="str">
        <f t="shared" ca="1" si="285"/>
        <v/>
      </c>
      <c r="AB607" s="344"/>
      <c r="AC607" s="363" t="e">
        <f t="shared" ca="1" si="286"/>
        <v>#N/A</v>
      </c>
      <c r="AD607" s="376" t="e">
        <f t="shared" ca="1" si="287"/>
        <v>#N/A</v>
      </c>
      <c r="AE607" s="377" t="e">
        <f t="shared" ca="1" si="266"/>
        <v>#N/A</v>
      </c>
      <c r="AF607" s="344"/>
      <c r="AG607" s="359">
        <f t="shared" ca="1" si="288"/>
        <v>5.8305051285234493</v>
      </c>
      <c r="AH607" s="357">
        <f t="shared" ca="1" si="289"/>
        <v>-3.8809491981194286</v>
      </c>
    </row>
    <row r="608" spans="1:34" x14ac:dyDescent="0.2">
      <c r="A608" s="402">
        <f t="shared" ca="1" si="267"/>
        <v>1E-4</v>
      </c>
      <c r="B608" s="357">
        <f t="shared" ca="1" si="268"/>
        <v>15.6267999999999</v>
      </c>
      <c r="C608" s="342"/>
      <c r="D608" s="359">
        <f t="shared" ca="1" si="269"/>
        <v>-0.54871314091134749</v>
      </c>
      <c r="E608" s="360">
        <f t="shared" ca="1" si="270"/>
        <v>-5.96796647876109</v>
      </c>
      <c r="F608" s="357">
        <f t="shared" ca="1" si="271"/>
        <v>5.9931385769582235</v>
      </c>
      <c r="G608" s="359">
        <f t="shared" ca="1" si="272"/>
        <v>9.5344205474308676</v>
      </c>
      <c r="H608" s="360">
        <f t="shared" ca="1" si="273"/>
        <v>-66.760022505690458</v>
      </c>
      <c r="I608" s="357">
        <f t="shared" ca="1" si="274"/>
        <v>67.437421215046243</v>
      </c>
      <c r="J608" s="359">
        <f t="shared" ca="1" si="275"/>
        <v>187.70931447689617</v>
      </c>
      <c r="K608" s="360">
        <f t="shared" ca="1" si="276"/>
        <v>-5.8447952770250886</v>
      </c>
      <c r="L608" s="357">
        <f t="shared" ca="1" si="261"/>
        <v>187.80028853336896</v>
      </c>
      <c r="M608" s="359">
        <f t="shared" ca="1" si="277"/>
        <v>-1.4289392816077351</v>
      </c>
      <c r="N608" s="357">
        <f t="shared" ca="1" si="278"/>
        <v>-81.87219001657904</v>
      </c>
      <c r="O608" s="343"/>
      <c r="P608" s="363">
        <f t="shared" ca="1" si="279"/>
        <v>23</v>
      </c>
      <c r="Q608" s="357">
        <f t="shared" ca="1" si="280"/>
        <v>0</v>
      </c>
      <c r="R608" s="359">
        <f t="shared" ca="1" si="281"/>
        <v>0</v>
      </c>
      <c r="S608" s="360">
        <f t="shared" ca="1" si="282"/>
        <v>1.5629999999999982</v>
      </c>
      <c r="T608" s="357">
        <f t="shared" ca="1" si="262"/>
        <v>15.333029999999983</v>
      </c>
      <c r="U608" s="364">
        <f t="shared" ca="1" si="263"/>
        <v>0</v>
      </c>
      <c r="V608" s="359">
        <f t="shared" ca="1" si="264"/>
        <v>1.2257161967225969</v>
      </c>
      <c r="W608" s="357">
        <f t="shared" ca="1" si="265"/>
        <v>6.0661414794575679</v>
      </c>
      <c r="X608" s="343"/>
      <c r="Y608" s="367" t="str">
        <f t="shared" ca="1" si="283"/>
        <v/>
      </c>
      <c r="Z608" s="368" t="str">
        <f t="shared" ca="1" si="284"/>
        <v/>
      </c>
      <c r="AA608" s="369" t="str">
        <f t="shared" ca="1" si="285"/>
        <v/>
      </c>
      <c r="AB608" s="344"/>
      <c r="AC608" s="363" t="e">
        <f t="shared" ca="1" si="286"/>
        <v>#N/A</v>
      </c>
      <c r="AD608" s="376" t="e">
        <f t="shared" ca="1" si="287"/>
        <v>#N/A</v>
      </c>
      <c r="AE608" s="377" t="e">
        <f t="shared" ca="1" si="266"/>
        <v>#N/A</v>
      </c>
      <c r="AF608" s="344"/>
      <c r="AG608" s="359">
        <f t="shared" ca="1" si="288"/>
        <v>5.8304382809511424</v>
      </c>
      <c r="AH608" s="357">
        <f t="shared" ca="1" si="289"/>
        <v>-3.8810188983477336</v>
      </c>
    </row>
    <row r="609" spans="1:34" x14ac:dyDescent="0.2">
      <c r="A609" s="402">
        <f t="shared" ca="1" si="267"/>
        <v>1E-4</v>
      </c>
      <c r="B609" s="357">
        <f t="shared" ca="1" si="268"/>
        <v>15.6268999999999</v>
      </c>
      <c r="C609" s="342"/>
      <c r="D609" s="359">
        <f t="shared" ca="1" si="269"/>
        <v>-0.54871509338934554</v>
      </c>
      <c r="E609" s="360">
        <f t="shared" ca="1" si="270"/>
        <v>-5.9678963502133735</v>
      </c>
      <c r="F609" s="357">
        <f t="shared" ca="1" si="271"/>
        <v>5.9930689217297832</v>
      </c>
      <c r="G609" s="359">
        <f t="shared" ca="1" si="272"/>
        <v>9.5343656759215278</v>
      </c>
      <c r="H609" s="360">
        <f t="shared" ca="1" si="273"/>
        <v>-66.760619295325483</v>
      </c>
      <c r="I609" s="357">
        <f t="shared" ca="1" si="274"/>
        <v>67.438004252332192</v>
      </c>
      <c r="J609" s="359">
        <f t="shared" ca="1" si="275"/>
        <v>187.70931447689617</v>
      </c>
      <c r="K609" s="360">
        <f t="shared" ca="1" si="276"/>
        <v>-5.8514713091151398</v>
      </c>
      <c r="L609" s="357">
        <f t="shared" ca="1" si="261"/>
        <v>187.80049642604169</v>
      </c>
      <c r="M609" s="359">
        <f t="shared" ca="1" si="277"/>
        <v>-1.4289413382447476</v>
      </c>
      <c r="N609" s="357">
        <f t="shared" ca="1" si="278"/>
        <v>-81.872307853199842</v>
      </c>
      <c r="O609" s="343"/>
      <c r="P609" s="363">
        <f t="shared" ca="1" si="279"/>
        <v>23</v>
      </c>
      <c r="Q609" s="357">
        <f t="shared" ca="1" si="280"/>
        <v>0</v>
      </c>
      <c r="R609" s="359">
        <f t="shared" ca="1" si="281"/>
        <v>0</v>
      </c>
      <c r="S609" s="360">
        <f t="shared" ca="1" si="282"/>
        <v>1.5629999999999982</v>
      </c>
      <c r="T609" s="357">
        <f t="shared" ca="1" si="262"/>
        <v>15.333029999999983</v>
      </c>
      <c r="U609" s="364">
        <f t="shared" ca="1" si="263"/>
        <v>0</v>
      </c>
      <c r="V609" s="359">
        <f t="shared" ca="1" si="264"/>
        <v>1.2257170150150061</v>
      </c>
      <c r="W609" s="357">
        <f t="shared" ca="1" si="265"/>
        <v>6.0662504206808272</v>
      </c>
      <c r="X609" s="343"/>
      <c r="Y609" s="367" t="str">
        <f t="shared" ca="1" si="283"/>
        <v/>
      </c>
      <c r="Z609" s="368" t="str">
        <f t="shared" ca="1" si="284"/>
        <v/>
      </c>
      <c r="AA609" s="369" t="str">
        <f t="shared" ca="1" si="285"/>
        <v/>
      </c>
      <c r="AB609" s="344"/>
      <c r="AC609" s="363" t="e">
        <f t="shared" ca="1" si="286"/>
        <v>#N/A</v>
      </c>
      <c r="AD609" s="376" t="e">
        <f t="shared" ca="1" si="287"/>
        <v>#N/A</v>
      </c>
      <c r="AE609" s="377" t="e">
        <f t="shared" ca="1" si="266"/>
        <v>#N/A</v>
      </c>
      <c r="AF609" s="344"/>
      <c r="AG609" s="359">
        <f t="shared" ca="1" si="288"/>
        <v>5.8303714333467243</v>
      </c>
      <c r="AH609" s="357">
        <f t="shared" ca="1" si="289"/>
        <v>-3.8810885985013277</v>
      </c>
    </row>
    <row r="610" spans="1:34" x14ac:dyDescent="0.2">
      <c r="A610" s="402">
        <f t="shared" ca="1" si="267"/>
        <v>1E-4</v>
      </c>
      <c r="B610" s="357">
        <f t="shared" ca="1" si="268"/>
        <v>15.626999999999899</v>
      </c>
      <c r="C610" s="342"/>
      <c r="D610" s="359">
        <f t="shared" ca="1" si="269"/>
        <v>-0.54871704575274771</v>
      </c>
      <c r="E610" s="360">
        <f t="shared" ca="1" si="270"/>
        <v>-5.9678262217413653</v>
      </c>
      <c r="F610" s="357">
        <f t="shared" ca="1" si="271"/>
        <v>5.9929992665779155</v>
      </c>
      <c r="G610" s="359">
        <f t="shared" ca="1" si="272"/>
        <v>9.5343108042169522</v>
      </c>
      <c r="H610" s="360">
        <f t="shared" ca="1" si="273"/>
        <v>-66.761216077947651</v>
      </c>
      <c r="I610" s="357">
        <f t="shared" ca="1" si="274"/>
        <v>67.438587282933383</v>
      </c>
      <c r="J610" s="359">
        <f t="shared" ca="1" si="275"/>
        <v>187.70931447689617</v>
      </c>
      <c r="K610" s="360">
        <f t="shared" ca="1" si="276"/>
        <v>-5.8581474008838033</v>
      </c>
      <c r="L610" s="357">
        <f t="shared" ca="1" si="261"/>
        <v>187.80070455766872</v>
      </c>
      <c r="M610" s="359">
        <f t="shared" ca="1" si="277"/>
        <v>-1.4289433948343633</v>
      </c>
      <c r="N610" s="357">
        <f t="shared" ca="1" si="278"/>
        <v>-81.872425687105022</v>
      </c>
      <c r="O610" s="343"/>
      <c r="P610" s="363">
        <f t="shared" ca="1" si="279"/>
        <v>23</v>
      </c>
      <c r="Q610" s="357">
        <f t="shared" ca="1" si="280"/>
        <v>0</v>
      </c>
      <c r="R610" s="359">
        <f t="shared" ca="1" si="281"/>
        <v>0</v>
      </c>
      <c r="S610" s="360">
        <f t="shared" ca="1" si="282"/>
        <v>1.5629999999999982</v>
      </c>
      <c r="T610" s="357">
        <f t="shared" ca="1" si="262"/>
        <v>15.333029999999983</v>
      </c>
      <c r="U610" s="364">
        <f t="shared" ca="1" si="263"/>
        <v>0</v>
      </c>
      <c r="V610" s="359">
        <f t="shared" ca="1" si="264"/>
        <v>1.2257178333152767</v>
      </c>
      <c r="W610" s="357">
        <f t="shared" ca="1" si="265"/>
        <v>6.0663593617872529</v>
      </c>
      <c r="X610" s="343"/>
      <c r="Y610" s="367" t="str">
        <f t="shared" ca="1" si="283"/>
        <v/>
      </c>
      <c r="Z610" s="368" t="str">
        <f t="shared" ca="1" si="284"/>
        <v/>
      </c>
      <c r="AA610" s="369" t="str">
        <f t="shared" ca="1" si="285"/>
        <v/>
      </c>
      <c r="AB610" s="344"/>
      <c r="AC610" s="363" t="e">
        <f t="shared" ca="1" si="286"/>
        <v>#N/A</v>
      </c>
      <c r="AD610" s="376" t="e">
        <f t="shared" ca="1" si="287"/>
        <v>#N/A</v>
      </c>
      <c r="AE610" s="377" t="e">
        <f t="shared" ca="1" si="266"/>
        <v>#N/A</v>
      </c>
      <c r="AF610" s="344"/>
      <c r="AG610" s="359">
        <f t="shared" ca="1" si="288"/>
        <v>5.8303045857102225</v>
      </c>
      <c r="AH610" s="357">
        <f t="shared" ca="1" si="289"/>
        <v>-3.8811582985801882</v>
      </c>
    </row>
    <row r="611" spans="1:34" x14ac:dyDescent="0.2">
      <c r="A611" s="402">
        <f t="shared" ca="1" si="267"/>
        <v>1E-4</v>
      </c>
      <c r="B611" s="357">
        <f t="shared" ca="1" si="268"/>
        <v>15.627099999999899</v>
      </c>
      <c r="C611" s="342"/>
      <c r="D611" s="359">
        <f t="shared" ca="1" si="269"/>
        <v>-0.54871899800155499</v>
      </c>
      <c r="E611" s="360">
        <f t="shared" ca="1" si="270"/>
        <v>-5.9677560933450806</v>
      </c>
      <c r="F611" s="357">
        <f t="shared" ca="1" si="271"/>
        <v>5.9929296115026389</v>
      </c>
      <c r="G611" s="359">
        <f t="shared" ca="1" si="272"/>
        <v>9.5342559323171514</v>
      </c>
      <c r="H611" s="360">
        <f t="shared" ca="1" si="273"/>
        <v>-66.761812853556989</v>
      </c>
      <c r="I611" s="357">
        <f t="shared" ca="1" si="274"/>
        <v>67.439170306849803</v>
      </c>
      <c r="J611" s="359">
        <f t="shared" ca="1" si="275"/>
        <v>187.70931447689617</v>
      </c>
      <c r="K611" s="360">
        <f t="shared" ca="1" si="276"/>
        <v>-5.8648235523303782</v>
      </c>
      <c r="L611" s="357">
        <f t="shared" ca="1" si="261"/>
        <v>187.80091292825566</v>
      </c>
      <c r="M611" s="359">
        <f t="shared" ca="1" si="277"/>
        <v>-1.4289454513765838</v>
      </c>
      <c r="N611" s="357">
        <f t="shared" ca="1" si="278"/>
        <v>-81.872543518294648</v>
      </c>
      <c r="O611" s="343"/>
      <c r="P611" s="363">
        <f t="shared" ca="1" si="279"/>
        <v>23</v>
      </c>
      <c r="Q611" s="357">
        <f t="shared" ca="1" si="280"/>
        <v>0</v>
      </c>
      <c r="R611" s="359">
        <f t="shared" ca="1" si="281"/>
        <v>0</v>
      </c>
      <c r="S611" s="360">
        <f t="shared" ca="1" si="282"/>
        <v>1.5629999999999982</v>
      </c>
      <c r="T611" s="357">
        <f t="shared" ca="1" si="262"/>
        <v>15.333029999999983</v>
      </c>
      <c r="U611" s="364">
        <f t="shared" ca="1" si="263"/>
        <v>0</v>
      </c>
      <c r="V611" s="359">
        <f t="shared" ca="1" si="264"/>
        <v>1.2257186516234087</v>
      </c>
      <c r="W611" s="357">
        <f t="shared" ca="1" si="265"/>
        <v>6.0664683027768156</v>
      </c>
      <c r="X611" s="343"/>
      <c r="Y611" s="367" t="str">
        <f t="shared" ca="1" si="283"/>
        <v/>
      </c>
      <c r="Z611" s="368" t="str">
        <f t="shared" ca="1" si="284"/>
        <v/>
      </c>
      <c r="AA611" s="369" t="str">
        <f t="shared" ca="1" si="285"/>
        <v/>
      </c>
      <c r="AB611" s="344"/>
      <c r="AC611" s="363" t="e">
        <f t="shared" ca="1" si="286"/>
        <v>#N/A</v>
      </c>
      <c r="AD611" s="376" t="e">
        <f t="shared" ca="1" si="287"/>
        <v>#N/A</v>
      </c>
      <c r="AE611" s="377" t="e">
        <f t="shared" ca="1" si="266"/>
        <v>#N/A</v>
      </c>
      <c r="AF611" s="344"/>
      <c r="AG611" s="359">
        <f t="shared" ca="1" si="288"/>
        <v>5.8302377380416583</v>
      </c>
      <c r="AH611" s="357">
        <f t="shared" ca="1" si="289"/>
        <v>-3.8812279985842992</v>
      </c>
    </row>
    <row r="612" spans="1:34" x14ac:dyDescent="0.2">
      <c r="A612" s="402">
        <f t="shared" ca="1" si="267"/>
        <v>1E-4</v>
      </c>
      <c r="B612" s="357">
        <f t="shared" ca="1" si="268"/>
        <v>15.627199999999899</v>
      </c>
      <c r="C612" s="342"/>
      <c r="D612" s="359">
        <f t="shared" ca="1" si="269"/>
        <v>-0.54872095013576938</v>
      </c>
      <c r="E612" s="360">
        <f t="shared" ca="1" si="270"/>
        <v>-5.9676859650245415</v>
      </c>
      <c r="F612" s="357">
        <f t="shared" ca="1" si="271"/>
        <v>5.9928599565039731</v>
      </c>
      <c r="G612" s="359">
        <f t="shared" ca="1" si="272"/>
        <v>9.5342010602221379</v>
      </c>
      <c r="H612" s="360">
        <f t="shared" ca="1" si="273"/>
        <v>-66.762409622153498</v>
      </c>
      <c r="I612" s="357">
        <f t="shared" ca="1" si="274"/>
        <v>67.439753324081451</v>
      </c>
      <c r="J612" s="359">
        <f t="shared" ca="1" si="275"/>
        <v>187.70931447689617</v>
      </c>
      <c r="K612" s="360">
        <f t="shared" ca="1" si="276"/>
        <v>-5.8714997634541639</v>
      </c>
      <c r="L612" s="357">
        <f t="shared" ca="1" si="261"/>
        <v>187.80112153780803</v>
      </c>
      <c r="M612" s="359">
        <f t="shared" ca="1" si="277"/>
        <v>-1.4289475078714107</v>
      </c>
      <c r="N612" s="357">
        <f t="shared" ca="1" si="278"/>
        <v>-81.872661346768808</v>
      </c>
      <c r="O612" s="343"/>
      <c r="P612" s="363">
        <f t="shared" ca="1" si="279"/>
        <v>23</v>
      </c>
      <c r="Q612" s="357">
        <f t="shared" ca="1" si="280"/>
        <v>0</v>
      </c>
      <c r="R612" s="359">
        <f t="shared" ca="1" si="281"/>
        <v>0</v>
      </c>
      <c r="S612" s="360">
        <f t="shared" ca="1" si="282"/>
        <v>1.5629999999999982</v>
      </c>
      <c r="T612" s="357">
        <f t="shared" ca="1" si="262"/>
        <v>15.333029999999983</v>
      </c>
      <c r="U612" s="364">
        <f t="shared" ca="1" si="263"/>
        <v>0</v>
      </c>
      <c r="V612" s="359">
        <f t="shared" ca="1" si="264"/>
        <v>1.2257194699394018</v>
      </c>
      <c r="W612" s="357">
        <f t="shared" ca="1" si="265"/>
        <v>6.0665772436494807</v>
      </c>
      <c r="X612" s="343"/>
      <c r="Y612" s="367" t="str">
        <f t="shared" ca="1" si="283"/>
        <v/>
      </c>
      <c r="Z612" s="368" t="str">
        <f t="shared" ca="1" si="284"/>
        <v/>
      </c>
      <c r="AA612" s="369" t="str">
        <f t="shared" ca="1" si="285"/>
        <v/>
      </c>
      <c r="AB612" s="344"/>
      <c r="AC612" s="363" t="e">
        <f t="shared" ca="1" si="286"/>
        <v>#N/A</v>
      </c>
      <c r="AD612" s="376" t="e">
        <f t="shared" ca="1" si="287"/>
        <v>#N/A</v>
      </c>
      <c r="AE612" s="377" t="e">
        <f t="shared" ca="1" si="266"/>
        <v>#N/A</v>
      </c>
      <c r="AF612" s="344"/>
      <c r="AG612" s="359">
        <f t="shared" ca="1" si="288"/>
        <v>5.8301708903410532</v>
      </c>
      <c r="AH612" s="357">
        <f t="shared" ca="1" si="289"/>
        <v>-3.881297698513642</v>
      </c>
    </row>
    <row r="613" spans="1:34" x14ac:dyDescent="0.2">
      <c r="A613" s="402">
        <f t="shared" ca="1" si="267"/>
        <v>1E-4</v>
      </c>
      <c r="B613" s="357">
        <f t="shared" ca="1" si="268"/>
        <v>15.627299999999899</v>
      </c>
      <c r="C613" s="342"/>
      <c r="D613" s="359">
        <f t="shared" ca="1" si="269"/>
        <v>-0.54872290215539188</v>
      </c>
      <c r="E613" s="360">
        <f t="shared" ca="1" si="270"/>
        <v>-5.9676158367797676</v>
      </c>
      <c r="F613" s="357">
        <f t="shared" ca="1" si="271"/>
        <v>5.9927903015819375</v>
      </c>
      <c r="G613" s="359">
        <f t="shared" ca="1" si="272"/>
        <v>9.5341461879319223</v>
      </c>
      <c r="H613" s="360">
        <f t="shared" ca="1" si="273"/>
        <v>-66.763006383737178</v>
      </c>
      <c r="I613" s="357">
        <f t="shared" ca="1" si="274"/>
        <v>67.440336334628313</v>
      </c>
      <c r="J613" s="359">
        <f t="shared" ca="1" si="275"/>
        <v>187.70931447689617</v>
      </c>
      <c r="K613" s="360">
        <f t="shared" ca="1" si="276"/>
        <v>-5.8781760342544587</v>
      </c>
      <c r="L613" s="357">
        <f t="shared" ca="1" si="261"/>
        <v>187.80133038633136</v>
      </c>
      <c r="M613" s="359">
        <f t="shared" ca="1" si="277"/>
        <v>-1.4289495643188459</v>
      </c>
      <c r="N613" s="357">
        <f t="shared" ca="1" si="278"/>
        <v>-81.872779172527643</v>
      </c>
      <c r="O613" s="343"/>
      <c r="P613" s="363">
        <f t="shared" ca="1" si="279"/>
        <v>23</v>
      </c>
      <c r="Q613" s="357">
        <f t="shared" ca="1" si="280"/>
        <v>0</v>
      </c>
      <c r="R613" s="359">
        <f t="shared" ca="1" si="281"/>
        <v>0</v>
      </c>
      <c r="S613" s="360">
        <f t="shared" ca="1" si="282"/>
        <v>1.5629999999999982</v>
      </c>
      <c r="T613" s="357">
        <f t="shared" ca="1" si="262"/>
        <v>15.333029999999983</v>
      </c>
      <c r="U613" s="364">
        <f t="shared" ca="1" si="263"/>
        <v>0</v>
      </c>
      <c r="V613" s="359">
        <f t="shared" ca="1" si="264"/>
        <v>1.2257202882632565</v>
      </c>
      <c r="W613" s="357">
        <f t="shared" ca="1" si="265"/>
        <v>6.0666861844052189</v>
      </c>
      <c r="X613" s="343"/>
      <c r="Y613" s="367" t="str">
        <f t="shared" ca="1" si="283"/>
        <v/>
      </c>
      <c r="Z613" s="368" t="str">
        <f t="shared" ca="1" si="284"/>
        <v/>
      </c>
      <c r="AA613" s="369" t="str">
        <f t="shared" ca="1" si="285"/>
        <v/>
      </c>
      <c r="AB613" s="344"/>
      <c r="AC613" s="363" t="e">
        <f t="shared" ca="1" si="286"/>
        <v>#N/A</v>
      </c>
      <c r="AD613" s="376" t="e">
        <f t="shared" ca="1" si="287"/>
        <v>#N/A</v>
      </c>
      <c r="AE613" s="377" t="e">
        <f t="shared" ca="1" si="266"/>
        <v>#N/A</v>
      </c>
      <c r="AF613" s="344"/>
      <c r="AG613" s="359">
        <f t="shared" ca="1" si="288"/>
        <v>5.8301040426084363</v>
      </c>
      <c r="AH613" s="357">
        <f t="shared" ca="1" si="289"/>
        <v>-3.8813673983681944</v>
      </c>
    </row>
    <row r="614" spans="1:34" x14ac:dyDescent="0.2">
      <c r="A614" s="402">
        <f t="shared" ca="1" si="267"/>
        <v>1E-4</v>
      </c>
      <c r="B614" s="357">
        <f t="shared" ca="1" si="268"/>
        <v>15.627399999999898</v>
      </c>
      <c r="C614" s="342"/>
      <c r="D614" s="359">
        <f t="shared" ca="1" si="269"/>
        <v>-0.54872485406042248</v>
      </c>
      <c r="E614" s="360">
        <f t="shared" ca="1" si="270"/>
        <v>-5.9675457086107784</v>
      </c>
      <c r="F614" s="357">
        <f t="shared" ca="1" si="271"/>
        <v>5.9927206467365508</v>
      </c>
      <c r="G614" s="359">
        <f t="shared" ca="1" si="272"/>
        <v>9.534091315446517</v>
      </c>
      <c r="H614" s="360">
        <f t="shared" ca="1" si="273"/>
        <v>-66.763603138308042</v>
      </c>
      <c r="I614" s="357">
        <f t="shared" ca="1" si="274"/>
        <v>67.440919338490403</v>
      </c>
      <c r="J614" s="359">
        <f t="shared" ca="1" si="275"/>
        <v>187.70931447689617</v>
      </c>
      <c r="K614" s="360">
        <f t="shared" ca="1" si="276"/>
        <v>-5.8848523647305608</v>
      </c>
      <c r="L614" s="357">
        <f t="shared" ca="1" si="261"/>
        <v>187.80153947383118</v>
      </c>
      <c r="M614" s="359">
        <f t="shared" ca="1" si="277"/>
        <v>-1.4289516207188913</v>
      </c>
      <c r="N614" s="357">
        <f t="shared" ca="1" si="278"/>
        <v>-81.872896995571224</v>
      </c>
      <c r="O614" s="343"/>
      <c r="P614" s="363">
        <f t="shared" ca="1" si="279"/>
        <v>23</v>
      </c>
      <c r="Q614" s="357">
        <f t="shared" ca="1" si="280"/>
        <v>0</v>
      </c>
      <c r="R614" s="359">
        <f t="shared" ca="1" si="281"/>
        <v>0</v>
      </c>
      <c r="S614" s="360">
        <f t="shared" ca="1" si="282"/>
        <v>1.5629999999999982</v>
      </c>
      <c r="T614" s="357">
        <f t="shared" ca="1" si="262"/>
        <v>15.333029999999983</v>
      </c>
      <c r="U614" s="364">
        <f t="shared" ca="1" si="263"/>
        <v>0</v>
      </c>
      <c r="V614" s="359">
        <f t="shared" ca="1" si="264"/>
        <v>1.2257211065949722</v>
      </c>
      <c r="W614" s="357">
        <f t="shared" ca="1" si="265"/>
        <v>6.0667951250440009</v>
      </c>
      <c r="X614" s="343"/>
      <c r="Y614" s="367" t="str">
        <f t="shared" ca="1" si="283"/>
        <v/>
      </c>
      <c r="Z614" s="368" t="str">
        <f t="shared" ca="1" si="284"/>
        <v/>
      </c>
      <c r="AA614" s="369" t="str">
        <f t="shared" ca="1" si="285"/>
        <v/>
      </c>
      <c r="AB614" s="344"/>
      <c r="AC614" s="363" t="e">
        <f t="shared" ca="1" si="286"/>
        <v>#N/A</v>
      </c>
      <c r="AD614" s="376" t="e">
        <f t="shared" ca="1" si="287"/>
        <v>#N/A</v>
      </c>
      <c r="AE614" s="377" t="e">
        <f t="shared" ca="1" si="266"/>
        <v>#N/A</v>
      </c>
      <c r="AF614" s="344"/>
      <c r="AG614" s="359">
        <f t="shared" ca="1" si="288"/>
        <v>5.8300371948438343</v>
      </c>
      <c r="AH614" s="357">
        <f t="shared" ca="1" si="289"/>
        <v>-3.8814370981479374</v>
      </c>
    </row>
    <row r="615" spans="1:34" x14ac:dyDescent="0.2">
      <c r="A615" s="402">
        <f t="shared" ca="1" si="267"/>
        <v>1E-4</v>
      </c>
      <c r="B615" s="357">
        <f t="shared" ca="1" si="268"/>
        <v>15.627499999999898</v>
      </c>
      <c r="C615" s="342"/>
      <c r="D615" s="359">
        <f t="shared" ca="1" si="269"/>
        <v>-0.54872680585086209</v>
      </c>
      <c r="E615" s="360">
        <f t="shared" ca="1" si="270"/>
        <v>-5.9674755805175934</v>
      </c>
      <c r="F615" s="357">
        <f t="shared" ca="1" si="271"/>
        <v>5.9926509919678352</v>
      </c>
      <c r="G615" s="359">
        <f t="shared" ca="1" si="272"/>
        <v>9.5340364427659328</v>
      </c>
      <c r="H615" s="360">
        <f t="shared" ca="1" si="273"/>
        <v>-66.764199885866091</v>
      </c>
      <c r="I615" s="357">
        <f t="shared" ca="1" si="274"/>
        <v>67.441502335667693</v>
      </c>
      <c r="J615" s="359">
        <f t="shared" ca="1" si="275"/>
        <v>187.70931447689617</v>
      </c>
      <c r="K615" s="360">
        <f t="shared" ca="1" si="276"/>
        <v>-5.8915287548817696</v>
      </c>
      <c r="L615" s="357">
        <f t="shared" ca="1" si="261"/>
        <v>187.80174880031311</v>
      </c>
      <c r="M615" s="359">
        <f t="shared" ca="1" si="277"/>
        <v>-1.4289536770715479</v>
      </c>
      <c r="N615" s="357">
        <f t="shared" ca="1" si="278"/>
        <v>-81.873014815899651</v>
      </c>
      <c r="O615" s="343"/>
      <c r="P615" s="363">
        <f t="shared" ca="1" si="279"/>
        <v>23</v>
      </c>
      <c r="Q615" s="357">
        <f t="shared" ca="1" si="280"/>
        <v>0</v>
      </c>
      <c r="R615" s="359">
        <f t="shared" ca="1" si="281"/>
        <v>0</v>
      </c>
      <c r="S615" s="360">
        <f t="shared" ca="1" si="282"/>
        <v>1.5629999999999982</v>
      </c>
      <c r="T615" s="357">
        <f t="shared" ca="1" si="262"/>
        <v>15.333029999999983</v>
      </c>
      <c r="U615" s="364">
        <f t="shared" ca="1" si="263"/>
        <v>0</v>
      </c>
      <c r="V615" s="359">
        <f t="shared" ca="1" si="264"/>
        <v>1.2257219249345486</v>
      </c>
      <c r="W615" s="357">
        <f t="shared" ca="1" si="265"/>
        <v>6.0669040655657902</v>
      </c>
      <c r="X615" s="343"/>
      <c r="Y615" s="367" t="str">
        <f t="shared" ca="1" si="283"/>
        <v/>
      </c>
      <c r="Z615" s="368" t="str">
        <f t="shared" ca="1" si="284"/>
        <v/>
      </c>
      <c r="AA615" s="369" t="str">
        <f t="shared" ca="1" si="285"/>
        <v/>
      </c>
      <c r="AB615" s="344"/>
      <c r="AC615" s="363" t="e">
        <f t="shared" ca="1" si="286"/>
        <v>#N/A</v>
      </c>
      <c r="AD615" s="376" t="e">
        <f t="shared" ca="1" si="287"/>
        <v>#N/A</v>
      </c>
      <c r="AE615" s="377" t="e">
        <f t="shared" ca="1" si="266"/>
        <v>#N/A</v>
      </c>
      <c r="AF615" s="344"/>
      <c r="AG615" s="359">
        <f t="shared" ca="1" si="288"/>
        <v>5.8299703470472668</v>
      </c>
      <c r="AH615" s="357">
        <f t="shared" ca="1" si="289"/>
        <v>-3.8815067978528521</v>
      </c>
    </row>
    <row r="616" spans="1:34" x14ac:dyDescent="0.2">
      <c r="A616" s="402">
        <f t="shared" ca="1" si="267"/>
        <v>1E-4</v>
      </c>
      <c r="B616" s="357">
        <f t="shared" ca="1" si="268"/>
        <v>15.627599999999898</v>
      </c>
      <c r="C616" s="342"/>
      <c r="D616" s="359">
        <f t="shared" ca="1" si="269"/>
        <v>-0.54872875752671357</v>
      </c>
      <c r="E616" s="360">
        <f t="shared" ca="1" si="270"/>
        <v>-5.9674054525002349</v>
      </c>
      <c r="F616" s="357">
        <f t="shared" ca="1" si="271"/>
        <v>5.9925813372758112</v>
      </c>
      <c r="G616" s="359">
        <f t="shared" ca="1" si="272"/>
        <v>9.5339815698901802</v>
      </c>
      <c r="H616" s="360">
        <f t="shared" ca="1" si="273"/>
        <v>-66.764796626411339</v>
      </c>
      <c r="I616" s="357">
        <f t="shared" ca="1" si="274"/>
        <v>67.442085326160196</v>
      </c>
      <c r="J616" s="359">
        <f t="shared" ca="1" si="275"/>
        <v>187.70931447689617</v>
      </c>
      <c r="K616" s="360">
        <f t="shared" ca="1" si="276"/>
        <v>-5.8982052047073834</v>
      </c>
      <c r="L616" s="357">
        <f t="shared" ca="1" si="261"/>
        <v>187.80195836578258</v>
      </c>
      <c r="M616" s="359">
        <f t="shared" ca="1" si="277"/>
        <v>-1.4289557333768181</v>
      </c>
      <c r="N616" s="357">
        <f t="shared" ca="1" si="278"/>
        <v>-81.873132633513023</v>
      </c>
      <c r="O616" s="343"/>
      <c r="P616" s="363">
        <f t="shared" ca="1" si="279"/>
        <v>23</v>
      </c>
      <c r="Q616" s="357">
        <f t="shared" ca="1" si="280"/>
        <v>0</v>
      </c>
      <c r="R616" s="359">
        <f t="shared" ca="1" si="281"/>
        <v>0</v>
      </c>
      <c r="S616" s="360">
        <f t="shared" ca="1" si="282"/>
        <v>1.5629999999999982</v>
      </c>
      <c r="T616" s="357">
        <f t="shared" ca="1" si="262"/>
        <v>15.333029999999983</v>
      </c>
      <c r="U616" s="364">
        <f t="shared" ca="1" si="263"/>
        <v>0</v>
      </c>
      <c r="V616" s="359">
        <f t="shared" ca="1" si="264"/>
        <v>1.2257227432819862</v>
      </c>
      <c r="W616" s="357">
        <f t="shared" ca="1" si="265"/>
        <v>6.0670130059705629</v>
      </c>
      <c r="X616" s="343"/>
      <c r="Y616" s="367" t="str">
        <f t="shared" ca="1" si="283"/>
        <v/>
      </c>
      <c r="Z616" s="368" t="str">
        <f t="shared" ca="1" si="284"/>
        <v/>
      </c>
      <c r="AA616" s="369" t="str">
        <f t="shared" ca="1" si="285"/>
        <v/>
      </c>
      <c r="AB616" s="344"/>
      <c r="AC616" s="363" t="e">
        <f t="shared" ca="1" si="286"/>
        <v>#N/A</v>
      </c>
      <c r="AD616" s="376" t="e">
        <f t="shared" ca="1" si="287"/>
        <v>#N/A</v>
      </c>
      <c r="AE616" s="377" t="e">
        <f t="shared" ca="1" si="266"/>
        <v>#N/A</v>
      </c>
      <c r="AF616" s="344"/>
      <c r="AG616" s="359">
        <f t="shared" ca="1" si="288"/>
        <v>5.8299034992187639</v>
      </c>
      <c r="AH616" s="357">
        <f t="shared" ca="1" si="289"/>
        <v>-3.8815764974829157</v>
      </c>
    </row>
    <row r="617" spans="1:34" x14ac:dyDescent="0.2">
      <c r="A617" s="402">
        <f t="shared" ca="1" si="267"/>
        <v>1E-4</v>
      </c>
      <c r="B617" s="357">
        <f t="shared" ca="1" si="268"/>
        <v>15.627699999999898</v>
      </c>
      <c r="C617" s="342"/>
      <c r="D617" s="359">
        <f t="shared" ca="1" si="269"/>
        <v>-0.54873070908797561</v>
      </c>
      <c r="E617" s="360">
        <f t="shared" ca="1" si="270"/>
        <v>-5.9673353245587197</v>
      </c>
      <c r="F617" s="357">
        <f t="shared" ca="1" si="271"/>
        <v>5.9925116826604947</v>
      </c>
      <c r="G617" s="359">
        <f t="shared" ca="1" si="272"/>
        <v>9.5339266968192717</v>
      </c>
      <c r="H617" s="360">
        <f t="shared" ca="1" si="273"/>
        <v>-66.765393359943801</v>
      </c>
      <c r="I617" s="357">
        <f t="shared" ca="1" si="274"/>
        <v>67.442668309967914</v>
      </c>
      <c r="J617" s="359">
        <f t="shared" ca="1" si="275"/>
        <v>187.70931447689617</v>
      </c>
      <c r="K617" s="360">
        <f t="shared" ca="1" si="276"/>
        <v>-5.9048817142067014</v>
      </c>
      <c r="L617" s="357">
        <f t="shared" ca="1" si="261"/>
        <v>187.80216817024524</v>
      </c>
      <c r="M617" s="359">
        <f t="shared" ca="1" si="277"/>
        <v>-1.4289577896347032</v>
      </c>
      <c r="N617" s="357">
        <f t="shared" ca="1" si="278"/>
        <v>-81.873250448411426</v>
      </c>
      <c r="O617" s="343"/>
      <c r="P617" s="363">
        <f t="shared" ca="1" si="279"/>
        <v>23</v>
      </c>
      <c r="Q617" s="357">
        <f t="shared" ca="1" si="280"/>
        <v>0</v>
      </c>
      <c r="R617" s="359">
        <f t="shared" ca="1" si="281"/>
        <v>0</v>
      </c>
      <c r="S617" s="360">
        <f t="shared" ca="1" si="282"/>
        <v>1.5629999999999982</v>
      </c>
      <c r="T617" s="357">
        <f t="shared" ca="1" si="262"/>
        <v>15.333029999999983</v>
      </c>
      <c r="U617" s="364">
        <f t="shared" ca="1" si="263"/>
        <v>0</v>
      </c>
      <c r="V617" s="359">
        <f t="shared" ca="1" si="264"/>
        <v>1.2257235616372844</v>
      </c>
      <c r="W617" s="357">
        <f t="shared" ca="1" si="265"/>
        <v>6.0671219462582826</v>
      </c>
      <c r="X617" s="343"/>
      <c r="Y617" s="367" t="str">
        <f t="shared" ca="1" si="283"/>
        <v/>
      </c>
      <c r="Z617" s="368" t="str">
        <f t="shared" ca="1" si="284"/>
        <v/>
      </c>
      <c r="AA617" s="369" t="str">
        <f t="shared" ca="1" si="285"/>
        <v/>
      </c>
      <c r="AB617" s="344"/>
      <c r="AC617" s="363" t="e">
        <f t="shared" ca="1" si="286"/>
        <v>#N/A</v>
      </c>
      <c r="AD617" s="376" t="e">
        <f t="shared" ca="1" si="287"/>
        <v>#N/A</v>
      </c>
      <c r="AE617" s="377" t="e">
        <f t="shared" ca="1" si="266"/>
        <v>#N/A</v>
      </c>
      <c r="AF617" s="344"/>
      <c r="AG617" s="359">
        <f t="shared" ca="1" si="288"/>
        <v>5.8298366513583471</v>
      </c>
      <c r="AH617" s="357">
        <f t="shared" ca="1" si="289"/>
        <v>-3.8816461970381124</v>
      </c>
    </row>
    <row r="618" spans="1:34" x14ac:dyDescent="0.2">
      <c r="A618" s="402">
        <f t="shared" ca="1" si="267"/>
        <v>1E-4</v>
      </c>
      <c r="B618" s="357">
        <f t="shared" ca="1" si="268"/>
        <v>15.627799999999898</v>
      </c>
      <c r="C618" s="342"/>
      <c r="D618" s="359">
        <f t="shared" ca="1" si="269"/>
        <v>-0.54873266053465108</v>
      </c>
      <c r="E618" s="360">
        <f t="shared" ca="1" si="270"/>
        <v>-5.9672651966930692</v>
      </c>
      <c r="F618" s="357">
        <f t="shared" ca="1" si="271"/>
        <v>5.9924420281219088</v>
      </c>
      <c r="G618" s="359">
        <f t="shared" ca="1" si="272"/>
        <v>9.5338718235532181</v>
      </c>
      <c r="H618" s="360">
        <f t="shared" ca="1" si="273"/>
        <v>-66.765990086463475</v>
      </c>
      <c r="I618" s="357">
        <f t="shared" ca="1" si="274"/>
        <v>67.443251287090845</v>
      </c>
      <c r="J618" s="359">
        <f t="shared" ca="1" si="275"/>
        <v>187.70931447689617</v>
      </c>
      <c r="K618" s="360">
        <f t="shared" ca="1" si="276"/>
        <v>-5.9115582833790219</v>
      </c>
      <c r="L618" s="357">
        <f t="shared" ca="1" si="261"/>
        <v>187.80237821370656</v>
      </c>
      <c r="M618" s="359">
        <f t="shared" ca="1" si="277"/>
        <v>-1.4289598458452051</v>
      </c>
      <c r="N618" s="357">
        <f t="shared" ca="1" si="278"/>
        <v>-81.873368260594972</v>
      </c>
      <c r="O618" s="343"/>
      <c r="P618" s="363">
        <f t="shared" ca="1" si="279"/>
        <v>23</v>
      </c>
      <c r="Q618" s="357">
        <f t="shared" ca="1" si="280"/>
        <v>0</v>
      </c>
      <c r="R618" s="359">
        <f t="shared" ca="1" si="281"/>
        <v>0</v>
      </c>
      <c r="S618" s="360">
        <f t="shared" ca="1" si="282"/>
        <v>1.5629999999999982</v>
      </c>
      <c r="T618" s="357">
        <f t="shared" ca="1" si="262"/>
        <v>15.333029999999983</v>
      </c>
      <c r="U618" s="364">
        <f t="shared" ca="1" si="263"/>
        <v>0</v>
      </c>
      <c r="V618" s="359">
        <f t="shared" ca="1" si="264"/>
        <v>1.2257243800004438</v>
      </c>
      <c r="W618" s="357">
        <f t="shared" ca="1" si="265"/>
        <v>6.0672308864289288</v>
      </c>
      <c r="X618" s="343"/>
      <c r="Y618" s="367" t="str">
        <f t="shared" ca="1" si="283"/>
        <v/>
      </c>
      <c r="Z618" s="368" t="str">
        <f t="shared" ca="1" si="284"/>
        <v/>
      </c>
      <c r="AA618" s="369" t="str">
        <f t="shared" ca="1" si="285"/>
        <v/>
      </c>
      <c r="AB618" s="344"/>
      <c r="AC618" s="363" t="e">
        <f t="shared" ca="1" si="286"/>
        <v>#N/A</v>
      </c>
      <c r="AD618" s="376" t="e">
        <f t="shared" ca="1" si="287"/>
        <v>#N/A</v>
      </c>
      <c r="AE618" s="377" t="e">
        <f t="shared" ca="1" si="266"/>
        <v>#N/A</v>
      </c>
      <c r="AF618" s="344"/>
      <c r="AG618" s="359">
        <f t="shared" ca="1" si="288"/>
        <v>5.8297698034660437</v>
      </c>
      <c r="AH618" s="357">
        <f t="shared" ca="1" si="289"/>
        <v>-3.8817158965184193</v>
      </c>
    </row>
    <row r="619" spans="1:34" x14ac:dyDescent="0.2">
      <c r="A619" s="402">
        <f t="shared" ca="1" si="267"/>
        <v>1E-4</v>
      </c>
      <c r="B619" s="357">
        <f t="shared" ca="1" si="268"/>
        <v>15.627899999999897</v>
      </c>
      <c r="C619" s="342"/>
      <c r="D619" s="359">
        <f t="shared" ca="1" si="269"/>
        <v>-0.54873461186674077</v>
      </c>
      <c r="E619" s="360">
        <f t="shared" ca="1" si="270"/>
        <v>-5.9671950689032984</v>
      </c>
      <c r="F619" s="357">
        <f t="shared" ca="1" si="271"/>
        <v>5.9923723736600669</v>
      </c>
      <c r="G619" s="359">
        <f t="shared" ca="1" si="272"/>
        <v>9.5338169500920316</v>
      </c>
      <c r="H619" s="360">
        <f t="shared" ca="1" si="273"/>
        <v>-66.766586805970363</v>
      </c>
      <c r="I619" s="357">
        <f t="shared" ca="1" si="274"/>
        <v>67.443834257528962</v>
      </c>
      <c r="J619" s="359">
        <f t="shared" ca="1" si="275"/>
        <v>187.70931447689617</v>
      </c>
      <c r="K619" s="360">
        <f t="shared" ca="1" si="276"/>
        <v>-5.9182349122236433</v>
      </c>
      <c r="L619" s="357">
        <f t="shared" ca="1" si="261"/>
        <v>187.80258849617212</v>
      </c>
      <c r="M619" s="359">
        <f t="shared" ca="1" si="277"/>
        <v>-1.4289619020083253</v>
      </c>
      <c r="N619" s="357">
        <f t="shared" ca="1" si="278"/>
        <v>-81.873486070063748</v>
      </c>
      <c r="O619" s="343"/>
      <c r="P619" s="363">
        <f t="shared" ca="1" si="279"/>
        <v>23</v>
      </c>
      <c r="Q619" s="357">
        <f t="shared" ca="1" si="280"/>
        <v>0</v>
      </c>
      <c r="R619" s="359">
        <f t="shared" ca="1" si="281"/>
        <v>0</v>
      </c>
      <c r="S619" s="360">
        <f t="shared" ca="1" si="282"/>
        <v>1.5629999999999982</v>
      </c>
      <c r="T619" s="357">
        <f t="shared" ca="1" si="262"/>
        <v>15.333029999999983</v>
      </c>
      <c r="U619" s="364">
        <f t="shared" ca="1" si="263"/>
        <v>0</v>
      </c>
      <c r="V619" s="359">
        <f t="shared" ca="1" si="264"/>
        <v>1.2257251983714634</v>
      </c>
      <c r="W619" s="357">
        <f t="shared" ca="1" si="265"/>
        <v>6.0673398264824563</v>
      </c>
      <c r="X619" s="343"/>
      <c r="Y619" s="367" t="str">
        <f t="shared" ca="1" si="283"/>
        <v/>
      </c>
      <c r="Z619" s="368" t="str">
        <f t="shared" ca="1" si="284"/>
        <v/>
      </c>
      <c r="AA619" s="369" t="str">
        <f t="shared" ca="1" si="285"/>
        <v/>
      </c>
      <c r="AB619" s="344"/>
      <c r="AC619" s="363" t="e">
        <f t="shared" ca="1" si="286"/>
        <v>#N/A</v>
      </c>
      <c r="AD619" s="376" t="e">
        <f t="shared" ca="1" si="287"/>
        <v>#N/A</v>
      </c>
      <c r="AE619" s="377" t="e">
        <f t="shared" ca="1" si="266"/>
        <v>#N/A</v>
      </c>
      <c r="AF619" s="344"/>
      <c r="AG619" s="359">
        <f t="shared" ca="1" si="288"/>
        <v>5.8297029555418725</v>
      </c>
      <c r="AH619" s="357">
        <f t="shared" ca="1" si="289"/>
        <v>-3.8817855959238234</v>
      </c>
    </row>
    <row r="620" spans="1:34" x14ac:dyDescent="0.2">
      <c r="A620" s="402">
        <f t="shared" ca="1" si="267"/>
        <v>1E-4</v>
      </c>
      <c r="B620" s="357">
        <f t="shared" ca="1" si="268"/>
        <v>15.627999999999897</v>
      </c>
      <c r="C620" s="342"/>
      <c r="D620" s="359">
        <f t="shared" ca="1" si="269"/>
        <v>-0.54873656308424479</v>
      </c>
      <c r="E620" s="360">
        <f t="shared" ca="1" si="270"/>
        <v>-5.9671249411894358</v>
      </c>
      <c r="F620" s="357">
        <f t="shared" ca="1" si="271"/>
        <v>5.9923027192749982</v>
      </c>
      <c r="G620" s="359">
        <f t="shared" ca="1" si="272"/>
        <v>9.5337620764357229</v>
      </c>
      <c r="H620" s="360">
        <f t="shared" ca="1" si="273"/>
        <v>-66.767183518464478</v>
      </c>
      <c r="I620" s="357">
        <f t="shared" ca="1" si="274"/>
        <v>67.444417221282279</v>
      </c>
      <c r="J620" s="359">
        <f t="shared" ca="1" si="275"/>
        <v>187.70931447689617</v>
      </c>
      <c r="K620" s="360">
        <f t="shared" ca="1" si="276"/>
        <v>-5.9249116007398648</v>
      </c>
      <c r="L620" s="357">
        <f t="shared" ca="1" si="261"/>
        <v>187.80279901764743</v>
      </c>
      <c r="M620" s="359">
        <f t="shared" ca="1" si="277"/>
        <v>-1.4289639581240656</v>
      </c>
      <c r="N620" s="357">
        <f t="shared" ca="1" si="278"/>
        <v>-81.873603876817867</v>
      </c>
      <c r="O620" s="343"/>
      <c r="P620" s="363">
        <f t="shared" ca="1" si="279"/>
        <v>23</v>
      </c>
      <c r="Q620" s="357">
        <f t="shared" ca="1" si="280"/>
        <v>0</v>
      </c>
      <c r="R620" s="359">
        <f t="shared" ca="1" si="281"/>
        <v>0</v>
      </c>
      <c r="S620" s="360">
        <f t="shared" ca="1" si="282"/>
        <v>1.5629999999999982</v>
      </c>
      <c r="T620" s="357">
        <f t="shared" ca="1" si="262"/>
        <v>15.333029999999983</v>
      </c>
      <c r="U620" s="364">
        <f t="shared" ca="1" si="263"/>
        <v>0</v>
      </c>
      <c r="V620" s="359">
        <f t="shared" ca="1" si="264"/>
        <v>1.2257260167503441</v>
      </c>
      <c r="W620" s="357">
        <f t="shared" ca="1" si="265"/>
        <v>6.0674487664188437</v>
      </c>
      <c r="X620" s="343"/>
      <c r="Y620" s="367" t="str">
        <f t="shared" ca="1" si="283"/>
        <v/>
      </c>
      <c r="Z620" s="368" t="str">
        <f t="shared" ca="1" si="284"/>
        <v/>
      </c>
      <c r="AA620" s="369" t="str">
        <f t="shared" ca="1" si="285"/>
        <v/>
      </c>
      <c r="AB620" s="344"/>
      <c r="AC620" s="363" t="e">
        <f t="shared" ca="1" si="286"/>
        <v>#N/A</v>
      </c>
      <c r="AD620" s="376" t="e">
        <f t="shared" ca="1" si="287"/>
        <v>#N/A</v>
      </c>
      <c r="AE620" s="377" t="e">
        <f t="shared" ca="1" si="266"/>
        <v>#N/A</v>
      </c>
      <c r="AF620" s="344"/>
      <c r="AG620" s="359">
        <f t="shared" ca="1" si="288"/>
        <v>5.8296361075858645</v>
      </c>
      <c r="AH620" s="357">
        <f t="shared" ca="1" si="289"/>
        <v>-3.8818552952542951</v>
      </c>
    </row>
    <row r="621" spans="1:34" x14ac:dyDescent="0.2">
      <c r="A621" s="402">
        <f t="shared" ca="1" si="267"/>
        <v>1E-4</v>
      </c>
      <c r="B621" s="357">
        <f t="shared" ca="1" si="268"/>
        <v>15.628099999999897</v>
      </c>
      <c r="C621" s="342"/>
      <c r="D621" s="359">
        <f t="shared" ca="1" si="269"/>
        <v>-0.54873851418716491</v>
      </c>
      <c r="E621" s="360">
        <f t="shared" ca="1" si="270"/>
        <v>-5.9670548135514947</v>
      </c>
      <c r="F621" s="357">
        <f t="shared" ca="1" si="271"/>
        <v>5.9922330649667161</v>
      </c>
      <c r="G621" s="359">
        <f t="shared" ca="1" si="272"/>
        <v>9.5337072025843046</v>
      </c>
      <c r="H621" s="360">
        <f t="shared" ca="1" si="273"/>
        <v>-66.767780223945834</v>
      </c>
      <c r="I621" s="357">
        <f t="shared" ca="1" si="274"/>
        <v>67.44500017835081</v>
      </c>
      <c r="J621" s="359">
        <f t="shared" ca="1" si="275"/>
        <v>187.70931447689617</v>
      </c>
      <c r="K621" s="360">
        <f t="shared" ca="1" si="276"/>
        <v>-5.9315883489269856</v>
      </c>
      <c r="L621" s="357">
        <f t="shared" ca="1" si="261"/>
        <v>187.80300977813806</v>
      </c>
      <c r="M621" s="359">
        <f t="shared" ca="1" si="277"/>
        <v>-1.4289660141924276</v>
      </c>
      <c r="N621" s="357">
        <f t="shared" ca="1" si="278"/>
        <v>-81.8737216808574</v>
      </c>
      <c r="O621" s="343"/>
      <c r="P621" s="363">
        <f t="shared" ca="1" si="279"/>
        <v>23</v>
      </c>
      <c r="Q621" s="357">
        <f t="shared" ca="1" si="280"/>
        <v>0</v>
      </c>
      <c r="R621" s="359">
        <f t="shared" ca="1" si="281"/>
        <v>0</v>
      </c>
      <c r="S621" s="360">
        <f t="shared" ca="1" si="282"/>
        <v>1.5629999999999982</v>
      </c>
      <c r="T621" s="357">
        <f t="shared" ca="1" si="262"/>
        <v>15.333029999999983</v>
      </c>
      <c r="U621" s="364">
        <f t="shared" ca="1" si="263"/>
        <v>0</v>
      </c>
      <c r="V621" s="359">
        <f t="shared" ca="1" si="264"/>
        <v>1.2257268351370849</v>
      </c>
      <c r="W621" s="357">
        <f t="shared" ca="1" si="265"/>
        <v>6.0675577062380608</v>
      </c>
      <c r="X621" s="343"/>
      <c r="Y621" s="367" t="str">
        <f t="shared" ca="1" si="283"/>
        <v/>
      </c>
      <c r="Z621" s="368" t="str">
        <f t="shared" ca="1" si="284"/>
        <v/>
      </c>
      <c r="AA621" s="369" t="str">
        <f t="shared" ca="1" si="285"/>
        <v/>
      </c>
      <c r="AB621" s="344"/>
      <c r="AC621" s="363" t="e">
        <f t="shared" ca="1" si="286"/>
        <v>#N/A</v>
      </c>
      <c r="AD621" s="376" t="e">
        <f t="shared" ca="1" si="287"/>
        <v>#N/A</v>
      </c>
      <c r="AE621" s="377" t="e">
        <f t="shared" ca="1" si="266"/>
        <v>#N/A</v>
      </c>
      <c r="AF621" s="344"/>
      <c r="AG621" s="359">
        <f t="shared" ca="1" si="288"/>
        <v>5.8295692595980455</v>
      </c>
      <c r="AH621" s="357">
        <f t="shared" ca="1" si="289"/>
        <v>-3.8819249945098213</v>
      </c>
    </row>
    <row r="622" spans="1:34" x14ac:dyDescent="0.2">
      <c r="A622" s="402">
        <f t="shared" ca="1" si="267"/>
        <v>1E-4</v>
      </c>
      <c r="B622" s="357">
        <f t="shared" ca="1" si="268"/>
        <v>15.628199999999897</v>
      </c>
      <c r="C622" s="342"/>
      <c r="D622" s="359">
        <f t="shared" ca="1" si="269"/>
        <v>-0.54874046517550257</v>
      </c>
      <c r="E622" s="360">
        <f t="shared" ca="1" si="270"/>
        <v>-5.9669846859894955</v>
      </c>
      <c r="F622" s="357">
        <f t="shared" ca="1" si="271"/>
        <v>5.9921634107352402</v>
      </c>
      <c r="G622" s="359">
        <f t="shared" ca="1" si="272"/>
        <v>9.5336523285377872</v>
      </c>
      <c r="H622" s="360">
        <f t="shared" ca="1" si="273"/>
        <v>-66.768376922414433</v>
      </c>
      <c r="I622" s="357">
        <f t="shared" ca="1" si="274"/>
        <v>67.445583128734512</v>
      </c>
      <c r="J622" s="359">
        <f t="shared" ca="1" si="275"/>
        <v>187.70931447689617</v>
      </c>
      <c r="K622" s="360">
        <f t="shared" ca="1" si="276"/>
        <v>-5.9382651567843032</v>
      </c>
      <c r="L622" s="357">
        <f t="shared" ca="1" si="261"/>
        <v>187.80322077764953</v>
      </c>
      <c r="M622" s="359">
        <f t="shared" ca="1" si="277"/>
        <v>-1.4289680702134133</v>
      </c>
      <c r="N622" s="357">
        <f t="shared" ca="1" si="278"/>
        <v>-81.873839482182476</v>
      </c>
      <c r="O622" s="343"/>
      <c r="P622" s="363">
        <f t="shared" ca="1" si="279"/>
        <v>23</v>
      </c>
      <c r="Q622" s="357">
        <f t="shared" ca="1" si="280"/>
        <v>0</v>
      </c>
      <c r="R622" s="359">
        <f t="shared" ca="1" si="281"/>
        <v>0</v>
      </c>
      <c r="S622" s="360">
        <f t="shared" ca="1" si="282"/>
        <v>1.5629999999999982</v>
      </c>
      <c r="T622" s="357">
        <f t="shared" ca="1" si="262"/>
        <v>15.333029999999983</v>
      </c>
      <c r="U622" s="364">
        <f t="shared" ca="1" si="263"/>
        <v>0</v>
      </c>
      <c r="V622" s="359">
        <f t="shared" ca="1" si="264"/>
        <v>1.2257276535316868</v>
      </c>
      <c r="W622" s="357">
        <f t="shared" ca="1" si="265"/>
        <v>6.0676666459400703</v>
      </c>
      <c r="X622" s="343"/>
      <c r="Y622" s="367" t="str">
        <f t="shared" ca="1" si="283"/>
        <v/>
      </c>
      <c r="Z622" s="368" t="str">
        <f t="shared" ca="1" si="284"/>
        <v/>
      </c>
      <c r="AA622" s="369" t="str">
        <f t="shared" ca="1" si="285"/>
        <v/>
      </c>
      <c r="AB622" s="344"/>
      <c r="AC622" s="363" t="e">
        <f t="shared" ca="1" si="286"/>
        <v>#N/A</v>
      </c>
      <c r="AD622" s="376" t="e">
        <f t="shared" ca="1" si="287"/>
        <v>#N/A</v>
      </c>
      <c r="AE622" s="377" t="e">
        <f t="shared" ca="1" si="266"/>
        <v>#N/A</v>
      </c>
      <c r="AF622" s="344"/>
      <c r="AG622" s="359">
        <f t="shared" ca="1" si="288"/>
        <v>5.8295024115784351</v>
      </c>
      <c r="AH622" s="357">
        <f t="shared" ca="1" si="289"/>
        <v>-3.8819946936903826</v>
      </c>
    </row>
    <row r="623" spans="1:34" x14ac:dyDescent="0.2">
      <c r="A623" s="402">
        <f t="shared" ca="1" si="267"/>
        <v>1E-4</v>
      </c>
      <c r="B623" s="357">
        <f t="shared" ca="1" si="268"/>
        <v>15.628299999999896</v>
      </c>
      <c r="C623" s="342"/>
      <c r="D623" s="359">
        <f t="shared" ca="1" si="269"/>
        <v>-0.54874241604925733</v>
      </c>
      <c r="E623" s="360">
        <f t="shared" ca="1" si="270"/>
        <v>-5.9669145585034613</v>
      </c>
      <c r="F623" s="357">
        <f t="shared" ca="1" si="271"/>
        <v>5.9920937565805943</v>
      </c>
      <c r="G623" s="359">
        <f t="shared" ca="1" si="272"/>
        <v>9.5335974542961814</v>
      </c>
      <c r="H623" s="360">
        <f t="shared" ca="1" si="273"/>
        <v>-66.768973613870287</v>
      </c>
      <c r="I623" s="357">
        <f t="shared" ca="1" si="274"/>
        <v>67.446166072433428</v>
      </c>
      <c r="J623" s="359">
        <f t="shared" ca="1" si="275"/>
        <v>187.70931447689617</v>
      </c>
      <c r="K623" s="360">
        <f t="shared" ca="1" si="276"/>
        <v>-5.9449420243111177</v>
      </c>
      <c r="L623" s="357">
        <f t="shared" ca="1" si="261"/>
        <v>187.8034320161874</v>
      </c>
      <c r="M623" s="359">
        <f t="shared" ca="1" si="277"/>
        <v>-1.4289701261870242</v>
      </c>
      <c r="N623" s="357">
        <f t="shared" ca="1" si="278"/>
        <v>-81.873957280793164</v>
      </c>
      <c r="O623" s="343"/>
      <c r="P623" s="363">
        <f t="shared" ca="1" si="279"/>
        <v>23</v>
      </c>
      <c r="Q623" s="357">
        <f t="shared" ca="1" si="280"/>
        <v>0</v>
      </c>
      <c r="R623" s="359">
        <f t="shared" ca="1" si="281"/>
        <v>0</v>
      </c>
      <c r="S623" s="360">
        <f t="shared" ca="1" si="282"/>
        <v>1.5629999999999982</v>
      </c>
      <c r="T623" s="357">
        <f t="shared" ca="1" si="262"/>
        <v>15.333029999999983</v>
      </c>
      <c r="U623" s="364">
        <f t="shared" ca="1" si="263"/>
        <v>0</v>
      </c>
      <c r="V623" s="359">
        <f t="shared" ca="1" si="264"/>
        <v>1.2257284719341488</v>
      </c>
      <c r="W623" s="357">
        <f t="shared" ca="1" si="265"/>
        <v>6.0677755855248501</v>
      </c>
      <c r="X623" s="343"/>
      <c r="Y623" s="367" t="str">
        <f t="shared" ca="1" si="283"/>
        <v/>
      </c>
      <c r="Z623" s="368" t="str">
        <f t="shared" ca="1" si="284"/>
        <v/>
      </c>
      <c r="AA623" s="369" t="str">
        <f t="shared" ca="1" si="285"/>
        <v/>
      </c>
      <c r="AB623" s="344"/>
      <c r="AC623" s="363" t="e">
        <f t="shared" ca="1" si="286"/>
        <v>#N/A</v>
      </c>
      <c r="AD623" s="376" t="e">
        <f t="shared" ca="1" si="287"/>
        <v>#N/A</v>
      </c>
      <c r="AE623" s="377" t="e">
        <f t="shared" ca="1" si="266"/>
        <v>#N/A</v>
      </c>
      <c r="AF623" s="344"/>
      <c r="AG623" s="359">
        <f t="shared" ca="1" si="288"/>
        <v>5.8294355635270616</v>
      </c>
      <c r="AH623" s="357">
        <f t="shared" ca="1" si="289"/>
        <v>-3.8820643927959551</v>
      </c>
    </row>
    <row r="624" spans="1:34" x14ac:dyDescent="0.2">
      <c r="A624" s="402">
        <f t="shared" ca="1" si="267"/>
        <v>1E-4</v>
      </c>
      <c r="B624" s="357">
        <f t="shared" ca="1" si="268"/>
        <v>15.628399999999896</v>
      </c>
      <c r="C624" s="342"/>
      <c r="D624" s="359">
        <f t="shared" ca="1" si="269"/>
        <v>-0.54874436680843119</v>
      </c>
      <c r="E624" s="360">
        <f t="shared" ca="1" si="270"/>
        <v>-5.9668444310934063</v>
      </c>
      <c r="F624" s="357">
        <f t="shared" ca="1" si="271"/>
        <v>5.9920241025027918</v>
      </c>
      <c r="G624" s="359">
        <f t="shared" ca="1" si="272"/>
        <v>9.5335425798594997</v>
      </c>
      <c r="H624" s="360">
        <f t="shared" ca="1" si="273"/>
        <v>-66.769570298313397</v>
      </c>
      <c r="I624" s="357">
        <f t="shared" ca="1" si="274"/>
        <v>67.446749009447501</v>
      </c>
      <c r="J624" s="359">
        <f t="shared" ca="1" si="275"/>
        <v>187.70931447689617</v>
      </c>
      <c r="K624" s="360">
        <f t="shared" ca="1" si="276"/>
        <v>-5.9516189515067266</v>
      </c>
      <c r="L624" s="357">
        <f t="shared" ca="1" si="261"/>
        <v>187.80364349375714</v>
      </c>
      <c r="M624" s="359">
        <f t="shared" ca="1" si="277"/>
        <v>-1.4289721821132619</v>
      </c>
      <c r="N624" s="357">
        <f t="shared" ca="1" si="278"/>
        <v>-81.874075076689579</v>
      </c>
      <c r="O624" s="343"/>
      <c r="P624" s="363">
        <f t="shared" ca="1" si="279"/>
        <v>23</v>
      </c>
      <c r="Q624" s="357">
        <f t="shared" ca="1" si="280"/>
        <v>0</v>
      </c>
      <c r="R624" s="359">
        <f t="shared" ca="1" si="281"/>
        <v>0</v>
      </c>
      <c r="S624" s="360">
        <f t="shared" ca="1" si="282"/>
        <v>1.5629999999999982</v>
      </c>
      <c r="T624" s="357">
        <f t="shared" ca="1" si="262"/>
        <v>15.333029999999983</v>
      </c>
      <c r="U624" s="364">
        <f t="shared" ca="1" si="263"/>
        <v>0</v>
      </c>
      <c r="V624" s="359">
        <f t="shared" ca="1" si="264"/>
        <v>1.2257292903444712</v>
      </c>
      <c r="W624" s="357">
        <f t="shared" ca="1" si="265"/>
        <v>6.067884524992361</v>
      </c>
      <c r="X624" s="343"/>
      <c r="Y624" s="367" t="str">
        <f t="shared" ca="1" si="283"/>
        <v/>
      </c>
      <c r="Z624" s="368" t="str">
        <f t="shared" ca="1" si="284"/>
        <v/>
      </c>
      <c r="AA624" s="369" t="str">
        <f t="shared" ca="1" si="285"/>
        <v/>
      </c>
      <c r="AB624" s="344"/>
      <c r="AC624" s="363" t="e">
        <f t="shared" ca="1" si="286"/>
        <v>#N/A</v>
      </c>
      <c r="AD624" s="376" t="e">
        <f t="shared" ca="1" si="287"/>
        <v>#N/A</v>
      </c>
      <c r="AE624" s="377" t="e">
        <f t="shared" ca="1" si="266"/>
        <v>#N/A</v>
      </c>
      <c r="AF624" s="344"/>
      <c r="AG624" s="359">
        <f t="shared" ca="1" si="288"/>
        <v>5.8293687154439464</v>
      </c>
      <c r="AH624" s="357">
        <f t="shared" ca="1" si="289"/>
        <v>-3.8821340918265239</v>
      </c>
    </row>
    <row r="625" spans="1:34" x14ac:dyDescent="0.2">
      <c r="A625" s="402">
        <f t="shared" ca="1" si="267"/>
        <v>1E-4</v>
      </c>
      <c r="B625" s="357">
        <f t="shared" ca="1" si="268"/>
        <v>15.628499999999896</v>
      </c>
      <c r="C625" s="342"/>
      <c r="D625" s="359">
        <f t="shared" ca="1" si="269"/>
        <v>-0.54874631745302516</v>
      </c>
      <c r="E625" s="360">
        <f t="shared" ca="1" si="270"/>
        <v>-5.9667743037593564</v>
      </c>
      <c r="F625" s="357">
        <f t="shared" ca="1" si="271"/>
        <v>5.9919544485018577</v>
      </c>
      <c r="G625" s="359">
        <f t="shared" ca="1" si="272"/>
        <v>9.5334877052277545</v>
      </c>
      <c r="H625" s="360">
        <f t="shared" ca="1" si="273"/>
        <v>-66.770166975743777</v>
      </c>
      <c r="I625" s="357">
        <f t="shared" ca="1" si="274"/>
        <v>67.447331939776788</v>
      </c>
      <c r="J625" s="359">
        <f t="shared" ca="1" si="275"/>
        <v>187.70931447689617</v>
      </c>
      <c r="K625" s="360">
        <f t="shared" ca="1" si="276"/>
        <v>-5.958295938370429</v>
      </c>
      <c r="L625" s="357">
        <f t="shared" ca="1" si="261"/>
        <v>187.80385521036436</v>
      </c>
      <c r="M625" s="359">
        <f t="shared" ca="1" si="277"/>
        <v>-1.4289742379921284</v>
      </c>
      <c r="N625" s="357">
        <f t="shared" ca="1" si="278"/>
        <v>-81.87419286987182</v>
      </c>
      <c r="O625" s="343"/>
      <c r="P625" s="363">
        <f t="shared" ca="1" si="279"/>
        <v>23</v>
      </c>
      <c r="Q625" s="357">
        <f t="shared" ca="1" si="280"/>
        <v>0</v>
      </c>
      <c r="R625" s="359">
        <f t="shared" ca="1" si="281"/>
        <v>0</v>
      </c>
      <c r="S625" s="360">
        <f t="shared" ca="1" si="282"/>
        <v>1.5629999999999982</v>
      </c>
      <c r="T625" s="357">
        <f t="shared" ca="1" si="262"/>
        <v>15.333029999999983</v>
      </c>
      <c r="U625" s="364">
        <f t="shared" ca="1" si="263"/>
        <v>0</v>
      </c>
      <c r="V625" s="359">
        <f t="shared" ca="1" si="264"/>
        <v>1.2257301087626542</v>
      </c>
      <c r="W625" s="357">
        <f t="shared" ca="1" si="265"/>
        <v>6.0679934643425826</v>
      </c>
      <c r="X625" s="343"/>
      <c r="Y625" s="367" t="str">
        <f t="shared" ca="1" si="283"/>
        <v/>
      </c>
      <c r="Z625" s="368" t="str">
        <f t="shared" ca="1" si="284"/>
        <v/>
      </c>
      <c r="AA625" s="369" t="str">
        <f t="shared" ca="1" si="285"/>
        <v/>
      </c>
      <c r="AB625" s="344"/>
      <c r="AC625" s="363" t="e">
        <f t="shared" ca="1" si="286"/>
        <v>#N/A</v>
      </c>
      <c r="AD625" s="376" t="e">
        <f t="shared" ca="1" si="287"/>
        <v>#N/A</v>
      </c>
      <c r="AE625" s="377" t="e">
        <f t="shared" ca="1" si="266"/>
        <v>#N/A</v>
      </c>
      <c r="AF625" s="344"/>
      <c r="AG625" s="359">
        <f t="shared" ca="1" si="288"/>
        <v>5.8293018673291188</v>
      </c>
      <c r="AH625" s="357">
        <f t="shared" ca="1" si="289"/>
        <v>-3.8822037907820652</v>
      </c>
    </row>
    <row r="626" spans="1:34" x14ac:dyDescent="0.2">
      <c r="A626" s="402">
        <f t="shared" ca="1" si="267"/>
        <v>1E-4</v>
      </c>
      <c r="B626" s="357">
        <f t="shared" ca="1" si="268"/>
        <v>15.628599999999896</v>
      </c>
      <c r="C626" s="342"/>
      <c r="D626" s="359">
        <f t="shared" ca="1" si="269"/>
        <v>-0.54874826798304022</v>
      </c>
      <c r="E626" s="360">
        <f t="shared" ca="1" si="270"/>
        <v>-5.9667041765013238</v>
      </c>
      <c r="F626" s="357">
        <f t="shared" ca="1" si="271"/>
        <v>5.9918847945778069</v>
      </c>
      <c r="G626" s="359">
        <f t="shared" ca="1" si="272"/>
        <v>9.5334328304009563</v>
      </c>
      <c r="H626" s="360">
        <f t="shared" ca="1" si="273"/>
        <v>-66.770763646161427</v>
      </c>
      <c r="I626" s="357">
        <f t="shared" ca="1" si="274"/>
        <v>67.447914863421232</v>
      </c>
      <c r="J626" s="359">
        <f t="shared" ca="1" si="275"/>
        <v>187.70931447689617</v>
      </c>
      <c r="K626" s="360">
        <f t="shared" ca="1" si="276"/>
        <v>-5.9649729849015243</v>
      </c>
      <c r="L626" s="357">
        <f t="shared" ca="1" si="261"/>
        <v>187.80406716601456</v>
      </c>
      <c r="M626" s="359">
        <f t="shared" ca="1" si="277"/>
        <v>-1.428976293823625</v>
      </c>
      <c r="N626" s="357">
        <f t="shared" ca="1" si="278"/>
        <v>-81.874310660339958</v>
      </c>
      <c r="O626" s="343"/>
      <c r="P626" s="363">
        <f t="shared" ca="1" si="279"/>
        <v>23</v>
      </c>
      <c r="Q626" s="357">
        <f t="shared" ca="1" si="280"/>
        <v>0</v>
      </c>
      <c r="R626" s="359">
        <f t="shared" ca="1" si="281"/>
        <v>0</v>
      </c>
      <c r="S626" s="360">
        <f t="shared" ca="1" si="282"/>
        <v>1.5629999999999982</v>
      </c>
      <c r="T626" s="357">
        <f t="shared" ca="1" si="262"/>
        <v>15.333029999999983</v>
      </c>
      <c r="U626" s="364">
        <f t="shared" ca="1" si="263"/>
        <v>0</v>
      </c>
      <c r="V626" s="359">
        <f t="shared" ca="1" si="264"/>
        <v>1.2257309271886971</v>
      </c>
      <c r="W626" s="357">
        <f t="shared" ca="1" si="265"/>
        <v>6.0681024035754731</v>
      </c>
      <c r="X626" s="343"/>
      <c r="Y626" s="367" t="str">
        <f t="shared" ca="1" si="283"/>
        <v/>
      </c>
      <c r="Z626" s="368" t="str">
        <f t="shared" ca="1" si="284"/>
        <v/>
      </c>
      <c r="AA626" s="369" t="str">
        <f t="shared" ca="1" si="285"/>
        <v/>
      </c>
      <c r="AB626" s="344"/>
      <c r="AC626" s="363" t="e">
        <f t="shared" ca="1" si="286"/>
        <v>#N/A</v>
      </c>
      <c r="AD626" s="376" t="e">
        <f t="shared" ca="1" si="287"/>
        <v>#N/A</v>
      </c>
      <c r="AE626" s="377" t="e">
        <f t="shared" ca="1" si="266"/>
        <v>#N/A</v>
      </c>
      <c r="AF626" s="344"/>
      <c r="AG626" s="359">
        <f t="shared" ca="1" si="288"/>
        <v>5.8292350191826001</v>
      </c>
      <c r="AH626" s="357">
        <f t="shared" ca="1" si="289"/>
        <v>-3.8822734896625652</v>
      </c>
    </row>
    <row r="627" spans="1:34" x14ac:dyDescent="0.2">
      <c r="A627" s="402">
        <f t="shared" ca="1" si="267"/>
        <v>1E-4</v>
      </c>
      <c r="B627" s="357">
        <f t="shared" ca="1" si="268"/>
        <v>15.628699999999895</v>
      </c>
      <c r="C627" s="342"/>
      <c r="D627" s="359">
        <f t="shared" ca="1" si="269"/>
        <v>-0.54875021839847749</v>
      </c>
      <c r="E627" s="360">
        <f t="shared" ca="1" si="270"/>
        <v>-5.9666340493193371</v>
      </c>
      <c r="F627" s="357">
        <f t="shared" ca="1" si="271"/>
        <v>5.9918151407306661</v>
      </c>
      <c r="G627" s="359">
        <f t="shared" ca="1" si="272"/>
        <v>9.533377955379116</v>
      </c>
      <c r="H627" s="360">
        <f t="shared" ca="1" si="273"/>
        <v>-66.771360309566361</v>
      </c>
      <c r="I627" s="357">
        <f t="shared" ca="1" si="274"/>
        <v>67.448497780380862</v>
      </c>
      <c r="J627" s="359">
        <f t="shared" ca="1" si="275"/>
        <v>187.70931447689617</v>
      </c>
      <c r="K627" s="360">
        <f t="shared" ca="1" si="276"/>
        <v>-5.9716500910993107</v>
      </c>
      <c r="L627" s="357">
        <f t="shared" ca="1" si="261"/>
        <v>187.80427936071325</v>
      </c>
      <c r="M627" s="359">
        <f t="shared" ca="1" si="277"/>
        <v>-1.4289783496077535</v>
      </c>
      <c r="N627" s="357">
        <f t="shared" ca="1" si="278"/>
        <v>-81.874428448094108</v>
      </c>
      <c r="O627" s="343"/>
      <c r="P627" s="363">
        <f t="shared" ca="1" si="279"/>
        <v>23</v>
      </c>
      <c r="Q627" s="357">
        <f t="shared" ca="1" si="280"/>
        <v>0</v>
      </c>
      <c r="R627" s="359">
        <f t="shared" ca="1" si="281"/>
        <v>0</v>
      </c>
      <c r="S627" s="360">
        <f t="shared" ca="1" si="282"/>
        <v>1.5629999999999982</v>
      </c>
      <c r="T627" s="357">
        <f t="shared" ca="1" si="262"/>
        <v>15.333029999999983</v>
      </c>
      <c r="U627" s="364">
        <f t="shared" ca="1" si="263"/>
        <v>0</v>
      </c>
      <c r="V627" s="359">
        <f t="shared" ca="1" si="264"/>
        <v>1.2257317456226002</v>
      </c>
      <c r="W627" s="357">
        <f t="shared" ca="1" si="265"/>
        <v>6.0682113426910078</v>
      </c>
      <c r="X627" s="343"/>
      <c r="Y627" s="367" t="str">
        <f t="shared" ca="1" si="283"/>
        <v/>
      </c>
      <c r="Z627" s="368" t="str">
        <f t="shared" ca="1" si="284"/>
        <v/>
      </c>
      <c r="AA627" s="369" t="str">
        <f t="shared" ca="1" si="285"/>
        <v/>
      </c>
      <c r="AB627" s="344"/>
      <c r="AC627" s="363" t="e">
        <f t="shared" ca="1" si="286"/>
        <v>#N/A</v>
      </c>
      <c r="AD627" s="376" t="e">
        <f t="shared" ca="1" si="287"/>
        <v>#N/A</v>
      </c>
      <c r="AE627" s="377" t="e">
        <f t="shared" ca="1" si="266"/>
        <v>#N/A</v>
      </c>
      <c r="AF627" s="344"/>
      <c r="AG627" s="359">
        <f t="shared" ca="1" si="288"/>
        <v>5.829168171004417</v>
      </c>
      <c r="AH627" s="357">
        <f t="shared" ca="1" si="289"/>
        <v>-3.8823431884679978</v>
      </c>
    </row>
    <row r="628" spans="1:34" x14ac:dyDescent="0.2">
      <c r="A628" s="402">
        <f t="shared" ca="1" si="267"/>
        <v>1E-4</v>
      </c>
      <c r="B628" s="357">
        <f t="shared" ca="1" si="268"/>
        <v>15.628799999999895</v>
      </c>
      <c r="C628" s="342"/>
      <c r="D628" s="359">
        <f t="shared" ca="1" si="269"/>
        <v>-0.54875216869933841</v>
      </c>
      <c r="E628" s="360">
        <f t="shared" ca="1" si="270"/>
        <v>-5.9665639222134104</v>
      </c>
      <c r="F628" s="357">
        <f t="shared" ca="1" si="271"/>
        <v>5.9917454869604487</v>
      </c>
      <c r="G628" s="359">
        <f t="shared" ca="1" si="272"/>
        <v>9.5333230801622459</v>
      </c>
      <c r="H628" s="360">
        <f t="shared" ca="1" si="273"/>
        <v>-66.77195696595858</v>
      </c>
      <c r="I628" s="357">
        <f t="shared" ca="1" si="274"/>
        <v>67.449080690655663</v>
      </c>
      <c r="J628" s="359">
        <f t="shared" ca="1" si="275"/>
        <v>187.70931447689617</v>
      </c>
      <c r="K628" s="360">
        <f t="shared" ca="1" si="276"/>
        <v>-5.9783272569630865</v>
      </c>
      <c r="L628" s="357">
        <f t="shared" ca="1" si="261"/>
        <v>187.804491794466</v>
      </c>
      <c r="M628" s="359">
        <f t="shared" ca="1" si="277"/>
        <v>-1.4289804053445159</v>
      </c>
      <c r="N628" s="357">
        <f t="shared" ca="1" si="278"/>
        <v>-81.874546233134382</v>
      </c>
      <c r="O628" s="343"/>
      <c r="P628" s="363">
        <f t="shared" ca="1" si="279"/>
        <v>23</v>
      </c>
      <c r="Q628" s="357">
        <f t="shared" ca="1" si="280"/>
        <v>0</v>
      </c>
      <c r="R628" s="359">
        <f t="shared" ca="1" si="281"/>
        <v>0</v>
      </c>
      <c r="S628" s="360">
        <f t="shared" ca="1" si="282"/>
        <v>1.5629999999999982</v>
      </c>
      <c r="T628" s="357">
        <f t="shared" ca="1" si="262"/>
        <v>15.333029999999983</v>
      </c>
      <c r="U628" s="364">
        <f t="shared" ca="1" si="263"/>
        <v>0</v>
      </c>
      <c r="V628" s="359">
        <f t="shared" ca="1" si="264"/>
        <v>1.2257325640643637</v>
      </c>
      <c r="W628" s="357">
        <f t="shared" ca="1" si="265"/>
        <v>6.0683202816891573</v>
      </c>
      <c r="X628" s="343"/>
      <c r="Y628" s="367" t="str">
        <f t="shared" ca="1" si="283"/>
        <v/>
      </c>
      <c r="Z628" s="368" t="str">
        <f t="shared" ca="1" si="284"/>
        <v/>
      </c>
      <c r="AA628" s="369" t="str">
        <f t="shared" ca="1" si="285"/>
        <v/>
      </c>
      <c r="AB628" s="344"/>
      <c r="AC628" s="363" t="e">
        <f t="shared" ca="1" si="286"/>
        <v>#N/A</v>
      </c>
      <c r="AD628" s="376" t="e">
        <f t="shared" ca="1" si="287"/>
        <v>#N/A</v>
      </c>
      <c r="AE628" s="377" t="e">
        <f t="shared" ca="1" si="266"/>
        <v>#N/A</v>
      </c>
      <c r="AF628" s="344"/>
      <c r="AG628" s="359">
        <f t="shared" ca="1" si="288"/>
        <v>5.8291013227945943</v>
      </c>
      <c r="AH628" s="357">
        <f t="shared" ca="1" si="289"/>
        <v>-3.8824128871983459</v>
      </c>
    </row>
    <row r="629" spans="1:34" x14ac:dyDescent="0.2">
      <c r="A629" s="402">
        <f t="shared" ca="1" si="267"/>
        <v>1E-4</v>
      </c>
      <c r="B629" s="357">
        <f t="shared" ca="1" si="268"/>
        <v>15.628899999999895</v>
      </c>
      <c r="C629" s="342"/>
      <c r="D629" s="359">
        <f t="shared" ca="1" si="269"/>
        <v>-0.54875411888562287</v>
      </c>
      <c r="E629" s="360">
        <f t="shared" ca="1" si="270"/>
        <v>-5.9664937951835633</v>
      </c>
      <c r="F629" s="357">
        <f t="shared" ca="1" si="271"/>
        <v>5.9916758332671751</v>
      </c>
      <c r="G629" s="359">
        <f t="shared" ca="1" si="272"/>
        <v>9.5332682047503567</v>
      </c>
      <c r="H629" s="360">
        <f t="shared" ca="1" si="273"/>
        <v>-66.772553615338097</v>
      </c>
      <c r="I629" s="357">
        <f t="shared" ca="1" si="274"/>
        <v>67.449663594245635</v>
      </c>
      <c r="J629" s="359">
        <f t="shared" ca="1" si="275"/>
        <v>187.70931447689617</v>
      </c>
      <c r="K629" s="360">
        <f t="shared" ca="1" si="276"/>
        <v>-5.9850044824921511</v>
      </c>
      <c r="L629" s="357">
        <f t="shared" ca="1" si="261"/>
        <v>187.80470446727833</v>
      </c>
      <c r="M629" s="359">
        <f t="shared" ca="1" si="277"/>
        <v>-1.4289824610339135</v>
      </c>
      <c r="N629" s="357">
        <f t="shared" ca="1" si="278"/>
        <v>-81.874664015460851</v>
      </c>
      <c r="O629" s="343"/>
      <c r="P629" s="363">
        <f t="shared" ca="1" si="279"/>
        <v>23</v>
      </c>
      <c r="Q629" s="357">
        <f t="shared" ca="1" si="280"/>
        <v>0</v>
      </c>
      <c r="R629" s="359">
        <f t="shared" ca="1" si="281"/>
        <v>0</v>
      </c>
      <c r="S629" s="360">
        <f t="shared" ca="1" si="282"/>
        <v>1.5629999999999982</v>
      </c>
      <c r="T629" s="357">
        <f t="shared" ca="1" si="262"/>
        <v>15.333029999999983</v>
      </c>
      <c r="U629" s="364">
        <f t="shared" ca="1" si="263"/>
        <v>0</v>
      </c>
      <c r="V629" s="359">
        <f t="shared" ca="1" si="264"/>
        <v>1.2257333825139871</v>
      </c>
      <c r="W629" s="357">
        <f t="shared" ca="1" si="265"/>
        <v>6.068429220569886</v>
      </c>
      <c r="X629" s="343"/>
      <c r="Y629" s="367" t="str">
        <f t="shared" ca="1" si="283"/>
        <v/>
      </c>
      <c r="Z629" s="368" t="str">
        <f t="shared" ca="1" si="284"/>
        <v/>
      </c>
      <c r="AA629" s="369" t="str">
        <f t="shared" ca="1" si="285"/>
        <v/>
      </c>
      <c r="AB629" s="344"/>
      <c r="AC629" s="363" t="e">
        <f t="shared" ca="1" si="286"/>
        <v>#N/A</v>
      </c>
      <c r="AD629" s="376" t="e">
        <f t="shared" ca="1" si="287"/>
        <v>#N/A</v>
      </c>
      <c r="AE629" s="377" t="e">
        <f t="shared" ca="1" si="266"/>
        <v>#N/A</v>
      </c>
      <c r="AF629" s="344"/>
      <c r="AG629" s="359">
        <f t="shared" ca="1" si="288"/>
        <v>5.829034474553155</v>
      </c>
      <c r="AH629" s="357">
        <f t="shared" ca="1" si="289"/>
        <v>-3.8824825858535918</v>
      </c>
    </row>
    <row r="630" spans="1:34" x14ac:dyDescent="0.2">
      <c r="A630" s="402">
        <f t="shared" ca="1" si="267"/>
        <v>1E-4</v>
      </c>
      <c r="B630" s="357">
        <f t="shared" ca="1" si="268"/>
        <v>15.628999999999895</v>
      </c>
      <c r="C630" s="342"/>
      <c r="D630" s="359">
        <f t="shared" ca="1" si="269"/>
        <v>-0.54875606895733309</v>
      </c>
      <c r="E630" s="360">
        <f t="shared" ca="1" si="270"/>
        <v>-5.9664236682298171</v>
      </c>
      <c r="F630" s="357">
        <f t="shared" ca="1" si="271"/>
        <v>5.9916061796508666</v>
      </c>
      <c r="G630" s="359">
        <f t="shared" ca="1" si="272"/>
        <v>9.5332133291434609</v>
      </c>
      <c r="H630" s="360">
        <f t="shared" ca="1" si="273"/>
        <v>-66.773150257704927</v>
      </c>
      <c r="I630" s="357">
        <f t="shared" ca="1" si="274"/>
        <v>67.450246491150779</v>
      </c>
      <c r="J630" s="359">
        <f t="shared" ca="1" si="275"/>
        <v>187.70931447689617</v>
      </c>
      <c r="K630" s="360">
        <f t="shared" ca="1" si="276"/>
        <v>-5.9916817676858036</v>
      </c>
      <c r="L630" s="357">
        <f t="shared" ca="1" si="261"/>
        <v>187.80491737915574</v>
      </c>
      <c r="M630" s="359">
        <f t="shared" ca="1" si="277"/>
        <v>-1.4289845166759481</v>
      </c>
      <c r="N630" s="357">
        <f t="shared" ca="1" si="278"/>
        <v>-81.874781795073631</v>
      </c>
      <c r="O630" s="343"/>
      <c r="P630" s="363">
        <f t="shared" ca="1" si="279"/>
        <v>23</v>
      </c>
      <c r="Q630" s="357">
        <f t="shared" ca="1" si="280"/>
        <v>0</v>
      </c>
      <c r="R630" s="359">
        <f t="shared" ca="1" si="281"/>
        <v>0</v>
      </c>
      <c r="S630" s="360">
        <f t="shared" ca="1" si="282"/>
        <v>1.5629999999999982</v>
      </c>
      <c r="T630" s="357">
        <f t="shared" ca="1" si="262"/>
        <v>15.333029999999983</v>
      </c>
      <c r="U630" s="364">
        <f t="shared" ca="1" si="263"/>
        <v>0</v>
      </c>
      <c r="V630" s="359">
        <f t="shared" ca="1" si="264"/>
        <v>1.2257342009714702</v>
      </c>
      <c r="W630" s="357">
        <f t="shared" ca="1" si="265"/>
        <v>6.0685381593331673</v>
      </c>
      <c r="X630" s="343"/>
      <c r="Y630" s="367" t="str">
        <f t="shared" ca="1" si="283"/>
        <v/>
      </c>
      <c r="Z630" s="368" t="str">
        <f t="shared" ca="1" si="284"/>
        <v/>
      </c>
      <c r="AA630" s="369" t="str">
        <f t="shared" ca="1" si="285"/>
        <v/>
      </c>
      <c r="AB630" s="344"/>
      <c r="AC630" s="363" t="e">
        <f t="shared" ca="1" si="286"/>
        <v>#N/A</v>
      </c>
      <c r="AD630" s="376" t="e">
        <f t="shared" ca="1" si="287"/>
        <v>#N/A</v>
      </c>
      <c r="AE630" s="377" t="e">
        <f t="shared" ca="1" si="266"/>
        <v>#N/A</v>
      </c>
      <c r="AF630" s="344"/>
      <c r="AG630" s="359">
        <f t="shared" ca="1" si="288"/>
        <v>5.8289676262801251</v>
      </c>
      <c r="AH630" s="357">
        <f t="shared" ca="1" si="289"/>
        <v>-3.8825522844337126</v>
      </c>
    </row>
    <row r="631" spans="1:34" x14ac:dyDescent="0.2">
      <c r="A631" s="402">
        <f t="shared" ca="1" si="267"/>
        <v>1E-4</v>
      </c>
      <c r="B631" s="357">
        <f t="shared" ca="1" si="268"/>
        <v>15.629099999999895</v>
      </c>
      <c r="C631" s="342"/>
      <c r="D631" s="359">
        <f t="shared" ca="1" si="269"/>
        <v>-0.54875801891446985</v>
      </c>
      <c r="E631" s="360">
        <f t="shared" ca="1" si="270"/>
        <v>-5.9663535413521913</v>
      </c>
      <c r="F631" s="357">
        <f t="shared" ca="1" si="271"/>
        <v>5.9915365261115427</v>
      </c>
      <c r="G631" s="359">
        <f t="shared" ca="1" si="272"/>
        <v>9.533158453341569</v>
      </c>
      <c r="H631" s="360">
        <f t="shared" ca="1" si="273"/>
        <v>-66.773746893059055</v>
      </c>
      <c r="I631" s="357">
        <f t="shared" ca="1" si="274"/>
        <v>67.450829381371065</v>
      </c>
      <c r="J631" s="359">
        <f t="shared" ca="1" si="275"/>
        <v>187.70931447689617</v>
      </c>
      <c r="K631" s="360">
        <f t="shared" ca="1" si="276"/>
        <v>-5.9983591125433415</v>
      </c>
      <c r="L631" s="357">
        <f t="shared" ca="1" si="261"/>
        <v>187.80513053010381</v>
      </c>
      <c r="M631" s="359">
        <f t="shared" ca="1" si="277"/>
        <v>-1.4289865722706216</v>
      </c>
      <c r="N631" s="357">
        <f t="shared" ca="1" si="278"/>
        <v>-81.874899571972819</v>
      </c>
      <c r="O631" s="343"/>
      <c r="P631" s="363">
        <f t="shared" ca="1" si="279"/>
        <v>23</v>
      </c>
      <c r="Q631" s="357">
        <f t="shared" ca="1" si="280"/>
        <v>0</v>
      </c>
      <c r="R631" s="359">
        <f t="shared" ca="1" si="281"/>
        <v>0</v>
      </c>
      <c r="S631" s="360">
        <f t="shared" ca="1" si="282"/>
        <v>1.5629999999999982</v>
      </c>
      <c r="T631" s="357">
        <f t="shared" ca="1" si="262"/>
        <v>15.333029999999983</v>
      </c>
      <c r="U631" s="364">
        <f t="shared" ca="1" si="263"/>
        <v>0</v>
      </c>
      <c r="V631" s="359">
        <f t="shared" ca="1" si="264"/>
        <v>1.2257350194368133</v>
      </c>
      <c r="W631" s="357">
        <f t="shared" ca="1" si="265"/>
        <v>6.0686470979789648</v>
      </c>
      <c r="X631" s="343"/>
      <c r="Y631" s="367" t="str">
        <f t="shared" ca="1" si="283"/>
        <v/>
      </c>
      <c r="Z631" s="368" t="str">
        <f t="shared" ca="1" si="284"/>
        <v/>
      </c>
      <c r="AA631" s="369" t="str">
        <f t="shared" ca="1" si="285"/>
        <v/>
      </c>
      <c r="AB631" s="344"/>
      <c r="AC631" s="363" t="e">
        <f t="shared" ca="1" si="286"/>
        <v>#N/A</v>
      </c>
      <c r="AD631" s="376" t="e">
        <f t="shared" ca="1" si="287"/>
        <v>#N/A</v>
      </c>
      <c r="AE631" s="377" t="e">
        <f t="shared" ca="1" si="266"/>
        <v>#N/A</v>
      </c>
      <c r="AF631" s="344"/>
      <c r="AG631" s="359">
        <f t="shared" ca="1" si="288"/>
        <v>5.8289007779755302</v>
      </c>
      <c r="AH631" s="357">
        <f t="shared" ca="1" si="289"/>
        <v>-3.8826219829386912</v>
      </c>
    </row>
    <row r="632" spans="1:34" x14ac:dyDescent="0.2">
      <c r="A632" s="402">
        <f t="shared" ca="1" si="267"/>
        <v>1E-4</v>
      </c>
      <c r="B632" s="357">
        <f t="shared" ca="1" si="268"/>
        <v>15.629199999999894</v>
      </c>
      <c r="C632" s="342"/>
      <c r="D632" s="359">
        <f t="shared" ca="1" si="269"/>
        <v>-0.5487599687570327</v>
      </c>
      <c r="E632" s="360">
        <f t="shared" ca="1" si="270"/>
        <v>-5.9662834145507091</v>
      </c>
      <c r="F632" s="357">
        <f t="shared" ca="1" si="271"/>
        <v>5.9914668726492257</v>
      </c>
      <c r="G632" s="359">
        <f t="shared" ca="1" si="272"/>
        <v>9.5331035773446935</v>
      </c>
      <c r="H632" s="360">
        <f t="shared" ca="1" si="273"/>
        <v>-66.77434352140051</v>
      </c>
      <c r="I632" s="357">
        <f t="shared" ca="1" si="274"/>
        <v>67.451412264906537</v>
      </c>
      <c r="J632" s="359">
        <f t="shared" ca="1" si="275"/>
        <v>187.70931447689617</v>
      </c>
      <c r="K632" s="360">
        <f t="shared" ca="1" si="276"/>
        <v>-6.0050365170640649</v>
      </c>
      <c r="L632" s="357">
        <f t="shared" ca="1" si="261"/>
        <v>187.80534392012802</v>
      </c>
      <c r="M632" s="359">
        <f t="shared" ca="1" si="277"/>
        <v>-1.4289886278179356</v>
      </c>
      <c r="N632" s="357">
        <f t="shared" ca="1" si="278"/>
        <v>-81.875017346158486</v>
      </c>
      <c r="O632" s="343"/>
      <c r="P632" s="363">
        <f t="shared" ca="1" si="279"/>
        <v>23</v>
      </c>
      <c r="Q632" s="357">
        <f t="shared" ca="1" si="280"/>
        <v>0</v>
      </c>
      <c r="R632" s="359">
        <f t="shared" ca="1" si="281"/>
        <v>0</v>
      </c>
      <c r="S632" s="360">
        <f t="shared" ca="1" si="282"/>
        <v>1.5629999999999982</v>
      </c>
      <c r="T632" s="357">
        <f t="shared" ca="1" si="262"/>
        <v>15.333029999999983</v>
      </c>
      <c r="U632" s="364">
        <f t="shared" ca="1" si="263"/>
        <v>0</v>
      </c>
      <c r="V632" s="359">
        <f t="shared" ca="1" si="264"/>
        <v>1.2257358379100165</v>
      </c>
      <c r="W632" s="357">
        <f t="shared" ca="1" si="265"/>
        <v>6.0687560365072581</v>
      </c>
      <c r="X632" s="343"/>
      <c r="Y632" s="367" t="str">
        <f t="shared" ca="1" si="283"/>
        <v/>
      </c>
      <c r="Z632" s="368" t="str">
        <f t="shared" ca="1" si="284"/>
        <v/>
      </c>
      <c r="AA632" s="369" t="str">
        <f t="shared" ca="1" si="285"/>
        <v/>
      </c>
      <c r="AB632" s="344"/>
      <c r="AC632" s="363" t="e">
        <f t="shared" ca="1" si="286"/>
        <v>#N/A</v>
      </c>
      <c r="AD632" s="376" t="e">
        <f t="shared" ca="1" si="287"/>
        <v>#N/A</v>
      </c>
      <c r="AE632" s="377" t="e">
        <f t="shared" ca="1" si="266"/>
        <v>#N/A</v>
      </c>
      <c r="AF632" s="344"/>
      <c r="AG632" s="359">
        <f t="shared" ca="1" si="288"/>
        <v>5.8288339296393961</v>
      </c>
      <c r="AH632" s="357">
        <f t="shared" ca="1" si="289"/>
        <v>-3.8826916813685042</v>
      </c>
    </row>
    <row r="633" spans="1:34" x14ac:dyDescent="0.2">
      <c r="A633" s="402">
        <f t="shared" ca="1" si="267"/>
        <v>1E-4</v>
      </c>
      <c r="B633" s="357">
        <f t="shared" ca="1" si="268"/>
        <v>15.629299999999894</v>
      </c>
      <c r="C633" s="342"/>
      <c r="D633" s="359">
        <f t="shared" ca="1" si="269"/>
        <v>-0.54876191848502498</v>
      </c>
      <c r="E633" s="360">
        <f t="shared" ca="1" si="270"/>
        <v>-5.966213287825382</v>
      </c>
      <c r="F633" s="357">
        <f t="shared" ca="1" si="271"/>
        <v>5.9913972192639271</v>
      </c>
      <c r="G633" s="359">
        <f t="shared" ca="1" si="272"/>
        <v>9.5330487011528451</v>
      </c>
      <c r="H633" s="360">
        <f t="shared" ca="1" si="273"/>
        <v>-66.774940142729292</v>
      </c>
      <c r="I633" s="357">
        <f t="shared" ca="1" si="274"/>
        <v>67.451995141757166</v>
      </c>
      <c r="J633" s="359">
        <f t="shared" ca="1" si="275"/>
        <v>187.70931447689617</v>
      </c>
      <c r="K633" s="360">
        <f t="shared" ca="1" si="276"/>
        <v>-6.0117139812472713</v>
      </c>
      <c r="L633" s="357">
        <f t="shared" ca="1" si="261"/>
        <v>187.80555754923392</v>
      </c>
      <c r="M633" s="359">
        <f t="shared" ca="1" si="277"/>
        <v>-1.4289906833178916</v>
      </c>
      <c r="N633" s="357">
        <f t="shared" ca="1" si="278"/>
        <v>-81.875135117630762</v>
      </c>
      <c r="O633" s="343"/>
      <c r="P633" s="363">
        <f t="shared" ca="1" si="279"/>
        <v>23</v>
      </c>
      <c r="Q633" s="357">
        <f t="shared" ca="1" si="280"/>
        <v>0</v>
      </c>
      <c r="R633" s="359">
        <f t="shared" ca="1" si="281"/>
        <v>0</v>
      </c>
      <c r="S633" s="360">
        <f t="shared" ca="1" si="282"/>
        <v>1.5629999999999982</v>
      </c>
      <c r="T633" s="357">
        <f t="shared" ca="1" si="262"/>
        <v>15.333029999999983</v>
      </c>
      <c r="U633" s="364">
        <f t="shared" ca="1" si="263"/>
        <v>0</v>
      </c>
      <c r="V633" s="359">
        <f t="shared" ca="1" si="264"/>
        <v>1.225736656391079</v>
      </c>
      <c r="W633" s="357">
        <f t="shared" ca="1" si="265"/>
        <v>6.0688649749180081</v>
      </c>
      <c r="X633" s="343"/>
      <c r="Y633" s="367" t="str">
        <f t="shared" ca="1" si="283"/>
        <v/>
      </c>
      <c r="Z633" s="368" t="str">
        <f t="shared" ca="1" si="284"/>
        <v/>
      </c>
      <c r="AA633" s="369" t="str">
        <f t="shared" ca="1" si="285"/>
        <v/>
      </c>
      <c r="AB633" s="344"/>
      <c r="AC633" s="363" t="e">
        <f t="shared" ca="1" si="286"/>
        <v>#N/A</v>
      </c>
      <c r="AD633" s="376" t="e">
        <f t="shared" ca="1" si="287"/>
        <v>#N/A</v>
      </c>
      <c r="AE633" s="377" t="e">
        <f t="shared" ca="1" si="266"/>
        <v>#N/A</v>
      </c>
      <c r="AF633" s="344"/>
      <c r="AG633" s="359">
        <f t="shared" ca="1" si="288"/>
        <v>5.8287670812717423</v>
      </c>
      <c r="AH633" s="357">
        <f t="shared" ca="1" si="289"/>
        <v>-3.8827613797231382</v>
      </c>
    </row>
    <row r="634" spans="1:34" x14ac:dyDescent="0.2">
      <c r="A634" s="402">
        <f t="shared" ca="1" si="267"/>
        <v>1E-4</v>
      </c>
      <c r="B634" s="357">
        <f t="shared" ca="1" si="268"/>
        <v>15.629399999999894</v>
      </c>
      <c r="C634" s="342"/>
      <c r="D634" s="359">
        <f t="shared" ca="1" si="269"/>
        <v>-0.54876386809844668</v>
      </c>
      <c r="E634" s="360">
        <f t="shared" ca="1" si="270"/>
        <v>-5.9661431611762366</v>
      </c>
      <c r="F634" s="357">
        <f t="shared" ca="1" si="271"/>
        <v>5.9913275659556744</v>
      </c>
      <c r="G634" s="359">
        <f t="shared" ca="1" si="272"/>
        <v>9.5329938247660344</v>
      </c>
      <c r="H634" s="360">
        <f t="shared" ca="1" si="273"/>
        <v>-66.775536757045415</v>
      </c>
      <c r="I634" s="357">
        <f t="shared" ca="1" si="274"/>
        <v>67.452578011922938</v>
      </c>
      <c r="J634" s="359">
        <f t="shared" ca="1" si="275"/>
        <v>187.70931447689617</v>
      </c>
      <c r="K634" s="360">
        <f t="shared" ca="1" si="276"/>
        <v>-6.0183915050922598</v>
      </c>
      <c r="L634" s="357">
        <f t="shared" ca="1" si="261"/>
        <v>187.80577141742708</v>
      </c>
      <c r="M634" s="359">
        <f t="shared" ca="1" si="277"/>
        <v>-1.4289927387704915</v>
      </c>
      <c r="N634" s="357">
        <f t="shared" ca="1" si="278"/>
        <v>-81.875252886389731</v>
      </c>
      <c r="O634" s="343"/>
      <c r="P634" s="363">
        <f t="shared" ca="1" si="279"/>
        <v>23</v>
      </c>
      <c r="Q634" s="357">
        <f t="shared" ca="1" si="280"/>
        <v>0</v>
      </c>
      <c r="R634" s="359">
        <f t="shared" ca="1" si="281"/>
        <v>0</v>
      </c>
      <c r="S634" s="360">
        <f t="shared" ca="1" si="282"/>
        <v>1.5629999999999982</v>
      </c>
      <c r="T634" s="357">
        <f t="shared" ca="1" si="262"/>
        <v>15.333029999999983</v>
      </c>
      <c r="U634" s="364">
        <f t="shared" ca="1" si="263"/>
        <v>0</v>
      </c>
      <c r="V634" s="359">
        <f t="shared" ca="1" si="264"/>
        <v>1.2257374748800014</v>
      </c>
      <c r="W634" s="357">
        <f t="shared" ca="1" si="265"/>
        <v>6.0689739132111855</v>
      </c>
      <c r="X634" s="343"/>
      <c r="Y634" s="367" t="str">
        <f t="shared" ca="1" si="283"/>
        <v/>
      </c>
      <c r="Z634" s="368" t="str">
        <f t="shared" ca="1" si="284"/>
        <v/>
      </c>
      <c r="AA634" s="369" t="str">
        <f t="shared" ca="1" si="285"/>
        <v/>
      </c>
      <c r="AB634" s="344"/>
      <c r="AC634" s="363" t="e">
        <f t="shared" ca="1" si="286"/>
        <v>#N/A</v>
      </c>
      <c r="AD634" s="376" t="e">
        <f t="shared" ca="1" si="287"/>
        <v>#N/A</v>
      </c>
      <c r="AE634" s="377" t="e">
        <f t="shared" ca="1" si="266"/>
        <v>#N/A</v>
      </c>
      <c r="AF634" s="344"/>
      <c r="AG634" s="359">
        <f t="shared" ca="1" si="288"/>
        <v>5.828700232872599</v>
      </c>
      <c r="AH634" s="357">
        <f t="shared" ca="1" si="289"/>
        <v>-3.8828310780025688</v>
      </c>
    </row>
    <row r="635" spans="1:34" x14ac:dyDescent="0.2">
      <c r="A635" s="402">
        <f t="shared" ca="1" si="267"/>
        <v>1E-4</v>
      </c>
      <c r="B635" s="357">
        <f t="shared" ca="1" si="268"/>
        <v>15.629499999999894</v>
      </c>
      <c r="C635" s="342"/>
      <c r="D635" s="359">
        <f t="shared" ca="1" si="269"/>
        <v>-0.54876581759729859</v>
      </c>
      <c r="E635" s="360">
        <f t="shared" ca="1" si="270"/>
        <v>-5.9660730346032906</v>
      </c>
      <c r="F635" s="357">
        <f t="shared" ca="1" si="271"/>
        <v>5.9912579127244845</v>
      </c>
      <c r="G635" s="359">
        <f t="shared" ca="1" si="272"/>
        <v>9.5329389481842739</v>
      </c>
      <c r="H635" s="360">
        <f t="shared" ca="1" si="273"/>
        <v>-66.77613336434888</v>
      </c>
      <c r="I635" s="357">
        <f t="shared" ca="1" si="274"/>
        <v>67.453160875403881</v>
      </c>
      <c r="J635" s="359">
        <f t="shared" ca="1" si="275"/>
        <v>187.70931447689617</v>
      </c>
      <c r="K635" s="360">
        <f t="shared" ca="1" si="276"/>
        <v>-6.0250690885983298</v>
      </c>
      <c r="L635" s="357">
        <f t="shared" ca="1" si="261"/>
        <v>187.80598552471292</v>
      </c>
      <c r="M635" s="359">
        <f t="shared" ca="1" si="277"/>
        <v>-1.428994794175737</v>
      </c>
      <c r="N635" s="357">
        <f t="shared" ca="1" si="278"/>
        <v>-81.875370652435493</v>
      </c>
      <c r="O635" s="343"/>
      <c r="P635" s="363">
        <f t="shared" ca="1" si="279"/>
        <v>23</v>
      </c>
      <c r="Q635" s="357">
        <f t="shared" ca="1" si="280"/>
        <v>0</v>
      </c>
      <c r="R635" s="359">
        <f t="shared" ca="1" si="281"/>
        <v>0</v>
      </c>
      <c r="S635" s="360">
        <f t="shared" ca="1" si="282"/>
        <v>1.5629999999999982</v>
      </c>
      <c r="T635" s="357">
        <f t="shared" ca="1" si="262"/>
        <v>15.333029999999983</v>
      </c>
      <c r="U635" s="364">
        <f t="shared" ca="1" si="263"/>
        <v>0</v>
      </c>
      <c r="V635" s="359">
        <f t="shared" ca="1" si="264"/>
        <v>1.2257382933767837</v>
      </c>
      <c r="W635" s="357">
        <f t="shared" ca="1" si="265"/>
        <v>6.0690828513867672</v>
      </c>
      <c r="X635" s="343"/>
      <c r="Y635" s="367" t="str">
        <f t="shared" ca="1" si="283"/>
        <v/>
      </c>
      <c r="Z635" s="368" t="str">
        <f t="shared" ca="1" si="284"/>
        <v/>
      </c>
      <c r="AA635" s="369" t="str">
        <f t="shared" ca="1" si="285"/>
        <v/>
      </c>
      <c r="AB635" s="344"/>
      <c r="AC635" s="363" t="e">
        <f t="shared" ca="1" si="286"/>
        <v>#N/A</v>
      </c>
      <c r="AD635" s="376" t="e">
        <f t="shared" ca="1" si="287"/>
        <v>#N/A</v>
      </c>
      <c r="AE635" s="377" t="e">
        <f t="shared" ca="1" si="266"/>
        <v>#N/A</v>
      </c>
      <c r="AF635" s="344"/>
      <c r="AG635" s="359">
        <f t="shared" ca="1" si="288"/>
        <v>5.8286333844419902</v>
      </c>
      <c r="AH635" s="357">
        <f t="shared" ca="1" si="289"/>
        <v>-3.8829007762067773</v>
      </c>
    </row>
    <row r="636" spans="1:34" x14ac:dyDescent="0.2">
      <c r="A636" s="402">
        <f t="shared" ca="1" si="267"/>
        <v>1E-4</v>
      </c>
      <c r="B636" s="357">
        <f t="shared" ca="1" si="268"/>
        <v>15.629599999999893</v>
      </c>
      <c r="C636" s="342"/>
      <c r="D636" s="359">
        <f t="shared" ca="1" si="269"/>
        <v>-0.54876776698158225</v>
      </c>
      <c r="E636" s="360">
        <f t="shared" ca="1" si="270"/>
        <v>-5.9660029081065593</v>
      </c>
      <c r="F636" s="357">
        <f t="shared" ca="1" si="271"/>
        <v>5.9911882595703734</v>
      </c>
      <c r="G636" s="359">
        <f t="shared" ca="1" si="272"/>
        <v>9.532884071407576</v>
      </c>
      <c r="H636" s="360">
        <f t="shared" ca="1" si="273"/>
        <v>-66.776729964639685</v>
      </c>
      <c r="I636" s="357">
        <f t="shared" ca="1" si="274"/>
        <v>67.453743732199953</v>
      </c>
      <c r="J636" s="359">
        <f t="shared" ca="1" si="275"/>
        <v>187.70931447689617</v>
      </c>
      <c r="K636" s="360">
        <f t="shared" ca="1" si="276"/>
        <v>-6.0317467317647795</v>
      </c>
      <c r="L636" s="357">
        <f t="shared" ca="1" si="261"/>
        <v>187.80619987109705</v>
      </c>
      <c r="M636" s="359">
        <f t="shared" ca="1" si="277"/>
        <v>-1.4289968495336298</v>
      </c>
      <c r="N636" s="357">
        <f t="shared" ca="1" si="278"/>
        <v>-81.875488415768132</v>
      </c>
      <c r="O636" s="343"/>
      <c r="P636" s="363">
        <f t="shared" ca="1" si="279"/>
        <v>23</v>
      </c>
      <c r="Q636" s="357">
        <f t="shared" ca="1" si="280"/>
        <v>0</v>
      </c>
      <c r="R636" s="359">
        <f t="shared" ca="1" si="281"/>
        <v>0</v>
      </c>
      <c r="S636" s="360">
        <f t="shared" ca="1" si="282"/>
        <v>1.5629999999999982</v>
      </c>
      <c r="T636" s="357">
        <f t="shared" ca="1" si="262"/>
        <v>15.333029999999983</v>
      </c>
      <c r="U636" s="364">
        <f t="shared" ca="1" si="263"/>
        <v>0</v>
      </c>
      <c r="V636" s="359">
        <f t="shared" ca="1" si="264"/>
        <v>1.2257391118814251</v>
      </c>
      <c r="W636" s="357">
        <f t="shared" ca="1" si="265"/>
        <v>6.0691917894447078</v>
      </c>
      <c r="X636" s="343"/>
      <c r="Y636" s="367" t="str">
        <f t="shared" ca="1" si="283"/>
        <v/>
      </c>
      <c r="Z636" s="368" t="str">
        <f t="shared" ca="1" si="284"/>
        <v/>
      </c>
      <c r="AA636" s="369" t="str">
        <f t="shared" ca="1" si="285"/>
        <v/>
      </c>
      <c r="AB636" s="344"/>
      <c r="AC636" s="363" t="e">
        <f t="shared" ca="1" si="286"/>
        <v>#N/A</v>
      </c>
      <c r="AD636" s="376" t="e">
        <f t="shared" ca="1" si="287"/>
        <v>#N/A</v>
      </c>
      <c r="AE636" s="377" t="e">
        <f t="shared" ca="1" si="266"/>
        <v>#N/A</v>
      </c>
      <c r="AF636" s="344"/>
      <c r="AG636" s="359">
        <f t="shared" ca="1" si="288"/>
        <v>5.8285665359799346</v>
      </c>
      <c r="AH636" s="357">
        <f t="shared" ca="1" si="289"/>
        <v>-3.8829704743357483</v>
      </c>
    </row>
    <row r="637" spans="1:34" x14ac:dyDescent="0.2">
      <c r="A637" s="402">
        <f t="shared" ca="1" si="267"/>
        <v>1E-4</v>
      </c>
      <c r="B637" s="357">
        <f t="shared" ca="1" si="268"/>
        <v>15.629699999999893</v>
      </c>
      <c r="C637" s="342"/>
      <c r="D637" s="359">
        <f t="shared" ca="1" si="269"/>
        <v>-0.54876971625129767</v>
      </c>
      <c r="E637" s="360">
        <f t="shared" ca="1" si="270"/>
        <v>-5.9659327816860728</v>
      </c>
      <c r="F637" s="357">
        <f t="shared" ca="1" si="271"/>
        <v>5.9911186064933695</v>
      </c>
      <c r="G637" s="359">
        <f t="shared" ca="1" si="272"/>
        <v>9.5328291944359513</v>
      </c>
      <c r="H637" s="360">
        <f t="shared" ca="1" si="273"/>
        <v>-66.77732655791786</v>
      </c>
      <c r="I637" s="357">
        <f t="shared" ca="1" si="274"/>
        <v>67.454326582311182</v>
      </c>
      <c r="J637" s="359">
        <f t="shared" ca="1" si="275"/>
        <v>187.70931447689617</v>
      </c>
      <c r="K637" s="360">
        <f t="shared" ca="1" si="276"/>
        <v>-6.0384244345909073</v>
      </c>
      <c r="L637" s="357">
        <f t="shared" ca="1" si="261"/>
        <v>187.80641445658495</v>
      </c>
      <c r="M637" s="359">
        <f t="shared" ca="1" si="277"/>
        <v>-1.4289989048441714</v>
      </c>
      <c r="N637" s="357">
        <f t="shared" ca="1" si="278"/>
        <v>-81.875606176387748</v>
      </c>
      <c r="O637" s="343"/>
      <c r="P637" s="363">
        <f t="shared" ca="1" si="279"/>
        <v>23</v>
      </c>
      <c r="Q637" s="357">
        <f t="shared" ca="1" si="280"/>
        <v>0</v>
      </c>
      <c r="R637" s="359">
        <f t="shared" ca="1" si="281"/>
        <v>0</v>
      </c>
      <c r="S637" s="360">
        <f t="shared" ca="1" si="282"/>
        <v>1.5629999999999982</v>
      </c>
      <c r="T637" s="357">
        <f t="shared" ca="1" si="262"/>
        <v>15.333029999999983</v>
      </c>
      <c r="U637" s="364">
        <f t="shared" ca="1" si="263"/>
        <v>0</v>
      </c>
      <c r="V637" s="359">
        <f t="shared" ca="1" si="264"/>
        <v>1.225739930393926</v>
      </c>
      <c r="W637" s="357">
        <f t="shared" ca="1" si="265"/>
        <v>6.0693007273849888</v>
      </c>
      <c r="X637" s="343"/>
      <c r="Y637" s="367" t="str">
        <f t="shared" ca="1" si="283"/>
        <v/>
      </c>
      <c r="Z637" s="368" t="str">
        <f t="shared" ca="1" si="284"/>
        <v/>
      </c>
      <c r="AA637" s="369" t="str">
        <f t="shared" ca="1" si="285"/>
        <v/>
      </c>
      <c r="AB637" s="344"/>
      <c r="AC637" s="363" t="e">
        <f t="shared" ca="1" si="286"/>
        <v>#N/A</v>
      </c>
      <c r="AD637" s="376" t="e">
        <f t="shared" ca="1" si="287"/>
        <v>#N/A</v>
      </c>
      <c r="AE637" s="377" t="e">
        <f t="shared" ca="1" si="266"/>
        <v>#N/A</v>
      </c>
      <c r="AF637" s="344"/>
      <c r="AG637" s="359">
        <f t="shared" ca="1" si="288"/>
        <v>5.8284996874864667</v>
      </c>
      <c r="AH637" s="357">
        <f t="shared" ca="1" si="289"/>
        <v>-3.8830401723894528</v>
      </c>
    </row>
    <row r="638" spans="1:34" x14ac:dyDescent="0.2">
      <c r="A638" s="402">
        <f t="shared" ca="1" si="267"/>
        <v>1E-4</v>
      </c>
      <c r="B638" s="357">
        <f t="shared" ca="1" si="268"/>
        <v>15.629799999999893</v>
      </c>
      <c r="C638" s="342"/>
      <c r="D638" s="359">
        <f t="shared" ca="1" si="269"/>
        <v>-0.54877166540644773</v>
      </c>
      <c r="E638" s="360">
        <f t="shared" ca="1" si="270"/>
        <v>-5.9658626553418408</v>
      </c>
      <c r="F638" s="357">
        <f t="shared" ca="1" si="271"/>
        <v>5.9910489534934843</v>
      </c>
      <c r="G638" s="359">
        <f t="shared" ca="1" si="272"/>
        <v>9.5327743172694106</v>
      </c>
      <c r="H638" s="360">
        <f t="shared" ca="1" si="273"/>
        <v>-66.77792314418339</v>
      </c>
      <c r="I638" s="357">
        <f t="shared" ca="1" si="274"/>
        <v>67.45490942573754</v>
      </c>
      <c r="J638" s="359">
        <f t="shared" ca="1" si="275"/>
        <v>187.70931447689617</v>
      </c>
      <c r="K638" s="360">
        <f t="shared" ca="1" si="276"/>
        <v>-6.0451021970760124</v>
      </c>
      <c r="L638" s="357">
        <f t="shared" ca="1" si="261"/>
        <v>187.80662928118218</v>
      </c>
      <c r="M638" s="359">
        <f t="shared" ca="1" si="277"/>
        <v>-1.4290009601073637</v>
      </c>
      <c r="N638" s="357">
        <f t="shared" ca="1" si="278"/>
        <v>-81.875723934294456</v>
      </c>
      <c r="O638" s="343"/>
      <c r="P638" s="363">
        <f t="shared" ca="1" si="279"/>
        <v>23</v>
      </c>
      <c r="Q638" s="357">
        <f t="shared" ca="1" si="280"/>
        <v>0</v>
      </c>
      <c r="R638" s="359">
        <f t="shared" ca="1" si="281"/>
        <v>0</v>
      </c>
      <c r="S638" s="360">
        <f t="shared" ca="1" si="282"/>
        <v>1.5629999999999982</v>
      </c>
      <c r="T638" s="357">
        <f t="shared" ca="1" si="262"/>
        <v>15.333029999999983</v>
      </c>
      <c r="U638" s="364">
        <f t="shared" ca="1" si="263"/>
        <v>0</v>
      </c>
      <c r="V638" s="359">
        <f t="shared" ca="1" si="264"/>
        <v>1.2257407489142864</v>
      </c>
      <c r="W638" s="357">
        <f t="shared" ca="1" si="265"/>
        <v>6.0694096652075737</v>
      </c>
      <c r="X638" s="343"/>
      <c r="Y638" s="367" t="str">
        <f t="shared" ca="1" si="283"/>
        <v/>
      </c>
      <c r="Z638" s="368" t="str">
        <f t="shared" ca="1" si="284"/>
        <v/>
      </c>
      <c r="AA638" s="369" t="str">
        <f t="shared" ca="1" si="285"/>
        <v/>
      </c>
      <c r="AB638" s="344"/>
      <c r="AC638" s="363" t="e">
        <f t="shared" ca="1" si="286"/>
        <v>#N/A</v>
      </c>
      <c r="AD638" s="376" t="e">
        <f t="shared" ca="1" si="287"/>
        <v>#N/A</v>
      </c>
      <c r="AE638" s="377" t="e">
        <f t="shared" ca="1" si="266"/>
        <v>#N/A</v>
      </c>
      <c r="AF638" s="344"/>
      <c r="AG638" s="359">
        <f t="shared" ca="1" si="288"/>
        <v>5.8284328389616054</v>
      </c>
      <c r="AH638" s="357">
        <f t="shared" ca="1" si="289"/>
        <v>-3.8831098703678797</v>
      </c>
    </row>
    <row r="639" spans="1:34" x14ac:dyDescent="0.2">
      <c r="A639" s="402">
        <f t="shared" ca="1" si="267"/>
        <v>1E-4</v>
      </c>
      <c r="B639" s="357">
        <f t="shared" ca="1" si="268"/>
        <v>15.629899999999893</v>
      </c>
      <c r="C639" s="342"/>
      <c r="D639" s="359">
        <f t="shared" ca="1" si="269"/>
        <v>-0.54877361444703177</v>
      </c>
      <c r="E639" s="360">
        <f t="shared" ca="1" si="270"/>
        <v>-5.9657925290738891</v>
      </c>
      <c r="F639" s="357">
        <f t="shared" ca="1" si="271"/>
        <v>5.9909793005707419</v>
      </c>
      <c r="G639" s="359">
        <f t="shared" ca="1" si="272"/>
        <v>9.5327194399079662</v>
      </c>
      <c r="H639" s="360">
        <f t="shared" ca="1" si="273"/>
        <v>-66.778519723436304</v>
      </c>
      <c r="I639" s="357">
        <f t="shared" ca="1" si="274"/>
        <v>67.455492262479041</v>
      </c>
      <c r="J639" s="359">
        <f t="shared" ca="1" si="275"/>
        <v>187.70931447689617</v>
      </c>
      <c r="K639" s="360">
        <f t="shared" ca="1" si="276"/>
        <v>-6.0517800192193931</v>
      </c>
      <c r="L639" s="357">
        <f t="shared" ca="1" si="261"/>
        <v>187.80684434489422</v>
      </c>
      <c r="M639" s="359">
        <f t="shared" ca="1" si="277"/>
        <v>-1.4290030153232083</v>
      </c>
      <c r="N639" s="357">
        <f t="shared" ca="1" si="278"/>
        <v>-81.87584168948834</v>
      </c>
      <c r="O639" s="343"/>
      <c r="P639" s="363">
        <f t="shared" ca="1" si="279"/>
        <v>23</v>
      </c>
      <c r="Q639" s="357">
        <f t="shared" ca="1" si="280"/>
        <v>0</v>
      </c>
      <c r="R639" s="359">
        <f t="shared" ca="1" si="281"/>
        <v>0</v>
      </c>
      <c r="S639" s="360">
        <f t="shared" ca="1" si="282"/>
        <v>1.5629999999999982</v>
      </c>
      <c r="T639" s="357">
        <f t="shared" ca="1" si="262"/>
        <v>15.333029999999983</v>
      </c>
      <c r="U639" s="364">
        <f t="shared" ca="1" si="263"/>
        <v>0</v>
      </c>
      <c r="V639" s="359">
        <f t="shared" ca="1" si="264"/>
        <v>1.2257415674425063</v>
      </c>
      <c r="W639" s="357">
        <f t="shared" ca="1" si="265"/>
        <v>6.0695186029124342</v>
      </c>
      <c r="X639" s="343"/>
      <c r="Y639" s="367" t="str">
        <f t="shared" ca="1" si="283"/>
        <v/>
      </c>
      <c r="Z639" s="368" t="str">
        <f t="shared" ca="1" si="284"/>
        <v/>
      </c>
      <c r="AA639" s="369" t="str">
        <f t="shared" ca="1" si="285"/>
        <v/>
      </c>
      <c r="AB639" s="344"/>
      <c r="AC639" s="363" t="e">
        <f t="shared" ca="1" si="286"/>
        <v>#N/A</v>
      </c>
      <c r="AD639" s="376" t="e">
        <f t="shared" ca="1" si="287"/>
        <v>#N/A</v>
      </c>
      <c r="AE639" s="377" t="e">
        <f t="shared" ca="1" si="266"/>
        <v>#N/A</v>
      </c>
      <c r="AF639" s="344"/>
      <c r="AG639" s="359">
        <f t="shared" ca="1" si="288"/>
        <v>5.8283659904053771</v>
      </c>
      <c r="AH639" s="357">
        <f t="shared" ca="1" si="289"/>
        <v>-3.8831795682710051</v>
      </c>
    </row>
    <row r="640" spans="1:34" x14ac:dyDescent="0.2">
      <c r="A640" s="402">
        <f t="shared" ca="1" si="267"/>
        <v>1E-4</v>
      </c>
      <c r="B640" s="357">
        <f t="shared" ca="1" si="268"/>
        <v>15.629999999999892</v>
      </c>
      <c r="C640" s="342"/>
      <c r="D640" s="359">
        <f t="shared" ca="1" si="269"/>
        <v>-0.54877556337305156</v>
      </c>
      <c r="E640" s="360">
        <f t="shared" ca="1" si="270"/>
        <v>-5.9657224028822347</v>
      </c>
      <c r="F640" s="357">
        <f t="shared" ca="1" si="271"/>
        <v>5.9909096477251591</v>
      </c>
      <c r="G640" s="359">
        <f t="shared" ca="1" si="272"/>
        <v>9.5326645623516288</v>
      </c>
      <c r="H640" s="360">
        <f t="shared" ca="1" si="273"/>
        <v>-66.779116295676587</v>
      </c>
      <c r="I640" s="357">
        <f t="shared" ca="1" si="274"/>
        <v>67.45607509253567</v>
      </c>
      <c r="J640" s="359">
        <f t="shared" ca="1" si="275"/>
        <v>187.70931447689617</v>
      </c>
      <c r="K640" s="360">
        <f t="shared" ca="1" si="276"/>
        <v>-6.0584579010203488</v>
      </c>
      <c r="L640" s="357">
        <f t="shared" ca="1" si="261"/>
        <v>187.80705964772659</v>
      </c>
      <c r="M640" s="359">
        <f t="shared" ca="1" si="277"/>
        <v>-1.4290050704917068</v>
      </c>
      <c r="N640" s="357">
        <f t="shared" ca="1" si="278"/>
        <v>-81.875959441969499</v>
      </c>
      <c r="O640" s="343"/>
      <c r="P640" s="363">
        <f t="shared" ca="1" si="279"/>
        <v>23</v>
      </c>
      <c r="Q640" s="357">
        <f t="shared" ca="1" si="280"/>
        <v>0</v>
      </c>
      <c r="R640" s="359">
        <f t="shared" ca="1" si="281"/>
        <v>0</v>
      </c>
      <c r="S640" s="360">
        <f t="shared" ca="1" si="282"/>
        <v>1.5629999999999982</v>
      </c>
      <c r="T640" s="357">
        <f t="shared" ca="1" si="262"/>
        <v>15.333029999999983</v>
      </c>
      <c r="U640" s="364">
        <f t="shared" ca="1" si="263"/>
        <v>0</v>
      </c>
      <c r="V640" s="359">
        <f t="shared" ca="1" si="264"/>
        <v>1.225742385978585</v>
      </c>
      <c r="W640" s="357">
        <f t="shared" ca="1" si="265"/>
        <v>6.0696275404995363</v>
      </c>
      <c r="X640" s="343"/>
      <c r="Y640" s="367" t="str">
        <f t="shared" ca="1" si="283"/>
        <v/>
      </c>
      <c r="Z640" s="368" t="str">
        <f t="shared" ca="1" si="284"/>
        <v/>
      </c>
      <c r="AA640" s="369" t="str">
        <f t="shared" ca="1" si="285"/>
        <v/>
      </c>
      <c r="AB640" s="344"/>
      <c r="AC640" s="363" t="e">
        <f t="shared" ca="1" si="286"/>
        <v>#N/A</v>
      </c>
      <c r="AD640" s="376" t="e">
        <f t="shared" ca="1" si="287"/>
        <v>#N/A</v>
      </c>
      <c r="AE640" s="377" t="e">
        <f t="shared" ca="1" si="266"/>
        <v>#N/A</v>
      </c>
      <c r="AF640" s="344"/>
      <c r="AG640" s="359">
        <f t="shared" ca="1" si="288"/>
        <v>5.8282991418178076</v>
      </c>
      <c r="AH640" s="357">
        <f t="shared" ca="1" si="289"/>
        <v>-3.8832492660988107</v>
      </c>
    </row>
    <row r="641" spans="1:34" x14ac:dyDescent="0.2">
      <c r="A641" s="402">
        <f t="shared" ca="1" si="267"/>
        <v>1E-4</v>
      </c>
      <c r="B641" s="357">
        <f t="shared" ca="1" si="268"/>
        <v>15.630099999999892</v>
      </c>
      <c r="C641" s="342"/>
      <c r="D641" s="359">
        <f t="shared" ca="1" si="269"/>
        <v>-0.54877751218450832</v>
      </c>
      <c r="E641" s="360">
        <f t="shared" ca="1" si="270"/>
        <v>-5.9656522767668996</v>
      </c>
      <c r="F641" s="357">
        <f t="shared" ca="1" si="271"/>
        <v>5.9908399949567599</v>
      </c>
      <c r="G641" s="359">
        <f t="shared" ca="1" si="272"/>
        <v>9.5326096846004109</v>
      </c>
      <c r="H641" s="360">
        <f t="shared" ca="1" si="273"/>
        <v>-66.779712860904269</v>
      </c>
      <c r="I641" s="357">
        <f t="shared" ca="1" si="274"/>
        <v>67.456657915907456</v>
      </c>
      <c r="J641" s="359">
        <f t="shared" ca="1" si="275"/>
        <v>187.70931447689617</v>
      </c>
      <c r="K641" s="360">
        <f t="shared" ca="1" si="276"/>
        <v>-6.0651358424781776</v>
      </c>
      <c r="L641" s="357">
        <f t="shared" ca="1" si="261"/>
        <v>187.80727518968484</v>
      </c>
      <c r="M641" s="359">
        <f t="shared" ca="1" si="277"/>
        <v>-1.4290071256128611</v>
      </c>
      <c r="N641" s="357">
        <f t="shared" ca="1" si="278"/>
        <v>-81.876077191738034</v>
      </c>
      <c r="O641" s="343"/>
      <c r="P641" s="363">
        <f t="shared" ca="1" si="279"/>
        <v>23</v>
      </c>
      <c r="Q641" s="357">
        <f t="shared" ca="1" si="280"/>
        <v>0</v>
      </c>
      <c r="R641" s="359">
        <f t="shared" ca="1" si="281"/>
        <v>0</v>
      </c>
      <c r="S641" s="360">
        <f t="shared" ca="1" si="282"/>
        <v>1.5629999999999982</v>
      </c>
      <c r="T641" s="357">
        <f t="shared" ca="1" si="262"/>
        <v>15.333029999999983</v>
      </c>
      <c r="U641" s="364">
        <f t="shared" ca="1" si="263"/>
        <v>0</v>
      </c>
      <c r="V641" s="359">
        <f t="shared" ca="1" si="264"/>
        <v>1.2257432045225227</v>
      </c>
      <c r="W641" s="357">
        <f t="shared" ca="1" si="265"/>
        <v>6.0697364779688554</v>
      </c>
      <c r="X641" s="343"/>
      <c r="Y641" s="367" t="str">
        <f t="shared" ca="1" si="283"/>
        <v/>
      </c>
      <c r="Z641" s="368" t="str">
        <f t="shared" ca="1" si="284"/>
        <v/>
      </c>
      <c r="AA641" s="369" t="str">
        <f t="shared" ca="1" si="285"/>
        <v/>
      </c>
      <c r="AB641" s="344"/>
      <c r="AC641" s="363" t="e">
        <f t="shared" ca="1" si="286"/>
        <v>#N/A</v>
      </c>
      <c r="AD641" s="376" t="e">
        <f t="shared" ca="1" si="287"/>
        <v>#N/A</v>
      </c>
      <c r="AE641" s="377" t="e">
        <f t="shared" ca="1" si="266"/>
        <v>#N/A</v>
      </c>
      <c r="AF641" s="344"/>
      <c r="AG641" s="359">
        <f t="shared" ca="1" si="288"/>
        <v>5.828232293198921</v>
      </c>
      <c r="AH641" s="357">
        <f t="shared" ca="1" si="289"/>
        <v>-3.8833189638512753</v>
      </c>
    </row>
    <row r="642" spans="1:34" x14ac:dyDescent="0.2">
      <c r="A642" s="402">
        <f t="shared" ca="1" si="267"/>
        <v>1E-4</v>
      </c>
      <c r="B642" s="357">
        <f t="shared" ca="1" si="268"/>
        <v>15.630199999999892</v>
      </c>
      <c r="C642" s="342"/>
      <c r="D642" s="359">
        <f t="shared" ca="1" si="269"/>
        <v>-0.5487794608814025</v>
      </c>
      <c r="E642" s="360">
        <f t="shared" ca="1" si="270"/>
        <v>-5.9655821507279008</v>
      </c>
      <c r="F642" s="357">
        <f t="shared" ca="1" si="271"/>
        <v>5.9907703422655594</v>
      </c>
      <c r="G642" s="359">
        <f t="shared" ca="1" si="272"/>
        <v>9.5325548066543231</v>
      </c>
      <c r="H642" s="360">
        <f t="shared" ca="1" si="273"/>
        <v>-66.780309419119348</v>
      </c>
      <c r="I642" s="357">
        <f t="shared" ca="1" si="274"/>
        <v>67.457240732594371</v>
      </c>
      <c r="J642" s="359">
        <f t="shared" ca="1" si="275"/>
        <v>187.70931447689617</v>
      </c>
      <c r="K642" s="360">
        <f t="shared" ca="1" si="276"/>
        <v>-6.0718138435921789</v>
      </c>
      <c r="L642" s="357">
        <f t="shared" ca="1" si="261"/>
        <v>187.8074909707745</v>
      </c>
      <c r="M642" s="359">
        <f t="shared" ca="1" si="277"/>
        <v>-1.4290091806866729</v>
      </c>
      <c r="N642" s="357">
        <f t="shared" ca="1" si="278"/>
        <v>-81.876194938794029</v>
      </c>
      <c r="O642" s="343"/>
      <c r="P642" s="363">
        <f t="shared" ca="1" si="279"/>
        <v>23</v>
      </c>
      <c r="Q642" s="357">
        <f t="shared" ca="1" si="280"/>
        <v>0</v>
      </c>
      <c r="R642" s="359">
        <f t="shared" ca="1" si="281"/>
        <v>0</v>
      </c>
      <c r="S642" s="360">
        <f t="shared" ca="1" si="282"/>
        <v>1.5629999999999982</v>
      </c>
      <c r="T642" s="357">
        <f t="shared" ca="1" si="262"/>
        <v>15.333029999999983</v>
      </c>
      <c r="U642" s="364">
        <f t="shared" ca="1" si="263"/>
        <v>0</v>
      </c>
      <c r="V642" s="359">
        <f t="shared" ca="1" si="264"/>
        <v>1.2257440230743202</v>
      </c>
      <c r="W642" s="357">
        <f t="shared" ca="1" si="265"/>
        <v>6.0698454153203611</v>
      </c>
      <c r="X642" s="343"/>
      <c r="Y642" s="367" t="str">
        <f t="shared" ca="1" si="283"/>
        <v/>
      </c>
      <c r="Z642" s="368" t="str">
        <f t="shared" ca="1" si="284"/>
        <v/>
      </c>
      <c r="AA642" s="369" t="str">
        <f t="shared" ca="1" si="285"/>
        <v/>
      </c>
      <c r="AB642" s="344"/>
      <c r="AC642" s="363" t="e">
        <f t="shared" ca="1" si="286"/>
        <v>#N/A</v>
      </c>
      <c r="AD642" s="376" t="e">
        <f t="shared" ca="1" si="287"/>
        <v>#N/A</v>
      </c>
      <c r="AE642" s="377" t="e">
        <f t="shared" ca="1" si="266"/>
        <v>#N/A</v>
      </c>
      <c r="AF642" s="344"/>
      <c r="AG642" s="359">
        <f t="shared" ca="1" si="288"/>
        <v>5.8281654445487394</v>
      </c>
      <c r="AH642" s="357">
        <f t="shared" ca="1" si="289"/>
        <v>-3.8833886615283828</v>
      </c>
    </row>
    <row r="643" spans="1:34" x14ac:dyDescent="0.2">
      <c r="A643" s="402">
        <f t="shared" ca="1" si="267"/>
        <v>1E-4</v>
      </c>
      <c r="B643" s="357">
        <f t="shared" ca="1" si="268"/>
        <v>15.630299999999892</v>
      </c>
      <c r="C643" s="342"/>
      <c r="D643" s="359">
        <f t="shared" ca="1" si="269"/>
        <v>-0.54878140946373566</v>
      </c>
      <c r="E643" s="360">
        <f t="shared" ca="1" si="270"/>
        <v>-5.9655120247652551</v>
      </c>
      <c r="F643" s="357">
        <f t="shared" ca="1" si="271"/>
        <v>5.9907006896515753</v>
      </c>
      <c r="G643" s="359">
        <f t="shared" ca="1" si="272"/>
        <v>9.532499928513376</v>
      </c>
      <c r="H643" s="360">
        <f t="shared" ca="1" si="273"/>
        <v>-66.780905970321825</v>
      </c>
      <c r="I643" s="357">
        <f t="shared" ca="1" si="274"/>
        <v>67.457823542596401</v>
      </c>
      <c r="J643" s="359">
        <f t="shared" ca="1" si="275"/>
        <v>187.70931447689617</v>
      </c>
      <c r="K643" s="360">
        <f t="shared" ca="1" si="276"/>
        <v>-6.078491904361651</v>
      </c>
      <c r="L643" s="357">
        <f t="shared" ca="1" si="261"/>
        <v>187.807706991001</v>
      </c>
      <c r="M643" s="359">
        <f t="shared" ca="1" si="277"/>
        <v>-1.4290112357131437</v>
      </c>
      <c r="N643" s="357">
        <f t="shared" ca="1" si="278"/>
        <v>-81.876312683137598</v>
      </c>
      <c r="O643" s="343"/>
      <c r="P643" s="363">
        <f t="shared" ca="1" si="279"/>
        <v>23</v>
      </c>
      <c r="Q643" s="357">
        <f t="shared" ca="1" si="280"/>
        <v>0</v>
      </c>
      <c r="R643" s="359">
        <f t="shared" ca="1" si="281"/>
        <v>0</v>
      </c>
      <c r="S643" s="360">
        <f t="shared" ca="1" si="282"/>
        <v>1.5629999999999982</v>
      </c>
      <c r="T643" s="357">
        <f t="shared" ca="1" si="262"/>
        <v>15.333029999999983</v>
      </c>
      <c r="U643" s="364">
        <f t="shared" ca="1" si="263"/>
        <v>0</v>
      </c>
      <c r="V643" s="359">
        <f t="shared" ca="1" si="264"/>
        <v>1.2257448416339765</v>
      </c>
      <c r="W643" s="357">
        <f t="shared" ca="1" si="265"/>
        <v>6.0699543525540163</v>
      </c>
      <c r="X643" s="343"/>
      <c r="Y643" s="367" t="str">
        <f t="shared" ca="1" si="283"/>
        <v/>
      </c>
      <c r="Z643" s="368" t="str">
        <f t="shared" ca="1" si="284"/>
        <v/>
      </c>
      <c r="AA643" s="369" t="str">
        <f t="shared" ca="1" si="285"/>
        <v/>
      </c>
      <c r="AB643" s="344"/>
      <c r="AC643" s="363" t="e">
        <f t="shared" ca="1" si="286"/>
        <v>#N/A</v>
      </c>
      <c r="AD643" s="376" t="e">
        <f t="shared" ca="1" si="287"/>
        <v>#N/A</v>
      </c>
      <c r="AE643" s="377" t="e">
        <f t="shared" ca="1" si="266"/>
        <v>#N/A</v>
      </c>
      <c r="AF643" s="344"/>
      <c r="AG643" s="359">
        <f t="shared" ca="1" si="288"/>
        <v>5.8280985958672877</v>
      </c>
      <c r="AH643" s="357">
        <f t="shared" ca="1" si="289"/>
        <v>-3.8834583591301142</v>
      </c>
    </row>
    <row r="644" spans="1:34" x14ac:dyDescent="0.2">
      <c r="A644" s="402">
        <f t="shared" ca="1" si="267"/>
        <v>1E-4</v>
      </c>
      <c r="B644" s="357">
        <f t="shared" ca="1" si="268"/>
        <v>15.630399999999891</v>
      </c>
      <c r="C644" s="342"/>
      <c r="D644" s="359">
        <f t="shared" ca="1" si="269"/>
        <v>-0.54878335793150901</v>
      </c>
      <c r="E644" s="360">
        <f t="shared" ca="1" si="270"/>
        <v>-5.9654418988789883</v>
      </c>
      <c r="F644" s="357">
        <f t="shared" ca="1" si="271"/>
        <v>5.9906310371148326</v>
      </c>
      <c r="G644" s="359">
        <f t="shared" ca="1" si="272"/>
        <v>9.5324450501775821</v>
      </c>
      <c r="H644" s="360">
        <f t="shared" ca="1" si="273"/>
        <v>-66.781502514511715</v>
      </c>
      <c r="I644" s="357">
        <f t="shared" ca="1" si="274"/>
        <v>67.458406345913545</v>
      </c>
      <c r="J644" s="359">
        <f t="shared" ca="1" si="275"/>
        <v>187.70931447689617</v>
      </c>
      <c r="K644" s="360">
        <f t="shared" ca="1" si="276"/>
        <v>-6.0851700247858931</v>
      </c>
      <c r="L644" s="357">
        <f t="shared" ref="L644:L707" ca="1" si="290">SQRT(pos_x^2+pos_z^2)</f>
        <v>187.80792325036995</v>
      </c>
      <c r="M644" s="359">
        <f t="shared" ca="1" si="277"/>
        <v>-1.4290132906922752</v>
      </c>
      <c r="N644" s="357">
        <f t="shared" ca="1" si="278"/>
        <v>-81.876430424768813</v>
      </c>
      <c r="O644" s="343"/>
      <c r="P644" s="363">
        <f t="shared" ca="1" si="279"/>
        <v>23</v>
      </c>
      <c r="Q644" s="357">
        <f t="shared" ca="1" si="280"/>
        <v>0</v>
      </c>
      <c r="R644" s="359">
        <f t="shared" ca="1" si="281"/>
        <v>0</v>
      </c>
      <c r="S644" s="360">
        <f t="shared" ca="1" si="282"/>
        <v>1.5629999999999982</v>
      </c>
      <c r="T644" s="357">
        <f t="shared" ref="T644:T707" ca="1" si="291">m*g</f>
        <v>15.333029999999983</v>
      </c>
      <c r="U644" s="364">
        <f t="shared" ref="U644:U707" ca="1" si="292">IF(pos_xz&lt;L_rampe,Poids*COS(Beta),0)</f>
        <v>0</v>
      </c>
      <c r="V644" s="359">
        <f t="shared" ref="V644:V707" ca="1" si="293">Rho_moyen*(20000-Alt_rampe-pos_z)/(20000+Alt_rampe+pos_z)</f>
        <v>1.2257456602014918</v>
      </c>
      <c r="W644" s="357">
        <f t="shared" ref="W644:W707" ca="1" si="294">1/2*Rho*Sref*Cx*vit_xz^2</f>
        <v>6.0700632896697906</v>
      </c>
      <c r="X644" s="343"/>
      <c r="Y644" s="367" t="str">
        <f t="shared" ca="1" si="283"/>
        <v/>
      </c>
      <c r="Z644" s="368" t="str">
        <f t="shared" ca="1" si="284"/>
        <v/>
      </c>
      <c r="AA644" s="369" t="str">
        <f t="shared" ca="1" si="285"/>
        <v/>
      </c>
      <c r="AB644" s="344"/>
      <c r="AC644" s="363" t="e">
        <f t="shared" ca="1" si="286"/>
        <v>#N/A</v>
      </c>
      <c r="AD644" s="376" t="e">
        <f t="shared" ca="1" si="287"/>
        <v>#N/A</v>
      </c>
      <c r="AE644" s="377" t="e">
        <f t="shared" ref="AE644:AE707" ca="1" si="295">IF(t&lt;T_para, pos_z, NA())</f>
        <v>#N/A</v>
      </c>
      <c r="AF644" s="344"/>
      <c r="AG644" s="359">
        <f t="shared" ca="1" si="288"/>
        <v>5.8280317471545953</v>
      </c>
      <c r="AH644" s="357">
        <f t="shared" ca="1" si="289"/>
        <v>-3.883528056656445</v>
      </c>
    </row>
    <row r="645" spans="1:34" x14ac:dyDescent="0.2">
      <c r="A645" s="402">
        <f t="shared" ref="A645:A708" ca="1" si="296">IF(B644+0.01&lt;=T_ini+ROUNDUP(Temps_fin_propu,0), 0.01, IF(K644&gt;0, 0.1, 0.0001))</f>
        <v>1E-4</v>
      </c>
      <c r="B645" s="357">
        <f t="shared" ref="B645:B708" ca="1" si="297">B644+pas</f>
        <v>15.630499999999891</v>
      </c>
      <c r="C645" s="342"/>
      <c r="D645" s="359">
        <f t="shared" ref="D645:D708" ca="1" si="298">IF(AND(L644&lt;L_rampe,Poussee&lt;Poids*SIN(M644)),0,(-W644+Poussee)/m*COS(M644)-U644/m*SIN(M644))</f>
        <v>-0.54878530628472311</v>
      </c>
      <c r="E645" s="360">
        <f t="shared" ref="E645:E708" ca="1" si="299">IF(AND(L644&lt;L_rampe,Poussee&lt;Poids*SIN(M644)),0,(-W644+Poussee)/m*SIN(M644)+U644/m*COS(M644)-Poids/m)</f>
        <v>-5.9653717730691209</v>
      </c>
      <c r="F645" s="357">
        <f t="shared" ref="F645:F708" ca="1" si="300">SQRT(acc_x^2+acc_z^2)</f>
        <v>5.9905613846553516</v>
      </c>
      <c r="G645" s="359">
        <f t="shared" ref="G645:G708" ca="1" si="301">G644+acc_x*pas</f>
        <v>9.5323901716469539</v>
      </c>
      <c r="H645" s="360">
        <f t="shared" ref="H645:H708" ca="1" si="302">H644+acc_z*pas</f>
        <v>-66.782099051689016</v>
      </c>
      <c r="I645" s="357">
        <f t="shared" ref="I645:I708" ca="1" si="303">SQRT(vit_x^2+vit_z^2)</f>
        <v>67.458989142545818</v>
      </c>
      <c r="J645" s="359">
        <f t="shared" ref="J645:J708" ca="1" si="304">J644+0.5*(vit_x+G644)*pas*(K644&gt;=0)</f>
        <v>187.70931447689617</v>
      </c>
      <c r="K645" s="360">
        <f t="shared" ref="K645:K708" ca="1" si="305">K644+0.5*(vit_z+H644)*pas</f>
        <v>-6.0918482048642035</v>
      </c>
      <c r="L645" s="357">
        <f t="shared" ca="1" si="290"/>
        <v>187.80813974888684</v>
      </c>
      <c r="M645" s="359">
        <f t="shared" ref="M645:M708" ca="1" si="306">IF(AND(L644&gt;L_rampe,G645&gt;0),ATAN2(G645,H645),$M$4)</f>
        <v>-1.4290153456240695</v>
      </c>
      <c r="N645" s="357">
        <f t="shared" ref="N645:N708" ca="1" si="307">DEGREES(Beta)</f>
        <v>-81.876548163687815</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1.5629999999999982</v>
      </c>
      <c r="T645" s="357">
        <f t="shared" ca="1" si="291"/>
        <v>15.333029999999983</v>
      </c>
      <c r="U645" s="364">
        <f t="shared" ca="1" si="292"/>
        <v>0</v>
      </c>
      <c r="V645" s="359">
        <f t="shared" ca="1" si="293"/>
        <v>1.2257464787768659</v>
      </c>
      <c r="W645" s="357">
        <f t="shared" ca="1" si="294"/>
        <v>6.0701722266676583</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t="e">
        <f t="shared" ca="1" si="295"/>
        <v>#N/A</v>
      </c>
      <c r="AF645" s="344"/>
      <c r="AG645" s="359">
        <f t="shared" ref="AG645:AG708" ca="1" si="317">IF(AND(L644&lt;L_rampe,Poussee&lt;Poids*SIN(M644)),0,(-W644+Poussee)/m-Poids*SIN(M644)/m)</f>
        <v>5.8279648984106842</v>
      </c>
      <c r="AH645" s="357">
        <f t="shared" ref="AH645:AH708" ca="1" si="318">IF(AND(L644&lt;L_rampe,Poussee&lt;Poids*SIN(M644)), g*SIN(M644), (-W644+Poussee)/m)</f>
        <v>-3.8835977541073561</v>
      </c>
    </row>
    <row r="646" spans="1:34" x14ac:dyDescent="0.2">
      <c r="A646" s="402">
        <f t="shared" ca="1" si="296"/>
        <v>1E-4</v>
      </c>
      <c r="B646" s="357">
        <f t="shared" ca="1" si="297"/>
        <v>15.630599999999891</v>
      </c>
      <c r="C646" s="342"/>
      <c r="D646" s="359">
        <f t="shared" ca="1" si="298"/>
        <v>-0.54878725452337818</v>
      </c>
      <c r="E646" s="360">
        <f t="shared" ca="1" si="299"/>
        <v>-5.9653016473356661</v>
      </c>
      <c r="F646" s="357">
        <f t="shared" ca="1" si="300"/>
        <v>5.9904917322731457</v>
      </c>
      <c r="G646" s="359">
        <f t="shared" ca="1" si="301"/>
        <v>9.5323352929215019</v>
      </c>
      <c r="H646" s="360">
        <f t="shared" ca="1" si="302"/>
        <v>-66.782695581853744</v>
      </c>
      <c r="I646" s="357">
        <f t="shared" ca="1" si="303"/>
        <v>67.459571932493205</v>
      </c>
      <c r="J646" s="359">
        <f t="shared" ca="1" si="304"/>
        <v>187.70931447689617</v>
      </c>
      <c r="K646" s="360">
        <f t="shared" ca="1" si="305"/>
        <v>-6.0985264445958807</v>
      </c>
      <c r="L646" s="357">
        <f t="shared" ca="1" si="290"/>
        <v>187.80835648655716</v>
      </c>
      <c r="M646" s="359">
        <f t="shared" ca="1" si="306"/>
        <v>-1.4290174005085277</v>
      </c>
      <c r="N646" s="357">
        <f t="shared" ca="1" si="307"/>
        <v>-81.876665899894661</v>
      </c>
      <c r="O646" s="343"/>
      <c r="P646" s="363">
        <f t="shared" ca="1" si="308"/>
        <v>23</v>
      </c>
      <c r="Q646" s="357">
        <f t="shared" ca="1" si="309"/>
        <v>0</v>
      </c>
      <c r="R646" s="359">
        <f t="shared" ca="1" si="310"/>
        <v>0</v>
      </c>
      <c r="S646" s="360">
        <f t="shared" ca="1" si="311"/>
        <v>1.5629999999999982</v>
      </c>
      <c r="T646" s="357">
        <f t="shared" ca="1" si="291"/>
        <v>15.333029999999983</v>
      </c>
      <c r="U646" s="364">
        <f t="shared" ca="1" si="292"/>
        <v>0</v>
      </c>
      <c r="V646" s="359">
        <f t="shared" ca="1" si="293"/>
        <v>1.2257472973600985</v>
      </c>
      <c r="W646" s="357">
        <f t="shared" ca="1" si="294"/>
        <v>6.070281163547584</v>
      </c>
      <c r="X646" s="343"/>
      <c r="Y646" s="367" t="str">
        <f t="shared" ca="1" si="312"/>
        <v/>
      </c>
      <c r="Z646" s="368" t="str">
        <f t="shared" ca="1" si="313"/>
        <v/>
      </c>
      <c r="AA646" s="369" t="str">
        <f t="shared" ca="1" si="314"/>
        <v/>
      </c>
      <c r="AB646" s="344"/>
      <c r="AC646" s="363" t="e">
        <f t="shared" ca="1" si="315"/>
        <v>#N/A</v>
      </c>
      <c r="AD646" s="376" t="e">
        <f t="shared" ca="1" si="316"/>
        <v>#N/A</v>
      </c>
      <c r="AE646" s="377" t="e">
        <f t="shared" ca="1" si="295"/>
        <v>#N/A</v>
      </c>
      <c r="AF646" s="344"/>
      <c r="AG646" s="359">
        <f t="shared" ca="1" si="317"/>
        <v>5.8278980496355777</v>
      </c>
      <c r="AH646" s="357">
        <f t="shared" ca="1" si="318"/>
        <v>-3.8836674514828315</v>
      </c>
    </row>
    <row r="647" spans="1:34" x14ac:dyDescent="0.2">
      <c r="A647" s="402">
        <f t="shared" ca="1" si="296"/>
        <v>1E-4</v>
      </c>
      <c r="B647" s="357">
        <f t="shared" ca="1" si="297"/>
        <v>15.630699999999891</v>
      </c>
      <c r="C647" s="342"/>
      <c r="D647" s="359">
        <f t="shared" ca="1" si="298"/>
        <v>-0.54878920264747733</v>
      </c>
      <c r="E647" s="360">
        <f t="shared" ca="1" si="299"/>
        <v>-5.9652315216786498</v>
      </c>
      <c r="F647" s="357">
        <f t="shared" ca="1" si="300"/>
        <v>5.9904220799682415</v>
      </c>
      <c r="G647" s="359">
        <f t="shared" ca="1" si="301"/>
        <v>9.5322804140012369</v>
      </c>
      <c r="H647" s="360">
        <f t="shared" ca="1" si="302"/>
        <v>-66.783292105005913</v>
      </c>
      <c r="I647" s="357">
        <f t="shared" ca="1" si="303"/>
        <v>67.460154715755706</v>
      </c>
      <c r="J647" s="359">
        <f t="shared" ca="1" si="304"/>
        <v>187.70931447689617</v>
      </c>
      <c r="K647" s="360">
        <f t="shared" ca="1" si="305"/>
        <v>-6.1052047439802237</v>
      </c>
      <c r="L647" s="357">
        <f t="shared" ca="1" si="290"/>
        <v>187.80857346338641</v>
      </c>
      <c r="M647" s="359">
        <f t="shared" ca="1" si="306"/>
        <v>-1.4290194553456519</v>
      </c>
      <c r="N647" s="357">
        <f t="shared" ca="1" si="307"/>
        <v>-81.876783633389465</v>
      </c>
      <c r="O647" s="343"/>
      <c r="P647" s="363">
        <f t="shared" ca="1" si="308"/>
        <v>23</v>
      </c>
      <c r="Q647" s="357">
        <f t="shared" ca="1" si="309"/>
        <v>0</v>
      </c>
      <c r="R647" s="359">
        <f t="shared" ca="1" si="310"/>
        <v>0</v>
      </c>
      <c r="S647" s="360">
        <f t="shared" ca="1" si="311"/>
        <v>1.5629999999999982</v>
      </c>
      <c r="T647" s="357">
        <f t="shared" ca="1" si="291"/>
        <v>15.333029999999983</v>
      </c>
      <c r="U647" s="364">
        <f t="shared" ca="1" si="292"/>
        <v>0</v>
      </c>
      <c r="V647" s="359">
        <f t="shared" ca="1" si="293"/>
        <v>1.2257481159511905</v>
      </c>
      <c r="W647" s="357">
        <f t="shared" ca="1" si="294"/>
        <v>6.0703901003095417</v>
      </c>
      <c r="X647" s="343"/>
      <c r="Y647" s="367" t="str">
        <f t="shared" ca="1" si="312"/>
        <v/>
      </c>
      <c r="Z647" s="368" t="str">
        <f t="shared" ca="1" si="313"/>
        <v/>
      </c>
      <c r="AA647" s="369" t="str">
        <f t="shared" ca="1" si="314"/>
        <v/>
      </c>
      <c r="AB647" s="344"/>
      <c r="AC647" s="363" t="e">
        <f t="shared" ca="1" si="315"/>
        <v>#N/A</v>
      </c>
      <c r="AD647" s="376" t="e">
        <f t="shared" ca="1" si="316"/>
        <v>#N/A</v>
      </c>
      <c r="AE647" s="377" t="e">
        <f t="shared" ca="1" si="295"/>
        <v>#N/A</v>
      </c>
      <c r="AF647" s="344"/>
      <c r="AG647" s="359">
        <f t="shared" ca="1" si="317"/>
        <v>5.8278312008293049</v>
      </c>
      <c r="AH647" s="357">
        <f t="shared" ca="1" si="318"/>
        <v>-3.8837371487828478</v>
      </c>
    </row>
    <row r="648" spans="1:34" x14ac:dyDescent="0.2">
      <c r="A648" s="402">
        <f t="shared" ca="1" si="296"/>
        <v>1E-4</v>
      </c>
      <c r="B648" s="357">
        <f t="shared" ca="1" si="297"/>
        <v>15.630799999999891</v>
      </c>
      <c r="C648" s="342"/>
      <c r="D648" s="359">
        <f t="shared" ca="1" si="298"/>
        <v>-0.54879115065701989</v>
      </c>
      <c r="E648" s="360">
        <f t="shared" ca="1" si="299"/>
        <v>-5.9651613960980878</v>
      </c>
      <c r="F648" s="357">
        <f t="shared" ca="1" si="300"/>
        <v>5.9903524277406532</v>
      </c>
      <c r="G648" s="359">
        <f t="shared" ca="1" si="301"/>
        <v>9.5322255348861713</v>
      </c>
      <c r="H648" s="360">
        <f t="shared" ca="1" si="302"/>
        <v>-66.783888621145522</v>
      </c>
      <c r="I648" s="357">
        <f t="shared" ca="1" si="303"/>
        <v>67.460737492333323</v>
      </c>
      <c r="J648" s="359">
        <f t="shared" ca="1" si="304"/>
        <v>187.70931447689617</v>
      </c>
      <c r="K648" s="360">
        <f t="shared" ca="1" si="305"/>
        <v>-6.111883103016531</v>
      </c>
      <c r="L648" s="357">
        <f t="shared" ca="1" si="290"/>
        <v>187.80879067938017</v>
      </c>
      <c r="M648" s="359">
        <f t="shared" ca="1" si="306"/>
        <v>-1.4290215101354438</v>
      </c>
      <c r="N648" s="357">
        <f t="shared" ca="1" si="307"/>
        <v>-81.876901364172326</v>
      </c>
      <c r="O648" s="343"/>
      <c r="P648" s="363">
        <f t="shared" ca="1" si="308"/>
        <v>23</v>
      </c>
      <c r="Q648" s="357">
        <f t="shared" ca="1" si="309"/>
        <v>0</v>
      </c>
      <c r="R648" s="359">
        <f t="shared" ca="1" si="310"/>
        <v>0</v>
      </c>
      <c r="S648" s="360">
        <f t="shared" ca="1" si="311"/>
        <v>1.5629999999999982</v>
      </c>
      <c r="T648" s="357">
        <f t="shared" ca="1" si="291"/>
        <v>15.333029999999983</v>
      </c>
      <c r="U648" s="364">
        <f t="shared" ca="1" si="292"/>
        <v>0</v>
      </c>
      <c r="V648" s="359">
        <f t="shared" ca="1" si="293"/>
        <v>1.2257489345501409</v>
      </c>
      <c r="W648" s="357">
        <f t="shared" ca="1" si="294"/>
        <v>6.0704990369534979</v>
      </c>
      <c r="X648" s="343"/>
      <c r="Y648" s="367" t="str">
        <f t="shared" ca="1" si="312"/>
        <v/>
      </c>
      <c r="Z648" s="368" t="str">
        <f t="shared" ca="1" si="313"/>
        <v/>
      </c>
      <c r="AA648" s="369" t="str">
        <f t="shared" ca="1" si="314"/>
        <v/>
      </c>
      <c r="AB648" s="344"/>
      <c r="AC648" s="363" t="e">
        <f t="shared" ca="1" si="315"/>
        <v>#N/A</v>
      </c>
      <c r="AD648" s="376" t="e">
        <f t="shared" ca="1" si="316"/>
        <v>#N/A</v>
      </c>
      <c r="AE648" s="377" t="e">
        <f t="shared" ca="1" si="295"/>
        <v>#N/A</v>
      </c>
      <c r="AF648" s="344"/>
      <c r="AG648" s="359">
        <f t="shared" ca="1" si="317"/>
        <v>5.8277643519918865</v>
      </c>
      <c r="AH648" s="357">
        <f t="shared" ca="1" si="318"/>
        <v>-3.8838068460073889</v>
      </c>
    </row>
    <row r="649" spans="1:34" x14ac:dyDescent="0.2">
      <c r="A649" s="402">
        <f t="shared" ca="1" si="296"/>
        <v>1E-4</v>
      </c>
      <c r="B649" s="357">
        <f t="shared" ca="1" si="297"/>
        <v>15.63089999999989</v>
      </c>
      <c r="C649" s="342"/>
      <c r="D649" s="359">
        <f t="shared" ca="1" si="298"/>
        <v>-0.5487930985520072</v>
      </c>
      <c r="E649" s="360">
        <f t="shared" ca="1" si="299"/>
        <v>-5.9650912705940016</v>
      </c>
      <c r="F649" s="357">
        <f t="shared" ca="1" si="300"/>
        <v>5.990282775590404</v>
      </c>
      <c r="G649" s="359">
        <f t="shared" ca="1" si="301"/>
        <v>9.5321706555763157</v>
      </c>
      <c r="H649" s="360">
        <f t="shared" ca="1" si="302"/>
        <v>-66.784485130272586</v>
      </c>
      <c r="I649" s="357">
        <f t="shared" ca="1" si="303"/>
        <v>67.461320262226039</v>
      </c>
      <c r="J649" s="359">
        <f t="shared" ca="1" si="304"/>
        <v>187.70931447689617</v>
      </c>
      <c r="K649" s="360">
        <f t="shared" ca="1" si="305"/>
        <v>-6.1185615217041018</v>
      </c>
      <c r="L649" s="357">
        <f t="shared" ca="1" si="290"/>
        <v>187.80900813454392</v>
      </c>
      <c r="M649" s="359">
        <f t="shared" ca="1" si="306"/>
        <v>-1.4290235648779046</v>
      </c>
      <c r="N649" s="357">
        <f t="shared" ca="1" si="307"/>
        <v>-81.877019092243316</v>
      </c>
      <c r="O649" s="343"/>
      <c r="P649" s="363">
        <f t="shared" ca="1" si="308"/>
        <v>23</v>
      </c>
      <c r="Q649" s="357">
        <f t="shared" ca="1" si="309"/>
        <v>0</v>
      </c>
      <c r="R649" s="359">
        <f t="shared" ca="1" si="310"/>
        <v>0</v>
      </c>
      <c r="S649" s="360">
        <f t="shared" ca="1" si="311"/>
        <v>1.5629999999999982</v>
      </c>
      <c r="T649" s="357">
        <f t="shared" ca="1" si="291"/>
        <v>15.333029999999983</v>
      </c>
      <c r="U649" s="364">
        <f t="shared" ca="1" si="292"/>
        <v>0</v>
      </c>
      <c r="V649" s="359">
        <f t="shared" ca="1" si="293"/>
        <v>1.2257497531569497</v>
      </c>
      <c r="W649" s="357">
        <f t="shared" ca="1" si="294"/>
        <v>6.0706079734794214</v>
      </c>
      <c r="X649" s="343"/>
      <c r="Y649" s="367" t="str">
        <f t="shared" ca="1" si="312"/>
        <v/>
      </c>
      <c r="Z649" s="368" t="str">
        <f t="shared" ca="1" si="313"/>
        <v/>
      </c>
      <c r="AA649" s="369" t="str">
        <f t="shared" ca="1" si="314"/>
        <v/>
      </c>
      <c r="AB649" s="344"/>
      <c r="AC649" s="363" t="e">
        <f t="shared" ca="1" si="315"/>
        <v>#N/A</v>
      </c>
      <c r="AD649" s="376" t="e">
        <f t="shared" ca="1" si="316"/>
        <v>#N/A</v>
      </c>
      <c r="AE649" s="377" t="e">
        <f t="shared" ca="1" si="295"/>
        <v>#N/A</v>
      </c>
      <c r="AF649" s="344"/>
      <c r="AG649" s="359">
        <f t="shared" ca="1" si="317"/>
        <v>5.827697503123348</v>
      </c>
      <c r="AH649" s="357">
        <f t="shared" ca="1" si="318"/>
        <v>-3.883876543156433</v>
      </c>
    </row>
    <row r="650" spans="1:34" x14ac:dyDescent="0.2">
      <c r="A650" s="402">
        <f t="shared" ca="1" si="296"/>
        <v>1E-4</v>
      </c>
      <c r="B650" s="357">
        <f t="shared" ca="1" si="297"/>
        <v>15.63099999999989</v>
      </c>
      <c r="C650" s="342"/>
      <c r="D650" s="359">
        <f t="shared" ca="1" si="298"/>
        <v>-0.54879504633244158</v>
      </c>
      <c r="E650" s="360">
        <f t="shared" ca="1" si="299"/>
        <v>-5.9650211451664115</v>
      </c>
      <c r="F650" s="357">
        <f t="shared" ca="1" si="300"/>
        <v>5.9902131235175125</v>
      </c>
      <c r="G650" s="359">
        <f t="shared" ca="1" si="301"/>
        <v>9.5321157760716826</v>
      </c>
      <c r="H650" s="360">
        <f t="shared" ca="1" si="302"/>
        <v>-66.785081632387104</v>
      </c>
      <c r="I650" s="357">
        <f t="shared" ca="1" si="303"/>
        <v>67.46190302543387</v>
      </c>
      <c r="J650" s="359">
        <f t="shared" ca="1" si="304"/>
        <v>187.70931447689617</v>
      </c>
      <c r="K650" s="360">
        <f t="shared" ca="1" si="305"/>
        <v>-6.1252400000422345</v>
      </c>
      <c r="L650" s="357">
        <f t="shared" ca="1" si="290"/>
        <v>187.80922582888311</v>
      </c>
      <c r="M650" s="359">
        <f t="shared" ca="1" si="306"/>
        <v>-1.4290256195730366</v>
      </c>
      <c r="N650" s="357">
        <f t="shared" ca="1" si="307"/>
        <v>-81.877136817602562</v>
      </c>
      <c r="O650" s="343"/>
      <c r="P650" s="363">
        <f t="shared" ca="1" si="308"/>
        <v>23</v>
      </c>
      <c r="Q650" s="357">
        <f t="shared" ca="1" si="309"/>
        <v>0</v>
      </c>
      <c r="R650" s="359">
        <f t="shared" ca="1" si="310"/>
        <v>0</v>
      </c>
      <c r="S650" s="360">
        <f t="shared" ca="1" si="311"/>
        <v>1.5629999999999982</v>
      </c>
      <c r="T650" s="357">
        <f t="shared" ca="1" si="291"/>
        <v>15.333029999999983</v>
      </c>
      <c r="U650" s="364">
        <f t="shared" ca="1" si="292"/>
        <v>0</v>
      </c>
      <c r="V650" s="359">
        <f t="shared" ca="1" si="293"/>
        <v>1.2257505717716171</v>
      </c>
      <c r="W650" s="357">
        <f t="shared" ca="1" si="294"/>
        <v>6.0707169098872837</v>
      </c>
      <c r="X650" s="343"/>
      <c r="Y650" s="367" t="str">
        <f t="shared" ca="1" si="312"/>
        <v/>
      </c>
      <c r="Z650" s="368" t="str">
        <f t="shared" ca="1" si="313"/>
        <v/>
      </c>
      <c r="AA650" s="369" t="str">
        <f t="shared" ca="1" si="314"/>
        <v/>
      </c>
      <c r="AB650" s="344"/>
      <c r="AC650" s="363" t="e">
        <f t="shared" ca="1" si="315"/>
        <v>#N/A</v>
      </c>
      <c r="AD650" s="376" t="e">
        <f t="shared" ca="1" si="316"/>
        <v>#N/A</v>
      </c>
      <c r="AE650" s="377" t="e">
        <f t="shared" ca="1" si="295"/>
        <v>#N/A</v>
      </c>
      <c r="AF650" s="344"/>
      <c r="AG650" s="359">
        <f t="shared" ca="1" si="317"/>
        <v>5.8276306542237162</v>
      </c>
      <c r="AH650" s="357">
        <f t="shared" ca="1" si="318"/>
        <v>-3.8839462402299607</v>
      </c>
    </row>
    <row r="651" spans="1:34" x14ac:dyDescent="0.2">
      <c r="A651" s="402">
        <f t="shared" ca="1" si="296"/>
        <v>1E-4</v>
      </c>
      <c r="B651" s="357">
        <f t="shared" ca="1" si="297"/>
        <v>15.63109999999989</v>
      </c>
      <c r="C651" s="342"/>
      <c r="D651" s="359">
        <f t="shared" ca="1" si="298"/>
        <v>-0.54879699399832227</v>
      </c>
      <c r="E651" s="360">
        <f t="shared" ca="1" si="299"/>
        <v>-5.9649510198153344</v>
      </c>
      <c r="F651" s="357">
        <f t="shared" ca="1" si="300"/>
        <v>5.9901434715219963</v>
      </c>
      <c r="G651" s="359">
        <f t="shared" ca="1" si="301"/>
        <v>9.5320608963722826</v>
      </c>
      <c r="H651" s="360">
        <f t="shared" ca="1" si="302"/>
        <v>-66.785678127489092</v>
      </c>
      <c r="I651" s="357">
        <f t="shared" ca="1" si="303"/>
        <v>67.462485781956815</v>
      </c>
      <c r="J651" s="359">
        <f t="shared" ca="1" si="304"/>
        <v>187.70931447689617</v>
      </c>
      <c r="K651" s="360">
        <f t="shared" ca="1" si="305"/>
        <v>-6.1319185380302281</v>
      </c>
      <c r="L651" s="357">
        <f t="shared" ca="1" si="290"/>
        <v>187.80944376240333</v>
      </c>
      <c r="M651" s="359">
        <f t="shared" ca="1" si="306"/>
        <v>-1.4290276742208414</v>
      </c>
      <c r="N651" s="357">
        <f t="shared" ca="1" si="307"/>
        <v>-81.877254540250163</v>
      </c>
      <c r="O651" s="343"/>
      <c r="P651" s="363">
        <f t="shared" ca="1" si="308"/>
        <v>23</v>
      </c>
      <c r="Q651" s="357">
        <f t="shared" ca="1" si="309"/>
        <v>0</v>
      </c>
      <c r="R651" s="359">
        <f t="shared" ca="1" si="310"/>
        <v>0</v>
      </c>
      <c r="S651" s="360">
        <f t="shared" ca="1" si="311"/>
        <v>1.5629999999999982</v>
      </c>
      <c r="T651" s="357">
        <f t="shared" ca="1" si="291"/>
        <v>15.333029999999983</v>
      </c>
      <c r="U651" s="364">
        <f t="shared" ca="1" si="292"/>
        <v>0</v>
      </c>
      <c r="V651" s="359">
        <f t="shared" ca="1" si="293"/>
        <v>1.2257513903941433</v>
      </c>
      <c r="W651" s="357">
        <f t="shared" ca="1" si="294"/>
        <v>6.0708258461770574</v>
      </c>
      <c r="X651" s="343"/>
      <c r="Y651" s="367" t="str">
        <f t="shared" ca="1" si="312"/>
        <v/>
      </c>
      <c r="Z651" s="368" t="str">
        <f t="shared" ca="1" si="313"/>
        <v/>
      </c>
      <c r="AA651" s="369" t="str">
        <f t="shared" ca="1" si="314"/>
        <v/>
      </c>
      <c r="AB651" s="344"/>
      <c r="AC651" s="363" t="e">
        <f t="shared" ca="1" si="315"/>
        <v>#N/A</v>
      </c>
      <c r="AD651" s="376" t="e">
        <f t="shared" ca="1" si="316"/>
        <v>#N/A</v>
      </c>
      <c r="AE651" s="377" t="e">
        <f t="shared" ca="1" si="295"/>
        <v>#N/A</v>
      </c>
      <c r="AF651" s="344"/>
      <c r="AG651" s="359">
        <f t="shared" ca="1" si="317"/>
        <v>5.8275638052930141</v>
      </c>
      <c r="AH651" s="357">
        <f t="shared" ca="1" si="318"/>
        <v>-3.8840159372279532</v>
      </c>
    </row>
    <row r="652" spans="1:34" x14ac:dyDescent="0.2">
      <c r="A652" s="402">
        <f t="shared" ca="1" si="296"/>
        <v>1E-4</v>
      </c>
      <c r="B652" s="357">
        <f t="shared" ca="1" si="297"/>
        <v>15.63119999999989</v>
      </c>
      <c r="C652" s="342"/>
      <c r="D652" s="359">
        <f t="shared" ca="1" si="298"/>
        <v>-0.54879894154965125</v>
      </c>
      <c r="E652" s="360">
        <f t="shared" ca="1" si="299"/>
        <v>-5.964880894540789</v>
      </c>
      <c r="F652" s="357">
        <f t="shared" ca="1" si="300"/>
        <v>5.9900738196038734</v>
      </c>
      <c r="G652" s="359">
        <f t="shared" ca="1" si="301"/>
        <v>9.5320060164781282</v>
      </c>
      <c r="H652" s="360">
        <f t="shared" ca="1" si="302"/>
        <v>-66.786274615578549</v>
      </c>
      <c r="I652" s="357">
        <f t="shared" ca="1" si="303"/>
        <v>67.463068531794832</v>
      </c>
      <c r="J652" s="359">
        <f t="shared" ca="1" si="304"/>
        <v>187.70931447689617</v>
      </c>
      <c r="K652" s="360">
        <f t="shared" ca="1" si="305"/>
        <v>-6.1385971356673812</v>
      </c>
      <c r="L652" s="357">
        <f t="shared" ca="1" si="290"/>
        <v>187.80966193511003</v>
      </c>
      <c r="M652" s="359">
        <f t="shared" ca="1" si="306"/>
        <v>-1.4290297288213203</v>
      </c>
      <c r="N652" s="357">
        <f t="shared" ca="1" si="307"/>
        <v>-81.877372260186192</v>
      </c>
      <c r="O652" s="343"/>
      <c r="P652" s="363">
        <f t="shared" ca="1" si="308"/>
        <v>23</v>
      </c>
      <c r="Q652" s="357">
        <f t="shared" ca="1" si="309"/>
        <v>0</v>
      </c>
      <c r="R652" s="359">
        <f t="shared" ca="1" si="310"/>
        <v>0</v>
      </c>
      <c r="S652" s="360">
        <f t="shared" ca="1" si="311"/>
        <v>1.5629999999999982</v>
      </c>
      <c r="T652" s="357">
        <f t="shared" ca="1" si="291"/>
        <v>15.333029999999983</v>
      </c>
      <c r="U652" s="364">
        <f t="shared" ca="1" si="292"/>
        <v>0</v>
      </c>
      <c r="V652" s="359">
        <f t="shared" ca="1" si="293"/>
        <v>1.2257522090245276</v>
      </c>
      <c r="W652" s="357">
        <f t="shared" ca="1" si="294"/>
        <v>6.0709347823487008</v>
      </c>
      <c r="X652" s="343"/>
      <c r="Y652" s="367" t="str">
        <f t="shared" ca="1" si="312"/>
        <v/>
      </c>
      <c r="Z652" s="368" t="str">
        <f t="shared" ca="1" si="313"/>
        <v/>
      </c>
      <c r="AA652" s="369" t="str">
        <f t="shared" ca="1" si="314"/>
        <v/>
      </c>
      <c r="AB652" s="344"/>
      <c r="AC652" s="363" t="e">
        <f t="shared" ca="1" si="315"/>
        <v>#N/A</v>
      </c>
      <c r="AD652" s="376" t="e">
        <f t="shared" ca="1" si="316"/>
        <v>#N/A</v>
      </c>
      <c r="AE652" s="377" t="e">
        <f t="shared" ca="1" si="295"/>
        <v>#N/A</v>
      </c>
      <c r="AF652" s="344"/>
      <c r="AG652" s="359">
        <f t="shared" ca="1" si="317"/>
        <v>5.8274969563312631</v>
      </c>
      <c r="AH652" s="357">
        <f t="shared" ca="1" si="318"/>
        <v>-3.8840856341503933</v>
      </c>
    </row>
    <row r="653" spans="1:34" x14ac:dyDescent="0.2">
      <c r="A653" s="402">
        <f t="shared" ca="1" si="296"/>
        <v>1E-4</v>
      </c>
      <c r="B653" s="357">
        <f t="shared" ca="1" si="297"/>
        <v>15.631299999999889</v>
      </c>
      <c r="C653" s="342"/>
      <c r="D653" s="359">
        <f t="shared" ca="1" si="298"/>
        <v>-0.54880088898642976</v>
      </c>
      <c r="E653" s="360">
        <f t="shared" ca="1" si="299"/>
        <v>-5.9648107693428027</v>
      </c>
      <c r="F653" s="357">
        <f t="shared" ca="1" si="300"/>
        <v>5.9900041677631721</v>
      </c>
      <c r="G653" s="359">
        <f t="shared" ca="1" si="301"/>
        <v>9.53195113638923</v>
      </c>
      <c r="H653" s="360">
        <f t="shared" ca="1" si="302"/>
        <v>-66.786871096655489</v>
      </c>
      <c r="I653" s="357">
        <f t="shared" ca="1" si="303"/>
        <v>67.463651274947964</v>
      </c>
      <c r="J653" s="359">
        <f t="shared" ca="1" si="304"/>
        <v>187.70931447689617</v>
      </c>
      <c r="K653" s="360">
        <f t="shared" ca="1" si="305"/>
        <v>-6.1452757929529929</v>
      </c>
      <c r="L653" s="357">
        <f t="shared" ca="1" si="290"/>
        <v>187.80988034700877</v>
      </c>
      <c r="M653" s="359">
        <f t="shared" ca="1" si="306"/>
        <v>-1.4290317833744755</v>
      </c>
      <c r="N653" s="357">
        <f t="shared" ca="1" si="307"/>
        <v>-81.877489977410761</v>
      </c>
      <c r="O653" s="343"/>
      <c r="P653" s="363">
        <f t="shared" ca="1" si="308"/>
        <v>23</v>
      </c>
      <c r="Q653" s="357">
        <f t="shared" ca="1" si="309"/>
        <v>0</v>
      </c>
      <c r="R653" s="359">
        <f t="shared" ca="1" si="310"/>
        <v>0</v>
      </c>
      <c r="S653" s="360">
        <f t="shared" ca="1" si="311"/>
        <v>1.5629999999999982</v>
      </c>
      <c r="T653" s="357">
        <f t="shared" ca="1" si="291"/>
        <v>15.333029999999983</v>
      </c>
      <c r="U653" s="364">
        <f t="shared" ca="1" si="292"/>
        <v>0</v>
      </c>
      <c r="V653" s="359">
        <f t="shared" ca="1" si="293"/>
        <v>1.2257530276627704</v>
      </c>
      <c r="W653" s="357">
        <f t="shared" ca="1" si="294"/>
        <v>6.0710437184021941</v>
      </c>
      <c r="X653" s="343"/>
      <c r="Y653" s="367" t="str">
        <f t="shared" ca="1" si="312"/>
        <v/>
      </c>
      <c r="Z653" s="368" t="str">
        <f t="shared" ca="1" si="313"/>
        <v/>
      </c>
      <c r="AA653" s="369" t="str">
        <f t="shared" ca="1" si="314"/>
        <v/>
      </c>
      <c r="AB653" s="344"/>
      <c r="AC653" s="363" t="e">
        <f t="shared" ca="1" si="315"/>
        <v>#N/A</v>
      </c>
      <c r="AD653" s="376" t="e">
        <f t="shared" ca="1" si="316"/>
        <v>#N/A</v>
      </c>
      <c r="AE653" s="377" t="e">
        <f t="shared" ca="1" si="295"/>
        <v>#N/A</v>
      </c>
      <c r="AF653" s="344"/>
      <c r="AG653" s="359">
        <f t="shared" ca="1" si="317"/>
        <v>5.8274301073384969</v>
      </c>
      <c r="AH653" s="357">
        <f t="shared" ca="1" si="318"/>
        <v>-3.8841553309972539</v>
      </c>
    </row>
    <row r="654" spans="1:34" x14ac:dyDescent="0.2">
      <c r="A654" s="402">
        <f t="shared" ca="1" si="296"/>
        <v>1E-4</v>
      </c>
      <c r="B654" s="357">
        <f t="shared" ca="1" si="297"/>
        <v>15.631399999999889</v>
      </c>
      <c r="C654" s="342"/>
      <c r="D654" s="359">
        <f t="shared" ca="1" si="298"/>
        <v>-0.54880283630865789</v>
      </c>
      <c r="E654" s="360">
        <f t="shared" ca="1" si="299"/>
        <v>-5.9647406442213873</v>
      </c>
      <c r="F654" s="357">
        <f t="shared" ca="1" si="300"/>
        <v>5.989934515999904</v>
      </c>
      <c r="G654" s="359">
        <f t="shared" ca="1" si="301"/>
        <v>9.5318962561055987</v>
      </c>
      <c r="H654" s="360">
        <f t="shared" ca="1" si="302"/>
        <v>-66.787467570719912</v>
      </c>
      <c r="I654" s="357">
        <f t="shared" ca="1" si="303"/>
        <v>67.464234011416181</v>
      </c>
      <c r="J654" s="359">
        <f t="shared" ca="1" si="304"/>
        <v>187.70931447689617</v>
      </c>
      <c r="K654" s="360">
        <f t="shared" ca="1" si="305"/>
        <v>-6.1519545098863615</v>
      </c>
      <c r="L654" s="357">
        <f t="shared" ca="1" si="290"/>
        <v>187.81009899810502</v>
      </c>
      <c r="M654" s="359">
        <f t="shared" ca="1" si="306"/>
        <v>-1.4290338378803082</v>
      </c>
      <c r="N654" s="357">
        <f t="shared" ca="1" si="307"/>
        <v>-81.87760769192397</v>
      </c>
      <c r="O654" s="343"/>
      <c r="P654" s="363">
        <f t="shared" ca="1" si="308"/>
        <v>23</v>
      </c>
      <c r="Q654" s="357">
        <f t="shared" ca="1" si="309"/>
        <v>0</v>
      </c>
      <c r="R654" s="359">
        <f t="shared" ca="1" si="310"/>
        <v>0</v>
      </c>
      <c r="S654" s="360">
        <f t="shared" ca="1" si="311"/>
        <v>1.5629999999999982</v>
      </c>
      <c r="T654" s="357">
        <f t="shared" ca="1" si="291"/>
        <v>15.333029999999983</v>
      </c>
      <c r="U654" s="364">
        <f t="shared" ca="1" si="292"/>
        <v>0</v>
      </c>
      <c r="V654" s="359">
        <f t="shared" ca="1" si="293"/>
        <v>1.2257538463088711</v>
      </c>
      <c r="W654" s="357">
        <f t="shared" ca="1" si="294"/>
        <v>6.0711526543375003</v>
      </c>
      <c r="X654" s="343"/>
      <c r="Y654" s="367" t="str">
        <f t="shared" ca="1" si="312"/>
        <v/>
      </c>
      <c r="Z654" s="368" t="str">
        <f t="shared" ca="1" si="313"/>
        <v/>
      </c>
      <c r="AA654" s="369" t="str">
        <f t="shared" ca="1" si="314"/>
        <v/>
      </c>
      <c r="AB654" s="344"/>
      <c r="AC654" s="363" t="e">
        <f t="shared" ca="1" si="315"/>
        <v>#N/A</v>
      </c>
      <c r="AD654" s="376" t="e">
        <f t="shared" ca="1" si="316"/>
        <v>#N/A</v>
      </c>
      <c r="AE654" s="377" t="e">
        <f t="shared" ca="1" si="295"/>
        <v>#N/A</v>
      </c>
      <c r="AF654" s="344"/>
      <c r="AG654" s="359">
        <f t="shared" ca="1" si="317"/>
        <v>5.8273632583147332</v>
      </c>
      <c r="AH654" s="357">
        <f t="shared" ca="1" si="318"/>
        <v>-3.8842250277685229</v>
      </c>
    </row>
    <row r="655" spans="1:34" x14ac:dyDescent="0.2">
      <c r="A655" s="402">
        <f t="shared" ca="1" si="296"/>
        <v>1E-4</v>
      </c>
      <c r="B655" s="357">
        <f t="shared" ca="1" si="297"/>
        <v>15.631499999999889</v>
      </c>
      <c r="C655" s="342"/>
      <c r="D655" s="359">
        <f t="shared" ca="1" si="298"/>
        <v>-0.54880478351633755</v>
      </c>
      <c r="E655" s="360">
        <f t="shared" ca="1" si="299"/>
        <v>-5.9646705191765665</v>
      </c>
      <c r="F655" s="357">
        <f t="shared" ca="1" si="300"/>
        <v>5.9898648643140913</v>
      </c>
      <c r="G655" s="359">
        <f t="shared" ca="1" si="301"/>
        <v>9.5318413756272466</v>
      </c>
      <c r="H655" s="360">
        <f t="shared" ca="1" si="302"/>
        <v>-66.788064037771832</v>
      </c>
      <c r="I655" s="357">
        <f t="shared" ca="1" si="303"/>
        <v>67.464816741199485</v>
      </c>
      <c r="J655" s="359">
        <f t="shared" ca="1" si="304"/>
        <v>187.70931447689617</v>
      </c>
      <c r="K655" s="360">
        <f t="shared" ca="1" si="305"/>
        <v>-6.1586332864667863</v>
      </c>
      <c r="L655" s="357">
        <f t="shared" ca="1" si="290"/>
        <v>187.81031788840431</v>
      </c>
      <c r="M655" s="359">
        <f t="shared" ca="1" si="306"/>
        <v>-1.4290358923388204</v>
      </c>
      <c r="N655" s="357">
        <f t="shared" ca="1" si="307"/>
        <v>-81.877725403725904</v>
      </c>
      <c r="O655" s="343"/>
      <c r="P655" s="363">
        <f t="shared" ca="1" si="308"/>
        <v>23</v>
      </c>
      <c r="Q655" s="357">
        <f t="shared" ca="1" si="309"/>
        <v>0</v>
      </c>
      <c r="R655" s="359">
        <f t="shared" ca="1" si="310"/>
        <v>0</v>
      </c>
      <c r="S655" s="360">
        <f t="shared" ca="1" si="311"/>
        <v>1.5629999999999982</v>
      </c>
      <c r="T655" s="357">
        <f t="shared" ca="1" si="291"/>
        <v>15.333029999999983</v>
      </c>
      <c r="U655" s="364">
        <f t="shared" ca="1" si="292"/>
        <v>0</v>
      </c>
      <c r="V655" s="359">
        <f t="shared" ca="1" si="293"/>
        <v>1.2257546649628304</v>
      </c>
      <c r="W655" s="357">
        <f t="shared" ca="1" si="294"/>
        <v>6.0712615901545908</v>
      </c>
      <c r="X655" s="343"/>
      <c r="Y655" s="367" t="str">
        <f t="shared" ca="1" si="312"/>
        <v/>
      </c>
      <c r="Z655" s="368" t="str">
        <f t="shared" ca="1" si="313"/>
        <v/>
      </c>
      <c r="AA655" s="369" t="str">
        <f t="shared" ca="1" si="314"/>
        <v/>
      </c>
      <c r="AB655" s="344"/>
      <c r="AC655" s="363" t="e">
        <f t="shared" ca="1" si="315"/>
        <v>#N/A</v>
      </c>
      <c r="AD655" s="376" t="e">
        <f t="shared" ca="1" si="316"/>
        <v>#N/A</v>
      </c>
      <c r="AE655" s="377" t="e">
        <f t="shared" ca="1" si="295"/>
        <v>#N/A</v>
      </c>
      <c r="AF655" s="344"/>
      <c r="AG655" s="359">
        <f t="shared" ca="1" si="317"/>
        <v>5.8272964092599988</v>
      </c>
      <c r="AH655" s="357">
        <f t="shared" ca="1" si="318"/>
        <v>-3.8842947244641763</v>
      </c>
    </row>
    <row r="656" spans="1:34" x14ac:dyDescent="0.2">
      <c r="A656" s="402">
        <f t="shared" ca="1" si="296"/>
        <v>1E-4</v>
      </c>
      <c r="B656" s="357">
        <f t="shared" ca="1" si="297"/>
        <v>15.631599999999889</v>
      </c>
      <c r="C656" s="342"/>
      <c r="D656" s="359">
        <f t="shared" ca="1" si="298"/>
        <v>-0.54880673060946961</v>
      </c>
      <c r="E656" s="360">
        <f t="shared" ca="1" si="299"/>
        <v>-5.9646003942083601</v>
      </c>
      <c r="F656" s="357">
        <f t="shared" ca="1" si="300"/>
        <v>5.9897952127057552</v>
      </c>
      <c r="G656" s="359">
        <f t="shared" ca="1" si="301"/>
        <v>9.5317864949541864</v>
      </c>
      <c r="H656" s="360">
        <f t="shared" ca="1" si="302"/>
        <v>-66.78866049781125</v>
      </c>
      <c r="I656" s="357">
        <f t="shared" ca="1" si="303"/>
        <v>67.465399464297874</v>
      </c>
      <c r="J656" s="359">
        <f t="shared" ca="1" si="304"/>
        <v>187.70931447689617</v>
      </c>
      <c r="K656" s="360">
        <f t="shared" ca="1" si="305"/>
        <v>-6.1653121226935657</v>
      </c>
      <c r="L656" s="357">
        <f t="shared" ca="1" si="290"/>
        <v>187.81053701791211</v>
      </c>
      <c r="M656" s="359">
        <f t="shared" ca="1" si="306"/>
        <v>-1.4290379467500138</v>
      </c>
      <c r="N656" s="357">
        <f t="shared" ca="1" si="307"/>
        <v>-81.877843112816663</v>
      </c>
      <c r="O656" s="343"/>
      <c r="P656" s="363">
        <f t="shared" ca="1" si="308"/>
        <v>23</v>
      </c>
      <c r="Q656" s="357">
        <f t="shared" ca="1" si="309"/>
        <v>0</v>
      </c>
      <c r="R656" s="359">
        <f t="shared" ca="1" si="310"/>
        <v>0</v>
      </c>
      <c r="S656" s="360">
        <f t="shared" ca="1" si="311"/>
        <v>1.5629999999999982</v>
      </c>
      <c r="T656" s="357">
        <f t="shared" ca="1" si="291"/>
        <v>15.333029999999983</v>
      </c>
      <c r="U656" s="364">
        <f t="shared" ca="1" si="292"/>
        <v>0</v>
      </c>
      <c r="V656" s="359">
        <f t="shared" ca="1" si="293"/>
        <v>1.2257554836246471</v>
      </c>
      <c r="W656" s="357">
        <f t="shared" ca="1" si="294"/>
        <v>6.0713705258534336</v>
      </c>
      <c r="X656" s="343"/>
      <c r="Y656" s="367" t="str">
        <f t="shared" ca="1" si="312"/>
        <v/>
      </c>
      <c r="Z656" s="368" t="str">
        <f t="shared" ca="1" si="313"/>
        <v/>
      </c>
      <c r="AA656" s="369" t="str">
        <f t="shared" ca="1" si="314"/>
        <v/>
      </c>
      <c r="AB656" s="344"/>
      <c r="AC656" s="363" t="e">
        <f t="shared" ca="1" si="315"/>
        <v>#N/A</v>
      </c>
      <c r="AD656" s="376" t="e">
        <f t="shared" ca="1" si="316"/>
        <v>#N/A</v>
      </c>
      <c r="AE656" s="377" t="e">
        <f t="shared" ca="1" si="295"/>
        <v>#N/A</v>
      </c>
      <c r="AF656" s="344"/>
      <c r="AG656" s="359">
        <f t="shared" ca="1" si="317"/>
        <v>5.8272295601743194</v>
      </c>
      <c r="AH656" s="357">
        <f t="shared" ca="1" si="318"/>
        <v>-3.8843644210841957</v>
      </c>
    </row>
    <row r="657" spans="1:34" x14ac:dyDescent="0.2">
      <c r="A657" s="402">
        <f t="shared" ca="1" si="296"/>
        <v>1E-4</v>
      </c>
      <c r="B657" s="357">
        <f t="shared" ca="1" si="297"/>
        <v>15.631699999999888</v>
      </c>
      <c r="C657" s="342"/>
      <c r="D657" s="359">
        <f t="shared" ca="1" si="298"/>
        <v>-0.54880867758805463</v>
      </c>
      <c r="E657" s="360">
        <f t="shared" ca="1" si="299"/>
        <v>-5.9645302693167874</v>
      </c>
      <c r="F657" s="357">
        <f t="shared" ca="1" si="300"/>
        <v>5.9897255611749136</v>
      </c>
      <c r="G657" s="359">
        <f t="shared" ca="1" si="301"/>
        <v>9.5317316140864268</v>
      </c>
      <c r="H657" s="360">
        <f t="shared" ca="1" si="302"/>
        <v>-66.78925695083818</v>
      </c>
      <c r="I657" s="357">
        <f t="shared" ca="1" si="303"/>
        <v>67.465982180711336</v>
      </c>
      <c r="J657" s="359">
        <f t="shared" ca="1" si="304"/>
        <v>187.70931447689617</v>
      </c>
      <c r="K657" s="360">
        <f t="shared" ca="1" si="305"/>
        <v>-6.1719910185659979</v>
      </c>
      <c r="L657" s="357">
        <f t="shared" ca="1" si="290"/>
        <v>187.81075638663393</v>
      </c>
      <c r="M657" s="359">
        <f t="shared" ca="1" si="306"/>
        <v>-1.42904000111389</v>
      </c>
      <c r="N657" s="357">
        <f t="shared" ca="1" si="307"/>
        <v>-81.87796081919636</v>
      </c>
      <c r="O657" s="343"/>
      <c r="P657" s="363">
        <f t="shared" ca="1" si="308"/>
        <v>23</v>
      </c>
      <c r="Q657" s="357">
        <f t="shared" ca="1" si="309"/>
        <v>0</v>
      </c>
      <c r="R657" s="359">
        <f t="shared" ca="1" si="310"/>
        <v>0</v>
      </c>
      <c r="S657" s="360">
        <f t="shared" ca="1" si="311"/>
        <v>1.5629999999999982</v>
      </c>
      <c r="T657" s="357">
        <f t="shared" ca="1" si="291"/>
        <v>15.333029999999983</v>
      </c>
      <c r="U657" s="364">
        <f t="shared" ca="1" si="292"/>
        <v>0</v>
      </c>
      <c r="V657" s="359">
        <f t="shared" ca="1" si="293"/>
        <v>1.225756302294323</v>
      </c>
      <c r="W657" s="357">
        <f t="shared" ca="1" si="294"/>
        <v>6.0714794614340022</v>
      </c>
      <c r="X657" s="343"/>
      <c r="Y657" s="367" t="str">
        <f t="shared" ca="1" si="312"/>
        <v/>
      </c>
      <c r="Z657" s="368" t="str">
        <f t="shared" ca="1" si="313"/>
        <v/>
      </c>
      <c r="AA657" s="369" t="str">
        <f t="shared" ca="1" si="314"/>
        <v/>
      </c>
      <c r="AB657" s="344"/>
      <c r="AC657" s="363" t="e">
        <f t="shared" ca="1" si="315"/>
        <v>#N/A</v>
      </c>
      <c r="AD657" s="376" t="e">
        <f t="shared" ca="1" si="316"/>
        <v>#N/A</v>
      </c>
      <c r="AE657" s="377" t="e">
        <f t="shared" ca="1" si="295"/>
        <v>#N/A</v>
      </c>
      <c r="AF657" s="344"/>
      <c r="AG657" s="359">
        <f t="shared" ca="1" si="317"/>
        <v>5.8271627110577215</v>
      </c>
      <c r="AH657" s="357">
        <f t="shared" ca="1" si="318"/>
        <v>-3.8844341176285608</v>
      </c>
    </row>
    <row r="658" spans="1:34" x14ac:dyDescent="0.2">
      <c r="A658" s="402">
        <f t="shared" ca="1" si="296"/>
        <v>1E-4</v>
      </c>
      <c r="B658" s="357">
        <f t="shared" ca="1" si="297"/>
        <v>15.631799999999888</v>
      </c>
      <c r="C658" s="342"/>
      <c r="D658" s="359">
        <f t="shared" ca="1" si="298"/>
        <v>-0.54881062445209483</v>
      </c>
      <c r="E658" s="360">
        <f t="shared" ca="1" si="299"/>
        <v>-5.9644601445018646</v>
      </c>
      <c r="F658" s="357">
        <f t="shared" ca="1" si="300"/>
        <v>5.9896559097215842</v>
      </c>
      <c r="G658" s="359">
        <f t="shared" ca="1" si="301"/>
        <v>9.531676733023982</v>
      </c>
      <c r="H658" s="360">
        <f t="shared" ca="1" si="302"/>
        <v>-66.789853396852635</v>
      </c>
      <c r="I658" s="357">
        <f t="shared" ca="1" si="303"/>
        <v>67.466564890439912</v>
      </c>
      <c r="J658" s="359">
        <f t="shared" ca="1" si="304"/>
        <v>187.70931447689617</v>
      </c>
      <c r="K658" s="360">
        <f t="shared" ca="1" si="305"/>
        <v>-6.1786699740833821</v>
      </c>
      <c r="L658" s="357">
        <f t="shared" ca="1" si="290"/>
        <v>187.8109759945753</v>
      </c>
      <c r="M658" s="359">
        <f t="shared" ca="1" si="306"/>
        <v>-1.4290420554304506</v>
      </c>
      <c r="N658" s="357">
        <f t="shared" ca="1" si="307"/>
        <v>-81.878078522865067</v>
      </c>
      <c r="O658" s="343"/>
      <c r="P658" s="363">
        <f t="shared" ca="1" si="308"/>
        <v>23</v>
      </c>
      <c r="Q658" s="357">
        <f t="shared" ca="1" si="309"/>
        <v>0</v>
      </c>
      <c r="R658" s="359">
        <f t="shared" ca="1" si="310"/>
        <v>0</v>
      </c>
      <c r="S658" s="360">
        <f t="shared" ca="1" si="311"/>
        <v>1.5629999999999982</v>
      </c>
      <c r="T658" s="357">
        <f t="shared" ca="1" si="291"/>
        <v>15.333029999999983</v>
      </c>
      <c r="U658" s="364">
        <f t="shared" ca="1" si="292"/>
        <v>0</v>
      </c>
      <c r="V658" s="359">
        <f t="shared" ca="1" si="293"/>
        <v>1.2257571209718563</v>
      </c>
      <c r="W658" s="357">
        <f t="shared" ca="1" si="294"/>
        <v>6.0715883968962654</v>
      </c>
      <c r="X658" s="343"/>
      <c r="Y658" s="367" t="str">
        <f t="shared" ca="1" si="312"/>
        <v/>
      </c>
      <c r="Z658" s="368" t="str">
        <f t="shared" ca="1" si="313"/>
        <v/>
      </c>
      <c r="AA658" s="369" t="str">
        <f t="shared" ca="1" si="314"/>
        <v/>
      </c>
      <c r="AB658" s="344"/>
      <c r="AC658" s="363" t="e">
        <f t="shared" ca="1" si="315"/>
        <v>#N/A</v>
      </c>
      <c r="AD658" s="376" t="e">
        <f t="shared" ca="1" si="316"/>
        <v>#N/A</v>
      </c>
      <c r="AE658" s="377" t="e">
        <f t="shared" ca="1" si="295"/>
        <v>#N/A</v>
      </c>
      <c r="AF658" s="344"/>
      <c r="AG658" s="359">
        <f t="shared" ca="1" si="317"/>
        <v>5.827095861910224</v>
      </c>
      <c r="AH658" s="357">
        <f t="shared" ca="1" si="318"/>
        <v>-3.884503814097255</v>
      </c>
    </row>
    <row r="659" spans="1:34" x14ac:dyDescent="0.2">
      <c r="A659" s="402">
        <f t="shared" ca="1" si="296"/>
        <v>1E-4</v>
      </c>
      <c r="B659" s="357">
        <f t="shared" ca="1" si="297"/>
        <v>15.631899999999888</v>
      </c>
      <c r="C659" s="342"/>
      <c r="D659" s="359">
        <f t="shared" ca="1" si="298"/>
        <v>-0.54881257120159044</v>
      </c>
      <c r="E659" s="360">
        <f t="shared" ca="1" si="299"/>
        <v>-5.9643900197636137</v>
      </c>
      <c r="F659" s="357">
        <f t="shared" ca="1" si="300"/>
        <v>5.9895862583457884</v>
      </c>
      <c r="G659" s="359">
        <f t="shared" ca="1" si="301"/>
        <v>9.5316218517668627</v>
      </c>
      <c r="H659" s="360">
        <f t="shared" ca="1" si="302"/>
        <v>-66.790449835854616</v>
      </c>
      <c r="I659" s="357">
        <f t="shared" ca="1" si="303"/>
        <v>67.467147593483531</v>
      </c>
      <c r="J659" s="359">
        <f t="shared" ca="1" si="304"/>
        <v>187.70931447689617</v>
      </c>
      <c r="K659" s="360">
        <f t="shared" ca="1" si="305"/>
        <v>-6.1853489892450177</v>
      </c>
      <c r="L659" s="357">
        <f t="shared" ca="1" si="290"/>
        <v>187.81119584174169</v>
      </c>
      <c r="M659" s="359">
        <f t="shared" ca="1" si="306"/>
        <v>-1.4290441096996973</v>
      </c>
      <c r="N659" s="357">
        <f t="shared" ca="1" si="307"/>
        <v>-81.878196223822883</v>
      </c>
      <c r="O659" s="343"/>
      <c r="P659" s="363">
        <f t="shared" ca="1" si="308"/>
        <v>23</v>
      </c>
      <c r="Q659" s="357">
        <f t="shared" ca="1" si="309"/>
        <v>0</v>
      </c>
      <c r="R659" s="359">
        <f t="shared" ca="1" si="310"/>
        <v>0</v>
      </c>
      <c r="S659" s="360">
        <f t="shared" ca="1" si="311"/>
        <v>1.5629999999999982</v>
      </c>
      <c r="T659" s="357">
        <f t="shared" ca="1" si="291"/>
        <v>15.333029999999983</v>
      </c>
      <c r="U659" s="364">
        <f t="shared" ca="1" si="292"/>
        <v>0</v>
      </c>
      <c r="V659" s="359">
        <f t="shared" ca="1" si="293"/>
        <v>1.2257579396572473</v>
      </c>
      <c r="W659" s="357">
        <f t="shared" ca="1" si="294"/>
        <v>6.0716973322401859</v>
      </c>
      <c r="X659" s="343"/>
      <c r="Y659" s="367" t="str">
        <f t="shared" ca="1" si="312"/>
        <v/>
      </c>
      <c r="Z659" s="368" t="str">
        <f t="shared" ca="1" si="313"/>
        <v/>
      </c>
      <c r="AA659" s="369" t="str">
        <f t="shared" ca="1" si="314"/>
        <v/>
      </c>
      <c r="AB659" s="344"/>
      <c r="AC659" s="363" t="e">
        <f t="shared" ca="1" si="315"/>
        <v>#N/A</v>
      </c>
      <c r="AD659" s="376" t="e">
        <f t="shared" ca="1" si="316"/>
        <v>#N/A</v>
      </c>
      <c r="AE659" s="377" t="e">
        <f t="shared" ca="1" si="295"/>
        <v>#N/A</v>
      </c>
      <c r="AF659" s="344"/>
      <c r="AG659" s="359">
        <f t="shared" ca="1" si="317"/>
        <v>5.8270290127318525</v>
      </c>
      <c r="AH659" s="357">
        <f t="shared" ca="1" si="318"/>
        <v>-3.8845735104902577</v>
      </c>
    </row>
    <row r="660" spans="1:34" x14ac:dyDescent="0.2">
      <c r="A660" s="402">
        <f t="shared" ca="1" si="296"/>
        <v>1E-4</v>
      </c>
      <c r="B660" s="357">
        <f t="shared" ca="1" si="297"/>
        <v>15.631999999999888</v>
      </c>
      <c r="C660" s="342"/>
      <c r="D660" s="359">
        <f t="shared" ca="1" si="298"/>
        <v>-0.54881451783654256</v>
      </c>
      <c r="E660" s="360">
        <f t="shared" ca="1" si="299"/>
        <v>-5.964319895102058</v>
      </c>
      <c r="F660" s="357">
        <f t="shared" ca="1" si="300"/>
        <v>5.9895166070475483</v>
      </c>
      <c r="G660" s="359">
        <f t="shared" ca="1" si="301"/>
        <v>9.5315669703150796</v>
      </c>
      <c r="H660" s="360">
        <f t="shared" ca="1" si="302"/>
        <v>-66.791046267844123</v>
      </c>
      <c r="I660" s="357">
        <f t="shared" ca="1" si="303"/>
        <v>67.467730289842237</v>
      </c>
      <c r="J660" s="359">
        <f t="shared" ca="1" si="304"/>
        <v>187.70931447689617</v>
      </c>
      <c r="K660" s="360">
        <f t="shared" ca="1" si="305"/>
        <v>-6.192028064050203</v>
      </c>
      <c r="L660" s="357">
        <f t="shared" ca="1" si="290"/>
        <v>187.81141592813864</v>
      </c>
      <c r="M660" s="359">
        <f t="shared" ca="1" si="306"/>
        <v>-1.4290461639216321</v>
      </c>
      <c r="N660" s="357">
        <f t="shared" ca="1" si="307"/>
        <v>-81.878313922069935</v>
      </c>
      <c r="O660" s="343"/>
      <c r="P660" s="363">
        <f t="shared" ca="1" si="308"/>
        <v>23</v>
      </c>
      <c r="Q660" s="357">
        <f t="shared" ca="1" si="309"/>
        <v>0</v>
      </c>
      <c r="R660" s="359">
        <f t="shared" ca="1" si="310"/>
        <v>0</v>
      </c>
      <c r="S660" s="360">
        <f t="shared" ca="1" si="311"/>
        <v>1.5629999999999982</v>
      </c>
      <c r="T660" s="357">
        <f t="shared" ca="1" si="291"/>
        <v>15.333029999999983</v>
      </c>
      <c r="U660" s="364">
        <f t="shared" ca="1" si="292"/>
        <v>0</v>
      </c>
      <c r="V660" s="359">
        <f t="shared" ca="1" si="293"/>
        <v>1.2257587583504963</v>
      </c>
      <c r="W660" s="357">
        <f t="shared" ca="1" si="294"/>
        <v>6.071806267465738</v>
      </c>
      <c r="X660" s="343"/>
      <c r="Y660" s="367" t="str">
        <f t="shared" ca="1" si="312"/>
        <v/>
      </c>
      <c r="Z660" s="368" t="str">
        <f t="shared" ca="1" si="313"/>
        <v/>
      </c>
      <c r="AA660" s="369" t="str">
        <f t="shared" ca="1" si="314"/>
        <v/>
      </c>
      <c r="AB660" s="344"/>
      <c r="AC660" s="363" t="e">
        <f t="shared" ca="1" si="315"/>
        <v>#N/A</v>
      </c>
      <c r="AD660" s="376" t="e">
        <f t="shared" ca="1" si="316"/>
        <v>#N/A</v>
      </c>
      <c r="AE660" s="377" t="e">
        <f t="shared" ca="1" si="295"/>
        <v>#N/A</v>
      </c>
      <c r="AF660" s="344"/>
      <c r="AG660" s="359">
        <f t="shared" ca="1" si="317"/>
        <v>5.8269621635226398</v>
      </c>
      <c r="AH660" s="357">
        <f t="shared" ca="1" si="318"/>
        <v>-3.8846432068075449</v>
      </c>
    </row>
    <row r="661" spans="1:34" x14ac:dyDescent="0.2">
      <c r="A661" s="402">
        <f t="shared" ca="1" si="296"/>
        <v>1E-4</v>
      </c>
      <c r="B661" s="357">
        <f t="shared" ca="1" si="297"/>
        <v>15.632099999999888</v>
      </c>
      <c r="C661" s="342"/>
      <c r="D661" s="359">
        <f t="shared" ca="1" si="298"/>
        <v>-0.54881646435695175</v>
      </c>
      <c r="E661" s="360">
        <f t="shared" ca="1" si="299"/>
        <v>-5.9642497705172133</v>
      </c>
      <c r="F661" s="357">
        <f t="shared" ca="1" si="300"/>
        <v>5.9894469558268817</v>
      </c>
      <c r="G661" s="359">
        <f t="shared" ca="1" si="301"/>
        <v>9.5315120886686433</v>
      </c>
      <c r="H661" s="360">
        <f t="shared" ca="1" si="302"/>
        <v>-66.791642692821171</v>
      </c>
      <c r="I661" s="357">
        <f t="shared" ca="1" si="303"/>
        <v>67.468312979516</v>
      </c>
      <c r="J661" s="359">
        <f t="shared" ca="1" si="304"/>
        <v>187.70931447689617</v>
      </c>
      <c r="K661" s="360">
        <f t="shared" ca="1" si="305"/>
        <v>-6.1987071984982363</v>
      </c>
      <c r="L661" s="357">
        <f t="shared" ca="1" si="290"/>
        <v>187.81163625377161</v>
      </c>
      <c r="M661" s="359">
        <f t="shared" ca="1" si="306"/>
        <v>-1.4290482180962565</v>
      </c>
      <c r="N661" s="357">
        <f t="shared" ca="1" si="307"/>
        <v>-81.878431617606296</v>
      </c>
      <c r="O661" s="343"/>
      <c r="P661" s="363">
        <f t="shared" ca="1" si="308"/>
        <v>23</v>
      </c>
      <c r="Q661" s="357">
        <f t="shared" ca="1" si="309"/>
        <v>0</v>
      </c>
      <c r="R661" s="359">
        <f t="shared" ca="1" si="310"/>
        <v>0</v>
      </c>
      <c r="S661" s="360">
        <f t="shared" ca="1" si="311"/>
        <v>1.5629999999999982</v>
      </c>
      <c r="T661" s="357">
        <f t="shared" ca="1" si="291"/>
        <v>15.333029999999983</v>
      </c>
      <c r="U661" s="364">
        <f t="shared" ca="1" si="292"/>
        <v>0</v>
      </c>
      <c r="V661" s="359">
        <f t="shared" ca="1" si="293"/>
        <v>1.225759577051603</v>
      </c>
      <c r="W661" s="357">
        <f t="shared" ca="1" si="294"/>
        <v>6.0719152025728889</v>
      </c>
      <c r="X661" s="343"/>
      <c r="Y661" s="367" t="str">
        <f t="shared" ca="1" si="312"/>
        <v/>
      </c>
      <c r="Z661" s="368" t="str">
        <f t="shared" ca="1" si="313"/>
        <v/>
      </c>
      <c r="AA661" s="369" t="str">
        <f t="shared" ca="1" si="314"/>
        <v/>
      </c>
      <c r="AB661" s="344"/>
      <c r="AC661" s="363" t="e">
        <f t="shared" ca="1" si="315"/>
        <v>#N/A</v>
      </c>
      <c r="AD661" s="376" t="e">
        <f t="shared" ca="1" si="316"/>
        <v>#N/A</v>
      </c>
      <c r="AE661" s="377" t="e">
        <f t="shared" ca="1" si="295"/>
        <v>#N/A</v>
      </c>
      <c r="AF661" s="344"/>
      <c r="AG661" s="359">
        <f t="shared" ca="1" si="317"/>
        <v>5.8268953142826021</v>
      </c>
      <c r="AH661" s="357">
        <f t="shared" ca="1" si="318"/>
        <v>-3.8847129030491012</v>
      </c>
    </row>
    <row r="662" spans="1:34" x14ac:dyDescent="0.2">
      <c r="A662" s="402">
        <f t="shared" ca="1" si="296"/>
        <v>1E-4</v>
      </c>
      <c r="B662" s="357">
        <f t="shared" ca="1" si="297"/>
        <v>15.632199999999887</v>
      </c>
      <c r="C662" s="342"/>
      <c r="D662" s="359">
        <f t="shared" ca="1" si="298"/>
        <v>-0.54881841076281923</v>
      </c>
      <c r="E662" s="360">
        <f t="shared" ca="1" si="299"/>
        <v>-5.9641796460091019</v>
      </c>
      <c r="F662" s="357">
        <f t="shared" ca="1" si="300"/>
        <v>5.9893773046838081</v>
      </c>
      <c r="G662" s="359">
        <f t="shared" ca="1" si="301"/>
        <v>9.5314572068275663</v>
      </c>
      <c r="H662" s="360">
        <f t="shared" ca="1" si="302"/>
        <v>-66.792239110785772</v>
      </c>
      <c r="I662" s="357">
        <f t="shared" ca="1" si="303"/>
        <v>67.468895662504849</v>
      </c>
      <c r="J662" s="359">
        <f t="shared" ca="1" si="304"/>
        <v>187.70931447689617</v>
      </c>
      <c r="K662" s="360">
        <f t="shared" ca="1" si="305"/>
        <v>-6.2053863925884167</v>
      </c>
      <c r="L662" s="357">
        <f t="shared" ca="1" si="290"/>
        <v>187.81185681864608</v>
      </c>
      <c r="M662" s="359">
        <f t="shared" ca="1" si="306"/>
        <v>-1.4290502722235721</v>
      </c>
      <c r="N662" s="357">
        <f t="shared" ca="1" si="307"/>
        <v>-81.878549310432049</v>
      </c>
      <c r="O662" s="343"/>
      <c r="P662" s="363">
        <f t="shared" ca="1" si="308"/>
        <v>23</v>
      </c>
      <c r="Q662" s="357">
        <f t="shared" ca="1" si="309"/>
        <v>0</v>
      </c>
      <c r="R662" s="359">
        <f t="shared" ca="1" si="310"/>
        <v>0</v>
      </c>
      <c r="S662" s="360">
        <f t="shared" ca="1" si="311"/>
        <v>1.5629999999999982</v>
      </c>
      <c r="T662" s="357">
        <f t="shared" ca="1" si="291"/>
        <v>15.333029999999983</v>
      </c>
      <c r="U662" s="364">
        <f t="shared" ca="1" si="292"/>
        <v>0</v>
      </c>
      <c r="V662" s="359">
        <f t="shared" ca="1" si="293"/>
        <v>1.2257603957605672</v>
      </c>
      <c r="W662" s="357">
        <f t="shared" ca="1" si="294"/>
        <v>6.0720241375616135</v>
      </c>
      <c r="X662" s="343"/>
      <c r="Y662" s="367" t="str">
        <f t="shared" ca="1" si="312"/>
        <v/>
      </c>
      <c r="Z662" s="368" t="str">
        <f t="shared" ca="1" si="313"/>
        <v/>
      </c>
      <c r="AA662" s="369" t="str">
        <f t="shared" ca="1" si="314"/>
        <v/>
      </c>
      <c r="AB662" s="344"/>
      <c r="AC662" s="363" t="e">
        <f t="shared" ca="1" si="315"/>
        <v>#N/A</v>
      </c>
      <c r="AD662" s="376" t="e">
        <f t="shared" ca="1" si="316"/>
        <v>#N/A</v>
      </c>
      <c r="AE662" s="377" t="e">
        <f t="shared" ca="1" si="295"/>
        <v>#N/A</v>
      </c>
      <c r="AF662" s="344"/>
      <c r="AG662" s="359">
        <f t="shared" ca="1" si="317"/>
        <v>5.8268284650117685</v>
      </c>
      <c r="AH662" s="357">
        <f t="shared" ca="1" si="318"/>
        <v>-3.8847825992149048</v>
      </c>
    </row>
    <row r="663" spans="1:34" x14ac:dyDescent="0.2">
      <c r="A663" s="402">
        <f t="shared" ca="1" si="296"/>
        <v>1E-4</v>
      </c>
      <c r="B663" s="357">
        <f t="shared" ca="1" si="297"/>
        <v>15.632299999999887</v>
      </c>
      <c r="C663" s="342"/>
      <c r="D663" s="359">
        <f t="shared" ca="1" si="298"/>
        <v>-0.548820357054147</v>
      </c>
      <c r="E663" s="360">
        <f t="shared" ca="1" si="299"/>
        <v>-5.964109521577738</v>
      </c>
      <c r="F663" s="357">
        <f t="shared" ca="1" si="300"/>
        <v>5.9893076536183445</v>
      </c>
      <c r="G663" s="359">
        <f t="shared" ca="1" si="301"/>
        <v>9.5314023247918609</v>
      </c>
      <c r="H663" s="360">
        <f t="shared" ca="1" si="302"/>
        <v>-66.792835521737928</v>
      </c>
      <c r="I663" s="357">
        <f t="shared" ca="1" si="303"/>
        <v>67.469478338808756</v>
      </c>
      <c r="J663" s="359">
        <f t="shared" ca="1" si="304"/>
        <v>187.70931447689617</v>
      </c>
      <c r="K663" s="360">
        <f t="shared" ca="1" si="305"/>
        <v>-6.2120656463200428</v>
      </c>
      <c r="L663" s="357">
        <f t="shared" ca="1" si="290"/>
        <v>187.81207762276762</v>
      </c>
      <c r="M663" s="359">
        <f t="shared" ca="1" si="306"/>
        <v>-1.4290523263035808</v>
      </c>
      <c r="N663" s="357">
        <f t="shared" ca="1" si="307"/>
        <v>-81.878667000547338</v>
      </c>
      <c r="O663" s="343"/>
      <c r="P663" s="363">
        <f t="shared" ca="1" si="308"/>
        <v>23</v>
      </c>
      <c r="Q663" s="357">
        <f t="shared" ca="1" si="309"/>
        <v>0</v>
      </c>
      <c r="R663" s="359">
        <f t="shared" ca="1" si="310"/>
        <v>0</v>
      </c>
      <c r="S663" s="360">
        <f t="shared" ca="1" si="311"/>
        <v>1.5629999999999982</v>
      </c>
      <c r="T663" s="357">
        <f t="shared" ca="1" si="291"/>
        <v>15.333029999999983</v>
      </c>
      <c r="U663" s="364">
        <f t="shared" ca="1" si="292"/>
        <v>0</v>
      </c>
      <c r="V663" s="359">
        <f t="shared" ca="1" si="293"/>
        <v>1.2257612144773895</v>
      </c>
      <c r="W663" s="357">
        <f t="shared" ca="1" si="294"/>
        <v>6.0721330724318765</v>
      </c>
      <c r="X663" s="343"/>
      <c r="Y663" s="367" t="str">
        <f t="shared" ca="1" si="312"/>
        <v/>
      </c>
      <c r="Z663" s="368" t="str">
        <f t="shared" ca="1" si="313"/>
        <v/>
      </c>
      <c r="AA663" s="369" t="str">
        <f t="shared" ca="1" si="314"/>
        <v/>
      </c>
      <c r="AB663" s="344"/>
      <c r="AC663" s="363" t="e">
        <f t="shared" ca="1" si="315"/>
        <v>#N/A</v>
      </c>
      <c r="AD663" s="376" t="e">
        <f t="shared" ca="1" si="316"/>
        <v>#N/A</v>
      </c>
      <c r="AE663" s="377" t="e">
        <f t="shared" ca="1" si="295"/>
        <v>#N/A</v>
      </c>
      <c r="AF663" s="344"/>
      <c r="AG663" s="359">
        <f t="shared" ca="1" si="317"/>
        <v>5.8267616157101614</v>
      </c>
      <c r="AH663" s="357">
        <f t="shared" ca="1" si="318"/>
        <v>-3.8848522953049396</v>
      </c>
    </row>
    <row r="664" spans="1:34" x14ac:dyDescent="0.2">
      <c r="A664" s="402">
        <f t="shared" ca="1" si="296"/>
        <v>1E-4</v>
      </c>
      <c r="B664" s="357">
        <f t="shared" ca="1" si="297"/>
        <v>15.632399999999887</v>
      </c>
      <c r="C664" s="342"/>
      <c r="D664" s="359">
        <f t="shared" ca="1" si="298"/>
        <v>-0.54882230323093473</v>
      </c>
      <c r="E664" s="360">
        <f t="shared" ca="1" si="299"/>
        <v>-5.9640393972231465</v>
      </c>
      <c r="F664" s="357">
        <f t="shared" ca="1" si="300"/>
        <v>5.989238002630513</v>
      </c>
      <c r="G664" s="359">
        <f t="shared" ca="1" si="301"/>
        <v>9.5313474425615379</v>
      </c>
      <c r="H664" s="360">
        <f t="shared" ca="1" si="302"/>
        <v>-66.793431925677652</v>
      </c>
      <c r="I664" s="357">
        <f t="shared" ca="1" si="303"/>
        <v>67.47006100842772</v>
      </c>
      <c r="J664" s="359">
        <f t="shared" ca="1" si="304"/>
        <v>187.70931447689617</v>
      </c>
      <c r="K664" s="360">
        <f t="shared" ca="1" si="305"/>
        <v>-6.2187449596924136</v>
      </c>
      <c r="L664" s="357">
        <f t="shared" ca="1" si="290"/>
        <v>187.81229866614166</v>
      </c>
      <c r="M664" s="359">
        <f t="shared" ca="1" si="306"/>
        <v>-1.4290543803362841</v>
      </c>
      <c r="N664" s="357">
        <f t="shared" ca="1" si="307"/>
        <v>-81.878784687952219</v>
      </c>
      <c r="O664" s="343"/>
      <c r="P664" s="363">
        <f t="shared" ca="1" si="308"/>
        <v>23</v>
      </c>
      <c r="Q664" s="357">
        <f t="shared" ca="1" si="309"/>
        <v>0</v>
      </c>
      <c r="R664" s="359">
        <f t="shared" ca="1" si="310"/>
        <v>0</v>
      </c>
      <c r="S664" s="360">
        <f t="shared" ca="1" si="311"/>
        <v>1.5629999999999982</v>
      </c>
      <c r="T664" s="357">
        <f t="shared" ca="1" si="291"/>
        <v>15.333029999999983</v>
      </c>
      <c r="U664" s="364">
        <f t="shared" ca="1" si="292"/>
        <v>0</v>
      </c>
      <c r="V664" s="359">
        <f t="shared" ca="1" si="293"/>
        <v>1.2257620332020693</v>
      </c>
      <c r="W664" s="357">
        <f t="shared" ca="1" si="294"/>
        <v>6.0722420071836476</v>
      </c>
      <c r="X664" s="343"/>
      <c r="Y664" s="367" t="str">
        <f t="shared" ca="1" si="312"/>
        <v/>
      </c>
      <c r="Z664" s="368" t="str">
        <f t="shared" ca="1" si="313"/>
        <v/>
      </c>
      <c r="AA664" s="369" t="str">
        <f t="shared" ca="1" si="314"/>
        <v/>
      </c>
      <c r="AB664" s="344"/>
      <c r="AC664" s="363" t="e">
        <f t="shared" ca="1" si="315"/>
        <v>#N/A</v>
      </c>
      <c r="AD664" s="376" t="e">
        <f t="shared" ca="1" si="316"/>
        <v>#N/A</v>
      </c>
      <c r="AE664" s="377" t="e">
        <f t="shared" ca="1" si="295"/>
        <v>#N/A</v>
      </c>
      <c r="AF664" s="344"/>
      <c r="AG664" s="359">
        <f t="shared" ca="1" si="317"/>
        <v>5.8266947663778055</v>
      </c>
      <c r="AH664" s="357">
        <f t="shared" ca="1" si="318"/>
        <v>-3.8849219913191835</v>
      </c>
    </row>
    <row r="665" spans="1:34" x14ac:dyDescent="0.2">
      <c r="A665" s="402">
        <f t="shared" ca="1" si="296"/>
        <v>1E-4</v>
      </c>
      <c r="B665" s="357">
        <f t="shared" ca="1" si="297"/>
        <v>15.632499999999887</v>
      </c>
      <c r="C665" s="342"/>
      <c r="D665" s="359">
        <f t="shared" ca="1" si="298"/>
        <v>-0.54882424929318474</v>
      </c>
      <c r="E665" s="360">
        <f t="shared" ca="1" si="299"/>
        <v>-5.963969272945346</v>
      </c>
      <c r="F665" s="357">
        <f t="shared" ca="1" si="300"/>
        <v>5.989168351720334</v>
      </c>
      <c r="G665" s="359">
        <f t="shared" ca="1" si="301"/>
        <v>9.5312925601366079</v>
      </c>
      <c r="H665" s="360">
        <f t="shared" ca="1" si="302"/>
        <v>-66.794028322604944</v>
      </c>
      <c r="I665" s="357">
        <f t="shared" ca="1" si="303"/>
        <v>67.470643671361742</v>
      </c>
      <c r="J665" s="359">
        <f t="shared" ca="1" si="304"/>
        <v>187.70931447689617</v>
      </c>
      <c r="K665" s="360">
        <f t="shared" ca="1" si="305"/>
        <v>-6.2254243327048275</v>
      </c>
      <c r="L665" s="357">
        <f t="shared" ca="1" si="290"/>
        <v>187.81251994877374</v>
      </c>
      <c r="M665" s="359">
        <f t="shared" ca="1" si="306"/>
        <v>-1.4290564343216836</v>
      </c>
      <c r="N665" s="357">
        <f t="shared" ca="1" si="307"/>
        <v>-81.878902372646792</v>
      </c>
      <c r="O665" s="343"/>
      <c r="P665" s="363">
        <f t="shared" ca="1" si="308"/>
        <v>23</v>
      </c>
      <c r="Q665" s="357">
        <f t="shared" ca="1" si="309"/>
        <v>0</v>
      </c>
      <c r="R665" s="359">
        <f t="shared" ca="1" si="310"/>
        <v>0</v>
      </c>
      <c r="S665" s="360">
        <f t="shared" ca="1" si="311"/>
        <v>1.5629999999999982</v>
      </c>
      <c r="T665" s="357">
        <f t="shared" ca="1" si="291"/>
        <v>15.333029999999983</v>
      </c>
      <c r="U665" s="364">
        <f t="shared" ca="1" si="292"/>
        <v>0</v>
      </c>
      <c r="V665" s="359">
        <f t="shared" ca="1" si="293"/>
        <v>1.2257628519346062</v>
      </c>
      <c r="W665" s="357">
        <f t="shared" ca="1" si="294"/>
        <v>6.0723509418168931</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5.8266279170147284</v>
      </c>
      <c r="AH665" s="357">
        <f t="shared" ca="1" si="318"/>
        <v>-3.8849916872576165</v>
      </c>
    </row>
    <row r="666" spans="1:34" x14ac:dyDescent="0.2">
      <c r="A666" s="402">
        <f t="shared" ca="1" si="296"/>
        <v>1E-4</v>
      </c>
      <c r="B666" s="357">
        <f t="shared" ca="1" si="297"/>
        <v>15.632599999999886</v>
      </c>
      <c r="C666" s="342"/>
      <c r="D666" s="359">
        <f t="shared" ca="1" si="298"/>
        <v>-0.54882619524089726</v>
      </c>
      <c r="E666" s="360">
        <f t="shared" ca="1" si="299"/>
        <v>-5.9638991487443587</v>
      </c>
      <c r="F666" s="357">
        <f t="shared" ca="1" si="300"/>
        <v>5.9890987008878298</v>
      </c>
      <c r="G666" s="359">
        <f t="shared" ca="1" si="301"/>
        <v>9.5312376775170833</v>
      </c>
      <c r="H666" s="360">
        <f t="shared" ca="1" si="302"/>
        <v>-66.79462471251982</v>
      </c>
      <c r="I666" s="357">
        <f t="shared" ca="1" si="303"/>
        <v>67.471226327610836</v>
      </c>
      <c r="J666" s="359">
        <f t="shared" ca="1" si="304"/>
        <v>187.70931447689617</v>
      </c>
      <c r="K666" s="360">
        <f t="shared" ca="1" si="305"/>
        <v>-6.2321037653565838</v>
      </c>
      <c r="L666" s="357">
        <f t="shared" ca="1" si="290"/>
        <v>187.81274147066932</v>
      </c>
      <c r="M666" s="359">
        <f t="shared" ca="1" si="306"/>
        <v>-1.4290584882597814</v>
      </c>
      <c r="N666" s="357">
        <f t="shared" ca="1" si="307"/>
        <v>-81.879020054631184</v>
      </c>
      <c r="O666" s="343"/>
      <c r="P666" s="363">
        <f t="shared" ca="1" si="308"/>
        <v>23</v>
      </c>
      <c r="Q666" s="357">
        <f t="shared" ca="1" si="309"/>
        <v>0</v>
      </c>
      <c r="R666" s="359">
        <f t="shared" ca="1" si="310"/>
        <v>0</v>
      </c>
      <c r="S666" s="360">
        <f t="shared" ca="1" si="311"/>
        <v>1.5629999999999982</v>
      </c>
      <c r="T666" s="357">
        <f t="shared" ca="1" si="291"/>
        <v>15.333029999999983</v>
      </c>
      <c r="U666" s="364">
        <f t="shared" ca="1" si="292"/>
        <v>0</v>
      </c>
      <c r="V666" s="359">
        <f t="shared" ca="1" si="293"/>
        <v>1.2257636706750006</v>
      </c>
      <c r="W666" s="357">
        <f t="shared" ca="1" si="294"/>
        <v>6.0724598763315898</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5.8265610676209549</v>
      </c>
      <c r="AH666" s="357">
        <f t="shared" ca="1" si="318"/>
        <v>-3.8850613831202176</v>
      </c>
    </row>
    <row r="667" spans="1:34" x14ac:dyDescent="0.2">
      <c r="A667" s="402">
        <f t="shared" ca="1" si="296"/>
        <v>1E-4</v>
      </c>
      <c r="B667" s="357">
        <f t="shared" ca="1" si="297"/>
        <v>15.632699999999886</v>
      </c>
      <c r="C667" s="342"/>
      <c r="D667" s="359">
        <f t="shared" ca="1" si="298"/>
        <v>-0.54882814107407341</v>
      </c>
      <c r="E667" s="360">
        <f t="shared" ca="1" si="299"/>
        <v>-5.9638290246201962</v>
      </c>
      <c r="F667" s="357">
        <f t="shared" ca="1" si="300"/>
        <v>5.9890290501330101</v>
      </c>
      <c r="G667" s="359">
        <f t="shared" ca="1" si="301"/>
        <v>9.5311827947029766</v>
      </c>
      <c r="H667" s="360">
        <f t="shared" ca="1" si="302"/>
        <v>-66.795221095422278</v>
      </c>
      <c r="I667" s="357">
        <f t="shared" ca="1" si="303"/>
        <v>67.471808977174959</v>
      </c>
      <c r="J667" s="359">
        <f t="shared" ca="1" si="304"/>
        <v>187.70931447689617</v>
      </c>
      <c r="K667" s="360">
        <f t="shared" ca="1" si="305"/>
        <v>-6.2387832576469808</v>
      </c>
      <c r="L667" s="357">
        <f t="shared" ca="1" si="290"/>
        <v>187.81296323183392</v>
      </c>
      <c r="M667" s="359">
        <f t="shared" ca="1" si="306"/>
        <v>-1.4290605421505789</v>
      </c>
      <c r="N667" s="357">
        <f t="shared" ca="1" si="307"/>
        <v>-81.879137733905452</v>
      </c>
      <c r="O667" s="343"/>
      <c r="P667" s="363">
        <f t="shared" ca="1" si="308"/>
        <v>23</v>
      </c>
      <c r="Q667" s="357">
        <f t="shared" ca="1" si="309"/>
        <v>0</v>
      </c>
      <c r="R667" s="359">
        <f t="shared" ca="1" si="310"/>
        <v>0</v>
      </c>
      <c r="S667" s="360">
        <f t="shared" ca="1" si="311"/>
        <v>1.5629999999999982</v>
      </c>
      <c r="T667" s="357">
        <f t="shared" ca="1" si="291"/>
        <v>15.333029999999983</v>
      </c>
      <c r="U667" s="364">
        <f t="shared" ca="1" si="292"/>
        <v>0</v>
      </c>
      <c r="V667" s="359">
        <f t="shared" ca="1" si="293"/>
        <v>1.2257644894232524</v>
      </c>
      <c r="W667" s="357">
        <f t="shared" ca="1" si="294"/>
        <v>6.0725688107277014</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5.8264942181965056</v>
      </c>
      <c r="AH667" s="357">
        <f t="shared" ca="1" si="318"/>
        <v>-3.885131078906972</v>
      </c>
    </row>
    <row r="668" spans="1:34" x14ac:dyDescent="0.2">
      <c r="A668" s="402">
        <f t="shared" ca="1" si="296"/>
        <v>1E-4</v>
      </c>
      <c r="B668" s="357">
        <f t="shared" ca="1" si="297"/>
        <v>15.632799999999886</v>
      </c>
      <c r="C668" s="342"/>
      <c r="D668" s="359">
        <f t="shared" ca="1" si="298"/>
        <v>-0.5488300867927145</v>
      </c>
      <c r="E668" s="360">
        <f t="shared" ca="1" si="299"/>
        <v>-5.9637589005728877</v>
      </c>
      <c r="F668" s="357">
        <f t="shared" ca="1" si="300"/>
        <v>5.9889593994559052</v>
      </c>
      <c r="G668" s="359">
        <f t="shared" ca="1" si="301"/>
        <v>9.5311279116942966</v>
      </c>
      <c r="H668" s="360">
        <f t="shared" ca="1" si="302"/>
        <v>-66.795817471312333</v>
      </c>
      <c r="I668" s="357">
        <f t="shared" ca="1" si="303"/>
        <v>67.47239162005414</v>
      </c>
      <c r="J668" s="359">
        <f t="shared" ca="1" si="304"/>
        <v>187.70931447689617</v>
      </c>
      <c r="K668" s="360">
        <f t="shared" ca="1" si="305"/>
        <v>-6.2454628095753177</v>
      </c>
      <c r="L668" s="357">
        <f t="shared" ca="1" si="290"/>
        <v>187.81318523227301</v>
      </c>
      <c r="M668" s="359">
        <f t="shared" ca="1" si="306"/>
        <v>-1.4290625959940777</v>
      </c>
      <c r="N668" s="357">
        <f t="shared" ca="1" si="307"/>
        <v>-81.879255410469725</v>
      </c>
      <c r="O668" s="343"/>
      <c r="P668" s="363">
        <f t="shared" ca="1" si="308"/>
        <v>23</v>
      </c>
      <c r="Q668" s="357">
        <f t="shared" ca="1" si="309"/>
        <v>0</v>
      </c>
      <c r="R668" s="359">
        <f t="shared" ca="1" si="310"/>
        <v>0</v>
      </c>
      <c r="S668" s="360">
        <f t="shared" ca="1" si="311"/>
        <v>1.5629999999999982</v>
      </c>
      <c r="T668" s="357">
        <f t="shared" ca="1" si="291"/>
        <v>15.333029999999983</v>
      </c>
      <c r="U668" s="364">
        <f t="shared" ca="1" si="292"/>
        <v>0</v>
      </c>
      <c r="V668" s="359">
        <f t="shared" ca="1" si="293"/>
        <v>1.2257653081793618</v>
      </c>
      <c r="W668" s="357">
        <f t="shared" ca="1" si="294"/>
        <v>6.0726777450051985</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5.8264273687414097</v>
      </c>
      <c r="AH668" s="357">
        <f t="shared" ca="1" si="318"/>
        <v>-3.8852007746178558</v>
      </c>
    </row>
    <row r="669" spans="1:34" x14ac:dyDescent="0.2">
      <c r="A669" s="402">
        <f t="shared" ca="1" si="296"/>
        <v>1E-4</v>
      </c>
      <c r="B669" s="357">
        <f t="shared" ca="1" si="297"/>
        <v>15.632899999999886</v>
      </c>
      <c r="C669" s="342"/>
      <c r="D669" s="359">
        <f t="shared" ca="1" si="298"/>
        <v>-0.54883203239682155</v>
      </c>
      <c r="E669" s="360">
        <f t="shared" ca="1" si="299"/>
        <v>-5.9636887766024476</v>
      </c>
      <c r="F669" s="357">
        <f t="shared" ca="1" si="300"/>
        <v>5.9888897488565291</v>
      </c>
      <c r="G669" s="359">
        <f t="shared" ca="1" si="301"/>
        <v>9.5310730284910576</v>
      </c>
      <c r="H669" s="360">
        <f t="shared" ca="1" si="302"/>
        <v>-66.796413840189999</v>
      </c>
      <c r="I669" s="357">
        <f t="shared" ca="1" si="303"/>
        <v>67.472974256248378</v>
      </c>
      <c r="J669" s="359">
        <f t="shared" ca="1" si="304"/>
        <v>187.70931447689617</v>
      </c>
      <c r="K669" s="360">
        <f t="shared" ca="1" si="305"/>
        <v>-6.2521424211408929</v>
      </c>
      <c r="L669" s="357">
        <f t="shared" ca="1" si="290"/>
        <v>187.81340747199206</v>
      </c>
      <c r="M669" s="359">
        <f t="shared" ca="1" si="306"/>
        <v>-1.4290646497902797</v>
      </c>
      <c r="N669" s="357">
        <f t="shared" ca="1" si="307"/>
        <v>-81.879373084324072</v>
      </c>
      <c r="O669" s="343"/>
      <c r="P669" s="363">
        <f t="shared" ca="1" si="308"/>
        <v>23</v>
      </c>
      <c r="Q669" s="357">
        <f t="shared" ca="1" si="309"/>
        <v>0</v>
      </c>
      <c r="R669" s="359">
        <f t="shared" ca="1" si="310"/>
        <v>0</v>
      </c>
      <c r="S669" s="360">
        <f t="shared" ca="1" si="311"/>
        <v>1.5629999999999982</v>
      </c>
      <c r="T669" s="357">
        <f t="shared" ca="1" si="291"/>
        <v>15.333029999999983</v>
      </c>
      <c r="U669" s="364">
        <f t="shared" ca="1" si="292"/>
        <v>0</v>
      </c>
      <c r="V669" s="359">
        <f t="shared" ca="1" si="293"/>
        <v>1.225766126943328</v>
      </c>
      <c r="W669" s="357">
        <f t="shared" ca="1" si="294"/>
        <v>6.0727866791640528</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5.8263605192556884</v>
      </c>
      <c r="AH669" s="357">
        <f t="shared" ca="1" si="318"/>
        <v>-3.8852704702528507</v>
      </c>
    </row>
    <row r="670" spans="1:34" x14ac:dyDescent="0.2">
      <c r="A670" s="402">
        <f t="shared" ca="1" si="296"/>
        <v>1E-4</v>
      </c>
      <c r="B670" s="357">
        <f t="shared" ca="1" si="297"/>
        <v>15.632999999999885</v>
      </c>
      <c r="C670" s="342"/>
      <c r="D670" s="359">
        <f t="shared" ca="1" si="298"/>
        <v>-0.54883397788639565</v>
      </c>
      <c r="E670" s="360">
        <f t="shared" ca="1" si="299"/>
        <v>-5.9636186527088952</v>
      </c>
      <c r="F670" s="357">
        <f t="shared" ca="1" si="300"/>
        <v>5.9888200983349016</v>
      </c>
      <c r="G670" s="359">
        <f t="shared" ca="1" si="301"/>
        <v>9.5310181450932685</v>
      </c>
      <c r="H670" s="360">
        <f t="shared" ca="1" si="302"/>
        <v>-66.797010202055276</v>
      </c>
      <c r="I670" s="357">
        <f t="shared" ca="1" si="303"/>
        <v>67.47355688575766</v>
      </c>
      <c r="J670" s="359">
        <f t="shared" ca="1" si="304"/>
        <v>187.70931447689617</v>
      </c>
      <c r="K670" s="360">
        <f t="shared" ca="1" si="305"/>
        <v>-6.2588220923430056</v>
      </c>
      <c r="L670" s="357">
        <f t="shared" ca="1" si="290"/>
        <v>187.81362995099664</v>
      </c>
      <c r="M670" s="359">
        <f t="shared" ca="1" si="306"/>
        <v>-1.4290667035391866</v>
      </c>
      <c r="N670" s="357">
        <f t="shared" ca="1" si="307"/>
        <v>-81.879490755468623</v>
      </c>
      <c r="O670" s="343"/>
      <c r="P670" s="363">
        <f t="shared" ca="1" si="308"/>
        <v>23</v>
      </c>
      <c r="Q670" s="357">
        <f t="shared" ca="1" si="309"/>
        <v>0</v>
      </c>
      <c r="R670" s="359">
        <f t="shared" ca="1" si="310"/>
        <v>0</v>
      </c>
      <c r="S670" s="360">
        <f t="shared" ca="1" si="311"/>
        <v>1.5629999999999982</v>
      </c>
      <c r="T670" s="357">
        <f t="shared" ca="1" si="291"/>
        <v>15.333029999999983</v>
      </c>
      <c r="U670" s="364">
        <f t="shared" ca="1" si="292"/>
        <v>0</v>
      </c>
      <c r="V670" s="359">
        <f t="shared" ca="1" si="293"/>
        <v>1.2257669457151514</v>
      </c>
      <c r="W670" s="357">
        <f t="shared" ca="1" si="294"/>
        <v>6.0728956132042322</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5.8262936697393668</v>
      </c>
      <c r="AH670" s="357">
        <f t="shared" ca="1" si="318"/>
        <v>-3.8853401658119386</v>
      </c>
    </row>
    <row r="671" spans="1:34" x14ac:dyDescent="0.2">
      <c r="A671" s="402">
        <f t="shared" ca="1" si="296"/>
        <v>1E-4</v>
      </c>
      <c r="B671" s="357">
        <f t="shared" ca="1" si="297"/>
        <v>15.633099999999885</v>
      </c>
      <c r="C671" s="342"/>
      <c r="D671" s="359">
        <f t="shared" ca="1" si="298"/>
        <v>-0.54883592326143738</v>
      </c>
      <c r="E671" s="360">
        <f t="shared" ca="1" si="299"/>
        <v>-5.9635485288922521</v>
      </c>
      <c r="F671" s="357">
        <f t="shared" ca="1" si="300"/>
        <v>5.9887504478910438</v>
      </c>
      <c r="G671" s="359">
        <f t="shared" ca="1" si="301"/>
        <v>9.5309632615009416</v>
      </c>
      <c r="H671" s="360">
        <f t="shared" ca="1" si="302"/>
        <v>-66.797606556908164</v>
      </c>
      <c r="I671" s="357">
        <f t="shared" ca="1" si="303"/>
        <v>67.47413950858197</v>
      </c>
      <c r="J671" s="359">
        <f t="shared" ca="1" si="304"/>
        <v>187.70931447689617</v>
      </c>
      <c r="K671" s="360">
        <f t="shared" ca="1" si="305"/>
        <v>-6.2655018231809541</v>
      </c>
      <c r="L671" s="357">
        <f t="shared" ca="1" si="290"/>
        <v>187.81385266929215</v>
      </c>
      <c r="M671" s="359">
        <f t="shared" ca="1" si="306"/>
        <v>-1.4290687572408001</v>
      </c>
      <c r="N671" s="357">
        <f t="shared" ca="1" si="307"/>
        <v>-81.879608423903449</v>
      </c>
      <c r="O671" s="343"/>
      <c r="P671" s="363">
        <f t="shared" ca="1" si="308"/>
        <v>23</v>
      </c>
      <c r="Q671" s="357">
        <f t="shared" ca="1" si="309"/>
        <v>0</v>
      </c>
      <c r="R671" s="359">
        <f t="shared" ca="1" si="310"/>
        <v>0</v>
      </c>
      <c r="S671" s="360">
        <f t="shared" ca="1" si="311"/>
        <v>1.5629999999999982</v>
      </c>
      <c r="T671" s="357">
        <f t="shared" ca="1" si="291"/>
        <v>15.333029999999983</v>
      </c>
      <c r="U671" s="364">
        <f t="shared" ca="1" si="292"/>
        <v>0</v>
      </c>
      <c r="V671" s="359">
        <f t="shared" ca="1" si="293"/>
        <v>1.2257677644948319</v>
      </c>
      <c r="W671" s="357">
        <f t="shared" ca="1" si="294"/>
        <v>6.0730045471257021</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5.8262268201924723</v>
      </c>
      <c r="AH671" s="357">
        <f t="shared" ca="1" si="318"/>
        <v>-3.8854098612950989</v>
      </c>
    </row>
    <row r="672" spans="1:34" x14ac:dyDescent="0.2">
      <c r="A672" s="402">
        <f t="shared" ca="1" si="296"/>
        <v>1E-4</v>
      </c>
      <c r="B672" s="357">
        <f t="shared" ca="1" si="297"/>
        <v>15.633199999999885</v>
      </c>
      <c r="C672" s="342"/>
      <c r="D672" s="359">
        <f t="shared" ca="1" si="298"/>
        <v>-0.54883786852194771</v>
      </c>
      <c r="E672" s="360">
        <f t="shared" ca="1" si="299"/>
        <v>-5.9634784051525394</v>
      </c>
      <c r="F672" s="357">
        <f t="shared" ca="1" si="300"/>
        <v>5.9886807975249772</v>
      </c>
      <c r="G672" s="359">
        <f t="shared" ca="1" si="301"/>
        <v>9.5309083777140895</v>
      </c>
      <c r="H672" s="360">
        <f t="shared" ca="1" si="302"/>
        <v>-66.798202904748678</v>
      </c>
      <c r="I672" s="357">
        <f t="shared" ca="1" si="303"/>
        <v>67.47472212472131</v>
      </c>
      <c r="J672" s="359">
        <f t="shared" ca="1" si="304"/>
        <v>187.70931447689617</v>
      </c>
      <c r="K672" s="360">
        <f t="shared" ca="1" si="305"/>
        <v>-6.2721816136540367</v>
      </c>
      <c r="L672" s="357">
        <f t="shared" ca="1" si="290"/>
        <v>187.81407562688415</v>
      </c>
      <c r="M672" s="359">
        <f t="shared" ca="1" si="306"/>
        <v>-1.4290708108951216</v>
      </c>
      <c r="N672" s="357">
        <f t="shared" ca="1" si="307"/>
        <v>-81.879726089628647</v>
      </c>
      <c r="O672" s="343"/>
      <c r="P672" s="363">
        <f t="shared" ca="1" si="308"/>
        <v>23</v>
      </c>
      <c r="Q672" s="357">
        <f t="shared" ca="1" si="309"/>
        <v>0</v>
      </c>
      <c r="R672" s="359">
        <f t="shared" ca="1" si="310"/>
        <v>0</v>
      </c>
      <c r="S672" s="360">
        <f t="shared" ca="1" si="311"/>
        <v>1.5629999999999982</v>
      </c>
      <c r="T672" s="357">
        <f t="shared" ca="1" si="291"/>
        <v>15.333029999999983</v>
      </c>
      <c r="U672" s="364">
        <f t="shared" ca="1" si="292"/>
        <v>0</v>
      </c>
      <c r="V672" s="359">
        <f t="shared" ca="1" si="293"/>
        <v>1.2257685832823695</v>
      </c>
      <c r="W672" s="357">
        <f t="shared" ca="1" si="294"/>
        <v>6.0731134809284359</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5.8261599706150289</v>
      </c>
      <c r="AH672" s="357">
        <f t="shared" ca="1" si="318"/>
        <v>-3.8854795567023093</v>
      </c>
    </row>
    <row r="673" spans="1:34" x14ac:dyDescent="0.2">
      <c r="A673" s="402">
        <f t="shared" ca="1" si="296"/>
        <v>1E-4</v>
      </c>
      <c r="B673" s="357">
        <f t="shared" ca="1" si="297"/>
        <v>15.633299999999885</v>
      </c>
      <c r="C673" s="342"/>
      <c r="D673" s="359">
        <f t="shared" ca="1" si="298"/>
        <v>-0.54883981366792878</v>
      </c>
      <c r="E673" s="360">
        <f t="shared" ca="1" si="299"/>
        <v>-5.963408281489774</v>
      </c>
      <c r="F673" s="357">
        <f t="shared" ca="1" si="300"/>
        <v>5.9886111472367176</v>
      </c>
      <c r="G673" s="359">
        <f t="shared" ca="1" si="301"/>
        <v>9.5308534937327227</v>
      </c>
      <c r="H673" s="360">
        <f t="shared" ca="1" si="302"/>
        <v>-66.798799245576831</v>
      </c>
      <c r="I673" s="357">
        <f t="shared" ca="1" si="303"/>
        <v>67.475304734175694</v>
      </c>
      <c r="J673" s="359">
        <f t="shared" ca="1" si="304"/>
        <v>187.70931447689617</v>
      </c>
      <c r="K673" s="360">
        <f t="shared" ca="1" si="305"/>
        <v>-6.2788614637615527</v>
      </c>
      <c r="L673" s="357">
        <f t="shared" ca="1" si="290"/>
        <v>187.81429882377807</v>
      </c>
      <c r="M673" s="359">
        <f t="shared" ca="1" si="306"/>
        <v>-1.4290728645021531</v>
      </c>
      <c r="N673" s="357">
        <f t="shared" ca="1" si="307"/>
        <v>-81.879843752644334</v>
      </c>
      <c r="O673" s="343"/>
      <c r="P673" s="363">
        <f t="shared" ca="1" si="308"/>
        <v>23</v>
      </c>
      <c r="Q673" s="357">
        <f t="shared" ca="1" si="309"/>
        <v>0</v>
      </c>
      <c r="R673" s="359">
        <f t="shared" ca="1" si="310"/>
        <v>0</v>
      </c>
      <c r="S673" s="360">
        <f t="shared" ca="1" si="311"/>
        <v>1.5629999999999982</v>
      </c>
      <c r="T673" s="357">
        <f t="shared" ca="1" si="291"/>
        <v>15.333029999999983</v>
      </c>
      <c r="U673" s="364">
        <f t="shared" ca="1" si="292"/>
        <v>0</v>
      </c>
      <c r="V673" s="359">
        <f t="shared" ca="1" si="293"/>
        <v>1.2257694020777636</v>
      </c>
      <c r="W673" s="357">
        <f t="shared" ca="1" si="294"/>
        <v>6.0732224146124025</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5.8260931210070641</v>
      </c>
      <c r="AH673" s="357">
        <f t="shared" ca="1" si="318"/>
        <v>-3.8855492520335528</v>
      </c>
    </row>
    <row r="674" spans="1:34" x14ac:dyDescent="0.2">
      <c r="A674" s="402">
        <f t="shared" ca="1" si="296"/>
        <v>1E-4</v>
      </c>
      <c r="B674" s="357">
        <f t="shared" ca="1" si="297"/>
        <v>15.633399999999884</v>
      </c>
      <c r="C674" s="342"/>
      <c r="D674" s="359">
        <f t="shared" ca="1" si="298"/>
        <v>-0.54884175869938034</v>
      </c>
      <c r="E674" s="360">
        <f t="shared" ca="1" si="299"/>
        <v>-5.9633381579039773</v>
      </c>
      <c r="F674" s="357">
        <f t="shared" ca="1" si="300"/>
        <v>5.9885414970262856</v>
      </c>
      <c r="G674" s="359">
        <f t="shared" ca="1" si="301"/>
        <v>9.530798609556852</v>
      </c>
      <c r="H674" s="360">
        <f t="shared" ca="1" si="302"/>
        <v>-66.799395579392623</v>
      </c>
      <c r="I674" s="357">
        <f t="shared" ca="1" si="303"/>
        <v>67.475887336945107</v>
      </c>
      <c r="J674" s="359">
        <f t="shared" ca="1" si="304"/>
        <v>187.70931447689617</v>
      </c>
      <c r="K674" s="360">
        <f t="shared" ca="1" si="305"/>
        <v>-6.2855413735028014</v>
      </c>
      <c r="L674" s="357">
        <f t="shared" ca="1" si="290"/>
        <v>187.81452225997944</v>
      </c>
      <c r="M674" s="359">
        <f t="shared" ca="1" si="306"/>
        <v>-1.4290749180618962</v>
      </c>
      <c r="N674" s="357">
        <f t="shared" ca="1" si="307"/>
        <v>-81.879961412950593</v>
      </c>
      <c r="O674" s="343"/>
      <c r="P674" s="363">
        <f t="shared" ca="1" si="308"/>
        <v>23</v>
      </c>
      <c r="Q674" s="357">
        <f t="shared" ca="1" si="309"/>
        <v>0</v>
      </c>
      <c r="R674" s="359">
        <f t="shared" ca="1" si="310"/>
        <v>0</v>
      </c>
      <c r="S674" s="360">
        <f t="shared" ca="1" si="311"/>
        <v>1.5629999999999982</v>
      </c>
      <c r="T674" s="357">
        <f t="shared" ca="1" si="291"/>
        <v>15.333029999999983</v>
      </c>
      <c r="U674" s="364">
        <f t="shared" ca="1" si="292"/>
        <v>0</v>
      </c>
      <c r="V674" s="359">
        <f t="shared" ca="1" si="293"/>
        <v>1.2257702208810148</v>
      </c>
      <c r="W674" s="357">
        <f t="shared" ca="1" si="294"/>
        <v>6.0733313481775708</v>
      </c>
      <c r="X674" s="343"/>
      <c r="Y674" s="367" t="str">
        <f t="shared" ca="1" si="312"/>
        <v/>
      </c>
      <c r="Z674" s="368" t="str">
        <f t="shared" ca="1" si="313"/>
        <v/>
      </c>
      <c r="AA674" s="369" t="str">
        <f t="shared" ca="1" si="314"/>
        <v/>
      </c>
      <c r="AB674" s="344"/>
      <c r="AC674" s="363" t="e">
        <f t="shared" ca="1" si="315"/>
        <v>#N/A</v>
      </c>
      <c r="AD674" s="376" t="e">
        <f t="shared" ca="1" si="316"/>
        <v>#N/A</v>
      </c>
      <c r="AE674" s="377" t="e">
        <f t="shared" ca="1" si="295"/>
        <v>#N/A</v>
      </c>
      <c r="AF674" s="344"/>
      <c r="AG674" s="359">
        <f t="shared" ca="1" si="317"/>
        <v>5.8260262713685957</v>
      </c>
      <c r="AH674" s="357">
        <f t="shared" ca="1" si="318"/>
        <v>-3.8856189472888096</v>
      </c>
    </row>
    <row r="675" spans="1:34" x14ac:dyDescent="0.2">
      <c r="A675" s="402">
        <f t="shared" ca="1" si="296"/>
        <v>1E-4</v>
      </c>
      <c r="B675" s="357">
        <f t="shared" ca="1" si="297"/>
        <v>15.633499999999884</v>
      </c>
      <c r="C675" s="342"/>
      <c r="D675" s="359">
        <f t="shared" ca="1" si="298"/>
        <v>-0.54884370361630408</v>
      </c>
      <c r="E675" s="360">
        <f t="shared" ca="1" si="299"/>
        <v>-5.9632680343951687</v>
      </c>
      <c r="F675" s="357">
        <f t="shared" ca="1" si="300"/>
        <v>5.9884718468937033</v>
      </c>
      <c r="G675" s="359">
        <f t="shared" ca="1" si="301"/>
        <v>9.5307437251864897</v>
      </c>
      <c r="H675" s="360">
        <f t="shared" ca="1" si="302"/>
        <v>-66.79999190619607</v>
      </c>
      <c r="I675" s="357">
        <f t="shared" ca="1" si="303"/>
        <v>67.476469933029549</v>
      </c>
      <c r="J675" s="359">
        <f t="shared" ca="1" si="304"/>
        <v>187.70931447689617</v>
      </c>
      <c r="K675" s="360">
        <f t="shared" ca="1" si="305"/>
        <v>-6.292221342877081</v>
      </c>
      <c r="L675" s="357">
        <f t="shared" ca="1" si="290"/>
        <v>187.81474593549373</v>
      </c>
      <c r="M675" s="359">
        <f t="shared" ca="1" si="306"/>
        <v>-1.4290769715743525</v>
      </c>
      <c r="N675" s="357">
        <f t="shared" ca="1" si="307"/>
        <v>-81.880079070547524</v>
      </c>
      <c r="O675" s="343"/>
      <c r="P675" s="363">
        <f t="shared" ca="1" si="308"/>
        <v>23</v>
      </c>
      <c r="Q675" s="357">
        <f t="shared" ca="1" si="309"/>
        <v>0</v>
      </c>
      <c r="R675" s="359">
        <f t="shared" ca="1" si="310"/>
        <v>0</v>
      </c>
      <c r="S675" s="360">
        <f t="shared" ca="1" si="311"/>
        <v>1.5629999999999982</v>
      </c>
      <c r="T675" s="357">
        <f t="shared" ca="1" si="291"/>
        <v>15.333029999999983</v>
      </c>
      <c r="U675" s="364">
        <f t="shared" ca="1" si="292"/>
        <v>0</v>
      </c>
      <c r="V675" s="359">
        <f t="shared" ca="1" si="293"/>
        <v>1.2257710396921226</v>
      </c>
      <c r="W675" s="357">
        <f t="shared" ca="1" si="294"/>
        <v>6.0734402816239097</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5.8259594216996531</v>
      </c>
      <c r="AH675" s="357">
        <f t="shared" ca="1" si="318"/>
        <v>-3.8856886424680601</v>
      </c>
    </row>
    <row r="676" spans="1:34" x14ac:dyDescent="0.2">
      <c r="A676" s="402">
        <f t="shared" ca="1" si="296"/>
        <v>1E-4</v>
      </c>
      <c r="B676" s="357">
        <f t="shared" ca="1" si="297"/>
        <v>15.633599999999884</v>
      </c>
      <c r="C676" s="342"/>
      <c r="D676" s="359">
        <f t="shared" ca="1" si="298"/>
        <v>-0.54884564841870132</v>
      </c>
      <c r="E676" s="360">
        <f t="shared" ca="1" si="299"/>
        <v>-5.9631979109633679</v>
      </c>
      <c r="F676" s="357">
        <f t="shared" ca="1" si="300"/>
        <v>5.9884021968389876</v>
      </c>
      <c r="G676" s="359">
        <f t="shared" ca="1" si="301"/>
        <v>9.5306888406216483</v>
      </c>
      <c r="H676" s="360">
        <f t="shared" ca="1" si="302"/>
        <v>-66.80058822598717</v>
      </c>
      <c r="I676" s="357">
        <f t="shared" ca="1" si="303"/>
        <v>67.477052522429034</v>
      </c>
      <c r="J676" s="359">
        <f t="shared" ca="1" si="304"/>
        <v>187.70931447689617</v>
      </c>
      <c r="K676" s="360">
        <f t="shared" ca="1" si="305"/>
        <v>-6.2989013718836899</v>
      </c>
      <c r="L676" s="357">
        <f t="shared" ca="1" si="290"/>
        <v>187.81496985032641</v>
      </c>
      <c r="M676" s="359">
        <f t="shared" ca="1" si="306"/>
        <v>-1.429079025039524</v>
      </c>
      <c r="N676" s="357">
        <f t="shared" ca="1" si="307"/>
        <v>-81.880196725435212</v>
      </c>
      <c r="O676" s="343"/>
      <c r="P676" s="363">
        <f t="shared" ca="1" si="308"/>
        <v>23</v>
      </c>
      <c r="Q676" s="357">
        <f t="shared" ca="1" si="309"/>
        <v>0</v>
      </c>
      <c r="R676" s="359">
        <f t="shared" ca="1" si="310"/>
        <v>0</v>
      </c>
      <c r="S676" s="360">
        <f t="shared" ca="1" si="311"/>
        <v>1.5629999999999982</v>
      </c>
      <c r="T676" s="357">
        <f t="shared" ca="1" si="291"/>
        <v>15.333029999999983</v>
      </c>
      <c r="U676" s="364">
        <f t="shared" ca="1" si="292"/>
        <v>0</v>
      </c>
      <c r="V676" s="359">
        <f t="shared" ca="1" si="293"/>
        <v>1.2257718585110875</v>
      </c>
      <c r="W676" s="357">
        <f t="shared" ca="1" si="294"/>
        <v>6.0735492149513952</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5.8258925720002601</v>
      </c>
      <c r="AH676" s="357">
        <f t="shared" ca="1" si="318"/>
        <v>-3.8857583375712839</v>
      </c>
    </row>
    <row r="677" spans="1:34" x14ac:dyDescent="0.2">
      <c r="A677" s="402">
        <f t="shared" ca="1" si="296"/>
        <v>1E-4</v>
      </c>
      <c r="B677" s="357">
        <f t="shared" ca="1" si="297"/>
        <v>15.633699999999884</v>
      </c>
      <c r="C677" s="342"/>
      <c r="D677" s="359">
        <f t="shared" ca="1" si="298"/>
        <v>-0.54884759310657261</v>
      </c>
      <c r="E677" s="360">
        <f t="shared" ca="1" si="299"/>
        <v>-5.96312778760859</v>
      </c>
      <c r="F677" s="357">
        <f t="shared" ca="1" si="300"/>
        <v>5.9883325468621562</v>
      </c>
      <c r="G677" s="359">
        <f t="shared" ca="1" si="301"/>
        <v>9.5306339558623385</v>
      </c>
      <c r="H677" s="360">
        <f t="shared" ca="1" si="302"/>
        <v>-66.801184538765924</v>
      </c>
      <c r="I677" s="357">
        <f t="shared" ca="1" si="303"/>
        <v>67.477635105143506</v>
      </c>
      <c r="J677" s="359">
        <f t="shared" ca="1" si="304"/>
        <v>187.70931447689617</v>
      </c>
      <c r="K677" s="360">
        <f t="shared" ca="1" si="305"/>
        <v>-6.3055814605219274</v>
      </c>
      <c r="L677" s="357">
        <f t="shared" ca="1" si="290"/>
        <v>187.81519400448298</v>
      </c>
      <c r="M677" s="359">
        <f t="shared" ca="1" si="306"/>
        <v>-1.4290810784574119</v>
      </c>
      <c r="N677" s="357">
        <f t="shared" ca="1" si="307"/>
        <v>-81.880314377613772</v>
      </c>
      <c r="O677" s="343"/>
      <c r="P677" s="363">
        <f t="shared" ca="1" si="308"/>
        <v>23</v>
      </c>
      <c r="Q677" s="357">
        <f t="shared" ca="1" si="309"/>
        <v>0</v>
      </c>
      <c r="R677" s="359">
        <f t="shared" ca="1" si="310"/>
        <v>0</v>
      </c>
      <c r="S677" s="360">
        <f t="shared" ca="1" si="311"/>
        <v>1.5629999999999982</v>
      </c>
      <c r="T677" s="357">
        <f t="shared" ca="1" si="291"/>
        <v>15.333029999999983</v>
      </c>
      <c r="U677" s="364">
        <f t="shared" ca="1" si="292"/>
        <v>0</v>
      </c>
      <c r="V677" s="359">
        <f t="shared" ca="1" si="293"/>
        <v>1.2257726773379087</v>
      </c>
      <c r="W677" s="357">
        <f t="shared" ca="1" si="294"/>
        <v>6.0736581481599821</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5.825825722270439</v>
      </c>
      <c r="AH677" s="357">
        <f t="shared" ca="1" si="318"/>
        <v>-3.8858280325984658</v>
      </c>
    </row>
    <row r="678" spans="1:34" x14ac:dyDescent="0.2">
      <c r="A678" s="402">
        <f t="shared" ca="1" si="296"/>
        <v>1E-4</v>
      </c>
      <c r="B678" s="357">
        <f t="shared" ca="1" si="297"/>
        <v>15.633799999999884</v>
      </c>
      <c r="C678" s="342"/>
      <c r="D678" s="359">
        <f t="shared" ca="1" si="298"/>
        <v>-0.54884953767991895</v>
      </c>
      <c r="E678" s="360">
        <f t="shared" ca="1" si="299"/>
        <v>-5.963057664330865</v>
      </c>
      <c r="F678" s="357">
        <f t="shared" ca="1" si="300"/>
        <v>5.9882628969632359</v>
      </c>
      <c r="G678" s="359">
        <f t="shared" ca="1" si="301"/>
        <v>9.5305790709085709</v>
      </c>
      <c r="H678" s="360">
        <f t="shared" ca="1" si="302"/>
        <v>-66.80178084453236</v>
      </c>
      <c r="I678" s="357">
        <f t="shared" ca="1" si="303"/>
        <v>67.478217681173021</v>
      </c>
      <c r="J678" s="359">
        <f t="shared" ca="1" si="304"/>
        <v>187.70931447689617</v>
      </c>
      <c r="K678" s="360">
        <f t="shared" ca="1" si="305"/>
        <v>-6.3122616087910925</v>
      </c>
      <c r="L678" s="357">
        <f t="shared" ca="1" si="290"/>
        <v>187.81541839796893</v>
      </c>
      <c r="M678" s="359">
        <f t="shared" ca="1" si="306"/>
        <v>-1.4290831318280182</v>
      </c>
      <c r="N678" s="357">
        <f t="shared" ca="1" si="307"/>
        <v>-81.880432027083287</v>
      </c>
      <c r="O678" s="343"/>
      <c r="P678" s="363">
        <f t="shared" ca="1" si="308"/>
        <v>23</v>
      </c>
      <c r="Q678" s="357">
        <f t="shared" ca="1" si="309"/>
        <v>0</v>
      </c>
      <c r="R678" s="359">
        <f t="shared" ca="1" si="310"/>
        <v>0</v>
      </c>
      <c r="S678" s="360">
        <f t="shared" ca="1" si="311"/>
        <v>1.5629999999999982</v>
      </c>
      <c r="T678" s="357">
        <f t="shared" ca="1" si="291"/>
        <v>15.333029999999983</v>
      </c>
      <c r="U678" s="364">
        <f t="shared" ca="1" si="292"/>
        <v>0</v>
      </c>
      <c r="V678" s="359">
        <f t="shared" ca="1" si="293"/>
        <v>1.2257734961725866</v>
      </c>
      <c r="W678" s="357">
        <f t="shared" ca="1" si="294"/>
        <v>6.0737670812496543</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5.825758872510221</v>
      </c>
      <c r="AH678" s="357">
        <f t="shared" ca="1" si="318"/>
        <v>-3.8858977275495774</v>
      </c>
    </row>
    <row r="679" spans="1:34" x14ac:dyDescent="0.2">
      <c r="A679" s="402">
        <f t="shared" ca="1" si="296"/>
        <v>1E-4</v>
      </c>
      <c r="B679" s="357">
        <f t="shared" ca="1" si="297"/>
        <v>15.633899999999883</v>
      </c>
      <c r="C679" s="342"/>
      <c r="D679" s="359">
        <f t="shared" ca="1" si="298"/>
        <v>-0.54885148213874257</v>
      </c>
      <c r="E679" s="360">
        <f t="shared" ca="1" si="299"/>
        <v>-5.962987541130202</v>
      </c>
      <c r="F679" s="357">
        <f t="shared" ca="1" si="300"/>
        <v>5.9881932471422381</v>
      </c>
      <c r="G679" s="359">
        <f t="shared" ca="1" si="301"/>
        <v>9.5305241857603562</v>
      </c>
      <c r="H679" s="360">
        <f t="shared" ca="1" si="302"/>
        <v>-66.802377143286478</v>
      </c>
      <c r="I679" s="357">
        <f t="shared" ca="1" si="303"/>
        <v>67.478800250517551</v>
      </c>
      <c r="J679" s="359">
        <f t="shared" ca="1" si="304"/>
        <v>187.70931447689617</v>
      </c>
      <c r="K679" s="360">
        <f t="shared" ca="1" si="305"/>
        <v>-6.3189418166904838</v>
      </c>
      <c r="L679" s="357">
        <f t="shared" ca="1" si="290"/>
        <v>187.81564303078969</v>
      </c>
      <c r="M679" s="359">
        <f t="shared" ca="1" si="306"/>
        <v>-1.4290851851513446</v>
      </c>
      <c r="N679" s="357">
        <f t="shared" ca="1" si="307"/>
        <v>-81.880549673843873</v>
      </c>
      <c r="O679" s="343"/>
      <c r="P679" s="363">
        <f t="shared" ca="1" si="308"/>
        <v>23</v>
      </c>
      <c r="Q679" s="357">
        <f t="shared" ca="1" si="309"/>
        <v>0</v>
      </c>
      <c r="R679" s="359">
        <f t="shared" ca="1" si="310"/>
        <v>0</v>
      </c>
      <c r="S679" s="360">
        <f t="shared" ca="1" si="311"/>
        <v>1.5629999999999982</v>
      </c>
      <c r="T679" s="357">
        <f t="shared" ca="1" si="291"/>
        <v>15.333029999999983</v>
      </c>
      <c r="U679" s="364">
        <f t="shared" ca="1" si="292"/>
        <v>0</v>
      </c>
      <c r="V679" s="359">
        <f t="shared" ca="1" si="293"/>
        <v>1.2257743150151212</v>
      </c>
      <c r="W679" s="357">
        <f t="shared" ca="1" si="294"/>
        <v>6.0738760142203763</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5.8256920227196245</v>
      </c>
      <c r="AH679" s="357">
        <f t="shared" ca="1" si="318"/>
        <v>-3.8859674224246072</v>
      </c>
    </row>
    <row r="680" spans="1:34" x14ac:dyDescent="0.2">
      <c r="A680" s="402">
        <f t="shared" ca="1" si="296"/>
        <v>1E-4</v>
      </c>
      <c r="B680" s="357">
        <f t="shared" ca="1" si="297"/>
        <v>15.633999999999883</v>
      </c>
      <c r="C680" s="342"/>
      <c r="D680" s="359">
        <f t="shared" ca="1" si="298"/>
        <v>-0.54885342648304281</v>
      </c>
      <c r="E680" s="360">
        <f t="shared" ca="1" si="299"/>
        <v>-5.9629174180066249</v>
      </c>
      <c r="F680" s="357">
        <f t="shared" ca="1" si="300"/>
        <v>5.988123597399186</v>
      </c>
      <c r="G680" s="359">
        <f t="shared" ca="1" si="301"/>
        <v>9.5304693004177086</v>
      </c>
      <c r="H680" s="360">
        <f t="shared" ca="1" si="302"/>
        <v>-66.802973435028278</v>
      </c>
      <c r="I680" s="357">
        <f t="shared" ca="1" si="303"/>
        <v>67.479382813177082</v>
      </c>
      <c r="J680" s="359">
        <f t="shared" ca="1" si="304"/>
        <v>187.70931447689617</v>
      </c>
      <c r="K680" s="360">
        <f t="shared" ca="1" si="305"/>
        <v>-6.3256220842193995</v>
      </c>
      <c r="L680" s="357">
        <f t="shared" ca="1" si="290"/>
        <v>187.8158679029508</v>
      </c>
      <c r="M680" s="359">
        <f t="shared" ca="1" si="306"/>
        <v>-1.4290872384273929</v>
      </c>
      <c r="N680" s="357">
        <f t="shared" ca="1" si="307"/>
        <v>-81.880667317895615</v>
      </c>
      <c r="O680" s="343"/>
      <c r="P680" s="363">
        <f t="shared" ca="1" si="308"/>
        <v>23</v>
      </c>
      <c r="Q680" s="357">
        <f t="shared" ca="1" si="309"/>
        <v>0</v>
      </c>
      <c r="R680" s="359">
        <f t="shared" ca="1" si="310"/>
        <v>0</v>
      </c>
      <c r="S680" s="360">
        <f t="shared" ca="1" si="311"/>
        <v>1.5629999999999982</v>
      </c>
      <c r="T680" s="357">
        <f t="shared" ca="1" si="291"/>
        <v>15.333029999999983</v>
      </c>
      <c r="U680" s="364">
        <f t="shared" ca="1" si="292"/>
        <v>0</v>
      </c>
      <c r="V680" s="359">
        <f t="shared" ca="1" si="293"/>
        <v>1.2257751338655118</v>
      </c>
      <c r="W680" s="357">
        <f t="shared" ca="1" si="294"/>
        <v>6.0739849470721108</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5.8256251728986772</v>
      </c>
      <c r="AH680" s="357">
        <f t="shared" ca="1" si="318"/>
        <v>-3.886037117223534</v>
      </c>
    </row>
    <row r="681" spans="1:34" x14ac:dyDescent="0.2">
      <c r="A681" s="402">
        <f t="shared" ca="1" si="296"/>
        <v>1E-4</v>
      </c>
      <c r="B681" s="357">
        <f t="shared" ca="1" si="297"/>
        <v>15.634099999999883</v>
      </c>
      <c r="C681" s="342"/>
      <c r="D681" s="359">
        <f t="shared" ca="1" si="298"/>
        <v>-0.54885537071282053</v>
      </c>
      <c r="E681" s="360">
        <f t="shared" ca="1" si="299"/>
        <v>-5.9628472949601576</v>
      </c>
      <c r="F681" s="357">
        <f t="shared" ca="1" si="300"/>
        <v>5.9880539477341035</v>
      </c>
      <c r="G681" s="359">
        <f t="shared" ca="1" si="301"/>
        <v>9.5304144148806369</v>
      </c>
      <c r="H681" s="360">
        <f t="shared" ca="1" si="302"/>
        <v>-66.803569719757775</v>
      </c>
      <c r="I681" s="357">
        <f t="shared" ca="1" si="303"/>
        <v>67.479965369151628</v>
      </c>
      <c r="J681" s="359">
        <f t="shared" ca="1" si="304"/>
        <v>187.70931447689617</v>
      </c>
      <c r="K681" s="360">
        <f t="shared" ca="1" si="305"/>
        <v>-6.3323024113771389</v>
      </c>
      <c r="L681" s="357">
        <f t="shared" ca="1" si="290"/>
        <v>187.81609301445772</v>
      </c>
      <c r="M681" s="359">
        <f t="shared" ca="1" si="306"/>
        <v>-1.4290892916561644</v>
      </c>
      <c r="N681" s="357">
        <f t="shared" ca="1" si="307"/>
        <v>-81.880784959238596</v>
      </c>
      <c r="O681" s="343"/>
      <c r="P681" s="363">
        <f t="shared" ca="1" si="308"/>
        <v>23</v>
      </c>
      <c r="Q681" s="357">
        <f t="shared" ca="1" si="309"/>
        <v>0</v>
      </c>
      <c r="R681" s="359">
        <f t="shared" ca="1" si="310"/>
        <v>0</v>
      </c>
      <c r="S681" s="360">
        <f t="shared" ca="1" si="311"/>
        <v>1.5629999999999982</v>
      </c>
      <c r="T681" s="357">
        <f t="shared" ca="1" si="291"/>
        <v>15.333029999999983</v>
      </c>
      <c r="U681" s="364">
        <f t="shared" ca="1" si="292"/>
        <v>0</v>
      </c>
      <c r="V681" s="359">
        <f t="shared" ca="1" si="293"/>
        <v>1.2257759527237591</v>
      </c>
      <c r="W681" s="357">
        <f t="shared" ca="1" si="294"/>
        <v>6.0740938798048365</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5.8255583230474048</v>
      </c>
      <c r="AH681" s="357">
        <f t="shared" ca="1" si="318"/>
        <v>-3.8861068119463327</v>
      </c>
    </row>
    <row r="682" spans="1:34" x14ac:dyDescent="0.2">
      <c r="A682" s="402">
        <f t="shared" ca="1" si="296"/>
        <v>1E-4</v>
      </c>
      <c r="B682" s="357">
        <f t="shared" ca="1" si="297"/>
        <v>15.634199999999883</v>
      </c>
      <c r="C682" s="342"/>
      <c r="D682" s="359">
        <f t="shared" ca="1" si="298"/>
        <v>-0.5488573148280792</v>
      </c>
      <c r="E682" s="360">
        <f t="shared" ca="1" si="299"/>
        <v>-5.9627771719908136</v>
      </c>
      <c r="F682" s="357">
        <f t="shared" ca="1" si="300"/>
        <v>5.9879842981470031</v>
      </c>
      <c r="G682" s="359">
        <f t="shared" ca="1" si="301"/>
        <v>9.5303595291491536</v>
      </c>
      <c r="H682" s="360">
        <f t="shared" ca="1" si="302"/>
        <v>-66.804165997474968</v>
      </c>
      <c r="I682" s="357">
        <f t="shared" ca="1" si="303"/>
        <v>67.480547918441161</v>
      </c>
      <c r="J682" s="359">
        <f t="shared" ca="1" si="304"/>
        <v>187.70931447689617</v>
      </c>
      <c r="K682" s="360">
        <f t="shared" ca="1" si="305"/>
        <v>-6.3389827981630003</v>
      </c>
      <c r="L682" s="357">
        <f t="shared" ca="1" si="290"/>
        <v>187.81631836531591</v>
      </c>
      <c r="M682" s="359">
        <f t="shared" ca="1" si="306"/>
        <v>-1.4290913448376612</v>
      </c>
      <c r="N682" s="357">
        <f t="shared" ca="1" si="307"/>
        <v>-81.880902597872932</v>
      </c>
      <c r="O682" s="343"/>
      <c r="P682" s="363">
        <f t="shared" ca="1" si="308"/>
        <v>23</v>
      </c>
      <c r="Q682" s="357">
        <f t="shared" ca="1" si="309"/>
        <v>0</v>
      </c>
      <c r="R682" s="359">
        <f t="shared" ca="1" si="310"/>
        <v>0</v>
      </c>
      <c r="S682" s="360">
        <f t="shared" ca="1" si="311"/>
        <v>1.5629999999999982</v>
      </c>
      <c r="T682" s="357">
        <f t="shared" ca="1" si="291"/>
        <v>15.333029999999983</v>
      </c>
      <c r="U682" s="364">
        <f t="shared" ca="1" si="292"/>
        <v>0</v>
      </c>
      <c r="V682" s="359">
        <f t="shared" ca="1" si="293"/>
        <v>1.2257767715898624</v>
      </c>
      <c r="W682" s="357">
        <f t="shared" ca="1" si="294"/>
        <v>6.0742028124185135</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5.8254914731658278</v>
      </c>
      <c r="AH682" s="357">
        <f t="shared" ca="1" si="318"/>
        <v>-3.8861765065929901</v>
      </c>
    </row>
    <row r="683" spans="1:34" x14ac:dyDescent="0.2">
      <c r="A683" s="402">
        <f t="shared" ca="1" si="296"/>
        <v>1E-4</v>
      </c>
      <c r="B683" s="357">
        <f t="shared" ca="1" si="297"/>
        <v>15.634299999999882</v>
      </c>
      <c r="C683" s="342"/>
      <c r="D683" s="359">
        <f t="shared" ca="1" si="298"/>
        <v>-0.54885925882881692</v>
      </c>
      <c r="E683" s="360">
        <f t="shared" ca="1" si="299"/>
        <v>-5.9627070490986185</v>
      </c>
      <c r="F683" s="357">
        <f t="shared" ca="1" si="300"/>
        <v>5.9879146486379105</v>
      </c>
      <c r="G683" s="359">
        <f t="shared" ca="1" si="301"/>
        <v>9.5303046432232712</v>
      </c>
      <c r="H683" s="360">
        <f t="shared" ca="1" si="302"/>
        <v>-66.804762268179871</v>
      </c>
      <c r="I683" s="357">
        <f t="shared" ca="1" si="303"/>
        <v>67.481130461045723</v>
      </c>
      <c r="J683" s="359">
        <f t="shared" ca="1" si="304"/>
        <v>187.70931447689617</v>
      </c>
      <c r="K683" s="360">
        <f t="shared" ca="1" si="305"/>
        <v>-6.3456632445762828</v>
      </c>
      <c r="L683" s="357">
        <f t="shared" ca="1" si="290"/>
        <v>187.81654395553088</v>
      </c>
      <c r="M683" s="359">
        <f t="shared" ca="1" si="306"/>
        <v>-1.4290933979718847</v>
      </c>
      <c r="N683" s="357">
        <f t="shared" ca="1" si="307"/>
        <v>-81.881020233798722</v>
      </c>
      <c r="O683" s="343"/>
      <c r="P683" s="363">
        <f t="shared" ca="1" si="308"/>
        <v>23</v>
      </c>
      <c r="Q683" s="357">
        <f t="shared" ca="1" si="309"/>
        <v>0</v>
      </c>
      <c r="R683" s="359">
        <f t="shared" ca="1" si="310"/>
        <v>0</v>
      </c>
      <c r="S683" s="360">
        <f t="shared" ca="1" si="311"/>
        <v>1.5629999999999982</v>
      </c>
      <c r="T683" s="357">
        <f t="shared" ca="1" si="291"/>
        <v>15.333029999999983</v>
      </c>
      <c r="U683" s="364">
        <f t="shared" ca="1" si="292"/>
        <v>0</v>
      </c>
      <c r="V683" s="359">
        <f t="shared" ca="1" si="293"/>
        <v>1.2257775904638222</v>
      </c>
      <c r="W683" s="357">
        <f t="shared" ca="1" si="294"/>
        <v>6.0743117449131212</v>
      </c>
      <c r="X683" s="343"/>
      <c r="Y683" s="367" t="str">
        <f t="shared" ca="1" si="312"/>
        <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5.8254246232539799</v>
      </c>
      <c r="AH683" s="357">
        <f t="shared" ca="1" si="318"/>
        <v>-3.8862462011634809</v>
      </c>
    </row>
    <row r="684" spans="1:34" x14ac:dyDescent="0.2">
      <c r="A684" s="402">
        <f t="shared" ca="1" si="296"/>
        <v>1E-4</v>
      </c>
      <c r="B684" s="357">
        <f t="shared" ca="1" si="297"/>
        <v>15.634399999999882</v>
      </c>
      <c r="C684" s="342"/>
      <c r="D684" s="359">
        <f t="shared" ca="1" si="298"/>
        <v>-0.5488612027150368</v>
      </c>
      <c r="E684" s="360">
        <f t="shared" ca="1" si="299"/>
        <v>-5.9626369262835848</v>
      </c>
      <c r="F684" s="357">
        <f t="shared" ca="1" si="300"/>
        <v>5.987844999206839</v>
      </c>
      <c r="G684" s="359">
        <f t="shared" ca="1" si="301"/>
        <v>9.5302497571030003</v>
      </c>
      <c r="H684" s="360">
        <f t="shared" ca="1" si="302"/>
        <v>-66.8053585318725</v>
      </c>
      <c r="I684" s="357">
        <f t="shared" ca="1" si="303"/>
        <v>67.481712996965271</v>
      </c>
      <c r="J684" s="359">
        <f t="shared" ca="1" si="304"/>
        <v>187.70931447689617</v>
      </c>
      <c r="K684" s="360">
        <f t="shared" ca="1" si="305"/>
        <v>-6.3523437506162859</v>
      </c>
      <c r="L684" s="357">
        <f t="shared" ca="1" si="290"/>
        <v>187.81676978510811</v>
      </c>
      <c r="M684" s="359">
        <f t="shared" ca="1" si="306"/>
        <v>-1.4290954510588367</v>
      </c>
      <c r="N684" s="357">
        <f t="shared" ca="1" si="307"/>
        <v>-81.881137867016037</v>
      </c>
      <c r="O684" s="343"/>
      <c r="P684" s="363">
        <f t="shared" ca="1" si="308"/>
        <v>23</v>
      </c>
      <c r="Q684" s="357">
        <f t="shared" ca="1" si="309"/>
        <v>0</v>
      </c>
      <c r="R684" s="359">
        <f t="shared" ca="1" si="310"/>
        <v>0</v>
      </c>
      <c r="S684" s="360">
        <f t="shared" ca="1" si="311"/>
        <v>1.5629999999999982</v>
      </c>
      <c r="T684" s="357">
        <f t="shared" ca="1" si="291"/>
        <v>15.333029999999983</v>
      </c>
      <c r="U684" s="364">
        <f t="shared" ca="1" si="292"/>
        <v>0</v>
      </c>
      <c r="V684" s="359">
        <f t="shared" ca="1" si="293"/>
        <v>1.2257784093456376</v>
      </c>
      <c r="W684" s="357">
        <f t="shared" ca="1" si="294"/>
        <v>6.0744206772886207</v>
      </c>
      <c r="X684" s="343"/>
      <c r="Y684" s="367" t="str">
        <f t="shared" ca="1" si="312"/>
        <v/>
      </c>
      <c r="Z684" s="368" t="str">
        <f t="shared" ca="1" si="313"/>
        <v/>
      </c>
      <c r="AA684" s="369" t="str">
        <f t="shared" ca="1" si="314"/>
        <v/>
      </c>
      <c r="AB684" s="344"/>
      <c r="AC684" s="363" t="e">
        <f t="shared" ca="1" si="315"/>
        <v>#N/A</v>
      </c>
      <c r="AD684" s="376" t="e">
        <f t="shared" ca="1" si="316"/>
        <v>#N/A</v>
      </c>
      <c r="AE684" s="377" t="e">
        <f t="shared" ca="1" si="295"/>
        <v>#N/A</v>
      </c>
      <c r="AF684" s="344"/>
      <c r="AG684" s="359">
        <f t="shared" ca="1" si="317"/>
        <v>5.8253577733118753</v>
      </c>
      <c r="AH684" s="357">
        <f t="shared" ca="1" si="318"/>
        <v>-3.8863158956577917</v>
      </c>
    </row>
    <row r="685" spans="1:34" x14ac:dyDescent="0.2">
      <c r="A685" s="402">
        <f t="shared" ca="1" si="296"/>
        <v>1E-4</v>
      </c>
      <c r="B685" s="357">
        <f t="shared" ca="1" si="297"/>
        <v>15.634499999999882</v>
      </c>
      <c r="C685" s="342"/>
      <c r="D685" s="359">
        <f t="shared" ca="1" si="298"/>
        <v>-0.54886314648673928</v>
      </c>
      <c r="E685" s="360">
        <f t="shared" ca="1" si="299"/>
        <v>-5.9625668035457382</v>
      </c>
      <c r="F685" s="357">
        <f t="shared" ca="1" si="300"/>
        <v>5.9877753498538135</v>
      </c>
      <c r="G685" s="359">
        <f t="shared" ca="1" si="301"/>
        <v>9.5301948707883515</v>
      </c>
      <c r="H685" s="360">
        <f t="shared" ca="1" si="302"/>
        <v>-66.805954788552853</v>
      </c>
      <c r="I685" s="357">
        <f t="shared" ca="1" si="303"/>
        <v>67.48229552619982</v>
      </c>
      <c r="J685" s="359">
        <f t="shared" ca="1" si="304"/>
        <v>187.70931447689617</v>
      </c>
      <c r="K685" s="360">
        <f t="shared" ca="1" si="305"/>
        <v>-6.3590243162823068</v>
      </c>
      <c r="L685" s="357">
        <f t="shared" ca="1" si="290"/>
        <v>187.816995854053</v>
      </c>
      <c r="M685" s="359">
        <f t="shared" ca="1" si="306"/>
        <v>-1.429097504098519</v>
      </c>
      <c r="N685" s="357">
        <f t="shared" ca="1" si="307"/>
        <v>-81.881255497525004</v>
      </c>
      <c r="O685" s="343"/>
      <c r="P685" s="363">
        <f t="shared" ca="1" si="308"/>
        <v>23</v>
      </c>
      <c r="Q685" s="357">
        <f t="shared" ca="1" si="309"/>
        <v>0</v>
      </c>
      <c r="R685" s="359">
        <f t="shared" ca="1" si="310"/>
        <v>0</v>
      </c>
      <c r="S685" s="360">
        <f t="shared" ca="1" si="311"/>
        <v>1.5629999999999982</v>
      </c>
      <c r="T685" s="357">
        <f t="shared" ca="1" si="291"/>
        <v>15.333029999999983</v>
      </c>
      <c r="U685" s="364">
        <f t="shared" ca="1" si="292"/>
        <v>0</v>
      </c>
      <c r="V685" s="359">
        <f t="shared" ca="1" si="293"/>
        <v>1.2257792282353095</v>
      </c>
      <c r="W685" s="357">
        <f t="shared" ca="1" si="294"/>
        <v>6.0745296095449888</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5.825290923339546</v>
      </c>
      <c r="AH685" s="357">
        <f t="shared" ca="1" si="318"/>
        <v>-3.8863855900758977</v>
      </c>
    </row>
    <row r="686" spans="1:34" x14ac:dyDescent="0.2">
      <c r="A686" s="402">
        <f t="shared" ca="1" si="296"/>
        <v>1E-4</v>
      </c>
      <c r="B686" s="357">
        <f t="shared" ca="1" si="297"/>
        <v>15.634599999999882</v>
      </c>
      <c r="C686" s="342"/>
      <c r="D686" s="359">
        <f t="shared" ca="1" si="298"/>
        <v>-0.54886509014392515</v>
      </c>
      <c r="E686" s="360">
        <f t="shared" ca="1" si="299"/>
        <v>-5.9624966808850939</v>
      </c>
      <c r="F686" s="357">
        <f t="shared" ca="1" si="300"/>
        <v>5.9877057005788501</v>
      </c>
      <c r="G686" s="359">
        <f t="shared" ca="1" si="301"/>
        <v>9.5301399842793373</v>
      </c>
      <c r="H686" s="360">
        <f t="shared" ca="1" si="302"/>
        <v>-66.806551038220945</v>
      </c>
      <c r="I686" s="357">
        <f t="shared" ca="1" si="303"/>
        <v>67.48287804874937</v>
      </c>
      <c r="J686" s="359">
        <f t="shared" ca="1" si="304"/>
        <v>187.70931447689617</v>
      </c>
      <c r="K686" s="360">
        <f t="shared" ca="1" si="305"/>
        <v>-6.3657049415736457</v>
      </c>
      <c r="L686" s="357">
        <f t="shared" ca="1" si="290"/>
        <v>187.81722216237114</v>
      </c>
      <c r="M686" s="359">
        <f t="shared" ca="1" si="306"/>
        <v>-1.4290995570909333</v>
      </c>
      <c r="N686" s="357">
        <f t="shared" ca="1" si="307"/>
        <v>-81.881373125325723</v>
      </c>
      <c r="O686" s="343"/>
      <c r="P686" s="363">
        <f t="shared" ca="1" si="308"/>
        <v>23</v>
      </c>
      <c r="Q686" s="357">
        <f t="shared" ca="1" si="309"/>
        <v>0</v>
      </c>
      <c r="R686" s="359">
        <f t="shared" ca="1" si="310"/>
        <v>0</v>
      </c>
      <c r="S686" s="360">
        <f t="shared" ca="1" si="311"/>
        <v>1.5629999999999982</v>
      </c>
      <c r="T686" s="357">
        <f t="shared" ca="1" si="291"/>
        <v>15.333029999999983</v>
      </c>
      <c r="U686" s="364">
        <f t="shared" ca="1" si="292"/>
        <v>0</v>
      </c>
      <c r="V686" s="359">
        <f t="shared" ca="1" si="293"/>
        <v>1.2257800471328373</v>
      </c>
      <c r="W686" s="357">
        <f t="shared" ca="1" si="294"/>
        <v>6.0746385416821891</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5.8252240733370115</v>
      </c>
      <c r="AH686" s="357">
        <f t="shared" ca="1" si="318"/>
        <v>-3.8864552844177838</v>
      </c>
    </row>
    <row r="687" spans="1:34" x14ac:dyDescent="0.2">
      <c r="A687" s="402">
        <f t="shared" ca="1" si="296"/>
        <v>1E-4</v>
      </c>
      <c r="B687" s="357">
        <f t="shared" ca="1" si="297"/>
        <v>15.634699999999881</v>
      </c>
      <c r="C687" s="342"/>
      <c r="D687" s="359">
        <f t="shared" ca="1" si="298"/>
        <v>-0.54886703368659506</v>
      </c>
      <c r="E687" s="360">
        <f t="shared" ca="1" si="299"/>
        <v>-5.9624265583016758</v>
      </c>
      <c r="F687" s="357">
        <f t="shared" ca="1" si="300"/>
        <v>5.9876360513819717</v>
      </c>
      <c r="G687" s="359">
        <f t="shared" ca="1" si="301"/>
        <v>9.5300850975759683</v>
      </c>
      <c r="H687" s="360">
        <f t="shared" ca="1" si="302"/>
        <v>-66.807147280876777</v>
      </c>
      <c r="I687" s="357">
        <f t="shared" ca="1" si="303"/>
        <v>67.483460564613907</v>
      </c>
      <c r="J687" s="359">
        <f t="shared" ca="1" si="304"/>
        <v>187.70931447689617</v>
      </c>
      <c r="K687" s="360">
        <f t="shared" ca="1" si="305"/>
        <v>-6.3723856264896011</v>
      </c>
      <c r="L687" s="357">
        <f t="shared" ca="1" si="290"/>
        <v>187.81744871006791</v>
      </c>
      <c r="M687" s="359">
        <f t="shared" ca="1" si="306"/>
        <v>-1.4291016100360809</v>
      </c>
      <c r="N687" s="357">
        <f t="shared" ca="1" si="307"/>
        <v>-81.881490750418251</v>
      </c>
      <c r="O687" s="343"/>
      <c r="P687" s="363">
        <f t="shared" ca="1" si="308"/>
        <v>23</v>
      </c>
      <c r="Q687" s="357">
        <f t="shared" ca="1" si="309"/>
        <v>0</v>
      </c>
      <c r="R687" s="359">
        <f t="shared" ca="1" si="310"/>
        <v>0</v>
      </c>
      <c r="S687" s="360">
        <f t="shared" ca="1" si="311"/>
        <v>1.5629999999999982</v>
      </c>
      <c r="T687" s="357">
        <f t="shared" ca="1" si="291"/>
        <v>15.333029999999983</v>
      </c>
      <c r="U687" s="364">
        <f t="shared" ca="1" si="292"/>
        <v>0</v>
      </c>
      <c r="V687" s="359">
        <f t="shared" ca="1" si="293"/>
        <v>1.2257808660382208</v>
      </c>
      <c r="W687" s="357">
        <f t="shared" ca="1" si="294"/>
        <v>6.0747474737001941</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5.8251572233042985</v>
      </c>
      <c r="AH687" s="357">
        <f t="shared" ca="1" si="318"/>
        <v>-3.8865249786834268</v>
      </c>
    </row>
    <row r="688" spans="1:34" x14ac:dyDescent="0.2">
      <c r="A688" s="402">
        <f t="shared" ca="1" si="296"/>
        <v>1E-4</v>
      </c>
      <c r="B688" s="357">
        <f t="shared" ca="1" si="297"/>
        <v>15.634799999999881</v>
      </c>
      <c r="C688" s="342"/>
      <c r="D688" s="359">
        <f t="shared" ca="1" si="298"/>
        <v>-0.54886897711475158</v>
      </c>
      <c r="E688" s="360">
        <f t="shared" ca="1" si="299"/>
        <v>-5.9623564357955008</v>
      </c>
      <c r="F688" s="357">
        <f t="shared" ca="1" si="300"/>
        <v>5.9875664022631954</v>
      </c>
      <c r="G688" s="359">
        <f t="shared" ca="1" si="301"/>
        <v>9.5300302106782571</v>
      </c>
      <c r="H688" s="360">
        <f t="shared" ca="1" si="302"/>
        <v>-66.807743516520361</v>
      </c>
      <c r="I688" s="357">
        <f t="shared" ca="1" si="303"/>
        <v>67.484043073793444</v>
      </c>
      <c r="J688" s="359">
        <f t="shared" ca="1" si="304"/>
        <v>187.70931447689617</v>
      </c>
      <c r="K688" s="360">
        <f t="shared" ca="1" si="305"/>
        <v>-6.379066371029471</v>
      </c>
      <c r="L688" s="357">
        <f t="shared" ca="1" si="290"/>
        <v>187.81767549714883</v>
      </c>
      <c r="M688" s="359">
        <f t="shared" ca="1" si="306"/>
        <v>-1.429103662933964</v>
      </c>
      <c r="N688" s="357">
        <f t="shared" ca="1" si="307"/>
        <v>-81.881608372802717</v>
      </c>
      <c r="O688" s="343"/>
      <c r="P688" s="363">
        <f t="shared" ca="1" si="308"/>
        <v>23</v>
      </c>
      <c r="Q688" s="357">
        <f t="shared" ca="1" si="309"/>
        <v>0</v>
      </c>
      <c r="R688" s="359">
        <f t="shared" ca="1" si="310"/>
        <v>0</v>
      </c>
      <c r="S688" s="360">
        <f t="shared" ca="1" si="311"/>
        <v>1.5629999999999982</v>
      </c>
      <c r="T688" s="357">
        <f t="shared" ca="1" si="291"/>
        <v>15.333029999999983</v>
      </c>
      <c r="U688" s="364">
        <f t="shared" ca="1" si="292"/>
        <v>0</v>
      </c>
      <c r="V688" s="359">
        <f t="shared" ca="1" si="293"/>
        <v>1.2257816849514604</v>
      </c>
      <c r="W688" s="357">
        <f t="shared" ca="1" si="294"/>
        <v>6.0748564055989736</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5.8250903732414345</v>
      </c>
      <c r="AH688" s="357">
        <f t="shared" ca="1" si="318"/>
        <v>-3.8865946728728096</v>
      </c>
    </row>
    <row r="689" spans="1:34" x14ac:dyDescent="0.2">
      <c r="A689" s="402">
        <f t="shared" ca="1" si="296"/>
        <v>1E-4</v>
      </c>
      <c r="B689" s="357">
        <f t="shared" ca="1" si="297"/>
        <v>15.634899999999881</v>
      </c>
      <c r="C689" s="342"/>
      <c r="D689" s="359">
        <f t="shared" ca="1" si="298"/>
        <v>-0.54887092042839458</v>
      </c>
      <c r="E689" s="360">
        <f t="shared" ca="1" si="299"/>
        <v>-5.9622863133665884</v>
      </c>
      <c r="F689" s="357">
        <f t="shared" ca="1" si="300"/>
        <v>5.9874967532225405</v>
      </c>
      <c r="G689" s="359">
        <f t="shared" ca="1" si="301"/>
        <v>9.5299753235862141</v>
      </c>
      <c r="H689" s="360">
        <f t="shared" ca="1" si="302"/>
        <v>-66.808339745151699</v>
      </c>
      <c r="I689" s="357">
        <f t="shared" ca="1" si="303"/>
        <v>67.484625576287954</v>
      </c>
      <c r="J689" s="359">
        <f t="shared" ca="1" si="304"/>
        <v>187.70931447689617</v>
      </c>
      <c r="K689" s="360">
        <f t="shared" ca="1" si="305"/>
        <v>-6.385747175192555</v>
      </c>
      <c r="L689" s="357">
        <f t="shared" ca="1" si="290"/>
        <v>187.81790252361935</v>
      </c>
      <c r="M689" s="359">
        <f t="shared" ca="1" si="306"/>
        <v>-1.4291057157845839</v>
      </c>
      <c r="N689" s="357">
        <f t="shared" ca="1" si="307"/>
        <v>-81.881725992479204</v>
      </c>
      <c r="O689" s="343"/>
      <c r="P689" s="363">
        <f t="shared" ca="1" si="308"/>
        <v>23</v>
      </c>
      <c r="Q689" s="357">
        <f t="shared" ca="1" si="309"/>
        <v>0</v>
      </c>
      <c r="R689" s="359">
        <f t="shared" ca="1" si="310"/>
        <v>0</v>
      </c>
      <c r="S689" s="360">
        <f t="shared" ca="1" si="311"/>
        <v>1.5629999999999982</v>
      </c>
      <c r="T689" s="357">
        <f t="shared" ca="1" si="291"/>
        <v>15.333029999999983</v>
      </c>
      <c r="U689" s="364">
        <f t="shared" ca="1" si="292"/>
        <v>0</v>
      </c>
      <c r="V689" s="359">
        <f t="shared" ca="1" si="293"/>
        <v>1.2257825038725556</v>
      </c>
      <c r="W689" s="357">
        <f t="shared" ca="1" si="294"/>
        <v>6.074965337378492</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5.82502352314844</v>
      </c>
      <c r="AH689" s="357">
        <f t="shared" ca="1" si="318"/>
        <v>-3.886664366985912</v>
      </c>
    </row>
    <row r="690" spans="1:34" x14ac:dyDescent="0.2">
      <c r="A690" s="402">
        <f t="shared" ca="1" si="296"/>
        <v>1E-4</v>
      </c>
      <c r="B690" s="357">
        <f t="shared" ca="1" si="297"/>
        <v>15.634999999999881</v>
      </c>
      <c r="C690" s="342"/>
      <c r="D690" s="359">
        <f t="shared" ca="1" si="298"/>
        <v>-0.5488728636275253</v>
      </c>
      <c r="E690" s="360">
        <f t="shared" ca="1" si="299"/>
        <v>-5.96221619101496</v>
      </c>
      <c r="F690" s="357">
        <f t="shared" ca="1" si="300"/>
        <v>5.9874271042600276</v>
      </c>
      <c r="G690" s="359">
        <f t="shared" ca="1" si="301"/>
        <v>9.529920436299852</v>
      </c>
      <c r="H690" s="360">
        <f t="shared" ca="1" si="302"/>
        <v>-66.808935966770804</v>
      </c>
      <c r="I690" s="357">
        <f t="shared" ca="1" si="303"/>
        <v>67.48520807209745</v>
      </c>
      <c r="J690" s="359">
        <f t="shared" ca="1" si="304"/>
        <v>187.70931447689617</v>
      </c>
      <c r="K690" s="360">
        <f t="shared" ca="1" si="305"/>
        <v>-6.3924280389781512</v>
      </c>
      <c r="L690" s="357">
        <f t="shared" ca="1" si="290"/>
        <v>187.81812978948494</v>
      </c>
      <c r="M690" s="359">
        <f t="shared" ca="1" si="306"/>
        <v>-1.4291077685879425</v>
      </c>
      <c r="N690" s="357">
        <f t="shared" ca="1" si="307"/>
        <v>-81.881843609447827</v>
      </c>
      <c r="O690" s="343"/>
      <c r="P690" s="363">
        <f t="shared" ca="1" si="308"/>
        <v>23</v>
      </c>
      <c r="Q690" s="357">
        <f t="shared" ca="1" si="309"/>
        <v>0</v>
      </c>
      <c r="R690" s="359">
        <f t="shared" ca="1" si="310"/>
        <v>0</v>
      </c>
      <c r="S690" s="360">
        <f t="shared" ca="1" si="311"/>
        <v>1.5629999999999982</v>
      </c>
      <c r="T690" s="357">
        <f t="shared" ca="1" si="291"/>
        <v>15.333029999999983</v>
      </c>
      <c r="U690" s="364">
        <f t="shared" ca="1" si="292"/>
        <v>0</v>
      </c>
      <c r="V690" s="359">
        <f t="shared" ca="1" si="293"/>
        <v>1.2257833228015067</v>
      </c>
      <c r="W690" s="357">
        <f t="shared" ca="1" si="294"/>
        <v>6.0750742690387236</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5.8249566730253441</v>
      </c>
      <c r="AH690" s="357">
        <f t="shared" ca="1" si="318"/>
        <v>-3.8867340610227123</v>
      </c>
    </row>
    <row r="691" spans="1:34" x14ac:dyDescent="0.2">
      <c r="A691" s="402">
        <f t="shared" ca="1" si="296"/>
        <v>1E-4</v>
      </c>
      <c r="B691" s="357">
        <f t="shared" ca="1" si="297"/>
        <v>15.635099999999881</v>
      </c>
      <c r="C691" s="342"/>
      <c r="D691" s="359">
        <f t="shared" ca="1" si="298"/>
        <v>-0.54887480671214461</v>
      </c>
      <c r="E691" s="360">
        <f t="shared" ca="1" si="299"/>
        <v>-5.9621460687406351</v>
      </c>
      <c r="F691" s="357">
        <f t="shared" ca="1" si="300"/>
        <v>5.987357455375677</v>
      </c>
      <c r="G691" s="359">
        <f t="shared" ca="1" si="301"/>
        <v>9.5298655488191812</v>
      </c>
      <c r="H691" s="360">
        <f t="shared" ca="1" si="302"/>
        <v>-66.809532181377676</v>
      </c>
      <c r="I691" s="357">
        <f t="shared" ca="1" si="303"/>
        <v>67.485790561221918</v>
      </c>
      <c r="J691" s="359">
        <f t="shared" ca="1" si="304"/>
        <v>187.70931447689617</v>
      </c>
      <c r="K691" s="360">
        <f t="shared" ca="1" si="305"/>
        <v>-6.3991089623855588</v>
      </c>
      <c r="L691" s="357">
        <f t="shared" ca="1" si="290"/>
        <v>187.81835729475111</v>
      </c>
      <c r="M691" s="359">
        <f t="shared" ca="1" si="306"/>
        <v>-1.4291098213440416</v>
      </c>
      <c r="N691" s="357">
        <f t="shared" ca="1" si="307"/>
        <v>-81.881961223708686</v>
      </c>
      <c r="O691" s="343"/>
      <c r="P691" s="363">
        <f t="shared" ca="1" si="308"/>
        <v>23</v>
      </c>
      <c r="Q691" s="357">
        <f t="shared" ca="1" si="309"/>
        <v>0</v>
      </c>
      <c r="R691" s="359">
        <f t="shared" ca="1" si="310"/>
        <v>0</v>
      </c>
      <c r="S691" s="360">
        <f t="shared" ca="1" si="311"/>
        <v>1.5629999999999982</v>
      </c>
      <c r="T691" s="357">
        <f t="shared" ca="1" si="291"/>
        <v>15.333029999999983</v>
      </c>
      <c r="U691" s="364">
        <f t="shared" ca="1" si="292"/>
        <v>0</v>
      </c>
      <c r="V691" s="359">
        <f t="shared" ca="1" si="293"/>
        <v>1.2257841417383135</v>
      </c>
      <c r="W691" s="357">
        <f t="shared" ca="1" si="294"/>
        <v>6.0751832005796347</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5.8248898228721675</v>
      </c>
      <c r="AH691" s="357">
        <f t="shared" ca="1" si="318"/>
        <v>-3.8868037549831929</v>
      </c>
    </row>
    <row r="692" spans="1:34" x14ac:dyDescent="0.2">
      <c r="A692" s="402">
        <f t="shared" ca="1" si="296"/>
        <v>1E-4</v>
      </c>
      <c r="B692" s="357">
        <f t="shared" ca="1" si="297"/>
        <v>15.63519999999988</v>
      </c>
      <c r="C692" s="342"/>
      <c r="D692" s="359">
        <f t="shared" ca="1" si="298"/>
        <v>-0.54887674968225331</v>
      </c>
      <c r="E692" s="360">
        <f t="shared" ca="1" si="299"/>
        <v>-5.9620759465436333</v>
      </c>
      <c r="F692" s="357">
        <f t="shared" ca="1" si="300"/>
        <v>5.9872878065695083</v>
      </c>
      <c r="G692" s="359">
        <f t="shared" ca="1" si="301"/>
        <v>9.5298106611442126</v>
      </c>
      <c r="H692" s="360">
        <f t="shared" ca="1" si="302"/>
        <v>-66.810128388972331</v>
      </c>
      <c r="I692" s="357">
        <f t="shared" ca="1" si="303"/>
        <v>67.486373043661374</v>
      </c>
      <c r="J692" s="359">
        <f t="shared" ca="1" si="304"/>
        <v>187.70931447689617</v>
      </c>
      <c r="K692" s="360">
        <f t="shared" ca="1" si="305"/>
        <v>-6.4057899454140763</v>
      </c>
      <c r="L692" s="357">
        <f t="shared" ca="1" si="290"/>
        <v>187.81858503942325</v>
      </c>
      <c r="M692" s="359">
        <f t="shared" ca="1" si="306"/>
        <v>-1.4291118740528825</v>
      </c>
      <c r="N692" s="357">
        <f t="shared" ca="1" si="307"/>
        <v>-81.882078835261837</v>
      </c>
      <c r="O692" s="343"/>
      <c r="P692" s="363">
        <f t="shared" ca="1" si="308"/>
        <v>23</v>
      </c>
      <c r="Q692" s="357">
        <f t="shared" ca="1" si="309"/>
        <v>0</v>
      </c>
      <c r="R692" s="359">
        <f t="shared" ca="1" si="310"/>
        <v>0</v>
      </c>
      <c r="S692" s="360">
        <f t="shared" ca="1" si="311"/>
        <v>1.5629999999999982</v>
      </c>
      <c r="T692" s="357">
        <f t="shared" ca="1" si="291"/>
        <v>15.333029999999983</v>
      </c>
      <c r="U692" s="364">
        <f t="shared" ca="1" si="292"/>
        <v>0</v>
      </c>
      <c r="V692" s="359">
        <f t="shared" ca="1" si="293"/>
        <v>1.2257849606829756</v>
      </c>
      <c r="W692" s="357">
        <f t="shared" ca="1" si="294"/>
        <v>6.0752921320011986</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5.8248229726889393</v>
      </c>
      <c r="AH692" s="357">
        <f t="shared" ca="1" si="318"/>
        <v>-3.8868734488673331</v>
      </c>
    </row>
    <row r="693" spans="1:34" x14ac:dyDescent="0.2">
      <c r="A693" s="402">
        <f t="shared" ca="1" si="296"/>
        <v>1E-4</v>
      </c>
      <c r="B693" s="357">
        <f t="shared" ca="1" si="297"/>
        <v>15.63529999999988</v>
      </c>
      <c r="C693" s="342"/>
      <c r="D693" s="359">
        <f t="shared" ca="1" si="298"/>
        <v>-0.54887869253785393</v>
      </c>
      <c r="E693" s="360">
        <f t="shared" ca="1" si="299"/>
        <v>-5.9620058244239722</v>
      </c>
      <c r="F693" s="357">
        <f t="shared" ca="1" si="300"/>
        <v>5.9872181578415393</v>
      </c>
      <c r="G693" s="359">
        <f t="shared" ca="1" si="301"/>
        <v>9.5297557732749585</v>
      </c>
      <c r="H693" s="360">
        <f t="shared" ca="1" si="302"/>
        <v>-66.810724589554766</v>
      </c>
      <c r="I693" s="357">
        <f t="shared" ca="1" si="303"/>
        <v>67.486955519415787</v>
      </c>
      <c r="J693" s="359">
        <f t="shared" ca="1" si="304"/>
        <v>187.70931447689617</v>
      </c>
      <c r="K693" s="360">
        <f t="shared" ca="1" si="305"/>
        <v>-6.4124709880630029</v>
      </c>
      <c r="L693" s="357">
        <f t="shared" ca="1" si="290"/>
        <v>187.81881302350689</v>
      </c>
      <c r="M693" s="359">
        <f t="shared" ca="1" si="306"/>
        <v>-1.4291139267144672</v>
      </c>
      <c r="N693" s="357">
        <f t="shared" ca="1" si="307"/>
        <v>-81.882196444107407</v>
      </c>
      <c r="O693" s="343"/>
      <c r="P693" s="363">
        <f t="shared" ca="1" si="308"/>
        <v>23</v>
      </c>
      <c r="Q693" s="357">
        <f t="shared" ca="1" si="309"/>
        <v>0</v>
      </c>
      <c r="R693" s="359">
        <f t="shared" ca="1" si="310"/>
        <v>0</v>
      </c>
      <c r="S693" s="360">
        <f t="shared" ca="1" si="311"/>
        <v>1.5629999999999982</v>
      </c>
      <c r="T693" s="357">
        <f t="shared" ca="1" si="291"/>
        <v>15.333029999999983</v>
      </c>
      <c r="U693" s="364">
        <f t="shared" ca="1" si="292"/>
        <v>0</v>
      </c>
      <c r="V693" s="359">
        <f t="shared" ca="1" si="293"/>
        <v>1.2257857796354936</v>
      </c>
      <c r="W693" s="357">
        <f t="shared" ca="1" si="294"/>
        <v>6.0754010633033788</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5.8247561224756792</v>
      </c>
      <c r="AH693" s="357">
        <f t="shared" ca="1" si="318"/>
        <v>-3.8869431426751158</v>
      </c>
    </row>
    <row r="694" spans="1:34" x14ac:dyDescent="0.2">
      <c r="A694" s="402">
        <f t="shared" ca="1" si="296"/>
        <v>1E-4</v>
      </c>
      <c r="B694" s="357">
        <f t="shared" ca="1" si="297"/>
        <v>15.63539999999988</v>
      </c>
      <c r="C694" s="342"/>
      <c r="D694" s="359">
        <f t="shared" ca="1" si="298"/>
        <v>-0.54888063527894582</v>
      </c>
      <c r="E694" s="360">
        <f t="shared" ca="1" si="299"/>
        <v>-5.961935702381675</v>
      </c>
      <c r="F694" s="357">
        <f t="shared" ca="1" si="300"/>
        <v>5.9871485091917922</v>
      </c>
      <c r="G694" s="359">
        <f t="shared" ca="1" si="301"/>
        <v>9.5297008852114313</v>
      </c>
      <c r="H694" s="360">
        <f t="shared" ca="1" si="302"/>
        <v>-66.811320783124998</v>
      </c>
      <c r="I694" s="357">
        <f t="shared" ca="1" si="303"/>
        <v>67.487537988485187</v>
      </c>
      <c r="J694" s="359">
        <f t="shared" ca="1" si="304"/>
        <v>187.70931447689617</v>
      </c>
      <c r="K694" s="360">
        <f t="shared" ca="1" si="305"/>
        <v>-6.4191520903316368</v>
      </c>
      <c r="L694" s="357">
        <f t="shared" ca="1" si="290"/>
        <v>187.8190412470075</v>
      </c>
      <c r="M694" s="359">
        <f t="shared" ca="1" si="306"/>
        <v>-1.4291159793287975</v>
      </c>
      <c r="N694" s="357">
        <f t="shared" ca="1" si="307"/>
        <v>-81.882314050245498</v>
      </c>
      <c r="O694" s="343"/>
      <c r="P694" s="363">
        <f t="shared" ca="1" si="308"/>
        <v>23</v>
      </c>
      <c r="Q694" s="357">
        <f t="shared" ca="1" si="309"/>
        <v>0</v>
      </c>
      <c r="R694" s="359">
        <f t="shared" ca="1" si="310"/>
        <v>0</v>
      </c>
      <c r="S694" s="360">
        <f t="shared" ca="1" si="311"/>
        <v>1.5629999999999982</v>
      </c>
      <c r="T694" s="357">
        <f t="shared" ca="1" si="291"/>
        <v>15.333029999999983</v>
      </c>
      <c r="U694" s="364">
        <f t="shared" ca="1" si="292"/>
        <v>0</v>
      </c>
      <c r="V694" s="359">
        <f t="shared" ca="1" si="293"/>
        <v>1.2257865985958669</v>
      </c>
      <c r="W694" s="357">
        <f t="shared" ca="1" si="294"/>
        <v>6.0755099944861533</v>
      </c>
      <c r="X694" s="343"/>
      <c r="Y694" s="367" t="str">
        <f t="shared" ca="1" si="312"/>
        <v/>
      </c>
      <c r="Z694" s="368" t="str">
        <f t="shared" ca="1" si="313"/>
        <v/>
      </c>
      <c r="AA694" s="369" t="str">
        <f t="shared" ca="1" si="314"/>
        <v/>
      </c>
      <c r="AB694" s="344"/>
      <c r="AC694" s="363" t="e">
        <f t="shared" ca="1" si="315"/>
        <v>#N/A</v>
      </c>
      <c r="AD694" s="376" t="e">
        <f t="shared" ca="1" si="316"/>
        <v>#N/A</v>
      </c>
      <c r="AE694" s="377" t="e">
        <f t="shared" ca="1" si="295"/>
        <v>#N/A</v>
      </c>
      <c r="AF694" s="344"/>
      <c r="AG694" s="359">
        <f t="shared" ca="1" si="317"/>
        <v>5.8246892722324182</v>
      </c>
      <c r="AH694" s="357">
        <f t="shared" ca="1" si="318"/>
        <v>-3.8870128364065168</v>
      </c>
    </row>
    <row r="695" spans="1:34" x14ac:dyDescent="0.2">
      <c r="A695" s="402">
        <f t="shared" ca="1" si="296"/>
        <v>1E-4</v>
      </c>
      <c r="B695" s="357">
        <f t="shared" ca="1" si="297"/>
        <v>15.63549999999988</v>
      </c>
      <c r="C695" s="342"/>
      <c r="D695" s="359">
        <f t="shared" ca="1" si="298"/>
        <v>-0.54888257790553063</v>
      </c>
      <c r="E695" s="360">
        <f t="shared" ca="1" si="299"/>
        <v>-5.961865580416756</v>
      </c>
      <c r="F695" s="357">
        <f t="shared" ca="1" si="300"/>
        <v>5.9870788606202803</v>
      </c>
      <c r="G695" s="359">
        <f t="shared" ca="1" si="301"/>
        <v>9.52964599695364</v>
      </c>
      <c r="H695" s="360">
        <f t="shared" ca="1" si="302"/>
        <v>-66.81191696968304</v>
      </c>
      <c r="I695" s="357">
        <f t="shared" ca="1" si="303"/>
        <v>67.488120450869545</v>
      </c>
      <c r="J695" s="359">
        <f t="shared" ca="1" si="304"/>
        <v>187.70931447689617</v>
      </c>
      <c r="K695" s="360">
        <f t="shared" ca="1" si="305"/>
        <v>-6.4258332522192774</v>
      </c>
      <c r="L695" s="357">
        <f t="shared" ca="1" si="290"/>
        <v>187.81926970993052</v>
      </c>
      <c r="M695" s="359">
        <f t="shared" ca="1" si="306"/>
        <v>-1.4291180318958747</v>
      </c>
      <c r="N695" s="357">
        <f t="shared" ca="1" si="307"/>
        <v>-81.882431653676193</v>
      </c>
      <c r="O695" s="343"/>
      <c r="P695" s="363">
        <f t="shared" ca="1" si="308"/>
        <v>23</v>
      </c>
      <c r="Q695" s="357">
        <f t="shared" ca="1" si="309"/>
        <v>0</v>
      </c>
      <c r="R695" s="359">
        <f t="shared" ca="1" si="310"/>
        <v>0</v>
      </c>
      <c r="S695" s="360">
        <f t="shared" ca="1" si="311"/>
        <v>1.5629999999999982</v>
      </c>
      <c r="T695" s="357">
        <f t="shared" ca="1" si="291"/>
        <v>15.333029999999983</v>
      </c>
      <c r="U695" s="364">
        <f t="shared" ca="1" si="292"/>
        <v>0</v>
      </c>
      <c r="V695" s="359">
        <f t="shared" ca="1" si="293"/>
        <v>1.2257874175640953</v>
      </c>
      <c r="W695" s="357">
        <f t="shared" ca="1" si="294"/>
        <v>6.075618925549481</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5.8246224219591713</v>
      </c>
      <c r="AH695" s="357">
        <f t="shared" ca="1" si="318"/>
        <v>-3.887082530061523</v>
      </c>
    </row>
    <row r="696" spans="1:34" x14ac:dyDescent="0.2">
      <c r="A696" s="402">
        <f t="shared" ca="1" si="296"/>
        <v>1E-4</v>
      </c>
      <c r="B696" s="357">
        <f t="shared" ca="1" si="297"/>
        <v>15.635599999999879</v>
      </c>
      <c r="C696" s="342"/>
      <c r="D696" s="359">
        <f t="shared" ca="1" si="298"/>
        <v>-0.54888452041760982</v>
      </c>
      <c r="E696" s="360">
        <f t="shared" ca="1" si="299"/>
        <v>-5.9617954585292425</v>
      </c>
      <c r="F696" s="357">
        <f t="shared" ca="1" si="300"/>
        <v>5.9870092121270337</v>
      </c>
      <c r="G696" s="359">
        <f t="shared" ca="1" si="301"/>
        <v>9.5295911085015987</v>
      </c>
      <c r="H696" s="360">
        <f t="shared" ca="1" si="302"/>
        <v>-66.812513149228892</v>
      </c>
      <c r="I696" s="357">
        <f t="shared" ca="1" si="303"/>
        <v>67.488702906568861</v>
      </c>
      <c r="J696" s="359">
        <f t="shared" ca="1" si="304"/>
        <v>187.70931447689617</v>
      </c>
      <c r="K696" s="360">
        <f t="shared" ca="1" si="305"/>
        <v>-6.4325144737252229</v>
      </c>
      <c r="L696" s="357">
        <f t="shared" ca="1" si="290"/>
        <v>187.81949841228143</v>
      </c>
      <c r="M696" s="359">
        <f t="shared" ca="1" si="306"/>
        <v>-1.4291200844157008</v>
      </c>
      <c r="N696" s="357">
        <f t="shared" ca="1" si="307"/>
        <v>-81.882549254399592</v>
      </c>
      <c r="O696" s="343"/>
      <c r="P696" s="363">
        <f t="shared" ca="1" si="308"/>
        <v>23</v>
      </c>
      <c r="Q696" s="357">
        <f t="shared" ca="1" si="309"/>
        <v>0</v>
      </c>
      <c r="R696" s="359">
        <f t="shared" ca="1" si="310"/>
        <v>0</v>
      </c>
      <c r="S696" s="360">
        <f t="shared" ca="1" si="311"/>
        <v>1.5629999999999982</v>
      </c>
      <c r="T696" s="357">
        <f t="shared" ca="1" si="291"/>
        <v>15.333029999999983</v>
      </c>
      <c r="U696" s="364">
        <f t="shared" ca="1" si="292"/>
        <v>0</v>
      </c>
      <c r="V696" s="359">
        <f t="shared" ca="1" si="293"/>
        <v>1.2257882365401793</v>
      </c>
      <c r="W696" s="357">
        <f t="shared" ca="1" si="294"/>
        <v>6.0757278564933372</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5.8245555716559743</v>
      </c>
      <c r="AH696" s="357">
        <f t="shared" ca="1" si="318"/>
        <v>-3.8871522236401077</v>
      </c>
    </row>
    <row r="697" spans="1:34" x14ac:dyDescent="0.2">
      <c r="A697" s="402">
        <f t="shared" ca="1" si="296"/>
        <v>1E-4</v>
      </c>
      <c r="B697" s="357">
        <f t="shared" ca="1" si="297"/>
        <v>15.635699999999879</v>
      </c>
      <c r="C697" s="342"/>
      <c r="D697" s="359">
        <f t="shared" ca="1" si="298"/>
        <v>-0.5488864628151835</v>
      </c>
      <c r="E697" s="360">
        <f t="shared" ca="1" si="299"/>
        <v>-5.9617253367191498</v>
      </c>
      <c r="F697" s="357">
        <f t="shared" ca="1" si="300"/>
        <v>5.9869395637120668</v>
      </c>
      <c r="G697" s="359">
        <f t="shared" ca="1" si="301"/>
        <v>9.5295362198553164</v>
      </c>
      <c r="H697" s="360">
        <f t="shared" ca="1" si="302"/>
        <v>-66.813109321762568</v>
      </c>
      <c r="I697" s="357">
        <f t="shared" ca="1" si="303"/>
        <v>67.489285355583149</v>
      </c>
      <c r="J697" s="359">
        <f t="shared" ca="1" si="304"/>
        <v>187.70931447689617</v>
      </c>
      <c r="K697" s="360">
        <f t="shared" ca="1" si="305"/>
        <v>-6.4391957548487726</v>
      </c>
      <c r="L697" s="357">
        <f t="shared" ca="1" si="290"/>
        <v>187.81972735406566</v>
      </c>
      <c r="M697" s="359">
        <f t="shared" ca="1" si="306"/>
        <v>-1.4291221368882774</v>
      </c>
      <c r="N697" s="357">
        <f t="shared" ca="1" si="307"/>
        <v>-81.882666852415795</v>
      </c>
      <c r="O697" s="343"/>
      <c r="P697" s="363">
        <f t="shared" ca="1" si="308"/>
        <v>23</v>
      </c>
      <c r="Q697" s="357">
        <f t="shared" ca="1" si="309"/>
        <v>0</v>
      </c>
      <c r="R697" s="359">
        <f t="shared" ca="1" si="310"/>
        <v>0</v>
      </c>
      <c r="S697" s="360">
        <f t="shared" ca="1" si="311"/>
        <v>1.5629999999999982</v>
      </c>
      <c r="T697" s="357">
        <f t="shared" ca="1" si="291"/>
        <v>15.333029999999983</v>
      </c>
      <c r="U697" s="364">
        <f t="shared" ca="1" si="292"/>
        <v>0</v>
      </c>
      <c r="V697" s="359">
        <f t="shared" ca="1" si="293"/>
        <v>1.2257890555241184</v>
      </c>
      <c r="W697" s="357">
        <f t="shared" ca="1" si="294"/>
        <v>6.0758367873176926</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5.8244887213228465</v>
      </c>
      <c r="AH697" s="357">
        <f t="shared" ca="1" si="318"/>
        <v>-3.8872219171422548</v>
      </c>
    </row>
    <row r="698" spans="1:34" x14ac:dyDescent="0.2">
      <c r="A698" s="402">
        <f t="shared" ca="1" si="296"/>
        <v>1E-4</v>
      </c>
      <c r="B698" s="357">
        <f t="shared" ca="1" si="297"/>
        <v>15.635799999999879</v>
      </c>
      <c r="C698" s="342"/>
      <c r="D698" s="359">
        <f t="shared" ca="1" si="298"/>
        <v>-0.54888840509825365</v>
      </c>
      <c r="E698" s="360">
        <f t="shared" ca="1" si="299"/>
        <v>-5.9616552149864965</v>
      </c>
      <c r="F698" s="357">
        <f t="shared" ca="1" si="300"/>
        <v>5.9868699153753955</v>
      </c>
      <c r="G698" s="359">
        <f t="shared" ca="1" si="301"/>
        <v>9.5294813310148072</v>
      </c>
      <c r="H698" s="360">
        <f t="shared" ca="1" si="302"/>
        <v>-66.813705487284068</v>
      </c>
      <c r="I698" s="357">
        <f t="shared" ca="1" si="303"/>
        <v>67.489867797912396</v>
      </c>
      <c r="J698" s="359">
        <f t="shared" ca="1" si="304"/>
        <v>187.70931447689617</v>
      </c>
      <c r="K698" s="360">
        <f t="shared" ca="1" si="305"/>
        <v>-6.4458770955892248</v>
      </c>
      <c r="L698" s="357">
        <f t="shared" ca="1" si="290"/>
        <v>187.81995653528872</v>
      </c>
      <c r="M698" s="359">
        <f t="shared" ca="1" si="306"/>
        <v>-1.4291241893136062</v>
      </c>
      <c r="N698" s="357">
        <f t="shared" ca="1" si="307"/>
        <v>-81.882784447724902</v>
      </c>
      <c r="O698" s="343"/>
      <c r="P698" s="363">
        <f t="shared" ca="1" si="308"/>
        <v>23</v>
      </c>
      <c r="Q698" s="357">
        <f t="shared" ca="1" si="309"/>
        <v>0</v>
      </c>
      <c r="R698" s="359">
        <f t="shared" ca="1" si="310"/>
        <v>0</v>
      </c>
      <c r="S698" s="360">
        <f t="shared" ca="1" si="311"/>
        <v>1.5629999999999982</v>
      </c>
      <c r="T698" s="357">
        <f t="shared" ca="1" si="291"/>
        <v>15.333029999999983</v>
      </c>
      <c r="U698" s="364">
        <f t="shared" ca="1" si="292"/>
        <v>0</v>
      </c>
      <c r="V698" s="359">
        <f t="shared" ca="1" si="293"/>
        <v>1.2257898745159124</v>
      </c>
      <c r="W698" s="357">
        <f t="shared" ca="1" si="294"/>
        <v>6.0759457180225116</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5.8244218709598137</v>
      </c>
      <c r="AH698" s="357">
        <f t="shared" ca="1" si="318"/>
        <v>-3.8872916105679463</v>
      </c>
    </row>
    <row r="699" spans="1:34" x14ac:dyDescent="0.2">
      <c r="A699" s="402">
        <f t="shared" ca="1" si="296"/>
        <v>1E-4</v>
      </c>
      <c r="B699" s="357">
        <f t="shared" ca="1" si="297"/>
        <v>15.635899999999879</v>
      </c>
      <c r="C699" s="342"/>
      <c r="D699" s="359">
        <f t="shared" ca="1" si="298"/>
        <v>-0.5488903472668204</v>
      </c>
      <c r="E699" s="360">
        <f t="shared" ca="1" si="299"/>
        <v>-5.9615850933313057</v>
      </c>
      <c r="F699" s="357">
        <f t="shared" ca="1" si="300"/>
        <v>5.9868002671170446</v>
      </c>
      <c r="G699" s="359">
        <f t="shared" ca="1" si="301"/>
        <v>9.52942644198008</v>
      </c>
      <c r="H699" s="360">
        <f t="shared" ca="1" si="302"/>
        <v>-66.814301645793407</v>
      </c>
      <c r="I699" s="357">
        <f t="shared" ca="1" si="303"/>
        <v>67.490450233556601</v>
      </c>
      <c r="J699" s="359">
        <f t="shared" ca="1" si="304"/>
        <v>187.70931447689617</v>
      </c>
      <c r="K699" s="360">
        <f t="shared" ca="1" si="305"/>
        <v>-6.4525584959458788</v>
      </c>
      <c r="L699" s="357">
        <f t="shared" ca="1" si="290"/>
        <v>187.82018595595605</v>
      </c>
      <c r="M699" s="359">
        <f t="shared" ca="1" si="306"/>
        <v>-1.4291262416916888</v>
      </c>
      <c r="N699" s="357">
        <f t="shared" ca="1" si="307"/>
        <v>-81.882902040326996</v>
      </c>
      <c r="O699" s="343"/>
      <c r="P699" s="363">
        <f t="shared" ca="1" si="308"/>
        <v>23</v>
      </c>
      <c r="Q699" s="357">
        <f t="shared" ca="1" si="309"/>
        <v>0</v>
      </c>
      <c r="R699" s="359">
        <f t="shared" ca="1" si="310"/>
        <v>0</v>
      </c>
      <c r="S699" s="360">
        <f t="shared" ca="1" si="311"/>
        <v>1.5629999999999982</v>
      </c>
      <c r="T699" s="357">
        <f t="shared" ca="1" si="291"/>
        <v>15.333029999999983</v>
      </c>
      <c r="U699" s="364">
        <f t="shared" ca="1" si="292"/>
        <v>0</v>
      </c>
      <c r="V699" s="359">
        <f t="shared" ca="1" si="293"/>
        <v>1.2257906935155614</v>
      </c>
      <c r="W699" s="357">
        <f t="shared" ca="1" si="294"/>
        <v>6.0760546486077693</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5.8243550205668999</v>
      </c>
      <c r="AH699" s="357">
        <f t="shared" ca="1" si="318"/>
        <v>-3.8873613039171584</v>
      </c>
    </row>
    <row r="700" spans="1:34" x14ac:dyDescent="0.2">
      <c r="A700" s="402">
        <f t="shared" ca="1" si="296"/>
        <v>1E-4</v>
      </c>
      <c r="B700" s="357">
        <f t="shared" ca="1" si="297"/>
        <v>15.635999999999878</v>
      </c>
      <c r="C700" s="342"/>
      <c r="D700" s="359">
        <f t="shared" ca="1" si="298"/>
        <v>-0.54889228932088585</v>
      </c>
      <c r="E700" s="360">
        <f t="shared" ca="1" si="299"/>
        <v>-5.9615149717535925</v>
      </c>
      <c r="F700" s="357">
        <f t="shared" ca="1" si="300"/>
        <v>5.9867306189370302</v>
      </c>
      <c r="G700" s="359">
        <f t="shared" ca="1" si="301"/>
        <v>9.5293715527511473</v>
      </c>
      <c r="H700" s="360">
        <f t="shared" ca="1" si="302"/>
        <v>-66.814897797290584</v>
      </c>
      <c r="I700" s="357">
        <f t="shared" ca="1" si="303"/>
        <v>67.491032662515764</v>
      </c>
      <c r="J700" s="359">
        <f t="shared" ca="1" si="304"/>
        <v>187.70931447689617</v>
      </c>
      <c r="K700" s="360">
        <f t="shared" ca="1" si="305"/>
        <v>-6.4592399559180329</v>
      </c>
      <c r="L700" s="357">
        <f t="shared" ca="1" si="290"/>
        <v>187.82041561607306</v>
      </c>
      <c r="M700" s="359">
        <f t="shared" ca="1" si="306"/>
        <v>-1.4291282940225269</v>
      </c>
      <c r="N700" s="357">
        <f t="shared" ca="1" si="307"/>
        <v>-81.883019630222194</v>
      </c>
      <c r="O700" s="343"/>
      <c r="P700" s="363">
        <f t="shared" ca="1" si="308"/>
        <v>23</v>
      </c>
      <c r="Q700" s="357">
        <f t="shared" ca="1" si="309"/>
        <v>0</v>
      </c>
      <c r="R700" s="359">
        <f t="shared" ca="1" si="310"/>
        <v>0</v>
      </c>
      <c r="S700" s="360">
        <f t="shared" ca="1" si="311"/>
        <v>1.5629999999999982</v>
      </c>
      <c r="T700" s="357">
        <f t="shared" ca="1" si="291"/>
        <v>15.333029999999983</v>
      </c>
      <c r="U700" s="364">
        <f t="shared" ca="1" si="292"/>
        <v>0</v>
      </c>
      <c r="V700" s="359">
        <f t="shared" ca="1" si="293"/>
        <v>1.2257915125230658</v>
      </c>
      <c r="W700" s="357">
        <f t="shared" ca="1" si="294"/>
        <v>6.0761635790734321</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5.8242881701441291</v>
      </c>
      <c r="AH700" s="357">
        <f t="shared" ca="1" si="318"/>
        <v>-3.8874309971898762</v>
      </c>
    </row>
    <row r="701" spans="1:34" x14ac:dyDescent="0.2">
      <c r="A701" s="402">
        <f t="shared" ca="1" si="296"/>
        <v>1E-4</v>
      </c>
      <c r="B701" s="357">
        <f t="shared" ca="1" si="297"/>
        <v>15.636099999999878</v>
      </c>
      <c r="C701" s="342"/>
      <c r="D701" s="359">
        <f t="shared" ca="1" si="298"/>
        <v>-0.54889423126045045</v>
      </c>
      <c r="E701" s="360">
        <f t="shared" ca="1" si="299"/>
        <v>-5.9614448502533808</v>
      </c>
      <c r="F701" s="357">
        <f t="shared" ca="1" si="300"/>
        <v>5.9866609708353744</v>
      </c>
      <c r="G701" s="359">
        <f t="shared" ca="1" si="301"/>
        <v>9.5293166633280215</v>
      </c>
      <c r="H701" s="360">
        <f t="shared" ca="1" si="302"/>
        <v>-66.815493941775614</v>
      </c>
      <c r="I701" s="357">
        <f t="shared" ca="1" si="303"/>
        <v>67.491615084789856</v>
      </c>
      <c r="J701" s="359">
        <f t="shared" ca="1" si="304"/>
        <v>187.70931447689617</v>
      </c>
      <c r="K701" s="360">
        <f t="shared" ca="1" si="305"/>
        <v>-6.4659214755049863</v>
      </c>
      <c r="L701" s="357">
        <f t="shared" ca="1" si="290"/>
        <v>187.82064551564531</v>
      </c>
      <c r="M701" s="359">
        <f t="shared" ca="1" si="306"/>
        <v>-1.4291303463061225</v>
      </c>
      <c r="N701" s="357">
        <f t="shared" ca="1" si="307"/>
        <v>-81.883137217410578</v>
      </c>
      <c r="O701" s="343"/>
      <c r="P701" s="363">
        <f t="shared" ca="1" si="308"/>
        <v>23</v>
      </c>
      <c r="Q701" s="357">
        <f t="shared" ca="1" si="309"/>
        <v>0</v>
      </c>
      <c r="R701" s="359">
        <f t="shared" ca="1" si="310"/>
        <v>0</v>
      </c>
      <c r="S701" s="360">
        <f t="shared" ca="1" si="311"/>
        <v>1.5629999999999982</v>
      </c>
      <c r="T701" s="357">
        <f t="shared" ca="1" si="291"/>
        <v>15.333029999999983</v>
      </c>
      <c r="U701" s="364">
        <f t="shared" ca="1" si="292"/>
        <v>0</v>
      </c>
      <c r="V701" s="359">
        <f t="shared" ca="1" si="293"/>
        <v>1.2257923315384249</v>
      </c>
      <c r="W701" s="357">
        <f t="shared" ca="1" si="294"/>
        <v>6.0762725094194669</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5.8242213196915253</v>
      </c>
      <c r="AH701" s="357">
        <f t="shared" ca="1" si="318"/>
        <v>-3.8875006903860774</v>
      </c>
    </row>
    <row r="702" spans="1:34" x14ac:dyDescent="0.2">
      <c r="A702" s="402">
        <f t="shared" ca="1" si="296"/>
        <v>1E-4</v>
      </c>
      <c r="B702" s="357">
        <f t="shared" ca="1" si="297"/>
        <v>15.636199999999878</v>
      </c>
      <c r="C702" s="342"/>
      <c r="D702" s="359">
        <f t="shared" ca="1" si="298"/>
        <v>-0.54889617308551475</v>
      </c>
      <c r="E702" s="360">
        <f t="shared" ca="1" si="299"/>
        <v>-5.9613747288306893</v>
      </c>
      <c r="F702" s="357">
        <f t="shared" ca="1" si="300"/>
        <v>5.9865913228120977</v>
      </c>
      <c r="G702" s="359">
        <f t="shared" ca="1" si="301"/>
        <v>9.5292617737107133</v>
      </c>
      <c r="H702" s="360">
        <f t="shared" ca="1" si="302"/>
        <v>-66.816090079248497</v>
      </c>
      <c r="I702" s="357">
        <f t="shared" ca="1" si="303"/>
        <v>67.492197500378907</v>
      </c>
      <c r="J702" s="359">
        <f t="shared" ca="1" si="304"/>
        <v>187.70931447689617</v>
      </c>
      <c r="K702" s="360">
        <f t="shared" ca="1" si="305"/>
        <v>-6.4726030547060374</v>
      </c>
      <c r="L702" s="357">
        <f t="shared" ca="1" si="290"/>
        <v>187.82087565467819</v>
      </c>
      <c r="M702" s="359">
        <f t="shared" ca="1" si="306"/>
        <v>-1.4291323985424766</v>
      </c>
      <c r="N702" s="357">
        <f t="shared" ca="1" si="307"/>
        <v>-81.883254801892235</v>
      </c>
      <c r="O702" s="343"/>
      <c r="P702" s="363">
        <f t="shared" ca="1" si="308"/>
        <v>23</v>
      </c>
      <c r="Q702" s="357">
        <f t="shared" ca="1" si="309"/>
        <v>0</v>
      </c>
      <c r="R702" s="359">
        <f t="shared" ca="1" si="310"/>
        <v>0</v>
      </c>
      <c r="S702" s="360">
        <f t="shared" ca="1" si="311"/>
        <v>1.5629999999999982</v>
      </c>
      <c r="T702" s="357">
        <f t="shared" ca="1" si="291"/>
        <v>15.333029999999983</v>
      </c>
      <c r="U702" s="364">
        <f t="shared" ca="1" si="292"/>
        <v>0</v>
      </c>
      <c r="V702" s="359">
        <f t="shared" ca="1" si="293"/>
        <v>1.2257931505616391</v>
      </c>
      <c r="W702" s="357">
        <f t="shared" ca="1" si="294"/>
        <v>6.0763814396458482</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5.8241544692091178</v>
      </c>
      <c r="AH702" s="357">
        <f t="shared" ca="1" si="318"/>
        <v>-3.8875703835057416</v>
      </c>
    </row>
    <row r="703" spans="1:34" x14ac:dyDescent="0.2">
      <c r="A703" s="402">
        <f t="shared" ca="1" si="296"/>
        <v>1E-4</v>
      </c>
      <c r="B703" s="357">
        <f t="shared" ca="1" si="297"/>
        <v>15.636299999999878</v>
      </c>
      <c r="C703" s="342"/>
      <c r="D703" s="359">
        <f t="shared" ca="1" si="298"/>
        <v>-0.54889811479608164</v>
      </c>
      <c r="E703" s="360">
        <f t="shared" ca="1" si="299"/>
        <v>-5.9613046074855358</v>
      </c>
      <c r="F703" s="357">
        <f t="shared" ca="1" si="300"/>
        <v>5.9865216748672152</v>
      </c>
      <c r="G703" s="359">
        <f t="shared" ca="1" si="301"/>
        <v>9.5292068838992332</v>
      </c>
      <c r="H703" s="360">
        <f t="shared" ca="1" si="302"/>
        <v>-66.816686209709246</v>
      </c>
      <c r="I703" s="357">
        <f t="shared" ca="1" si="303"/>
        <v>67.492779909282916</v>
      </c>
      <c r="J703" s="359">
        <f t="shared" ca="1" si="304"/>
        <v>187.70931447689617</v>
      </c>
      <c r="K703" s="360">
        <f t="shared" ca="1" si="305"/>
        <v>-6.4792846935204853</v>
      </c>
      <c r="L703" s="357">
        <f t="shared" ca="1" si="290"/>
        <v>187.82110603317719</v>
      </c>
      <c r="M703" s="359">
        <f t="shared" ca="1" si="306"/>
        <v>-1.4291344507315917</v>
      </c>
      <c r="N703" s="357">
        <f t="shared" ca="1" si="307"/>
        <v>-81.883372383667293</v>
      </c>
      <c r="O703" s="343"/>
      <c r="P703" s="363">
        <f t="shared" ca="1" si="308"/>
        <v>23</v>
      </c>
      <c r="Q703" s="357">
        <f t="shared" ca="1" si="309"/>
        <v>0</v>
      </c>
      <c r="R703" s="359">
        <f t="shared" ca="1" si="310"/>
        <v>0</v>
      </c>
      <c r="S703" s="360">
        <f t="shared" ca="1" si="311"/>
        <v>1.5629999999999982</v>
      </c>
      <c r="T703" s="357">
        <f t="shared" ca="1" si="291"/>
        <v>15.333029999999983</v>
      </c>
      <c r="U703" s="364">
        <f t="shared" ca="1" si="292"/>
        <v>0</v>
      </c>
      <c r="V703" s="359">
        <f t="shared" ca="1" si="293"/>
        <v>1.2257939695927078</v>
      </c>
      <c r="W703" s="357">
        <f t="shared" ca="1" si="294"/>
        <v>6.0764903697525448</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5.824087618696927</v>
      </c>
      <c r="AH703" s="357">
        <f t="shared" ca="1" si="318"/>
        <v>-3.8876400765488519</v>
      </c>
    </row>
    <row r="704" spans="1:34" x14ac:dyDescent="0.2">
      <c r="A704" s="402">
        <f t="shared" ca="1" si="296"/>
        <v>1E-4</v>
      </c>
      <c r="B704" s="357">
        <f t="shared" ca="1" si="297"/>
        <v>15.636399999999878</v>
      </c>
      <c r="C704" s="342"/>
      <c r="D704" s="359">
        <f t="shared" ca="1" si="298"/>
        <v>-0.54890005639214978</v>
      </c>
      <c r="E704" s="360">
        <f t="shared" ca="1" si="299"/>
        <v>-5.9612344862179398</v>
      </c>
      <c r="F704" s="357">
        <f t="shared" ca="1" si="300"/>
        <v>5.9864520270007482</v>
      </c>
      <c r="G704" s="359">
        <f t="shared" ca="1" si="301"/>
        <v>9.5291519938935938</v>
      </c>
      <c r="H704" s="360">
        <f t="shared" ca="1" si="302"/>
        <v>-66.817282333157863</v>
      </c>
      <c r="I704" s="357">
        <f t="shared" ca="1" si="303"/>
        <v>67.493362311501826</v>
      </c>
      <c r="J704" s="359">
        <f t="shared" ca="1" si="304"/>
        <v>187.70931447689617</v>
      </c>
      <c r="K704" s="360">
        <f t="shared" ca="1" si="305"/>
        <v>-6.4859663919476285</v>
      </c>
      <c r="L704" s="357">
        <f t="shared" ca="1" si="290"/>
        <v>187.82133665114773</v>
      </c>
      <c r="M704" s="359">
        <f t="shared" ca="1" si="306"/>
        <v>-1.4291365028734691</v>
      </c>
      <c r="N704" s="357">
        <f t="shared" ca="1" si="307"/>
        <v>-81.883489962735823</v>
      </c>
      <c r="O704" s="343"/>
      <c r="P704" s="363">
        <f t="shared" ca="1" si="308"/>
        <v>23</v>
      </c>
      <c r="Q704" s="357">
        <f t="shared" ca="1" si="309"/>
        <v>0</v>
      </c>
      <c r="R704" s="359">
        <f t="shared" ca="1" si="310"/>
        <v>0</v>
      </c>
      <c r="S704" s="360">
        <f t="shared" ca="1" si="311"/>
        <v>1.5629999999999982</v>
      </c>
      <c r="T704" s="357">
        <f t="shared" ca="1" si="291"/>
        <v>15.333029999999983</v>
      </c>
      <c r="U704" s="364">
        <f t="shared" ca="1" si="292"/>
        <v>0</v>
      </c>
      <c r="V704" s="359">
        <f t="shared" ca="1" si="293"/>
        <v>1.2257947886316314</v>
      </c>
      <c r="W704" s="357">
        <f t="shared" ca="1" si="294"/>
        <v>6.0765992997395175</v>
      </c>
      <c r="X704" s="343"/>
      <c r="Y704" s="367" t="str">
        <f t="shared" ca="1" si="312"/>
        <v/>
      </c>
      <c r="Z704" s="368" t="str">
        <f t="shared" ca="1" si="313"/>
        <v/>
      </c>
      <c r="AA704" s="369" t="str">
        <f t="shared" ca="1" si="314"/>
        <v/>
      </c>
      <c r="AB704" s="344"/>
      <c r="AC704" s="363" t="e">
        <f t="shared" ca="1" si="315"/>
        <v>#N/A</v>
      </c>
      <c r="AD704" s="376" t="e">
        <f t="shared" ca="1" si="316"/>
        <v>#N/A</v>
      </c>
      <c r="AE704" s="377" t="e">
        <f t="shared" ca="1" si="295"/>
        <v>#N/A</v>
      </c>
      <c r="AF704" s="344"/>
      <c r="AG704" s="359">
        <f t="shared" ca="1" si="317"/>
        <v>5.8240207681549778</v>
      </c>
      <c r="AH704" s="357">
        <f t="shared" ca="1" si="318"/>
        <v>-3.8877097695153884</v>
      </c>
    </row>
    <row r="705" spans="1:34" x14ac:dyDescent="0.2">
      <c r="A705" s="402">
        <f t="shared" ca="1" si="296"/>
        <v>1E-4</v>
      </c>
      <c r="B705" s="357">
        <f t="shared" ca="1" si="297"/>
        <v>15.636499999999877</v>
      </c>
      <c r="C705" s="342"/>
      <c r="D705" s="359">
        <f t="shared" ca="1" si="298"/>
        <v>-0.54890199787372129</v>
      </c>
      <c r="E705" s="360">
        <f t="shared" ca="1" si="299"/>
        <v>-5.9611643650279271</v>
      </c>
      <c r="F705" s="357">
        <f t="shared" ca="1" si="300"/>
        <v>5.9863823792127224</v>
      </c>
      <c r="G705" s="359">
        <f t="shared" ca="1" si="301"/>
        <v>9.5290971036938057</v>
      </c>
      <c r="H705" s="360">
        <f t="shared" ca="1" si="302"/>
        <v>-66.81787844959436</v>
      </c>
      <c r="I705" s="357">
        <f t="shared" ca="1" si="303"/>
        <v>67.493944707035695</v>
      </c>
      <c r="J705" s="359">
        <f t="shared" ca="1" si="304"/>
        <v>187.70931447689617</v>
      </c>
      <c r="K705" s="360">
        <f t="shared" ca="1" si="305"/>
        <v>-6.4926481499867661</v>
      </c>
      <c r="L705" s="357">
        <f t="shared" ca="1" si="290"/>
        <v>187.82156750859531</v>
      </c>
      <c r="M705" s="359">
        <f t="shared" ca="1" si="306"/>
        <v>-1.4291385549681104</v>
      </c>
      <c r="N705" s="357">
        <f t="shared" ca="1" si="307"/>
        <v>-81.883607539097937</v>
      </c>
      <c r="O705" s="343"/>
      <c r="P705" s="363">
        <f t="shared" ca="1" si="308"/>
        <v>23</v>
      </c>
      <c r="Q705" s="357">
        <f t="shared" ca="1" si="309"/>
        <v>0</v>
      </c>
      <c r="R705" s="359">
        <f t="shared" ca="1" si="310"/>
        <v>0</v>
      </c>
      <c r="S705" s="360">
        <f t="shared" ca="1" si="311"/>
        <v>1.5629999999999982</v>
      </c>
      <c r="T705" s="357">
        <f t="shared" ca="1" si="291"/>
        <v>15.333029999999983</v>
      </c>
      <c r="U705" s="364">
        <f t="shared" ca="1" si="292"/>
        <v>0</v>
      </c>
      <c r="V705" s="359">
        <f t="shared" ca="1" si="293"/>
        <v>1.2257956076784096</v>
      </c>
      <c r="W705" s="357">
        <f t="shared" ca="1" si="294"/>
        <v>6.0767082296067452</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5.8239539175832995</v>
      </c>
      <c r="AH705" s="357">
        <f t="shared" ca="1" si="318"/>
        <v>-3.8877794624053261</v>
      </c>
    </row>
    <row r="706" spans="1:34" x14ac:dyDescent="0.2">
      <c r="A706" s="402">
        <f t="shared" ca="1" si="296"/>
        <v>1E-4</v>
      </c>
      <c r="B706" s="357">
        <f t="shared" ca="1" si="297"/>
        <v>15.636599999999877</v>
      </c>
      <c r="C706" s="342"/>
      <c r="D706" s="359">
        <f t="shared" ca="1" si="298"/>
        <v>-0.54890393924079739</v>
      </c>
      <c r="E706" s="360">
        <f t="shared" ca="1" si="299"/>
        <v>-5.961094243915511</v>
      </c>
      <c r="F706" s="357">
        <f t="shared" ca="1" si="300"/>
        <v>5.9863127315031504</v>
      </c>
      <c r="G706" s="359">
        <f t="shared" ca="1" si="301"/>
        <v>9.5290422132998813</v>
      </c>
      <c r="H706" s="360">
        <f t="shared" ca="1" si="302"/>
        <v>-66.818474559018753</v>
      </c>
      <c r="I706" s="357">
        <f t="shared" ca="1" si="303"/>
        <v>67.494527095884507</v>
      </c>
      <c r="J706" s="359">
        <f t="shared" ca="1" si="304"/>
        <v>187.70931447689617</v>
      </c>
      <c r="K706" s="360">
        <f t="shared" ca="1" si="305"/>
        <v>-6.4993299676371965</v>
      </c>
      <c r="L706" s="357">
        <f t="shared" ca="1" si="290"/>
        <v>187.82179860552534</v>
      </c>
      <c r="M706" s="359">
        <f t="shared" ca="1" si="306"/>
        <v>-1.4291406070155175</v>
      </c>
      <c r="N706" s="357">
        <f t="shared" ca="1" si="307"/>
        <v>-81.883725112753723</v>
      </c>
      <c r="O706" s="343"/>
      <c r="P706" s="363">
        <f t="shared" ca="1" si="308"/>
        <v>23</v>
      </c>
      <c r="Q706" s="357">
        <f t="shared" ca="1" si="309"/>
        <v>0</v>
      </c>
      <c r="R706" s="359">
        <f t="shared" ca="1" si="310"/>
        <v>0</v>
      </c>
      <c r="S706" s="360">
        <f t="shared" ca="1" si="311"/>
        <v>1.5629999999999982</v>
      </c>
      <c r="T706" s="357">
        <f t="shared" ca="1" si="291"/>
        <v>15.333029999999983</v>
      </c>
      <c r="U706" s="364">
        <f t="shared" ca="1" si="292"/>
        <v>0</v>
      </c>
      <c r="V706" s="359">
        <f t="shared" ca="1" si="293"/>
        <v>1.2257964267330426</v>
      </c>
      <c r="W706" s="357">
        <f t="shared" ca="1" si="294"/>
        <v>6.0768171593541984</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5.8238870669819143</v>
      </c>
      <c r="AH706" s="357">
        <f t="shared" ca="1" si="318"/>
        <v>-3.8878491552186514</v>
      </c>
    </row>
    <row r="707" spans="1:34" x14ac:dyDescent="0.2">
      <c r="A707" s="402">
        <f t="shared" ca="1" si="296"/>
        <v>1E-4</v>
      </c>
      <c r="B707" s="357">
        <f t="shared" ca="1" si="297"/>
        <v>15.636699999999877</v>
      </c>
      <c r="C707" s="342"/>
      <c r="D707" s="359">
        <f t="shared" ca="1" si="298"/>
        <v>-0.54890588049337896</v>
      </c>
      <c r="E707" s="360">
        <f t="shared" ca="1" si="299"/>
        <v>-5.9610241228807102</v>
      </c>
      <c r="F707" s="357">
        <f t="shared" ca="1" si="300"/>
        <v>5.9862430838720497</v>
      </c>
      <c r="G707" s="359">
        <f t="shared" ca="1" si="301"/>
        <v>9.5289873227118314</v>
      </c>
      <c r="H707" s="360">
        <f t="shared" ca="1" si="302"/>
        <v>-66.819070661431041</v>
      </c>
      <c r="I707" s="357">
        <f t="shared" ca="1" si="303"/>
        <v>67.495109478048249</v>
      </c>
      <c r="J707" s="359">
        <f t="shared" ca="1" si="304"/>
        <v>187.70931447689617</v>
      </c>
      <c r="K707" s="360">
        <f t="shared" ca="1" si="305"/>
        <v>-6.5060118448982189</v>
      </c>
      <c r="L707" s="357">
        <f t="shared" ca="1" si="290"/>
        <v>187.82202994194333</v>
      </c>
      <c r="M707" s="359">
        <f t="shared" ca="1" si="306"/>
        <v>-1.4291426590156917</v>
      </c>
      <c r="N707" s="357">
        <f t="shared" ca="1" si="307"/>
        <v>-81.883842683703264</v>
      </c>
      <c r="O707" s="343"/>
      <c r="P707" s="363">
        <f t="shared" ca="1" si="308"/>
        <v>23</v>
      </c>
      <c r="Q707" s="357">
        <f t="shared" ca="1" si="309"/>
        <v>0</v>
      </c>
      <c r="R707" s="359">
        <f t="shared" ca="1" si="310"/>
        <v>0</v>
      </c>
      <c r="S707" s="360">
        <f t="shared" ca="1" si="311"/>
        <v>1.5629999999999982</v>
      </c>
      <c r="T707" s="357">
        <f t="shared" ca="1" si="291"/>
        <v>15.333029999999983</v>
      </c>
      <c r="U707" s="364">
        <f t="shared" ca="1" si="292"/>
        <v>0</v>
      </c>
      <c r="V707" s="359">
        <f t="shared" ca="1" si="293"/>
        <v>1.2257972457955293</v>
      </c>
      <c r="W707" s="357">
        <f t="shared" ca="1" si="294"/>
        <v>6.0769260889818364</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5.8238202163508426</v>
      </c>
      <c r="AH707" s="357">
        <f t="shared" ca="1" si="318"/>
        <v>-3.8879188479553459</v>
      </c>
    </row>
    <row r="708" spans="1:34" x14ac:dyDescent="0.2">
      <c r="A708" s="402">
        <f t="shared" ca="1" si="296"/>
        <v>1E-4</v>
      </c>
      <c r="B708" s="357">
        <f t="shared" ca="1" si="297"/>
        <v>15.636799999999877</v>
      </c>
      <c r="C708" s="342"/>
      <c r="D708" s="359">
        <f t="shared" ca="1" si="298"/>
        <v>-0.54890782163146756</v>
      </c>
      <c r="E708" s="360">
        <f t="shared" ca="1" si="299"/>
        <v>-5.9609540019235503</v>
      </c>
      <c r="F708" s="357">
        <f t="shared" ca="1" si="300"/>
        <v>5.9861734363194481</v>
      </c>
      <c r="G708" s="359">
        <f t="shared" ca="1" si="301"/>
        <v>9.5289324319296682</v>
      </c>
      <c r="H708" s="360">
        <f t="shared" ca="1" si="302"/>
        <v>-66.819666756831239</v>
      </c>
      <c r="I708" s="357">
        <f t="shared" ca="1" si="303"/>
        <v>67.495691853526907</v>
      </c>
      <c r="J708" s="359">
        <f t="shared" ca="1" si="304"/>
        <v>187.70931447689617</v>
      </c>
      <c r="K708" s="360">
        <f t="shared" ca="1" si="305"/>
        <v>-6.5126937817691317</v>
      </c>
      <c r="L708" s="357">
        <f t="shared" ref="L708:L771" ca="1" si="319">SQRT(pos_x^2+pos_z^2)</f>
        <v>187.82226151785468</v>
      </c>
      <c r="M708" s="359">
        <f t="shared" ca="1" si="306"/>
        <v>-1.4291447109686353</v>
      </c>
      <c r="N708" s="357">
        <f t="shared" ca="1" si="307"/>
        <v>-81.883960251946689</v>
      </c>
      <c r="O708" s="343"/>
      <c r="P708" s="363">
        <f t="shared" ca="1" si="308"/>
        <v>23</v>
      </c>
      <c r="Q708" s="357">
        <f t="shared" ca="1" si="309"/>
        <v>0</v>
      </c>
      <c r="R708" s="359">
        <f t="shared" ca="1" si="310"/>
        <v>0</v>
      </c>
      <c r="S708" s="360">
        <f t="shared" ca="1" si="311"/>
        <v>1.5629999999999982</v>
      </c>
      <c r="T708" s="357">
        <f t="shared" ref="T708:T771" ca="1" si="320">m*g</f>
        <v>15.333029999999983</v>
      </c>
      <c r="U708" s="364">
        <f t="shared" ref="U708:U771" ca="1" si="321">IF(pos_xz&lt;L_rampe,Poids*COS(Beta),0)</f>
        <v>0</v>
      </c>
      <c r="V708" s="359">
        <f t="shared" ref="V708:V771" ca="1" si="322">Rho_moyen*(20000-Alt_rampe-pos_z)/(20000+Alt_rampe+pos_z)</f>
        <v>1.2257980648658713</v>
      </c>
      <c r="W708" s="357">
        <f t="shared" ref="W708:W771" ca="1" si="323">1/2*Rho*Sref*Cx*vit_xz^2</f>
        <v>6.0770350184896378</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5.8237533656901146</v>
      </c>
      <c r="AH708" s="357">
        <f t="shared" ca="1" si="318"/>
        <v>-3.8879885406153831</v>
      </c>
    </row>
    <row r="709" spans="1:34" x14ac:dyDescent="0.2">
      <c r="A709" s="402">
        <f t="shared" ref="A709:A772" ca="1" si="325">IF(B708+0.01&lt;=T_ini+ROUNDUP(Temps_fin_propu,0), 0.01, IF(K708&gt;0, 0.1, 0.0001))</f>
        <v>1E-4</v>
      </c>
      <c r="B709" s="357">
        <f t="shared" ref="B709:B772" ca="1" si="326">B708+pas</f>
        <v>15.636899999999876</v>
      </c>
      <c r="C709" s="342"/>
      <c r="D709" s="359">
        <f t="shared" ref="D709:D772" ca="1" si="327">IF(AND(L708&lt;L_rampe,Poussee&lt;Poids*SIN(M708)),0,(-W708+Poussee)/m*COS(M708)-U708/m*SIN(M708))</f>
        <v>-0.54890976265506297</v>
      </c>
      <c r="E709" s="360">
        <f t="shared" ref="E709:E772" ca="1" si="328">IF(AND(L708&lt;L_rampe,Poussee&lt;Poids*SIN(M708)),0,(-W708+Poussee)/m*SIN(M708)+U708/m*COS(M708)-Poids/m)</f>
        <v>-5.9608838810440474</v>
      </c>
      <c r="F709" s="357">
        <f t="shared" ref="F709:F772" ca="1" si="329">SQRT(acc_x^2+acc_z^2)</f>
        <v>5.9861037888453605</v>
      </c>
      <c r="G709" s="359">
        <f t="shared" ref="G709:G772" ca="1" si="330">G708+acc_x*pas</f>
        <v>9.5288775409534026</v>
      </c>
      <c r="H709" s="360">
        <f t="shared" ref="H709:H772" ca="1" si="331">H708+acc_z*pas</f>
        <v>-66.820262845219347</v>
      </c>
      <c r="I709" s="357">
        <f t="shared" ref="I709:I772" ca="1" si="332">SQRT(vit_x^2+vit_z^2)</f>
        <v>67.496274222320494</v>
      </c>
      <c r="J709" s="359">
        <f t="shared" ref="J709:J772" ca="1" si="333">J708+0.5*(vit_x+G708)*pas*(K708&gt;=0)</f>
        <v>187.70931447689617</v>
      </c>
      <c r="K709" s="360">
        <f t="shared" ref="K709:K772" ca="1" si="334">K708+0.5*(vit_z+H708)*pas</f>
        <v>-6.5193757782492341</v>
      </c>
      <c r="L709" s="357">
        <f t="shared" ca="1" si="319"/>
        <v>187.82249333326484</v>
      </c>
      <c r="M709" s="359">
        <f t="shared" ref="M709:M772" ca="1" si="335">IF(AND(L708&gt;L_rampe,G709&gt;0),ATAN2(G709,H709),$M$4)</f>
        <v>-1.4291467628743495</v>
      </c>
      <c r="N709" s="357">
        <f t="shared" ref="N709:N772" ca="1" si="336">DEGREES(Beta)</f>
        <v>-81.884077817484069</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1.5629999999999982</v>
      </c>
      <c r="T709" s="357">
        <f t="shared" ca="1" si="320"/>
        <v>15.333029999999983</v>
      </c>
      <c r="U709" s="364">
        <f t="shared" ca="1" si="321"/>
        <v>0</v>
      </c>
      <c r="V709" s="359">
        <f t="shared" ca="1" si="322"/>
        <v>1.2257988839440677</v>
      </c>
      <c r="W709" s="357">
        <f t="shared" ca="1" si="323"/>
        <v>6.077143947877568</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5.8236865149997543</v>
      </c>
      <c r="AH709" s="357">
        <f t="shared" ref="AH709:AH772" ca="1" si="347">IF(AND(L708&lt;L_rampe,Poussee&lt;Poids*SIN(M708)), g*SIN(M708), (-W708+Poussee)/m)</f>
        <v>-3.8880582331987492</v>
      </c>
    </row>
    <row r="710" spans="1:34" x14ac:dyDescent="0.2">
      <c r="A710" s="402">
        <f t="shared" ca="1" si="325"/>
        <v>1E-4</v>
      </c>
      <c r="B710" s="357">
        <f t="shared" ca="1" si="326"/>
        <v>15.636999999999876</v>
      </c>
      <c r="C710" s="342"/>
      <c r="D710" s="359">
        <f t="shared" ca="1" si="327"/>
        <v>-0.54891170356416741</v>
      </c>
      <c r="E710" s="360">
        <f t="shared" ca="1" si="328"/>
        <v>-5.9608137602422211</v>
      </c>
      <c r="F710" s="357">
        <f t="shared" ca="1" si="329"/>
        <v>5.9860341414498066</v>
      </c>
      <c r="G710" s="359">
        <f t="shared" ca="1" si="330"/>
        <v>9.5288226497830468</v>
      </c>
      <c r="H710" s="360">
        <f t="shared" ca="1" si="331"/>
        <v>-66.820858926595378</v>
      </c>
      <c r="I710" s="357">
        <f t="shared" ca="1" si="332"/>
        <v>67.496856584429025</v>
      </c>
      <c r="J710" s="359">
        <f t="shared" ca="1" si="333"/>
        <v>187.70931447689617</v>
      </c>
      <c r="K710" s="360">
        <f t="shared" ca="1" si="334"/>
        <v>-6.5260578343378244</v>
      </c>
      <c r="L710" s="357">
        <f t="shared" ca="1" si="319"/>
        <v>187.82272538817932</v>
      </c>
      <c r="M710" s="359">
        <f t="shared" ca="1" si="335"/>
        <v>-1.4291488147328362</v>
      </c>
      <c r="N710" s="357">
        <f t="shared" ca="1" si="336"/>
        <v>-81.884195380315518</v>
      </c>
      <c r="O710" s="343"/>
      <c r="P710" s="363">
        <f t="shared" ca="1" si="337"/>
        <v>23</v>
      </c>
      <c r="Q710" s="357">
        <f t="shared" ca="1" si="338"/>
        <v>0</v>
      </c>
      <c r="R710" s="359">
        <f t="shared" ca="1" si="339"/>
        <v>0</v>
      </c>
      <c r="S710" s="360">
        <f t="shared" ca="1" si="340"/>
        <v>1.5629999999999982</v>
      </c>
      <c r="T710" s="357">
        <f t="shared" ca="1" si="320"/>
        <v>15.333029999999983</v>
      </c>
      <c r="U710" s="364">
        <f t="shared" ca="1" si="321"/>
        <v>0</v>
      </c>
      <c r="V710" s="359">
        <f t="shared" ca="1" si="322"/>
        <v>1.2257997030301178</v>
      </c>
      <c r="W710" s="357">
        <f t="shared" ca="1" si="323"/>
        <v>6.0772528771455994</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5.8236196642797839</v>
      </c>
      <c r="AH710" s="357">
        <f t="shared" ca="1" si="347"/>
        <v>-3.8881279257054224</v>
      </c>
    </row>
    <row r="711" spans="1:34" x14ac:dyDescent="0.2">
      <c r="A711" s="402">
        <f t="shared" ca="1" si="325"/>
        <v>1E-4</v>
      </c>
      <c r="B711" s="357">
        <f t="shared" ca="1" si="326"/>
        <v>15.637099999999876</v>
      </c>
      <c r="C711" s="342"/>
      <c r="D711" s="359">
        <f t="shared" ca="1" si="327"/>
        <v>-0.54891364435878165</v>
      </c>
      <c r="E711" s="360">
        <f t="shared" ca="1" si="328"/>
        <v>-5.9607436395180908</v>
      </c>
      <c r="F711" s="357">
        <f t="shared" ca="1" si="329"/>
        <v>5.9859644941328058</v>
      </c>
      <c r="G711" s="359">
        <f t="shared" ca="1" si="330"/>
        <v>9.5287677584186117</v>
      </c>
      <c r="H711" s="360">
        <f t="shared" ca="1" si="331"/>
        <v>-66.821455000959332</v>
      </c>
      <c r="I711" s="357">
        <f t="shared" ca="1" si="332"/>
        <v>67.497438939852458</v>
      </c>
      <c r="J711" s="359">
        <f t="shared" ca="1" si="333"/>
        <v>187.70931447689617</v>
      </c>
      <c r="K711" s="360">
        <f t="shared" ca="1" si="334"/>
        <v>-6.5327399500342018</v>
      </c>
      <c r="L711" s="357">
        <f t="shared" ca="1" si="319"/>
        <v>187.82295768260352</v>
      </c>
      <c r="M711" s="359">
        <f t="shared" ca="1" si="335"/>
        <v>-1.4291508665440971</v>
      </c>
      <c r="N711" s="357">
        <f t="shared" ca="1" si="336"/>
        <v>-81.88431294044112</v>
      </c>
      <c r="O711" s="343"/>
      <c r="P711" s="363">
        <f t="shared" ca="1" si="337"/>
        <v>23</v>
      </c>
      <c r="Q711" s="357">
        <f t="shared" ca="1" si="338"/>
        <v>0</v>
      </c>
      <c r="R711" s="359">
        <f t="shared" ca="1" si="339"/>
        <v>0</v>
      </c>
      <c r="S711" s="360">
        <f t="shared" ca="1" si="340"/>
        <v>1.5629999999999982</v>
      </c>
      <c r="T711" s="357">
        <f t="shared" ca="1" si="320"/>
        <v>15.333029999999983</v>
      </c>
      <c r="U711" s="364">
        <f t="shared" ca="1" si="321"/>
        <v>0</v>
      </c>
      <c r="V711" s="359">
        <f t="shared" ca="1" si="322"/>
        <v>1.2258005221240222</v>
      </c>
      <c r="W711" s="357">
        <f t="shared" ca="1" si="323"/>
        <v>6.0773618062936965</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5.823552813530231</v>
      </c>
      <c r="AH711" s="357">
        <f t="shared" ca="1" si="347"/>
        <v>-3.888197618135385</v>
      </c>
    </row>
    <row r="712" spans="1:34" x14ac:dyDescent="0.2">
      <c r="A712" s="402">
        <f t="shared" ca="1" si="325"/>
        <v>1E-4</v>
      </c>
      <c r="B712" s="357">
        <f t="shared" ca="1" si="326"/>
        <v>15.637199999999876</v>
      </c>
      <c r="C712" s="342"/>
      <c r="D712" s="359">
        <f t="shared" ca="1" si="327"/>
        <v>-0.54891558503890603</v>
      </c>
      <c r="E712" s="360">
        <f t="shared" ca="1" si="328"/>
        <v>-5.960673518871678</v>
      </c>
      <c r="F712" s="357">
        <f t="shared" ca="1" si="329"/>
        <v>5.9858948468943787</v>
      </c>
      <c r="G712" s="359">
        <f t="shared" ca="1" si="330"/>
        <v>9.5287128668601078</v>
      </c>
      <c r="H712" s="360">
        <f t="shared" ca="1" si="331"/>
        <v>-66.822051068311225</v>
      </c>
      <c r="I712" s="357">
        <f t="shared" ca="1" si="332"/>
        <v>67.49802128859082</v>
      </c>
      <c r="J712" s="359">
        <f t="shared" ca="1" si="333"/>
        <v>187.70931447689617</v>
      </c>
      <c r="K712" s="360">
        <f t="shared" ca="1" si="334"/>
        <v>-6.5394221253376656</v>
      </c>
      <c r="L712" s="357">
        <f t="shared" ca="1" si="319"/>
        <v>187.82319021654288</v>
      </c>
      <c r="M712" s="359">
        <f t="shared" ca="1" si="335"/>
        <v>-1.4291529183081337</v>
      </c>
      <c r="N712" s="357">
        <f t="shared" ca="1" si="336"/>
        <v>-81.88443049786099</v>
      </c>
      <c r="O712" s="343"/>
      <c r="P712" s="363">
        <f t="shared" ca="1" si="337"/>
        <v>23</v>
      </c>
      <c r="Q712" s="357">
        <f t="shared" ca="1" si="338"/>
        <v>0</v>
      </c>
      <c r="R712" s="359">
        <f t="shared" ca="1" si="339"/>
        <v>0</v>
      </c>
      <c r="S712" s="360">
        <f t="shared" ca="1" si="340"/>
        <v>1.5629999999999982</v>
      </c>
      <c r="T712" s="357">
        <f t="shared" ca="1" si="320"/>
        <v>15.333029999999983</v>
      </c>
      <c r="U712" s="364">
        <f t="shared" ca="1" si="321"/>
        <v>0</v>
      </c>
      <c r="V712" s="359">
        <f t="shared" ca="1" si="322"/>
        <v>1.2258013412257811</v>
      </c>
      <c r="W712" s="357">
        <f t="shared" ca="1" si="323"/>
        <v>6.0774707353218345</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5.8234859627511195</v>
      </c>
      <c r="AH712" s="357">
        <f t="shared" ca="1" si="347"/>
        <v>-3.8882673104886138</v>
      </c>
    </row>
    <row r="713" spans="1:34" x14ac:dyDescent="0.2">
      <c r="A713" s="402">
        <f t="shared" ca="1" si="325"/>
        <v>1E-4</v>
      </c>
      <c r="B713" s="357">
        <f t="shared" ca="1" si="326"/>
        <v>15.637299999999875</v>
      </c>
      <c r="C713" s="342"/>
      <c r="D713" s="359">
        <f t="shared" ca="1" si="327"/>
        <v>-0.54891752560454277</v>
      </c>
      <c r="E713" s="360">
        <f t="shared" ca="1" si="328"/>
        <v>-5.9606033983029993</v>
      </c>
      <c r="F713" s="357">
        <f t="shared" ca="1" si="329"/>
        <v>5.985825199734542</v>
      </c>
      <c r="G713" s="359">
        <f t="shared" ca="1" si="330"/>
        <v>9.5286579751075475</v>
      </c>
      <c r="H713" s="360">
        <f t="shared" ca="1" si="331"/>
        <v>-66.822647128651056</v>
      </c>
      <c r="I713" s="357">
        <f t="shared" ca="1" si="332"/>
        <v>67.498603630644084</v>
      </c>
      <c r="J713" s="359">
        <f t="shared" ca="1" si="333"/>
        <v>187.70931447689617</v>
      </c>
      <c r="K713" s="360">
        <f t="shared" ca="1" si="334"/>
        <v>-6.5461043602475142</v>
      </c>
      <c r="L713" s="357">
        <f t="shared" ca="1" si="319"/>
        <v>187.82342299000288</v>
      </c>
      <c r="M713" s="359">
        <f t="shared" ca="1" si="335"/>
        <v>-1.429154970024948</v>
      </c>
      <c r="N713" s="357">
        <f t="shared" ca="1" si="336"/>
        <v>-81.884548052575198</v>
      </c>
      <c r="O713" s="343"/>
      <c r="P713" s="363">
        <f t="shared" ca="1" si="337"/>
        <v>23</v>
      </c>
      <c r="Q713" s="357">
        <f t="shared" ca="1" si="338"/>
        <v>0</v>
      </c>
      <c r="R713" s="359">
        <f t="shared" ca="1" si="339"/>
        <v>0</v>
      </c>
      <c r="S713" s="360">
        <f t="shared" ca="1" si="340"/>
        <v>1.5629999999999982</v>
      </c>
      <c r="T713" s="357">
        <f t="shared" ca="1" si="320"/>
        <v>15.333029999999983</v>
      </c>
      <c r="U713" s="364">
        <f t="shared" ca="1" si="321"/>
        <v>0</v>
      </c>
      <c r="V713" s="359">
        <f t="shared" ca="1" si="322"/>
        <v>1.2258021603353939</v>
      </c>
      <c r="W713" s="357">
        <f t="shared" ca="1" si="323"/>
        <v>6.077579664229976</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5.8234191119424699</v>
      </c>
      <c r="AH713" s="357">
        <f t="shared" ca="1" si="347"/>
        <v>-3.8883370027650939</v>
      </c>
    </row>
    <row r="714" spans="1:34" x14ac:dyDescent="0.2">
      <c r="A714" s="402">
        <f t="shared" ca="1" si="325"/>
        <v>1E-4</v>
      </c>
      <c r="B714" s="357">
        <f t="shared" ca="1" si="326"/>
        <v>15.637399999999875</v>
      </c>
      <c r="C714" s="342"/>
      <c r="D714" s="359">
        <f t="shared" ca="1" si="327"/>
        <v>-0.54891946605569164</v>
      </c>
      <c r="E714" s="360">
        <f t="shared" ca="1" si="328"/>
        <v>-5.960533277812079</v>
      </c>
      <c r="F714" s="357">
        <f t="shared" ca="1" si="329"/>
        <v>5.9857555526533215</v>
      </c>
      <c r="G714" s="359">
        <f t="shared" ca="1" si="330"/>
        <v>9.5286030831609416</v>
      </c>
      <c r="H714" s="360">
        <f t="shared" ca="1" si="331"/>
        <v>-66.823243181978839</v>
      </c>
      <c r="I714" s="357">
        <f t="shared" ca="1" si="332"/>
        <v>67.499185966012249</v>
      </c>
      <c r="J714" s="359">
        <f t="shared" ca="1" si="333"/>
        <v>187.70931447689617</v>
      </c>
      <c r="K714" s="360">
        <f t="shared" ca="1" si="334"/>
        <v>-6.5527866547630458</v>
      </c>
      <c r="L714" s="357">
        <f t="shared" ca="1" si="319"/>
        <v>187.823656002989</v>
      </c>
      <c r="M714" s="359">
        <f t="shared" ca="1" si="335"/>
        <v>-1.4291570216945413</v>
      </c>
      <c r="N714" s="357">
        <f t="shared" ca="1" si="336"/>
        <v>-81.884665604583844</v>
      </c>
      <c r="O714" s="343"/>
      <c r="P714" s="363">
        <f t="shared" ca="1" si="337"/>
        <v>23</v>
      </c>
      <c r="Q714" s="357">
        <f t="shared" ca="1" si="338"/>
        <v>0</v>
      </c>
      <c r="R714" s="359">
        <f t="shared" ca="1" si="339"/>
        <v>0</v>
      </c>
      <c r="S714" s="360">
        <f t="shared" ca="1" si="340"/>
        <v>1.5629999999999982</v>
      </c>
      <c r="T714" s="357">
        <f t="shared" ca="1" si="320"/>
        <v>15.333029999999983</v>
      </c>
      <c r="U714" s="364">
        <f t="shared" ca="1" si="321"/>
        <v>0</v>
      </c>
      <c r="V714" s="359">
        <f t="shared" ca="1" si="322"/>
        <v>1.2258029794528609</v>
      </c>
      <c r="W714" s="357">
        <f t="shared" ca="1" si="323"/>
        <v>6.0776885930180935</v>
      </c>
      <c r="X714" s="343"/>
      <c r="Y714" s="367" t="str">
        <f t="shared" ca="1" si="341"/>
        <v/>
      </c>
      <c r="Z714" s="368" t="str">
        <f t="shared" ca="1" si="342"/>
        <v/>
      </c>
      <c r="AA714" s="369" t="str">
        <f t="shared" ca="1" si="343"/>
        <v/>
      </c>
      <c r="AB714" s="344"/>
      <c r="AC714" s="363" t="e">
        <f t="shared" ca="1" si="344"/>
        <v>#N/A</v>
      </c>
      <c r="AD714" s="376" t="e">
        <f t="shared" ca="1" si="345"/>
        <v>#N/A</v>
      </c>
      <c r="AE714" s="377" t="e">
        <f t="shared" ca="1" si="324"/>
        <v>#N/A</v>
      </c>
      <c r="AF714" s="344"/>
      <c r="AG714" s="359">
        <f t="shared" ca="1" si="346"/>
        <v>5.8233522611043149</v>
      </c>
      <c r="AH714" s="357">
        <f t="shared" ca="1" si="347"/>
        <v>-3.8884066949648006</v>
      </c>
    </row>
    <row r="715" spans="1:34" x14ac:dyDescent="0.2">
      <c r="A715" s="402">
        <f t="shared" ca="1" si="325"/>
        <v>1E-4</v>
      </c>
      <c r="B715" s="357">
        <f t="shared" ca="1" si="326"/>
        <v>15.637499999999875</v>
      </c>
      <c r="C715" s="342"/>
      <c r="D715" s="359">
        <f t="shared" ca="1" si="327"/>
        <v>-0.54892140639235476</v>
      </c>
      <c r="E715" s="360">
        <f t="shared" ca="1" si="328"/>
        <v>-5.9604631573989355</v>
      </c>
      <c r="F715" s="357">
        <f t="shared" ca="1" si="329"/>
        <v>5.9856859056507341</v>
      </c>
      <c r="G715" s="359">
        <f t="shared" ca="1" si="330"/>
        <v>9.5285481910203025</v>
      </c>
      <c r="H715" s="360">
        <f t="shared" ca="1" si="331"/>
        <v>-66.823839228294574</v>
      </c>
      <c r="I715" s="357">
        <f t="shared" ca="1" si="332"/>
        <v>67.499768294695343</v>
      </c>
      <c r="J715" s="359">
        <f t="shared" ca="1" si="333"/>
        <v>187.70931447689617</v>
      </c>
      <c r="K715" s="360">
        <f t="shared" ca="1" si="334"/>
        <v>-6.5594690088835597</v>
      </c>
      <c r="L715" s="357">
        <f t="shared" ca="1" si="319"/>
        <v>187.8238892555066</v>
      </c>
      <c r="M715" s="359">
        <f t="shared" ca="1" si="335"/>
        <v>-1.4291590733169155</v>
      </c>
      <c r="N715" s="357">
        <f t="shared" ca="1" si="336"/>
        <v>-81.884783153887042</v>
      </c>
      <c r="O715" s="343"/>
      <c r="P715" s="363">
        <f t="shared" ca="1" si="337"/>
        <v>23</v>
      </c>
      <c r="Q715" s="357">
        <f t="shared" ca="1" si="338"/>
        <v>0</v>
      </c>
      <c r="R715" s="359">
        <f t="shared" ca="1" si="339"/>
        <v>0</v>
      </c>
      <c r="S715" s="360">
        <f t="shared" ca="1" si="340"/>
        <v>1.5629999999999982</v>
      </c>
      <c r="T715" s="357">
        <f t="shared" ca="1" si="320"/>
        <v>15.333029999999983</v>
      </c>
      <c r="U715" s="364">
        <f t="shared" ca="1" si="321"/>
        <v>0</v>
      </c>
      <c r="V715" s="359">
        <f t="shared" ca="1" si="322"/>
        <v>1.2258037985781813</v>
      </c>
      <c r="W715" s="357">
        <f t="shared" ca="1" si="323"/>
        <v>6.0777975216861586</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5.8232854102366742</v>
      </c>
      <c r="AH715" s="357">
        <f t="shared" ca="1" si="347"/>
        <v>-3.8884763870877164</v>
      </c>
    </row>
    <row r="716" spans="1:34" x14ac:dyDescent="0.2">
      <c r="A716" s="402">
        <f t="shared" ca="1" si="325"/>
        <v>1E-4</v>
      </c>
      <c r="B716" s="357">
        <f t="shared" ca="1" si="326"/>
        <v>15.637599999999875</v>
      </c>
      <c r="C716" s="342"/>
      <c r="D716" s="359">
        <f t="shared" ca="1" si="327"/>
        <v>-0.54892334661453301</v>
      </c>
      <c r="E716" s="360">
        <f t="shared" ca="1" si="328"/>
        <v>-5.9603930370635849</v>
      </c>
      <c r="F716" s="357">
        <f t="shared" ca="1" si="329"/>
        <v>5.9856162587267958</v>
      </c>
      <c r="G716" s="359">
        <f t="shared" ca="1" si="330"/>
        <v>9.5284932986856408</v>
      </c>
      <c r="H716" s="360">
        <f t="shared" ca="1" si="331"/>
        <v>-66.824435267598275</v>
      </c>
      <c r="I716" s="357">
        <f t="shared" ca="1" si="332"/>
        <v>67.500350616693311</v>
      </c>
      <c r="J716" s="359">
        <f t="shared" ca="1" si="333"/>
        <v>187.70931447689617</v>
      </c>
      <c r="K716" s="360">
        <f t="shared" ca="1" si="334"/>
        <v>-6.5661514226083542</v>
      </c>
      <c r="L716" s="357">
        <f t="shared" ca="1" si="319"/>
        <v>187.82412274756115</v>
      </c>
      <c r="M716" s="359">
        <f t="shared" ca="1" si="335"/>
        <v>-1.4291611248920726</v>
      </c>
      <c r="N716" s="357">
        <f t="shared" ca="1" si="336"/>
        <v>-81.884900700484906</v>
      </c>
      <c r="O716" s="343"/>
      <c r="P716" s="363">
        <f t="shared" ca="1" si="337"/>
        <v>23</v>
      </c>
      <c r="Q716" s="357">
        <f t="shared" ca="1" si="338"/>
        <v>0</v>
      </c>
      <c r="R716" s="359">
        <f t="shared" ca="1" si="339"/>
        <v>0</v>
      </c>
      <c r="S716" s="360">
        <f t="shared" ca="1" si="340"/>
        <v>1.5629999999999982</v>
      </c>
      <c r="T716" s="357">
        <f t="shared" ca="1" si="320"/>
        <v>15.333029999999983</v>
      </c>
      <c r="U716" s="364">
        <f t="shared" ca="1" si="321"/>
        <v>0</v>
      </c>
      <c r="V716" s="359">
        <f t="shared" ca="1" si="322"/>
        <v>1.225804617711356</v>
      </c>
      <c r="W716" s="357">
        <f t="shared" ca="1" si="323"/>
        <v>6.0779064502341349</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5.8232185593395744</v>
      </c>
      <c r="AH716" s="357">
        <f t="shared" ca="1" si="347"/>
        <v>-3.8885460791338233</v>
      </c>
    </row>
    <row r="717" spans="1:34" x14ac:dyDescent="0.2">
      <c r="A717" s="402">
        <f t="shared" ca="1" si="325"/>
        <v>1E-4</v>
      </c>
      <c r="B717" s="357">
        <f t="shared" ca="1" si="326"/>
        <v>15.637699999999874</v>
      </c>
      <c r="C717" s="342"/>
      <c r="D717" s="359">
        <f t="shared" ca="1" si="327"/>
        <v>-0.54892528672222574</v>
      </c>
      <c r="E717" s="360">
        <f t="shared" ca="1" si="328"/>
        <v>-5.960322916806053</v>
      </c>
      <c r="F717" s="357">
        <f t="shared" ca="1" si="329"/>
        <v>5.9855466118815333</v>
      </c>
      <c r="G717" s="359">
        <f t="shared" ca="1" si="330"/>
        <v>9.5284384061569689</v>
      </c>
      <c r="H717" s="360">
        <f t="shared" ca="1" si="331"/>
        <v>-66.825031299889957</v>
      </c>
      <c r="I717" s="357">
        <f t="shared" ca="1" si="332"/>
        <v>67.500932932006208</v>
      </c>
      <c r="J717" s="359">
        <f t="shared" ca="1" si="333"/>
        <v>187.70931447689617</v>
      </c>
      <c r="K717" s="360">
        <f t="shared" ca="1" si="334"/>
        <v>-6.5728338959367285</v>
      </c>
      <c r="L717" s="357">
        <f t="shared" ca="1" si="319"/>
        <v>187.82435647915813</v>
      </c>
      <c r="M717" s="359">
        <f t="shared" ca="1" si="335"/>
        <v>-1.4291631764200137</v>
      </c>
      <c r="N717" s="357">
        <f t="shared" ca="1" si="336"/>
        <v>-81.885018244377477</v>
      </c>
      <c r="O717" s="343"/>
      <c r="P717" s="363">
        <f t="shared" ca="1" si="337"/>
        <v>23</v>
      </c>
      <c r="Q717" s="357">
        <f t="shared" ca="1" si="338"/>
        <v>0</v>
      </c>
      <c r="R717" s="359">
        <f t="shared" ca="1" si="339"/>
        <v>0</v>
      </c>
      <c r="S717" s="360">
        <f t="shared" ca="1" si="340"/>
        <v>1.5629999999999982</v>
      </c>
      <c r="T717" s="357">
        <f t="shared" ca="1" si="320"/>
        <v>15.333029999999983</v>
      </c>
      <c r="U717" s="364">
        <f t="shared" ca="1" si="321"/>
        <v>0</v>
      </c>
      <c r="V717" s="359">
        <f t="shared" ca="1" si="322"/>
        <v>1.2258054368523847</v>
      </c>
      <c r="W717" s="357">
        <f t="shared" ca="1" si="323"/>
        <v>6.0780153786620019</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5.8231517084130395</v>
      </c>
      <c r="AH717" s="357">
        <f t="shared" ca="1" si="347"/>
        <v>-3.888615771103098</v>
      </c>
    </row>
    <row r="718" spans="1:34" x14ac:dyDescent="0.2">
      <c r="A718" s="402">
        <f t="shared" ca="1" si="325"/>
        <v>1E-4</v>
      </c>
      <c r="B718" s="357">
        <f t="shared" ca="1" si="326"/>
        <v>15.637799999999874</v>
      </c>
      <c r="C718" s="342"/>
      <c r="D718" s="359">
        <f t="shared" ca="1" si="327"/>
        <v>-0.54892722671543692</v>
      </c>
      <c r="E718" s="360">
        <f t="shared" ca="1" si="328"/>
        <v>-5.9602527966263503</v>
      </c>
      <c r="F718" s="357">
        <f t="shared" ca="1" si="329"/>
        <v>5.9854769651149544</v>
      </c>
      <c r="G718" s="359">
        <f t="shared" ca="1" si="330"/>
        <v>9.5283835134342976</v>
      </c>
      <c r="H718" s="360">
        <f t="shared" ca="1" si="331"/>
        <v>-66.82562732516962</v>
      </c>
      <c r="I718" s="357">
        <f t="shared" ca="1" si="332"/>
        <v>67.501515240633992</v>
      </c>
      <c r="J718" s="359">
        <f t="shared" ca="1" si="333"/>
        <v>187.70931447689617</v>
      </c>
      <c r="K718" s="360">
        <f t="shared" ca="1" si="334"/>
        <v>-6.579516428867981</v>
      </c>
      <c r="L718" s="357">
        <f t="shared" ca="1" si="319"/>
        <v>187.82459045030296</v>
      </c>
      <c r="M718" s="359">
        <f t="shared" ca="1" si="335"/>
        <v>-1.4291652279007407</v>
      </c>
      <c r="N718" s="357">
        <f t="shared" ca="1" si="336"/>
        <v>-81.885135785564884</v>
      </c>
      <c r="O718" s="343"/>
      <c r="P718" s="363">
        <f t="shared" ca="1" si="337"/>
        <v>23</v>
      </c>
      <c r="Q718" s="357">
        <f t="shared" ca="1" si="338"/>
        <v>0</v>
      </c>
      <c r="R718" s="359">
        <f t="shared" ca="1" si="339"/>
        <v>0</v>
      </c>
      <c r="S718" s="360">
        <f t="shared" ca="1" si="340"/>
        <v>1.5629999999999982</v>
      </c>
      <c r="T718" s="357">
        <f t="shared" ca="1" si="320"/>
        <v>15.333029999999983</v>
      </c>
      <c r="U718" s="364">
        <f t="shared" ca="1" si="321"/>
        <v>0</v>
      </c>
      <c r="V718" s="359">
        <f t="shared" ca="1" si="322"/>
        <v>1.2258062560012666</v>
      </c>
      <c r="W718" s="357">
        <f t="shared" ca="1" si="323"/>
        <v>6.0781243069697162</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5.8230848574570917</v>
      </c>
      <c r="AH718" s="357">
        <f t="shared" ca="1" si="347"/>
        <v>-3.8886854629955274</v>
      </c>
    </row>
    <row r="719" spans="1:34" x14ac:dyDescent="0.2">
      <c r="A719" s="402">
        <f t="shared" ca="1" si="325"/>
        <v>1E-4</v>
      </c>
      <c r="B719" s="357">
        <f t="shared" ca="1" si="326"/>
        <v>15.637899999999874</v>
      </c>
      <c r="C719" s="342"/>
      <c r="D719" s="359">
        <f t="shared" ca="1" si="327"/>
        <v>-0.54892916659416546</v>
      </c>
      <c r="E719" s="360">
        <f t="shared" ca="1" si="328"/>
        <v>-5.9601826765245081</v>
      </c>
      <c r="F719" s="357">
        <f t="shared" ca="1" si="329"/>
        <v>5.9854073184270939</v>
      </c>
      <c r="G719" s="359">
        <f t="shared" ca="1" si="330"/>
        <v>9.5283286205176374</v>
      </c>
      <c r="H719" s="360">
        <f t="shared" ca="1" si="331"/>
        <v>-66.826223343437277</v>
      </c>
      <c r="I719" s="357">
        <f t="shared" ca="1" si="332"/>
        <v>67.502097542576678</v>
      </c>
      <c r="J719" s="359">
        <f t="shared" ca="1" si="333"/>
        <v>187.70931447689617</v>
      </c>
      <c r="K719" s="360">
        <f t="shared" ca="1" si="334"/>
        <v>-6.586199021401411</v>
      </c>
      <c r="L719" s="357">
        <f t="shared" ca="1" si="319"/>
        <v>187.82482466100112</v>
      </c>
      <c r="M719" s="359">
        <f t="shared" ca="1" si="335"/>
        <v>-1.4291672793342556</v>
      </c>
      <c r="N719" s="357">
        <f t="shared" ca="1" si="336"/>
        <v>-81.885253324047241</v>
      </c>
      <c r="O719" s="343"/>
      <c r="P719" s="363">
        <f t="shared" ca="1" si="337"/>
        <v>23</v>
      </c>
      <c r="Q719" s="357">
        <f t="shared" ca="1" si="338"/>
        <v>0</v>
      </c>
      <c r="R719" s="359">
        <f t="shared" ca="1" si="339"/>
        <v>0</v>
      </c>
      <c r="S719" s="360">
        <f t="shared" ca="1" si="340"/>
        <v>1.5629999999999982</v>
      </c>
      <c r="T719" s="357">
        <f t="shared" ca="1" si="320"/>
        <v>15.333029999999983</v>
      </c>
      <c r="U719" s="364">
        <f t="shared" ca="1" si="321"/>
        <v>0</v>
      </c>
      <c r="V719" s="359">
        <f t="shared" ca="1" si="322"/>
        <v>1.2258070751580024</v>
      </c>
      <c r="W719" s="357">
        <f t="shared" ca="1" si="323"/>
        <v>6.0782332351572572</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5.8230180064717612</v>
      </c>
      <c r="AH719" s="357">
        <f t="shared" ca="1" si="347"/>
        <v>-3.8887551548110832</v>
      </c>
    </row>
    <row r="720" spans="1:34" x14ac:dyDescent="0.2">
      <c r="A720" s="402">
        <f t="shared" ca="1" si="325"/>
        <v>1E-4</v>
      </c>
      <c r="B720" s="357">
        <f t="shared" ca="1" si="326"/>
        <v>15.637999999999874</v>
      </c>
      <c r="C720" s="342"/>
      <c r="D720" s="359">
        <f t="shared" ca="1" si="327"/>
        <v>-0.54893110635841291</v>
      </c>
      <c r="E720" s="360">
        <f t="shared" ca="1" si="328"/>
        <v>-5.960112556500536</v>
      </c>
      <c r="F720" s="357">
        <f t="shared" ca="1" si="329"/>
        <v>5.9853376718179589</v>
      </c>
      <c r="G720" s="359">
        <f t="shared" ca="1" si="330"/>
        <v>9.5282737274070008</v>
      </c>
      <c r="H720" s="360">
        <f t="shared" ca="1" si="331"/>
        <v>-66.82681935469293</v>
      </c>
      <c r="I720" s="357">
        <f t="shared" ca="1" si="332"/>
        <v>67.502679837834265</v>
      </c>
      <c r="J720" s="359">
        <f t="shared" ca="1" si="333"/>
        <v>187.70931447689617</v>
      </c>
      <c r="K720" s="360">
        <f t="shared" ca="1" si="334"/>
        <v>-6.5928816735363176</v>
      </c>
      <c r="L720" s="357">
        <f t="shared" ca="1" si="319"/>
        <v>187.82505911125796</v>
      </c>
      <c r="M720" s="359">
        <f t="shared" ca="1" si="335"/>
        <v>-1.4291693307205597</v>
      </c>
      <c r="N720" s="357">
        <f t="shared" ca="1" si="336"/>
        <v>-81.885370859824619</v>
      </c>
      <c r="O720" s="343"/>
      <c r="P720" s="363">
        <f t="shared" ca="1" si="337"/>
        <v>23</v>
      </c>
      <c r="Q720" s="357">
        <f t="shared" ca="1" si="338"/>
        <v>0</v>
      </c>
      <c r="R720" s="359">
        <f t="shared" ca="1" si="339"/>
        <v>0</v>
      </c>
      <c r="S720" s="360">
        <f t="shared" ca="1" si="340"/>
        <v>1.5629999999999982</v>
      </c>
      <c r="T720" s="357">
        <f t="shared" ca="1" si="320"/>
        <v>15.333029999999983</v>
      </c>
      <c r="U720" s="364">
        <f t="shared" ca="1" si="321"/>
        <v>0</v>
      </c>
      <c r="V720" s="359">
        <f t="shared" ca="1" si="322"/>
        <v>1.2258078943225919</v>
      </c>
      <c r="W720" s="357">
        <f t="shared" ca="1" si="323"/>
        <v>6.0783421632245931</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5.8229511554570665</v>
      </c>
      <c r="AH720" s="357">
        <f t="shared" ca="1" si="347"/>
        <v>-3.8888248465497535</v>
      </c>
    </row>
    <row r="721" spans="1:34" x14ac:dyDescent="0.2">
      <c r="A721" s="402">
        <f t="shared" ca="1" si="325"/>
        <v>1E-4</v>
      </c>
      <c r="B721" s="357">
        <f t="shared" ca="1" si="326"/>
        <v>15.638099999999874</v>
      </c>
      <c r="C721" s="342"/>
      <c r="D721" s="359">
        <f t="shared" ca="1" si="327"/>
        <v>-0.5489330460081806</v>
      </c>
      <c r="E721" s="360">
        <f t="shared" ca="1" si="328"/>
        <v>-5.960042436554458</v>
      </c>
      <c r="F721" s="357">
        <f t="shared" ca="1" si="329"/>
        <v>5.9852680252875743</v>
      </c>
      <c r="G721" s="359">
        <f t="shared" ca="1" si="330"/>
        <v>9.5282188341024003</v>
      </c>
      <c r="H721" s="360">
        <f t="shared" ca="1" si="331"/>
        <v>-66.827415358936591</v>
      </c>
      <c r="I721" s="357">
        <f t="shared" ca="1" si="332"/>
        <v>67.503262126406739</v>
      </c>
      <c r="J721" s="359">
        <f t="shared" ca="1" si="333"/>
        <v>187.70931447689617</v>
      </c>
      <c r="K721" s="360">
        <f t="shared" ca="1" si="334"/>
        <v>-6.5995643852719992</v>
      </c>
      <c r="L721" s="357">
        <f t="shared" ca="1" si="319"/>
        <v>187.825293801079</v>
      </c>
      <c r="M721" s="359">
        <f t="shared" ca="1" si="335"/>
        <v>-1.4291713820596548</v>
      </c>
      <c r="N721" s="357">
        <f t="shared" ca="1" si="336"/>
        <v>-81.885488392897116</v>
      </c>
      <c r="O721" s="343"/>
      <c r="P721" s="363">
        <f t="shared" ca="1" si="337"/>
        <v>23</v>
      </c>
      <c r="Q721" s="357">
        <f t="shared" ca="1" si="338"/>
        <v>0</v>
      </c>
      <c r="R721" s="359">
        <f t="shared" ca="1" si="339"/>
        <v>0</v>
      </c>
      <c r="S721" s="360">
        <f t="shared" ca="1" si="340"/>
        <v>1.5629999999999982</v>
      </c>
      <c r="T721" s="357">
        <f t="shared" ca="1" si="320"/>
        <v>15.333029999999983</v>
      </c>
      <c r="U721" s="364">
        <f t="shared" ca="1" si="321"/>
        <v>0</v>
      </c>
      <c r="V721" s="359">
        <f t="shared" ca="1" si="322"/>
        <v>1.2258087134950351</v>
      </c>
      <c r="W721" s="357">
        <f t="shared" ca="1" si="323"/>
        <v>6.0784510911716918</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5.8228843044130354</v>
      </c>
      <c r="AH721" s="357">
        <f t="shared" ca="1" si="347"/>
        <v>-3.8888945382115163</v>
      </c>
    </row>
    <row r="722" spans="1:34" x14ac:dyDescent="0.2">
      <c r="A722" s="402">
        <f t="shared" ca="1" si="325"/>
        <v>1E-4</v>
      </c>
      <c r="B722" s="357">
        <f t="shared" ca="1" si="326"/>
        <v>15.638199999999873</v>
      </c>
      <c r="C722" s="342"/>
      <c r="D722" s="359">
        <f t="shared" ca="1" si="327"/>
        <v>-0.5489349855434702</v>
      </c>
      <c r="E722" s="360">
        <f t="shared" ca="1" si="328"/>
        <v>-5.9599723166862919</v>
      </c>
      <c r="F722" s="357">
        <f t="shared" ca="1" si="329"/>
        <v>5.9851983788359577</v>
      </c>
      <c r="G722" s="359">
        <f t="shared" ca="1" si="330"/>
        <v>9.5281639406038465</v>
      </c>
      <c r="H722" s="360">
        <f t="shared" ca="1" si="331"/>
        <v>-66.828011356168261</v>
      </c>
      <c r="I722" s="357">
        <f t="shared" ca="1" si="332"/>
        <v>67.503844408294086</v>
      </c>
      <c r="J722" s="359">
        <f t="shared" ca="1" si="333"/>
        <v>187.70931447689617</v>
      </c>
      <c r="K722" s="360">
        <f t="shared" ca="1" si="334"/>
        <v>-6.6062471566077541</v>
      </c>
      <c r="L722" s="357">
        <f t="shared" ca="1" si="319"/>
        <v>187.82552873046967</v>
      </c>
      <c r="M722" s="359">
        <f t="shared" ca="1" si="335"/>
        <v>-1.4291734333515427</v>
      </c>
      <c r="N722" s="357">
        <f t="shared" ca="1" si="336"/>
        <v>-81.885605923264848</v>
      </c>
      <c r="O722" s="343"/>
      <c r="P722" s="363">
        <f t="shared" ca="1" si="337"/>
        <v>23</v>
      </c>
      <c r="Q722" s="357">
        <f t="shared" ca="1" si="338"/>
        <v>0</v>
      </c>
      <c r="R722" s="359">
        <f t="shared" ca="1" si="339"/>
        <v>0</v>
      </c>
      <c r="S722" s="360">
        <f t="shared" ca="1" si="340"/>
        <v>1.5629999999999982</v>
      </c>
      <c r="T722" s="357">
        <f t="shared" ca="1" si="320"/>
        <v>15.333029999999983</v>
      </c>
      <c r="U722" s="364">
        <f t="shared" ca="1" si="321"/>
        <v>0</v>
      </c>
      <c r="V722" s="359">
        <f t="shared" ca="1" si="322"/>
        <v>1.2258095326753311</v>
      </c>
      <c r="W722" s="357">
        <f t="shared" ca="1" si="323"/>
        <v>6.0785600189985161</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5.8228174533396917</v>
      </c>
      <c r="AH722" s="357">
        <f t="shared" ca="1" si="347"/>
        <v>-3.8889642297963523</v>
      </c>
    </row>
    <row r="723" spans="1:34" x14ac:dyDescent="0.2">
      <c r="A723" s="402">
        <f t="shared" ca="1" si="325"/>
        <v>1E-4</v>
      </c>
      <c r="B723" s="357">
        <f t="shared" ca="1" si="326"/>
        <v>15.638299999999873</v>
      </c>
      <c r="C723" s="342"/>
      <c r="D723" s="359">
        <f t="shared" ca="1" si="327"/>
        <v>-0.54893692496428093</v>
      </c>
      <c r="E723" s="360">
        <f t="shared" ca="1" si="328"/>
        <v>-5.9599021968960617</v>
      </c>
      <c r="F723" s="357">
        <f t="shared" ca="1" si="329"/>
        <v>5.9851287324631324</v>
      </c>
      <c r="G723" s="359">
        <f t="shared" ca="1" si="330"/>
        <v>9.5281090469113501</v>
      </c>
      <c r="H723" s="360">
        <f t="shared" ca="1" si="331"/>
        <v>-66.828607346387955</v>
      </c>
      <c r="I723" s="357">
        <f t="shared" ca="1" si="332"/>
        <v>67.504426683496334</v>
      </c>
      <c r="J723" s="359">
        <f t="shared" ca="1" si="333"/>
        <v>187.70931447689617</v>
      </c>
      <c r="K723" s="360">
        <f t="shared" ca="1" si="334"/>
        <v>-6.6129299875428815</v>
      </c>
      <c r="L723" s="357">
        <f t="shared" ca="1" si="319"/>
        <v>187.82576389943537</v>
      </c>
      <c r="M723" s="359">
        <f t="shared" ca="1" si="335"/>
        <v>-1.429175484596225</v>
      </c>
      <c r="N723" s="357">
        <f t="shared" ca="1" si="336"/>
        <v>-81.885723450927884</v>
      </c>
      <c r="O723" s="343"/>
      <c r="P723" s="363">
        <f t="shared" ca="1" si="337"/>
        <v>23</v>
      </c>
      <c r="Q723" s="357">
        <f t="shared" ca="1" si="338"/>
        <v>0</v>
      </c>
      <c r="R723" s="359">
        <f t="shared" ca="1" si="339"/>
        <v>0</v>
      </c>
      <c r="S723" s="360">
        <f t="shared" ca="1" si="340"/>
        <v>1.5629999999999982</v>
      </c>
      <c r="T723" s="357">
        <f t="shared" ca="1" si="320"/>
        <v>15.333029999999983</v>
      </c>
      <c r="U723" s="364">
        <f t="shared" ca="1" si="321"/>
        <v>0</v>
      </c>
      <c r="V723" s="359">
        <f t="shared" ca="1" si="322"/>
        <v>1.2258103518634811</v>
      </c>
      <c r="W723" s="357">
        <f t="shared" ca="1" si="323"/>
        <v>6.0786689467050463</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5.8227506022370648</v>
      </c>
      <c r="AH723" s="357">
        <f t="shared" ca="1" si="347"/>
        <v>-3.8890339213042373</v>
      </c>
    </row>
    <row r="724" spans="1:34" x14ac:dyDescent="0.2">
      <c r="A724" s="402">
        <f t="shared" ca="1" si="325"/>
        <v>1E-4</v>
      </c>
      <c r="B724" s="357">
        <f t="shared" ca="1" si="326"/>
        <v>15.638399999999873</v>
      </c>
      <c r="C724" s="342"/>
      <c r="D724" s="359">
        <f t="shared" ca="1" si="327"/>
        <v>-0.54893886427061511</v>
      </c>
      <c r="E724" s="360">
        <f t="shared" ca="1" si="328"/>
        <v>-5.9598320771837816</v>
      </c>
      <c r="F724" s="357">
        <f t="shared" ca="1" si="329"/>
        <v>5.9850590861691133</v>
      </c>
      <c r="G724" s="359">
        <f t="shared" ca="1" si="330"/>
        <v>9.5280541530249234</v>
      </c>
      <c r="H724" s="360">
        <f t="shared" ca="1" si="331"/>
        <v>-66.829203329595671</v>
      </c>
      <c r="I724" s="357">
        <f t="shared" ca="1" si="332"/>
        <v>67.505008952013455</v>
      </c>
      <c r="J724" s="359">
        <f t="shared" ca="1" si="333"/>
        <v>187.70931447689617</v>
      </c>
      <c r="K724" s="360">
        <f t="shared" ca="1" si="334"/>
        <v>-6.6196128780766808</v>
      </c>
      <c r="L724" s="357">
        <f t="shared" ca="1" si="319"/>
        <v>187.82599930798159</v>
      </c>
      <c r="M724" s="359">
        <f t="shared" ca="1" si="335"/>
        <v>-1.4291775357937033</v>
      </c>
      <c r="N724" s="357">
        <f t="shared" ca="1" si="336"/>
        <v>-81.885840975886339</v>
      </c>
      <c r="O724" s="343"/>
      <c r="P724" s="363">
        <f t="shared" ca="1" si="337"/>
        <v>23</v>
      </c>
      <c r="Q724" s="357">
        <f t="shared" ca="1" si="338"/>
        <v>0</v>
      </c>
      <c r="R724" s="359">
        <f t="shared" ca="1" si="339"/>
        <v>0</v>
      </c>
      <c r="S724" s="360">
        <f t="shared" ca="1" si="340"/>
        <v>1.5629999999999982</v>
      </c>
      <c r="T724" s="357">
        <f t="shared" ca="1" si="320"/>
        <v>15.333029999999983</v>
      </c>
      <c r="U724" s="364">
        <f t="shared" ca="1" si="321"/>
        <v>0</v>
      </c>
      <c r="V724" s="359">
        <f t="shared" ca="1" si="322"/>
        <v>1.2258111710594839</v>
      </c>
      <c r="W724" s="357">
        <f t="shared" ca="1" si="323"/>
        <v>6.0787778742912435</v>
      </c>
      <c r="X724" s="343"/>
      <c r="Y724" s="367" t="str">
        <f t="shared" ca="1" si="341"/>
        <v/>
      </c>
      <c r="Z724" s="368" t="str">
        <f t="shared" ca="1" si="342"/>
        <v/>
      </c>
      <c r="AA724" s="369" t="str">
        <f t="shared" ca="1" si="343"/>
        <v/>
      </c>
      <c r="AB724" s="344"/>
      <c r="AC724" s="363" t="e">
        <f t="shared" ca="1" si="344"/>
        <v>#N/A</v>
      </c>
      <c r="AD724" s="376" t="e">
        <f t="shared" ca="1" si="345"/>
        <v>#N/A</v>
      </c>
      <c r="AE724" s="377" t="e">
        <f t="shared" ca="1" si="324"/>
        <v>#N/A</v>
      </c>
      <c r="AF724" s="344"/>
      <c r="AG724" s="359">
        <f t="shared" ca="1" si="346"/>
        <v>5.8226837511051723</v>
      </c>
      <c r="AH724" s="357">
        <f t="shared" ca="1" si="347"/>
        <v>-3.889103612735159</v>
      </c>
    </row>
    <row r="725" spans="1:34" x14ac:dyDescent="0.2">
      <c r="A725" s="402">
        <f t="shared" ca="1" si="325"/>
        <v>1E-4</v>
      </c>
      <c r="B725" s="357">
        <f t="shared" ca="1" si="326"/>
        <v>15.638499999999873</v>
      </c>
      <c r="C725" s="342"/>
      <c r="D725" s="359">
        <f t="shared" ca="1" si="327"/>
        <v>-0.54894080346247365</v>
      </c>
      <c r="E725" s="360">
        <f t="shared" ca="1" si="328"/>
        <v>-5.9597619575494774</v>
      </c>
      <c r="F725" s="357">
        <f t="shared" ca="1" si="329"/>
        <v>5.9849894399539254</v>
      </c>
      <c r="G725" s="359">
        <f t="shared" ca="1" si="330"/>
        <v>9.5279992589445772</v>
      </c>
      <c r="H725" s="360">
        <f t="shared" ca="1" si="331"/>
        <v>-66.829799305791425</v>
      </c>
      <c r="I725" s="357">
        <f t="shared" ca="1" si="332"/>
        <v>67.505591213845449</v>
      </c>
      <c r="J725" s="359">
        <f t="shared" ca="1" si="333"/>
        <v>187.70931447689617</v>
      </c>
      <c r="K725" s="360">
        <f t="shared" ca="1" si="334"/>
        <v>-6.6262958282084501</v>
      </c>
      <c r="L725" s="357">
        <f t="shared" ca="1" si="319"/>
        <v>187.82623495611372</v>
      </c>
      <c r="M725" s="359">
        <f t="shared" ca="1" si="335"/>
        <v>-1.4291795869439794</v>
      </c>
      <c r="N725" s="357">
        <f t="shared" ca="1" si="336"/>
        <v>-81.885958498140312</v>
      </c>
      <c r="O725" s="343"/>
      <c r="P725" s="363">
        <f t="shared" ca="1" si="337"/>
        <v>23</v>
      </c>
      <c r="Q725" s="357">
        <f t="shared" ca="1" si="338"/>
        <v>0</v>
      </c>
      <c r="R725" s="359">
        <f t="shared" ca="1" si="339"/>
        <v>0</v>
      </c>
      <c r="S725" s="360">
        <f t="shared" ca="1" si="340"/>
        <v>1.5629999999999982</v>
      </c>
      <c r="T725" s="357">
        <f t="shared" ca="1" si="320"/>
        <v>15.333029999999983</v>
      </c>
      <c r="U725" s="364">
        <f t="shared" ca="1" si="321"/>
        <v>0</v>
      </c>
      <c r="V725" s="359">
        <f t="shared" ca="1" si="322"/>
        <v>1.2258119902633404</v>
      </c>
      <c r="W725" s="357">
        <f t="shared" ca="1" si="323"/>
        <v>6.078886801757081</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5.8226168999440482</v>
      </c>
      <c r="AH725" s="357">
        <f t="shared" ca="1" si="347"/>
        <v>-3.8891733040890917</v>
      </c>
    </row>
    <row r="726" spans="1:34" x14ac:dyDescent="0.2">
      <c r="A726" s="402">
        <f t="shared" ca="1" si="325"/>
        <v>1E-4</v>
      </c>
      <c r="B726" s="357">
        <f t="shared" ca="1" si="326"/>
        <v>15.638599999999872</v>
      </c>
      <c r="C726" s="342"/>
      <c r="D726" s="359">
        <f t="shared" ca="1" si="327"/>
        <v>-0.54894274253985775</v>
      </c>
      <c r="E726" s="360">
        <f t="shared" ca="1" si="328"/>
        <v>-5.959691837993164</v>
      </c>
      <c r="F726" s="357">
        <f t="shared" ca="1" si="329"/>
        <v>5.9849197938175847</v>
      </c>
      <c r="G726" s="359">
        <f t="shared" ca="1" si="330"/>
        <v>9.5279443646703239</v>
      </c>
      <c r="H726" s="360">
        <f t="shared" ca="1" si="331"/>
        <v>-66.830395274975231</v>
      </c>
      <c r="I726" s="357">
        <f t="shared" ca="1" si="332"/>
        <v>67.50617346899233</v>
      </c>
      <c r="J726" s="359">
        <f t="shared" ca="1" si="333"/>
        <v>187.70931447689617</v>
      </c>
      <c r="K726" s="360">
        <f t="shared" ca="1" si="334"/>
        <v>-6.6329788379374888</v>
      </c>
      <c r="L726" s="357">
        <f t="shared" ca="1" si="319"/>
        <v>187.8264708438372</v>
      </c>
      <c r="M726" s="359">
        <f t="shared" ca="1" si="335"/>
        <v>-1.4291816380470552</v>
      </c>
      <c r="N726" s="357">
        <f t="shared" ca="1" si="336"/>
        <v>-81.886076017689902</v>
      </c>
      <c r="O726" s="343"/>
      <c r="P726" s="363">
        <f t="shared" ca="1" si="337"/>
        <v>23</v>
      </c>
      <c r="Q726" s="357">
        <f t="shared" ca="1" si="338"/>
        <v>0</v>
      </c>
      <c r="R726" s="359">
        <f t="shared" ca="1" si="339"/>
        <v>0</v>
      </c>
      <c r="S726" s="360">
        <f t="shared" ca="1" si="340"/>
        <v>1.5629999999999982</v>
      </c>
      <c r="T726" s="357">
        <f t="shared" ca="1" si="320"/>
        <v>15.333029999999983</v>
      </c>
      <c r="U726" s="364">
        <f t="shared" ca="1" si="321"/>
        <v>0</v>
      </c>
      <c r="V726" s="359">
        <f t="shared" ca="1" si="322"/>
        <v>1.2258128094750498</v>
      </c>
      <c r="W726" s="357">
        <f t="shared" ca="1" si="323"/>
        <v>6.0789957291025285</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5.8225500487537056</v>
      </c>
      <c r="AH726" s="357">
        <f t="shared" ca="1" si="347"/>
        <v>-3.8892429953660193</v>
      </c>
    </row>
    <row r="727" spans="1:34" x14ac:dyDescent="0.2">
      <c r="A727" s="402">
        <f t="shared" ca="1" si="325"/>
        <v>1E-4</v>
      </c>
      <c r="B727" s="357">
        <f t="shared" ca="1" si="326"/>
        <v>15.638699999999872</v>
      </c>
      <c r="C727" s="342"/>
      <c r="D727" s="359">
        <f t="shared" ca="1" si="327"/>
        <v>-0.5489446815027671</v>
      </c>
      <c r="E727" s="360">
        <f t="shared" ca="1" si="328"/>
        <v>-5.9596217185148612</v>
      </c>
      <c r="F727" s="357">
        <f t="shared" ca="1" si="329"/>
        <v>5.9848501477601097</v>
      </c>
      <c r="G727" s="359">
        <f t="shared" ca="1" si="330"/>
        <v>9.5278894702021741</v>
      </c>
      <c r="H727" s="360">
        <f t="shared" ca="1" si="331"/>
        <v>-66.830991237147089</v>
      </c>
      <c r="I727" s="357">
        <f t="shared" ca="1" si="332"/>
        <v>67.506755717454084</v>
      </c>
      <c r="J727" s="359">
        <f t="shared" ca="1" si="333"/>
        <v>187.70931447689617</v>
      </c>
      <c r="K727" s="360">
        <f t="shared" ca="1" si="334"/>
        <v>-6.6396619072630951</v>
      </c>
      <c r="L727" s="357">
        <f t="shared" ca="1" si="319"/>
        <v>187.82670697115748</v>
      </c>
      <c r="M727" s="359">
        <f t="shared" ca="1" si="335"/>
        <v>-1.4291836891029319</v>
      </c>
      <c r="N727" s="357">
        <f t="shared" ca="1" si="336"/>
        <v>-81.886193534535181</v>
      </c>
      <c r="O727" s="343"/>
      <c r="P727" s="363">
        <f t="shared" ca="1" si="337"/>
        <v>23</v>
      </c>
      <c r="Q727" s="357">
        <f t="shared" ca="1" si="338"/>
        <v>0</v>
      </c>
      <c r="R727" s="359">
        <f t="shared" ca="1" si="339"/>
        <v>0</v>
      </c>
      <c r="S727" s="360">
        <f t="shared" ca="1" si="340"/>
        <v>1.5629999999999982</v>
      </c>
      <c r="T727" s="357">
        <f t="shared" ca="1" si="320"/>
        <v>15.333029999999983</v>
      </c>
      <c r="U727" s="364">
        <f t="shared" ca="1" si="321"/>
        <v>0</v>
      </c>
      <c r="V727" s="359">
        <f t="shared" ca="1" si="322"/>
        <v>1.2258136286946122</v>
      </c>
      <c r="W727" s="357">
        <f t="shared" ca="1" si="323"/>
        <v>6.0791046563275541</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5.8224831975341784</v>
      </c>
      <c r="AH727" s="357">
        <f t="shared" ca="1" si="347"/>
        <v>-3.8893126865659218</v>
      </c>
    </row>
    <row r="728" spans="1:34" x14ac:dyDescent="0.2">
      <c r="A728" s="402">
        <f t="shared" ca="1" si="325"/>
        <v>1E-4</v>
      </c>
      <c r="B728" s="357">
        <f t="shared" ca="1" si="326"/>
        <v>15.638799999999872</v>
      </c>
      <c r="C728" s="342"/>
      <c r="D728" s="359">
        <f t="shared" ca="1" si="327"/>
        <v>-0.54894662035120501</v>
      </c>
      <c r="E728" s="360">
        <f t="shared" ca="1" si="328"/>
        <v>-5.9595515991145911</v>
      </c>
      <c r="F728" s="357">
        <f t="shared" ca="1" si="329"/>
        <v>5.9847805017815219</v>
      </c>
      <c r="G728" s="359">
        <f t="shared" ca="1" si="330"/>
        <v>9.5278345755401386</v>
      </c>
      <c r="H728" s="360">
        <f t="shared" ca="1" si="331"/>
        <v>-66.831587192306998</v>
      </c>
      <c r="I728" s="357">
        <f t="shared" ca="1" si="332"/>
        <v>67.507337959230711</v>
      </c>
      <c r="J728" s="359">
        <f t="shared" ca="1" si="333"/>
        <v>187.70931447689617</v>
      </c>
      <c r="K728" s="360">
        <f t="shared" ca="1" si="334"/>
        <v>-6.6463450361845675</v>
      </c>
      <c r="L728" s="357">
        <f t="shared" ca="1" si="319"/>
        <v>187.82694333807999</v>
      </c>
      <c r="M728" s="359">
        <f t="shared" ca="1" si="335"/>
        <v>-1.4291857401116115</v>
      </c>
      <c r="N728" s="357">
        <f t="shared" ca="1" si="336"/>
        <v>-81.886311048676262</v>
      </c>
      <c r="O728" s="343"/>
      <c r="P728" s="363">
        <f t="shared" ca="1" si="337"/>
        <v>23</v>
      </c>
      <c r="Q728" s="357">
        <f t="shared" ca="1" si="338"/>
        <v>0</v>
      </c>
      <c r="R728" s="359">
        <f t="shared" ca="1" si="339"/>
        <v>0</v>
      </c>
      <c r="S728" s="360">
        <f t="shared" ca="1" si="340"/>
        <v>1.5629999999999982</v>
      </c>
      <c r="T728" s="357">
        <f t="shared" ca="1" si="320"/>
        <v>15.333029999999983</v>
      </c>
      <c r="U728" s="364">
        <f t="shared" ca="1" si="321"/>
        <v>0</v>
      </c>
      <c r="V728" s="359">
        <f t="shared" ca="1" si="322"/>
        <v>1.2258144479220279</v>
      </c>
      <c r="W728" s="357">
        <f t="shared" ca="1" si="323"/>
        <v>6.0792135834321295</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5.8224163462854843</v>
      </c>
      <c r="AH728" s="357">
        <f t="shared" ca="1" si="347"/>
        <v>-3.8893823776887788</v>
      </c>
    </row>
    <row r="729" spans="1:34" x14ac:dyDescent="0.2">
      <c r="A729" s="402">
        <f t="shared" ca="1" si="325"/>
        <v>1E-4</v>
      </c>
      <c r="B729" s="357">
        <f t="shared" ca="1" si="326"/>
        <v>15.638899999999872</v>
      </c>
      <c r="C729" s="342"/>
      <c r="D729" s="359">
        <f t="shared" ca="1" si="327"/>
        <v>-0.54894855908517126</v>
      </c>
      <c r="E729" s="360">
        <f t="shared" ca="1" si="328"/>
        <v>-5.9594814797923705</v>
      </c>
      <c r="F729" s="357">
        <f t="shared" ca="1" si="329"/>
        <v>5.9847108558818407</v>
      </c>
      <c r="G729" s="359">
        <f t="shared" ca="1" si="330"/>
        <v>9.5277796806842296</v>
      </c>
      <c r="H729" s="360">
        <f t="shared" ca="1" si="331"/>
        <v>-66.832183140454973</v>
      </c>
      <c r="I729" s="357">
        <f t="shared" ca="1" si="332"/>
        <v>67.507920194322182</v>
      </c>
      <c r="J729" s="359">
        <f t="shared" ca="1" si="333"/>
        <v>187.70931447689617</v>
      </c>
      <c r="K729" s="360">
        <f t="shared" ca="1" si="334"/>
        <v>-6.653028224701206</v>
      </c>
      <c r="L729" s="357">
        <f t="shared" ca="1" si="319"/>
        <v>187.82717994461018</v>
      </c>
      <c r="M729" s="359">
        <f t="shared" ca="1" si="335"/>
        <v>-1.4291877910730957</v>
      </c>
      <c r="N729" s="357">
        <f t="shared" ca="1" si="336"/>
        <v>-81.886428560113259</v>
      </c>
      <c r="O729" s="343"/>
      <c r="P729" s="363">
        <f t="shared" ca="1" si="337"/>
        <v>23</v>
      </c>
      <c r="Q729" s="357">
        <f t="shared" ca="1" si="338"/>
        <v>0</v>
      </c>
      <c r="R729" s="359">
        <f t="shared" ca="1" si="339"/>
        <v>0</v>
      </c>
      <c r="S729" s="360">
        <f t="shared" ca="1" si="340"/>
        <v>1.5629999999999982</v>
      </c>
      <c r="T729" s="357">
        <f t="shared" ca="1" si="320"/>
        <v>15.333029999999983</v>
      </c>
      <c r="U729" s="364">
        <f t="shared" ca="1" si="321"/>
        <v>0</v>
      </c>
      <c r="V729" s="359">
        <f t="shared" ca="1" si="322"/>
        <v>1.2258152671572964</v>
      </c>
      <c r="W729" s="357">
        <f t="shared" ca="1" si="323"/>
        <v>6.0793225104162172</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5.8223494950076535</v>
      </c>
      <c r="AH729" s="357">
        <f t="shared" ca="1" si="347"/>
        <v>-3.8894520687345722</v>
      </c>
    </row>
    <row r="730" spans="1:34" x14ac:dyDescent="0.2">
      <c r="A730" s="402">
        <f t="shared" ca="1" si="325"/>
        <v>1E-4</v>
      </c>
      <c r="B730" s="357">
        <f t="shared" ca="1" si="326"/>
        <v>15.638999999999871</v>
      </c>
      <c r="C730" s="342"/>
      <c r="D730" s="359">
        <f t="shared" ca="1" si="327"/>
        <v>-0.54895049770466631</v>
      </c>
      <c r="E730" s="360">
        <f t="shared" ca="1" si="328"/>
        <v>-5.9594113605482235</v>
      </c>
      <c r="F730" s="357">
        <f t="shared" ca="1" si="329"/>
        <v>5.9846412100610866</v>
      </c>
      <c r="G730" s="359">
        <f t="shared" ca="1" si="330"/>
        <v>9.5277247856344598</v>
      </c>
      <c r="H730" s="360">
        <f t="shared" ca="1" si="331"/>
        <v>-66.832779081591028</v>
      </c>
      <c r="I730" s="357">
        <f t="shared" ca="1" si="332"/>
        <v>67.508502422728526</v>
      </c>
      <c r="J730" s="359">
        <f t="shared" ca="1" si="333"/>
        <v>187.70931447689617</v>
      </c>
      <c r="K730" s="360">
        <f t="shared" ca="1" si="334"/>
        <v>-6.6597114728123081</v>
      </c>
      <c r="L730" s="357">
        <f t="shared" ca="1" si="319"/>
        <v>187.82741679075343</v>
      </c>
      <c r="M730" s="359">
        <f t="shared" ca="1" si="335"/>
        <v>-1.4291898419873861</v>
      </c>
      <c r="N730" s="357">
        <f t="shared" ca="1" si="336"/>
        <v>-81.886546068846243</v>
      </c>
      <c r="O730" s="343"/>
      <c r="P730" s="363">
        <f t="shared" ca="1" si="337"/>
        <v>23</v>
      </c>
      <c r="Q730" s="357">
        <f t="shared" ca="1" si="338"/>
        <v>0</v>
      </c>
      <c r="R730" s="359">
        <f t="shared" ca="1" si="339"/>
        <v>0</v>
      </c>
      <c r="S730" s="360">
        <f t="shared" ca="1" si="340"/>
        <v>1.5629999999999982</v>
      </c>
      <c r="T730" s="357">
        <f t="shared" ca="1" si="320"/>
        <v>15.333029999999983</v>
      </c>
      <c r="U730" s="364">
        <f t="shared" ca="1" si="321"/>
        <v>0</v>
      </c>
      <c r="V730" s="359">
        <f t="shared" ca="1" si="322"/>
        <v>1.2258160864004179</v>
      </c>
      <c r="W730" s="357">
        <f t="shared" ca="1" si="323"/>
        <v>6.0794314372797933</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5.8222826437007118</v>
      </c>
      <c r="AH730" s="357">
        <f t="shared" ca="1" si="347"/>
        <v>-3.8895217597032783</v>
      </c>
    </row>
    <row r="731" spans="1:34" x14ac:dyDescent="0.2">
      <c r="A731" s="402">
        <f t="shared" ca="1" si="325"/>
        <v>1E-4</v>
      </c>
      <c r="B731" s="357">
        <f t="shared" ca="1" si="326"/>
        <v>15.639099999999871</v>
      </c>
      <c r="C731" s="342"/>
      <c r="D731" s="359">
        <f t="shared" ca="1" si="327"/>
        <v>-0.54895243620969225</v>
      </c>
      <c r="E731" s="360">
        <f t="shared" ca="1" si="328"/>
        <v>-5.959341241382166</v>
      </c>
      <c r="F731" s="357">
        <f t="shared" ca="1" si="329"/>
        <v>5.9845715643192783</v>
      </c>
      <c r="G731" s="359">
        <f t="shared" ca="1" si="330"/>
        <v>9.5276698903908397</v>
      </c>
      <c r="H731" s="360">
        <f t="shared" ca="1" si="331"/>
        <v>-66.833375015715163</v>
      </c>
      <c r="I731" s="357">
        <f t="shared" ca="1" si="332"/>
        <v>67.509084644449743</v>
      </c>
      <c r="J731" s="359">
        <f t="shared" ca="1" si="333"/>
        <v>187.70931447689617</v>
      </c>
      <c r="K731" s="360">
        <f t="shared" ca="1" si="334"/>
        <v>-6.666394780517173</v>
      </c>
      <c r="L731" s="357">
        <f t="shared" ca="1" si="319"/>
        <v>187.82765387651523</v>
      </c>
      <c r="M731" s="359">
        <f t="shared" ca="1" si="335"/>
        <v>-1.4291918928544842</v>
      </c>
      <c r="N731" s="357">
        <f t="shared" ca="1" si="336"/>
        <v>-81.8866635748753</v>
      </c>
      <c r="O731" s="343"/>
      <c r="P731" s="363">
        <f t="shared" ca="1" si="337"/>
        <v>23</v>
      </c>
      <c r="Q731" s="357">
        <f t="shared" ca="1" si="338"/>
        <v>0</v>
      </c>
      <c r="R731" s="359">
        <f t="shared" ca="1" si="339"/>
        <v>0</v>
      </c>
      <c r="S731" s="360">
        <f t="shared" ca="1" si="340"/>
        <v>1.5629999999999982</v>
      </c>
      <c r="T731" s="357">
        <f t="shared" ca="1" si="320"/>
        <v>15.333029999999983</v>
      </c>
      <c r="U731" s="364">
        <f t="shared" ca="1" si="321"/>
        <v>0</v>
      </c>
      <c r="V731" s="359">
        <f t="shared" ca="1" si="322"/>
        <v>1.2258169056513919</v>
      </c>
      <c r="W731" s="357">
        <f t="shared" ca="1" si="323"/>
        <v>6.0795403640228241</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5.8222157923646787</v>
      </c>
      <c r="AH731" s="357">
        <f t="shared" ca="1" si="347"/>
        <v>-3.8895914505948821</v>
      </c>
    </row>
    <row r="732" spans="1:34" x14ac:dyDescent="0.2">
      <c r="A732" s="402">
        <f t="shared" ca="1" si="325"/>
        <v>1E-4</v>
      </c>
      <c r="B732" s="357">
        <f t="shared" ca="1" si="326"/>
        <v>15.639199999999871</v>
      </c>
      <c r="C732" s="342"/>
      <c r="D732" s="359">
        <f t="shared" ca="1" si="327"/>
        <v>-0.54895437460024998</v>
      </c>
      <c r="E732" s="360">
        <f t="shared" ca="1" si="328"/>
        <v>-5.9592711222942203</v>
      </c>
      <c r="F732" s="357">
        <f t="shared" ca="1" si="329"/>
        <v>5.9845019186564361</v>
      </c>
      <c r="G732" s="359">
        <f t="shared" ca="1" si="330"/>
        <v>9.5276149949533799</v>
      </c>
      <c r="H732" s="360">
        <f t="shared" ca="1" si="331"/>
        <v>-66.833970942827392</v>
      </c>
      <c r="I732" s="357">
        <f t="shared" ca="1" si="332"/>
        <v>67.509666859485804</v>
      </c>
      <c r="J732" s="359">
        <f t="shared" ca="1" si="333"/>
        <v>187.70931447689617</v>
      </c>
      <c r="K732" s="360">
        <f t="shared" ca="1" si="334"/>
        <v>-6.6730781478151</v>
      </c>
      <c r="L732" s="357">
        <f t="shared" ca="1" si="319"/>
        <v>187.82789120190097</v>
      </c>
      <c r="M732" s="359">
        <f t="shared" ca="1" si="335"/>
        <v>-1.4291939436743921</v>
      </c>
      <c r="N732" s="357">
        <f t="shared" ca="1" si="336"/>
        <v>-81.886781078200571</v>
      </c>
      <c r="O732" s="343"/>
      <c r="P732" s="363">
        <f t="shared" ca="1" si="337"/>
        <v>23</v>
      </c>
      <c r="Q732" s="357">
        <f t="shared" ca="1" si="338"/>
        <v>0</v>
      </c>
      <c r="R732" s="359">
        <f t="shared" ca="1" si="339"/>
        <v>0</v>
      </c>
      <c r="S732" s="360">
        <f t="shared" ca="1" si="340"/>
        <v>1.5629999999999982</v>
      </c>
      <c r="T732" s="357">
        <f t="shared" ca="1" si="320"/>
        <v>15.333029999999983</v>
      </c>
      <c r="U732" s="364">
        <f t="shared" ca="1" si="321"/>
        <v>0</v>
      </c>
      <c r="V732" s="359">
        <f t="shared" ca="1" si="322"/>
        <v>1.2258177249102189</v>
      </c>
      <c r="W732" s="357">
        <f t="shared" ca="1" si="323"/>
        <v>6.0796492906452819</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5.8221489409995826</v>
      </c>
      <c r="AH732" s="357">
        <f t="shared" ca="1" si="347"/>
        <v>-3.8896611414093609</v>
      </c>
    </row>
    <row r="733" spans="1:34" x14ac:dyDescent="0.2">
      <c r="A733" s="402">
        <f t="shared" ca="1" si="325"/>
        <v>1E-4</v>
      </c>
      <c r="B733" s="357">
        <f t="shared" ca="1" si="326"/>
        <v>15.639299999999871</v>
      </c>
      <c r="C733" s="342"/>
      <c r="D733" s="359">
        <f t="shared" ca="1" si="327"/>
        <v>-0.54895631287634006</v>
      </c>
      <c r="E733" s="360">
        <f t="shared" ca="1" si="328"/>
        <v>-5.9592010032844023</v>
      </c>
      <c r="F733" s="357">
        <f t="shared" ca="1" si="329"/>
        <v>5.984432273072577</v>
      </c>
      <c r="G733" s="359">
        <f t="shared" ca="1" si="330"/>
        <v>9.527560099322093</v>
      </c>
      <c r="H733" s="360">
        <f t="shared" ca="1" si="331"/>
        <v>-66.834566862927716</v>
      </c>
      <c r="I733" s="357">
        <f t="shared" ca="1" si="332"/>
        <v>67.510249067836725</v>
      </c>
      <c r="J733" s="359">
        <f t="shared" ca="1" si="333"/>
        <v>187.70931447689617</v>
      </c>
      <c r="K733" s="360">
        <f t="shared" ca="1" si="334"/>
        <v>-6.6797615747053873</v>
      </c>
      <c r="L733" s="357">
        <f t="shared" ca="1" si="319"/>
        <v>187.82812876691608</v>
      </c>
      <c r="M733" s="359">
        <f t="shared" ca="1" si="335"/>
        <v>-1.4291959944471113</v>
      </c>
      <c r="N733" s="357">
        <f t="shared" ca="1" si="336"/>
        <v>-81.886898578822112</v>
      </c>
      <c r="O733" s="343"/>
      <c r="P733" s="363">
        <f t="shared" ca="1" si="337"/>
        <v>23</v>
      </c>
      <c r="Q733" s="357">
        <f t="shared" ca="1" si="338"/>
        <v>0</v>
      </c>
      <c r="R733" s="359">
        <f t="shared" ca="1" si="339"/>
        <v>0</v>
      </c>
      <c r="S733" s="360">
        <f t="shared" ca="1" si="340"/>
        <v>1.5629999999999982</v>
      </c>
      <c r="T733" s="357">
        <f t="shared" ca="1" si="320"/>
        <v>15.333029999999983</v>
      </c>
      <c r="U733" s="364">
        <f t="shared" ca="1" si="321"/>
        <v>0</v>
      </c>
      <c r="V733" s="359">
        <f t="shared" ca="1" si="322"/>
        <v>1.2258185441768985</v>
      </c>
      <c r="W733" s="357">
        <f t="shared" ca="1" si="323"/>
        <v>6.079758217147134</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5.8220820896054466</v>
      </c>
      <c r="AH733" s="357">
        <f t="shared" ca="1" si="347"/>
        <v>-3.8897308321466979</v>
      </c>
    </row>
    <row r="734" spans="1:34" x14ac:dyDescent="0.2">
      <c r="A734" s="402">
        <f t="shared" ca="1" si="325"/>
        <v>1E-4</v>
      </c>
      <c r="B734" s="357">
        <f t="shared" ca="1" si="326"/>
        <v>15.639399999999871</v>
      </c>
      <c r="C734" s="342"/>
      <c r="D734" s="359">
        <f t="shared" ca="1" si="327"/>
        <v>-0.54895825103796358</v>
      </c>
      <c r="E734" s="360">
        <f t="shared" ca="1" si="328"/>
        <v>-5.9591308843527351</v>
      </c>
      <c r="F734" s="357">
        <f t="shared" ca="1" si="329"/>
        <v>5.9843626275677231</v>
      </c>
      <c r="G734" s="359">
        <f t="shared" ca="1" si="330"/>
        <v>9.5275052034969896</v>
      </c>
      <c r="H734" s="360">
        <f t="shared" ca="1" si="331"/>
        <v>-66.835162776016148</v>
      </c>
      <c r="I734" s="357">
        <f t="shared" ca="1" si="332"/>
        <v>67.510831269502503</v>
      </c>
      <c r="J734" s="359">
        <f t="shared" ca="1" si="333"/>
        <v>187.70931447689617</v>
      </c>
      <c r="K734" s="360">
        <f t="shared" ca="1" si="334"/>
        <v>-6.6864450611873343</v>
      </c>
      <c r="L734" s="357">
        <f t="shared" ca="1" si="319"/>
        <v>187.82836657156602</v>
      </c>
      <c r="M734" s="359">
        <f t="shared" ca="1" si="335"/>
        <v>-1.4291980451726434</v>
      </c>
      <c r="N734" s="357">
        <f t="shared" ca="1" si="336"/>
        <v>-81.887016076740039</v>
      </c>
      <c r="O734" s="343"/>
      <c r="P734" s="363">
        <f t="shared" ca="1" si="337"/>
        <v>23</v>
      </c>
      <c r="Q734" s="357">
        <f t="shared" ca="1" si="338"/>
        <v>0</v>
      </c>
      <c r="R734" s="359">
        <f t="shared" ca="1" si="339"/>
        <v>0</v>
      </c>
      <c r="S734" s="360">
        <f t="shared" ca="1" si="340"/>
        <v>1.5629999999999982</v>
      </c>
      <c r="T734" s="357">
        <f t="shared" ca="1" si="320"/>
        <v>15.333029999999983</v>
      </c>
      <c r="U734" s="364">
        <f t="shared" ca="1" si="321"/>
        <v>0</v>
      </c>
      <c r="V734" s="359">
        <f t="shared" ca="1" si="322"/>
        <v>1.2258193634514305</v>
      </c>
      <c r="W734" s="357">
        <f t="shared" ca="1" si="323"/>
        <v>6.0798671435283493</v>
      </c>
      <c r="X734" s="343"/>
      <c r="Y734" s="367" t="str">
        <f t="shared" ca="1" si="341"/>
        <v/>
      </c>
      <c r="Z734" s="368" t="str">
        <f t="shared" ca="1" si="342"/>
        <v/>
      </c>
      <c r="AA734" s="369" t="str">
        <f t="shared" ca="1" si="343"/>
        <v/>
      </c>
      <c r="AB734" s="344"/>
      <c r="AC734" s="363" t="e">
        <f t="shared" ca="1" si="344"/>
        <v>#N/A</v>
      </c>
      <c r="AD734" s="376" t="e">
        <f t="shared" ca="1" si="345"/>
        <v>#N/A</v>
      </c>
      <c r="AE734" s="377" t="e">
        <f t="shared" ca="1" si="324"/>
        <v>#N/A</v>
      </c>
      <c r="AF734" s="344"/>
      <c r="AG734" s="359">
        <f t="shared" ca="1" si="346"/>
        <v>5.8220152381822938</v>
      </c>
      <c r="AH734" s="357">
        <f t="shared" ca="1" si="347"/>
        <v>-3.8898005228068722</v>
      </c>
    </row>
    <row r="735" spans="1:34" x14ac:dyDescent="0.2">
      <c r="A735" s="402">
        <f t="shared" ca="1" si="325"/>
        <v>1E-4</v>
      </c>
      <c r="B735" s="357">
        <f t="shared" ca="1" si="326"/>
        <v>15.63949999999987</v>
      </c>
      <c r="C735" s="342"/>
      <c r="D735" s="359">
        <f t="shared" ca="1" si="327"/>
        <v>-0.54896018908512223</v>
      </c>
      <c r="E735" s="360">
        <f t="shared" ca="1" si="328"/>
        <v>-5.9590607654992365</v>
      </c>
      <c r="F735" s="357">
        <f t="shared" ca="1" si="329"/>
        <v>5.984292982141894</v>
      </c>
      <c r="G735" s="359">
        <f t="shared" ca="1" si="330"/>
        <v>9.5274503074780803</v>
      </c>
      <c r="H735" s="360">
        <f t="shared" ca="1" si="331"/>
        <v>-66.835758682092703</v>
      </c>
      <c r="I735" s="357">
        <f t="shared" ca="1" si="332"/>
        <v>67.511413464483127</v>
      </c>
      <c r="J735" s="359">
        <f t="shared" ca="1" si="333"/>
        <v>187.70931447689617</v>
      </c>
      <c r="K735" s="360">
        <f t="shared" ca="1" si="334"/>
        <v>-6.6931286072602401</v>
      </c>
      <c r="L735" s="357">
        <f t="shared" ca="1" si="319"/>
        <v>187.82860461585616</v>
      </c>
      <c r="M735" s="359">
        <f t="shared" ca="1" si="335"/>
        <v>-1.4292000958509903</v>
      </c>
      <c r="N735" s="357">
        <f t="shared" ca="1" si="336"/>
        <v>-81.887133571954465</v>
      </c>
      <c r="O735" s="343"/>
      <c r="P735" s="363">
        <f t="shared" ca="1" si="337"/>
        <v>23</v>
      </c>
      <c r="Q735" s="357">
        <f t="shared" ca="1" si="338"/>
        <v>0</v>
      </c>
      <c r="R735" s="359">
        <f t="shared" ca="1" si="339"/>
        <v>0</v>
      </c>
      <c r="S735" s="360">
        <f t="shared" ca="1" si="340"/>
        <v>1.5629999999999982</v>
      </c>
      <c r="T735" s="357">
        <f t="shared" ca="1" si="320"/>
        <v>15.333029999999983</v>
      </c>
      <c r="U735" s="364">
        <f t="shared" ca="1" si="321"/>
        <v>0</v>
      </c>
      <c r="V735" s="359">
        <f t="shared" ca="1" si="322"/>
        <v>1.2258201827338155</v>
      </c>
      <c r="W735" s="357">
        <f t="shared" ca="1" si="323"/>
        <v>6.079976069788902</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5.8219483867301536</v>
      </c>
      <c r="AH735" s="357">
        <f t="shared" ca="1" si="347"/>
        <v>-3.8898702133898633</v>
      </c>
    </row>
    <row r="736" spans="1:34" x14ac:dyDescent="0.2">
      <c r="A736" s="402">
        <f t="shared" ca="1" si="325"/>
        <v>1E-4</v>
      </c>
      <c r="B736" s="357">
        <f t="shared" ca="1" si="326"/>
        <v>15.63959999999987</v>
      </c>
      <c r="C736" s="342"/>
      <c r="D736" s="359">
        <f t="shared" ca="1" si="327"/>
        <v>-0.54896212701781621</v>
      </c>
      <c r="E736" s="360">
        <f t="shared" ca="1" si="328"/>
        <v>-5.958990646723926</v>
      </c>
      <c r="F736" s="357">
        <f t="shared" ca="1" si="329"/>
        <v>5.9842233367951065</v>
      </c>
      <c r="G736" s="359">
        <f t="shared" ca="1" si="330"/>
        <v>9.5273954112653794</v>
      </c>
      <c r="H736" s="360">
        <f t="shared" ca="1" si="331"/>
        <v>-66.83635458115738</v>
      </c>
      <c r="I736" s="357">
        <f t="shared" ca="1" si="332"/>
        <v>67.511995652778609</v>
      </c>
      <c r="J736" s="359">
        <f t="shared" ca="1" si="333"/>
        <v>187.70931447689617</v>
      </c>
      <c r="K736" s="360">
        <f t="shared" ca="1" si="334"/>
        <v>-6.6998122129234021</v>
      </c>
      <c r="L736" s="357">
        <f t="shared" ca="1" si="319"/>
        <v>187.82884289979197</v>
      </c>
      <c r="M736" s="359">
        <f t="shared" ca="1" si="335"/>
        <v>-1.4292021464821534</v>
      </c>
      <c r="N736" s="357">
        <f t="shared" ca="1" si="336"/>
        <v>-81.887251064465445</v>
      </c>
      <c r="O736" s="343"/>
      <c r="P736" s="363">
        <f t="shared" ca="1" si="337"/>
        <v>23</v>
      </c>
      <c r="Q736" s="357">
        <f t="shared" ca="1" si="338"/>
        <v>0</v>
      </c>
      <c r="R736" s="359">
        <f t="shared" ca="1" si="339"/>
        <v>0</v>
      </c>
      <c r="S736" s="360">
        <f t="shared" ca="1" si="340"/>
        <v>1.5629999999999982</v>
      </c>
      <c r="T736" s="357">
        <f t="shared" ca="1" si="320"/>
        <v>15.333029999999983</v>
      </c>
      <c r="U736" s="364">
        <f t="shared" ca="1" si="321"/>
        <v>0</v>
      </c>
      <c r="V736" s="359">
        <f t="shared" ca="1" si="322"/>
        <v>1.2258210020240525</v>
      </c>
      <c r="W736" s="357">
        <f t="shared" ca="1" si="323"/>
        <v>6.080084995928754</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5.8218815352490445</v>
      </c>
      <c r="AH736" s="357">
        <f t="shared" ca="1" si="347"/>
        <v>-3.8899399038956552</v>
      </c>
    </row>
    <row r="737" spans="1:34" x14ac:dyDescent="0.2">
      <c r="A737" s="402">
        <f t="shared" ca="1" si="325"/>
        <v>1E-4</v>
      </c>
      <c r="B737" s="357">
        <f t="shared" ca="1" si="326"/>
        <v>15.63969999999987</v>
      </c>
      <c r="C737" s="342"/>
      <c r="D737" s="359">
        <f t="shared" ca="1" si="327"/>
        <v>-0.54896406483604709</v>
      </c>
      <c r="E737" s="360">
        <f t="shared" ca="1" si="328"/>
        <v>-5.9589205280268249</v>
      </c>
      <c r="F737" s="357">
        <f t="shared" ca="1" si="329"/>
        <v>5.984153691527383</v>
      </c>
      <c r="G737" s="359">
        <f t="shared" ca="1" si="330"/>
        <v>9.5273405148588957</v>
      </c>
      <c r="H737" s="360">
        <f t="shared" ca="1" si="331"/>
        <v>-66.83695047321018</v>
      </c>
      <c r="I737" s="357">
        <f t="shared" ca="1" si="332"/>
        <v>67.512577834388921</v>
      </c>
      <c r="J737" s="359">
        <f t="shared" ca="1" si="333"/>
        <v>187.70931447689617</v>
      </c>
      <c r="K737" s="360">
        <f t="shared" ca="1" si="334"/>
        <v>-6.7064958781761206</v>
      </c>
      <c r="L737" s="357">
        <f t="shared" ca="1" si="319"/>
        <v>187.82908142337888</v>
      </c>
      <c r="M737" s="359">
        <f t="shared" ca="1" si="335"/>
        <v>-1.4292041970661344</v>
      </c>
      <c r="N737" s="357">
        <f t="shared" ca="1" si="336"/>
        <v>-81.887368554273095</v>
      </c>
      <c r="O737" s="343"/>
      <c r="P737" s="363">
        <f t="shared" ca="1" si="337"/>
        <v>23</v>
      </c>
      <c r="Q737" s="357">
        <f t="shared" ca="1" si="338"/>
        <v>0</v>
      </c>
      <c r="R737" s="359">
        <f t="shared" ca="1" si="339"/>
        <v>0</v>
      </c>
      <c r="S737" s="360">
        <f t="shared" ca="1" si="340"/>
        <v>1.5629999999999982</v>
      </c>
      <c r="T737" s="357">
        <f t="shared" ca="1" si="320"/>
        <v>15.333029999999983</v>
      </c>
      <c r="U737" s="364">
        <f t="shared" ca="1" si="321"/>
        <v>0</v>
      </c>
      <c r="V737" s="359">
        <f t="shared" ca="1" si="322"/>
        <v>1.2258218213221423</v>
      </c>
      <c r="W737" s="357">
        <f t="shared" ca="1" si="323"/>
        <v>6.0801939219478784</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5.8218146837389977</v>
      </c>
      <c r="AH737" s="357">
        <f t="shared" ca="1" si="347"/>
        <v>-3.8900095943242232</v>
      </c>
    </row>
    <row r="738" spans="1:34" x14ac:dyDescent="0.2">
      <c r="A738" s="402">
        <f t="shared" ca="1" si="325"/>
        <v>1E-4</v>
      </c>
      <c r="B738" s="357">
        <f t="shared" ca="1" si="326"/>
        <v>15.63979999999987</v>
      </c>
      <c r="C738" s="342"/>
      <c r="D738" s="359">
        <f t="shared" ca="1" si="327"/>
        <v>-0.54896600253981631</v>
      </c>
      <c r="E738" s="360">
        <f t="shared" ca="1" si="328"/>
        <v>-5.9588504094079529</v>
      </c>
      <c r="F738" s="357">
        <f t="shared" ca="1" si="329"/>
        <v>5.9840840463387437</v>
      </c>
      <c r="G738" s="359">
        <f t="shared" ca="1" si="330"/>
        <v>9.5272856182586416</v>
      </c>
      <c r="H738" s="360">
        <f t="shared" ca="1" si="331"/>
        <v>-66.837546358251117</v>
      </c>
      <c r="I738" s="357">
        <f t="shared" ca="1" si="332"/>
        <v>67.513160009314078</v>
      </c>
      <c r="J738" s="359">
        <f t="shared" ca="1" si="333"/>
        <v>187.70931447689617</v>
      </c>
      <c r="K738" s="360">
        <f t="shared" ca="1" si="334"/>
        <v>-6.7131796030176938</v>
      </c>
      <c r="L738" s="357">
        <f t="shared" ca="1" si="319"/>
        <v>187.82932018662228</v>
      </c>
      <c r="M738" s="359">
        <f t="shared" ca="1" si="335"/>
        <v>-1.4292062476029352</v>
      </c>
      <c r="N738" s="357">
        <f t="shared" ca="1" si="336"/>
        <v>-81.887486041377514</v>
      </c>
      <c r="O738" s="343"/>
      <c r="P738" s="363">
        <f t="shared" ca="1" si="337"/>
        <v>23</v>
      </c>
      <c r="Q738" s="357">
        <f t="shared" ca="1" si="338"/>
        <v>0</v>
      </c>
      <c r="R738" s="359">
        <f t="shared" ca="1" si="339"/>
        <v>0</v>
      </c>
      <c r="S738" s="360">
        <f t="shared" ca="1" si="340"/>
        <v>1.5629999999999982</v>
      </c>
      <c r="T738" s="357">
        <f t="shared" ca="1" si="320"/>
        <v>15.333029999999983</v>
      </c>
      <c r="U738" s="364">
        <f t="shared" ca="1" si="321"/>
        <v>0</v>
      </c>
      <c r="V738" s="359">
        <f t="shared" ca="1" si="322"/>
        <v>1.2258226406280841</v>
      </c>
      <c r="W738" s="357">
        <f t="shared" ca="1" si="323"/>
        <v>6.0803028478462453</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5.8217478322000353</v>
      </c>
      <c r="AH738" s="357">
        <f t="shared" ca="1" si="347"/>
        <v>-3.8900792846755508</v>
      </c>
    </row>
    <row r="739" spans="1:34" x14ac:dyDescent="0.2">
      <c r="A739" s="402">
        <f t="shared" ca="1" si="325"/>
        <v>1E-4</v>
      </c>
      <c r="B739" s="357">
        <f t="shared" ca="1" si="326"/>
        <v>15.639899999999869</v>
      </c>
      <c r="C739" s="342"/>
      <c r="D739" s="359">
        <f t="shared" ca="1" si="327"/>
        <v>-0.5489679401291242</v>
      </c>
      <c r="E739" s="360">
        <f t="shared" ca="1" si="328"/>
        <v>-5.9587802908673275</v>
      </c>
      <c r="F739" s="357">
        <f t="shared" ca="1" si="329"/>
        <v>5.9840144012292056</v>
      </c>
      <c r="G739" s="359">
        <f t="shared" ca="1" si="330"/>
        <v>9.5272307214646279</v>
      </c>
      <c r="H739" s="360">
        <f t="shared" ca="1" si="331"/>
        <v>-66.838142236280206</v>
      </c>
      <c r="I739" s="357">
        <f t="shared" ca="1" si="332"/>
        <v>67.513742177554064</v>
      </c>
      <c r="J739" s="359">
        <f t="shared" ca="1" si="333"/>
        <v>187.70931447689617</v>
      </c>
      <c r="K739" s="360">
        <f t="shared" ca="1" si="334"/>
        <v>-6.7198633874474201</v>
      </c>
      <c r="L739" s="357">
        <f t="shared" ca="1" si="319"/>
        <v>187.8295591895276</v>
      </c>
      <c r="M739" s="359">
        <f t="shared" ca="1" si="335"/>
        <v>-1.4292082980925576</v>
      </c>
      <c r="N739" s="357">
        <f t="shared" ca="1" si="336"/>
        <v>-81.887603525778815</v>
      </c>
      <c r="O739" s="343"/>
      <c r="P739" s="363">
        <f t="shared" ca="1" si="337"/>
        <v>23</v>
      </c>
      <c r="Q739" s="357">
        <f t="shared" ca="1" si="338"/>
        <v>0</v>
      </c>
      <c r="R739" s="359">
        <f t="shared" ca="1" si="339"/>
        <v>0</v>
      </c>
      <c r="S739" s="360">
        <f t="shared" ca="1" si="340"/>
        <v>1.5629999999999982</v>
      </c>
      <c r="T739" s="357">
        <f t="shared" ca="1" si="320"/>
        <v>15.333029999999983</v>
      </c>
      <c r="U739" s="364">
        <f t="shared" ca="1" si="321"/>
        <v>0</v>
      </c>
      <c r="V739" s="359">
        <f t="shared" ca="1" si="322"/>
        <v>1.225823459941878</v>
      </c>
      <c r="W739" s="357">
        <f t="shared" ca="1" si="323"/>
        <v>6.0804117736238199</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5.8216809806321788</v>
      </c>
      <c r="AH739" s="357">
        <f t="shared" ca="1" si="347"/>
        <v>-3.8901489749496179</v>
      </c>
    </row>
    <row r="740" spans="1:34" x14ac:dyDescent="0.2">
      <c r="A740" s="402">
        <f t="shared" ca="1" si="325"/>
        <v>1E-4</v>
      </c>
      <c r="B740" s="357">
        <f t="shared" ca="1" si="326"/>
        <v>15.639999999999869</v>
      </c>
      <c r="C740" s="342"/>
      <c r="D740" s="359">
        <f t="shared" ca="1" si="327"/>
        <v>-0.54896987760397131</v>
      </c>
      <c r="E740" s="360">
        <f t="shared" ca="1" si="328"/>
        <v>-5.9587101724049729</v>
      </c>
      <c r="F740" s="357">
        <f t="shared" ca="1" si="329"/>
        <v>5.9839447561987926</v>
      </c>
      <c r="G740" s="359">
        <f t="shared" ca="1" si="330"/>
        <v>9.5271758244768669</v>
      </c>
      <c r="H740" s="360">
        <f t="shared" ca="1" si="331"/>
        <v>-66.838738107297445</v>
      </c>
      <c r="I740" s="357">
        <f t="shared" ca="1" si="332"/>
        <v>67.514324339108896</v>
      </c>
      <c r="J740" s="359">
        <f t="shared" ca="1" si="333"/>
        <v>187.70931447689617</v>
      </c>
      <c r="K740" s="360">
        <f t="shared" ca="1" si="334"/>
        <v>-6.7265472314645987</v>
      </c>
      <c r="L740" s="357">
        <f t="shared" ca="1" si="319"/>
        <v>187.82979843210029</v>
      </c>
      <c r="M740" s="359">
        <f t="shared" ca="1" si="335"/>
        <v>-1.429210348535003</v>
      </c>
      <c r="N740" s="357">
        <f t="shared" ca="1" si="336"/>
        <v>-81.887721007477069</v>
      </c>
      <c r="O740" s="343"/>
      <c r="P740" s="363">
        <f t="shared" ca="1" si="337"/>
        <v>23</v>
      </c>
      <c r="Q740" s="357">
        <f t="shared" ca="1" si="338"/>
        <v>0</v>
      </c>
      <c r="R740" s="359">
        <f t="shared" ca="1" si="339"/>
        <v>0</v>
      </c>
      <c r="S740" s="360">
        <f t="shared" ca="1" si="340"/>
        <v>1.5629999999999982</v>
      </c>
      <c r="T740" s="357">
        <f t="shared" ca="1" si="320"/>
        <v>15.333029999999983</v>
      </c>
      <c r="U740" s="364">
        <f t="shared" ca="1" si="321"/>
        <v>0</v>
      </c>
      <c r="V740" s="359">
        <f t="shared" ca="1" si="322"/>
        <v>1.2258242792635243</v>
      </c>
      <c r="W740" s="357">
        <f t="shared" ca="1" si="323"/>
        <v>6.0805206992805783</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5.8216141290354599</v>
      </c>
      <c r="AH740" s="357">
        <f t="shared" ca="1" si="347"/>
        <v>-3.8902186651464024</v>
      </c>
    </row>
    <row r="741" spans="1:34" x14ac:dyDescent="0.2">
      <c r="A741" s="402">
        <f t="shared" ca="1" si="325"/>
        <v>1E-4</v>
      </c>
      <c r="B741" s="357">
        <f t="shared" ca="1" si="326"/>
        <v>15.640099999999869</v>
      </c>
      <c r="C741" s="342"/>
      <c r="D741" s="359">
        <f t="shared" ca="1" si="327"/>
        <v>-0.54897181496435987</v>
      </c>
      <c r="E741" s="360">
        <f t="shared" ca="1" si="328"/>
        <v>-5.9586400540209024</v>
      </c>
      <c r="F741" s="357">
        <f t="shared" ca="1" si="329"/>
        <v>5.9838751112475173</v>
      </c>
      <c r="G741" s="359">
        <f t="shared" ca="1" si="330"/>
        <v>9.5271209272953712</v>
      </c>
      <c r="H741" s="360">
        <f t="shared" ca="1" si="331"/>
        <v>-66.83933397130285</v>
      </c>
      <c r="I741" s="357">
        <f t="shared" ca="1" si="332"/>
        <v>67.514906493978557</v>
      </c>
      <c r="J741" s="359">
        <f t="shared" ca="1" si="333"/>
        <v>187.70931447689617</v>
      </c>
      <c r="K741" s="360">
        <f t="shared" ca="1" si="334"/>
        <v>-6.7332311350685288</v>
      </c>
      <c r="L741" s="357">
        <f t="shared" ca="1" si="319"/>
        <v>187.83003791434575</v>
      </c>
      <c r="M741" s="359">
        <f t="shared" ca="1" si="335"/>
        <v>-1.4292123989302732</v>
      </c>
      <c r="N741" s="357">
        <f t="shared" ca="1" si="336"/>
        <v>-81.88783848647239</v>
      </c>
      <c r="O741" s="343"/>
      <c r="P741" s="363">
        <f t="shared" ca="1" si="337"/>
        <v>23</v>
      </c>
      <c r="Q741" s="357">
        <f t="shared" ca="1" si="338"/>
        <v>0</v>
      </c>
      <c r="R741" s="359">
        <f t="shared" ca="1" si="339"/>
        <v>0</v>
      </c>
      <c r="S741" s="360">
        <f t="shared" ca="1" si="340"/>
        <v>1.5629999999999982</v>
      </c>
      <c r="T741" s="357">
        <f t="shared" ca="1" si="320"/>
        <v>15.333029999999983</v>
      </c>
      <c r="U741" s="364">
        <f t="shared" ca="1" si="321"/>
        <v>0</v>
      </c>
      <c r="V741" s="359">
        <f t="shared" ca="1" si="322"/>
        <v>1.225825098593023</v>
      </c>
      <c r="W741" s="357">
        <f t="shared" ca="1" si="323"/>
        <v>6.0806296248164875</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5.8215472774098984</v>
      </c>
      <c r="AH741" s="357">
        <f t="shared" ca="1" si="347"/>
        <v>-3.8902883552658896</v>
      </c>
    </row>
    <row r="742" spans="1:34" x14ac:dyDescent="0.2">
      <c r="A742" s="402">
        <f t="shared" ca="1" si="325"/>
        <v>1E-4</v>
      </c>
      <c r="B742" s="357">
        <f t="shared" ca="1" si="326"/>
        <v>15.640199999999869</v>
      </c>
      <c r="C742" s="342"/>
      <c r="D742" s="359">
        <f t="shared" ca="1" si="327"/>
        <v>-0.54897375221029021</v>
      </c>
      <c r="E742" s="360">
        <f t="shared" ca="1" si="328"/>
        <v>-5.9585699357151398</v>
      </c>
      <c r="F742" s="357">
        <f t="shared" ca="1" si="329"/>
        <v>5.9838054663754043</v>
      </c>
      <c r="G742" s="359">
        <f t="shared" ca="1" si="330"/>
        <v>9.5270660299201495</v>
      </c>
      <c r="H742" s="360">
        <f t="shared" ca="1" si="331"/>
        <v>-66.83992982829642</v>
      </c>
      <c r="I742" s="357">
        <f t="shared" ca="1" si="332"/>
        <v>67.515488642163049</v>
      </c>
      <c r="J742" s="359">
        <f t="shared" ca="1" si="333"/>
        <v>187.70931447689617</v>
      </c>
      <c r="K742" s="360">
        <f t="shared" ca="1" si="334"/>
        <v>-6.7399150982585088</v>
      </c>
      <c r="L742" s="357">
        <f t="shared" ca="1" si="319"/>
        <v>187.83027763626936</v>
      </c>
      <c r="M742" s="359">
        <f t="shared" ca="1" si="335"/>
        <v>-1.4292144492783698</v>
      </c>
      <c r="N742" s="357">
        <f t="shared" ca="1" si="336"/>
        <v>-81.887955962764863</v>
      </c>
      <c r="O742" s="343"/>
      <c r="P742" s="363">
        <f t="shared" ca="1" si="337"/>
        <v>23</v>
      </c>
      <c r="Q742" s="357">
        <f t="shared" ca="1" si="338"/>
        <v>0</v>
      </c>
      <c r="R742" s="359">
        <f t="shared" ca="1" si="339"/>
        <v>0</v>
      </c>
      <c r="S742" s="360">
        <f t="shared" ca="1" si="340"/>
        <v>1.5629999999999982</v>
      </c>
      <c r="T742" s="357">
        <f t="shared" ca="1" si="320"/>
        <v>15.333029999999983</v>
      </c>
      <c r="U742" s="364">
        <f t="shared" ca="1" si="321"/>
        <v>0</v>
      </c>
      <c r="V742" s="359">
        <f t="shared" ca="1" si="322"/>
        <v>1.2258259179303734</v>
      </c>
      <c r="W742" s="357">
        <f t="shared" ca="1" si="323"/>
        <v>6.0807385502315139</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5.8214804257555173</v>
      </c>
      <c r="AH742" s="357">
        <f t="shared" ca="1" si="347"/>
        <v>-3.8903580453080582</v>
      </c>
    </row>
    <row r="743" spans="1:34" x14ac:dyDescent="0.2">
      <c r="A743" s="402">
        <f t="shared" ca="1" si="325"/>
        <v>1E-4</v>
      </c>
      <c r="B743" s="357">
        <f t="shared" ca="1" si="326"/>
        <v>15.640299999999868</v>
      </c>
      <c r="C743" s="342"/>
      <c r="D743" s="359">
        <f t="shared" ca="1" si="327"/>
        <v>-0.54897568934176344</v>
      </c>
      <c r="E743" s="360">
        <f t="shared" ca="1" si="328"/>
        <v>-5.958499817487704</v>
      </c>
      <c r="F743" s="357">
        <f t="shared" ca="1" si="329"/>
        <v>5.9837358215824725</v>
      </c>
      <c r="G743" s="359">
        <f t="shared" ca="1" si="330"/>
        <v>9.5270111323512161</v>
      </c>
      <c r="H743" s="360">
        <f t="shared" ca="1" si="331"/>
        <v>-66.840525678278169</v>
      </c>
      <c r="I743" s="357">
        <f t="shared" ca="1" si="332"/>
        <v>67.516070783662371</v>
      </c>
      <c r="J743" s="359">
        <f t="shared" ca="1" si="333"/>
        <v>187.70931447689617</v>
      </c>
      <c r="K743" s="360">
        <f t="shared" ca="1" si="334"/>
        <v>-6.7465991210338379</v>
      </c>
      <c r="L743" s="357">
        <f t="shared" ca="1" si="319"/>
        <v>187.83051759787659</v>
      </c>
      <c r="M743" s="359">
        <f t="shared" ca="1" si="335"/>
        <v>-1.4292164995792944</v>
      </c>
      <c r="N743" s="357">
        <f t="shared" ca="1" si="336"/>
        <v>-81.888073436354574</v>
      </c>
      <c r="O743" s="343"/>
      <c r="P743" s="363">
        <f t="shared" ca="1" si="337"/>
        <v>23</v>
      </c>
      <c r="Q743" s="357">
        <f t="shared" ca="1" si="338"/>
        <v>0</v>
      </c>
      <c r="R743" s="359">
        <f t="shared" ca="1" si="339"/>
        <v>0</v>
      </c>
      <c r="S743" s="360">
        <f t="shared" ca="1" si="340"/>
        <v>1.5629999999999982</v>
      </c>
      <c r="T743" s="357">
        <f t="shared" ca="1" si="320"/>
        <v>15.333029999999983</v>
      </c>
      <c r="U743" s="364">
        <f t="shared" ca="1" si="321"/>
        <v>0</v>
      </c>
      <c r="V743" s="359">
        <f t="shared" ca="1" si="322"/>
        <v>1.2258267372755756</v>
      </c>
      <c r="W743" s="357">
        <f t="shared" ca="1" si="323"/>
        <v>6.0808474755256299</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5.8214135740723458</v>
      </c>
      <c r="AH743" s="357">
        <f t="shared" ca="1" si="347"/>
        <v>-3.890427735272886</v>
      </c>
    </row>
    <row r="744" spans="1:34" x14ac:dyDescent="0.2">
      <c r="A744" s="402">
        <f t="shared" ca="1" si="325"/>
        <v>1E-4</v>
      </c>
      <c r="B744" s="357">
        <f t="shared" ca="1" si="326"/>
        <v>15.640399999999868</v>
      </c>
      <c r="C744" s="342"/>
      <c r="D744" s="359">
        <f t="shared" ca="1" si="327"/>
        <v>-0.54897762635878189</v>
      </c>
      <c r="E744" s="360">
        <f t="shared" ca="1" si="328"/>
        <v>-5.9584296993386143</v>
      </c>
      <c r="F744" s="357">
        <f t="shared" ca="1" si="329"/>
        <v>5.9836661768687405</v>
      </c>
      <c r="G744" s="359">
        <f t="shared" ca="1" si="330"/>
        <v>9.5269562345885799</v>
      </c>
      <c r="H744" s="360">
        <f t="shared" ca="1" si="331"/>
        <v>-66.841121521248098</v>
      </c>
      <c r="I744" s="357">
        <f t="shared" ca="1" si="332"/>
        <v>67.516652918476495</v>
      </c>
      <c r="J744" s="359">
        <f t="shared" ca="1" si="333"/>
        <v>187.70931447689617</v>
      </c>
      <c r="K744" s="360">
        <f t="shared" ca="1" si="334"/>
        <v>-6.7532832033938144</v>
      </c>
      <c r="L744" s="357">
        <f t="shared" ca="1" si="319"/>
        <v>187.83075779917286</v>
      </c>
      <c r="M744" s="359">
        <f t="shared" ca="1" si="335"/>
        <v>-1.429218549833049</v>
      </c>
      <c r="N744" s="357">
        <f t="shared" ca="1" si="336"/>
        <v>-81.888190907241636</v>
      </c>
      <c r="O744" s="343"/>
      <c r="P744" s="363">
        <f t="shared" ca="1" si="337"/>
        <v>23</v>
      </c>
      <c r="Q744" s="357">
        <f t="shared" ca="1" si="338"/>
        <v>0</v>
      </c>
      <c r="R744" s="359">
        <f t="shared" ca="1" si="339"/>
        <v>0</v>
      </c>
      <c r="S744" s="360">
        <f t="shared" ca="1" si="340"/>
        <v>1.5629999999999982</v>
      </c>
      <c r="T744" s="357">
        <f t="shared" ca="1" si="320"/>
        <v>15.333029999999983</v>
      </c>
      <c r="U744" s="364">
        <f t="shared" ca="1" si="321"/>
        <v>0</v>
      </c>
      <c r="V744" s="359">
        <f t="shared" ca="1" si="322"/>
        <v>1.2258275566286299</v>
      </c>
      <c r="W744" s="357">
        <f t="shared" ca="1" si="323"/>
        <v>6.0809564006987991</v>
      </c>
      <c r="X744" s="343"/>
      <c r="Y744" s="367" t="str">
        <f t="shared" ca="1" si="341"/>
        <v/>
      </c>
      <c r="Z744" s="368" t="str">
        <f t="shared" ca="1" si="342"/>
        <v/>
      </c>
      <c r="AA744" s="369" t="str">
        <f t="shared" ca="1" si="343"/>
        <v/>
      </c>
      <c r="AB744" s="344"/>
      <c r="AC744" s="363" t="e">
        <f t="shared" ca="1" si="344"/>
        <v>#N/A</v>
      </c>
      <c r="AD744" s="376" t="e">
        <f t="shared" ca="1" si="345"/>
        <v>#N/A</v>
      </c>
      <c r="AE744" s="377" t="e">
        <f t="shared" ca="1" si="324"/>
        <v>#N/A</v>
      </c>
      <c r="AF744" s="344"/>
      <c r="AG744" s="359">
        <f t="shared" ca="1" si="346"/>
        <v>5.8213467223604063</v>
      </c>
      <c r="AH744" s="357">
        <f t="shared" ca="1" si="347"/>
        <v>-3.8904974251603566</v>
      </c>
    </row>
    <row r="745" spans="1:34" x14ac:dyDescent="0.2">
      <c r="A745" s="402">
        <f t="shared" ca="1" si="325"/>
        <v>1E-4</v>
      </c>
      <c r="B745" s="357">
        <f t="shared" ca="1" si="326"/>
        <v>15.640499999999868</v>
      </c>
      <c r="C745" s="342"/>
      <c r="D745" s="359">
        <f t="shared" ca="1" si="327"/>
        <v>-0.54897956326134445</v>
      </c>
      <c r="E745" s="360">
        <f t="shared" ca="1" si="328"/>
        <v>-5.958359581267894</v>
      </c>
      <c r="F745" s="357">
        <f t="shared" ca="1" si="329"/>
        <v>5.9835965322342322</v>
      </c>
      <c r="G745" s="359">
        <f t="shared" ca="1" si="330"/>
        <v>9.5269013366322532</v>
      </c>
      <c r="H745" s="360">
        <f t="shared" ca="1" si="331"/>
        <v>-66.841717357206221</v>
      </c>
      <c r="I745" s="357">
        <f t="shared" ca="1" si="332"/>
        <v>67.517235046605464</v>
      </c>
      <c r="J745" s="359">
        <f t="shared" ca="1" si="333"/>
        <v>187.70931447689617</v>
      </c>
      <c r="K745" s="360">
        <f t="shared" ca="1" si="334"/>
        <v>-6.7599673453377367</v>
      </c>
      <c r="L745" s="357">
        <f t="shared" ca="1" si="319"/>
        <v>187.83099824016358</v>
      </c>
      <c r="M745" s="359">
        <f t="shared" ca="1" si="335"/>
        <v>-1.4292206000396352</v>
      </c>
      <c r="N745" s="357">
        <f t="shared" ca="1" si="336"/>
        <v>-81.888308375426163</v>
      </c>
      <c r="O745" s="343"/>
      <c r="P745" s="363">
        <f t="shared" ca="1" si="337"/>
        <v>23</v>
      </c>
      <c r="Q745" s="357">
        <f t="shared" ca="1" si="338"/>
        <v>0</v>
      </c>
      <c r="R745" s="359">
        <f t="shared" ca="1" si="339"/>
        <v>0</v>
      </c>
      <c r="S745" s="360">
        <f t="shared" ca="1" si="340"/>
        <v>1.5629999999999982</v>
      </c>
      <c r="T745" s="357">
        <f t="shared" ca="1" si="320"/>
        <v>15.333029999999983</v>
      </c>
      <c r="U745" s="364">
        <f t="shared" ca="1" si="321"/>
        <v>0</v>
      </c>
      <c r="V745" s="359">
        <f t="shared" ca="1" si="322"/>
        <v>1.2258283759895359</v>
      </c>
      <c r="W745" s="357">
        <f t="shared" ca="1" si="323"/>
        <v>6.081065325751001</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5.8212798706197253</v>
      </c>
      <c r="AH745" s="357">
        <f t="shared" ca="1" si="347"/>
        <v>-3.8905671149704455</v>
      </c>
    </row>
    <row r="746" spans="1:34" x14ac:dyDescent="0.2">
      <c r="A746" s="402">
        <f t="shared" ca="1" si="325"/>
        <v>1E-4</v>
      </c>
      <c r="B746" s="357">
        <f t="shared" ca="1" si="326"/>
        <v>15.640599999999868</v>
      </c>
      <c r="C746" s="342"/>
      <c r="D746" s="359">
        <f t="shared" ca="1" si="327"/>
        <v>-0.54898150004945301</v>
      </c>
      <c r="E746" s="360">
        <f t="shared" ca="1" si="328"/>
        <v>-5.9582894632755554</v>
      </c>
      <c r="F746" s="357">
        <f t="shared" ca="1" si="329"/>
        <v>5.9835268876789591</v>
      </c>
      <c r="G746" s="359">
        <f t="shared" ca="1" si="330"/>
        <v>9.5268464384822487</v>
      </c>
      <c r="H746" s="360">
        <f t="shared" ca="1" si="331"/>
        <v>-66.842313186152552</v>
      </c>
      <c r="I746" s="357">
        <f t="shared" ca="1" si="332"/>
        <v>67.517817168049248</v>
      </c>
      <c r="J746" s="359">
        <f t="shared" ca="1" si="333"/>
        <v>187.70931447689617</v>
      </c>
      <c r="K746" s="360">
        <f t="shared" ca="1" si="334"/>
        <v>-6.7666515468649049</v>
      </c>
      <c r="L746" s="357">
        <f t="shared" ca="1" si="319"/>
        <v>187.83123892085413</v>
      </c>
      <c r="M746" s="359">
        <f t="shared" ca="1" si="335"/>
        <v>-1.4292226501990546</v>
      </c>
      <c r="N746" s="357">
        <f t="shared" ca="1" si="336"/>
        <v>-81.888425840908212</v>
      </c>
      <c r="O746" s="343"/>
      <c r="P746" s="363">
        <f t="shared" ca="1" si="337"/>
        <v>23</v>
      </c>
      <c r="Q746" s="357">
        <f t="shared" ca="1" si="338"/>
        <v>0</v>
      </c>
      <c r="R746" s="359">
        <f t="shared" ca="1" si="339"/>
        <v>0</v>
      </c>
      <c r="S746" s="360">
        <f t="shared" ca="1" si="340"/>
        <v>1.5629999999999982</v>
      </c>
      <c r="T746" s="357">
        <f t="shared" ca="1" si="320"/>
        <v>15.333029999999983</v>
      </c>
      <c r="U746" s="364">
        <f t="shared" ca="1" si="321"/>
        <v>0</v>
      </c>
      <c r="V746" s="359">
        <f t="shared" ca="1" si="322"/>
        <v>1.2258291953582938</v>
      </c>
      <c r="W746" s="357">
        <f t="shared" ca="1" si="323"/>
        <v>6.0811742506822011</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5.8212130188503242</v>
      </c>
      <c r="AH746" s="357">
        <f t="shared" ca="1" si="347"/>
        <v>-3.8906368047031403</v>
      </c>
    </row>
    <row r="747" spans="1:34" x14ac:dyDescent="0.2">
      <c r="A747" s="402">
        <f t="shared" ca="1" si="325"/>
        <v>1E-4</v>
      </c>
      <c r="B747" s="357">
        <f t="shared" ca="1" si="326"/>
        <v>15.640699999999867</v>
      </c>
      <c r="C747" s="342"/>
      <c r="D747" s="359">
        <f t="shared" ca="1" si="327"/>
        <v>-0.54898343672310934</v>
      </c>
      <c r="E747" s="360">
        <f t="shared" ca="1" si="328"/>
        <v>-5.9582193453616217</v>
      </c>
      <c r="F747" s="357">
        <f t="shared" ca="1" si="329"/>
        <v>5.9834572432029454</v>
      </c>
      <c r="G747" s="359">
        <f t="shared" ca="1" si="330"/>
        <v>9.5267915401385768</v>
      </c>
      <c r="H747" s="360">
        <f t="shared" ca="1" si="331"/>
        <v>-66.842909008087091</v>
      </c>
      <c r="I747" s="357">
        <f t="shared" ca="1" si="332"/>
        <v>67.518399282807849</v>
      </c>
      <c r="J747" s="359">
        <f t="shared" ca="1" si="333"/>
        <v>187.70931447689617</v>
      </c>
      <c r="K747" s="360">
        <f t="shared" ca="1" si="334"/>
        <v>-6.7733358079746164</v>
      </c>
      <c r="L747" s="357">
        <f t="shared" ca="1" si="319"/>
        <v>187.83147984124997</v>
      </c>
      <c r="M747" s="359">
        <f t="shared" ca="1" si="335"/>
        <v>-1.4292247003113088</v>
      </c>
      <c r="N747" s="357">
        <f t="shared" ca="1" si="336"/>
        <v>-81.888543303687911</v>
      </c>
      <c r="O747" s="343"/>
      <c r="P747" s="363">
        <f t="shared" ca="1" si="337"/>
        <v>23</v>
      </c>
      <c r="Q747" s="357">
        <f t="shared" ca="1" si="338"/>
        <v>0</v>
      </c>
      <c r="R747" s="359">
        <f t="shared" ca="1" si="339"/>
        <v>0</v>
      </c>
      <c r="S747" s="360">
        <f t="shared" ca="1" si="340"/>
        <v>1.5629999999999982</v>
      </c>
      <c r="T747" s="357">
        <f t="shared" ca="1" si="320"/>
        <v>15.333029999999983</v>
      </c>
      <c r="U747" s="364">
        <f t="shared" ca="1" si="321"/>
        <v>0</v>
      </c>
      <c r="V747" s="359">
        <f t="shared" ca="1" si="322"/>
        <v>1.2258300147349033</v>
      </c>
      <c r="W747" s="357">
        <f t="shared" ca="1" si="323"/>
        <v>6.0812831754923655</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5.8211461670522286</v>
      </c>
      <c r="AH747" s="357">
        <f t="shared" ca="1" si="347"/>
        <v>-3.8907064943584184</v>
      </c>
    </row>
    <row r="748" spans="1:34" x14ac:dyDescent="0.2">
      <c r="A748" s="402">
        <f t="shared" ca="1" si="325"/>
        <v>1E-4</v>
      </c>
      <c r="B748" s="357">
        <f t="shared" ca="1" si="326"/>
        <v>15.640799999999867</v>
      </c>
      <c r="C748" s="342"/>
      <c r="D748" s="359">
        <f t="shared" ca="1" si="327"/>
        <v>-0.54898537328231412</v>
      </c>
      <c r="E748" s="360">
        <f t="shared" ca="1" si="328"/>
        <v>-5.9581492275261141</v>
      </c>
      <c r="F748" s="357">
        <f t="shared" ca="1" si="329"/>
        <v>5.9833875988062104</v>
      </c>
      <c r="G748" s="359">
        <f t="shared" ca="1" si="330"/>
        <v>9.5267366416012482</v>
      </c>
      <c r="H748" s="360">
        <f t="shared" ca="1" si="331"/>
        <v>-66.843504823009837</v>
      </c>
      <c r="I748" s="357">
        <f t="shared" ca="1" si="332"/>
        <v>67.518981390881237</v>
      </c>
      <c r="J748" s="359">
        <f t="shared" ca="1" si="333"/>
        <v>187.70931447689617</v>
      </c>
      <c r="K748" s="360">
        <f t="shared" ca="1" si="334"/>
        <v>-6.7800201286661714</v>
      </c>
      <c r="L748" s="357">
        <f t="shared" ca="1" si="319"/>
        <v>187.83172100135647</v>
      </c>
      <c r="M748" s="359">
        <f t="shared" ca="1" si="335"/>
        <v>-1.4292267503763996</v>
      </c>
      <c r="N748" s="357">
        <f t="shared" ca="1" si="336"/>
        <v>-81.888660763765344</v>
      </c>
      <c r="O748" s="343"/>
      <c r="P748" s="363">
        <f t="shared" ca="1" si="337"/>
        <v>23</v>
      </c>
      <c r="Q748" s="357">
        <f t="shared" ca="1" si="338"/>
        <v>0</v>
      </c>
      <c r="R748" s="359">
        <f t="shared" ca="1" si="339"/>
        <v>0</v>
      </c>
      <c r="S748" s="360">
        <f t="shared" ca="1" si="340"/>
        <v>1.5629999999999982</v>
      </c>
      <c r="T748" s="357">
        <f t="shared" ca="1" si="320"/>
        <v>15.333029999999983</v>
      </c>
      <c r="U748" s="364">
        <f t="shared" ca="1" si="321"/>
        <v>0</v>
      </c>
      <c r="V748" s="359">
        <f t="shared" ca="1" si="322"/>
        <v>1.2258308341193644</v>
      </c>
      <c r="W748" s="357">
        <f t="shared" ca="1" si="323"/>
        <v>6.0813921001814615</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5.8210793152254681</v>
      </c>
      <c r="AH748" s="357">
        <f t="shared" ca="1" si="347"/>
        <v>-3.8907761839362589</v>
      </c>
    </row>
    <row r="749" spans="1:34" x14ac:dyDescent="0.2">
      <c r="A749" s="402">
        <f t="shared" ca="1" si="325"/>
        <v>1E-4</v>
      </c>
      <c r="B749" s="357">
        <f t="shared" ca="1" si="326"/>
        <v>15.640899999999867</v>
      </c>
      <c r="C749" s="342"/>
      <c r="D749" s="359">
        <f t="shared" ca="1" si="327"/>
        <v>-0.54898730972706766</v>
      </c>
      <c r="E749" s="360">
        <f t="shared" ca="1" si="328"/>
        <v>-5.958079109769054</v>
      </c>
      <c r="F749" s="357">
        <f t="shared" ca="1" si="329"/>
        <v>5.9833179544887773</v>
      </c>
      <c r="G749" s="359">
        <f t="shared" ca="1" si="330"/>
        <v>9.5266817428702755</v>
      </c>
      <c r="H749" s="360">
        <f t="shared" ca="1" si="331"/>
        <v>-66.844100630920821</v>
      </c>
      <c r="I749" s="357">
        <f t="shared" ca="1" si="332"/>
        <v>67.519563492269455</v>
      </c>
      <c r="J749" s="359">
        <f t="shared" ca="1" si="333"/>
        <v>187.70931447689617</v>
      </c>
      <c r="K749" s="360">
        <f t="shared" ca="1" si="334"/>
        <v>-6.7867045089388682</v>
      </c>
      <c r="L749" s="357">
        <f t="shared" ca="1" si="319"/>
        <v>187.83196240117908</v>
      </c>
      <c r="M749" s="359">
        <f t="shared" ca="1" si="335"/>
        <v>-1.4292288003943285</v>
      </c>
      <c r="N749" s="357">
        <f t="shared" ca="1" si="336"/>
        <v>-81.888778221140598</v>
      </c>
      <c r="O749" s="343"/>
      <c r="P749" s="363">
        <f t="shared" ca="1" si="337"/>
        <v>23</v>
      </c>
      <c r="Q749" s="357">
        <f t="shared" ca="1" si="338"/>
        <v>0</v>
      </c>
      <c r="R749" s="359">
        <f t="shared" ca="1" si="339"/>
        <v>0</v>
      </c>
      <c r="S749" s="360">
        <f t="shared" ca="1" si="340"/>
        <v>1.5629999999999982</v>
      </c>
      <c r="T749" s="357">
        <f t="shared" ca="1" si="320"/>
        <v>15.333029999999983</v>
      </c>
      <c r="U749" s="364">
        <f t="shared" ca="1" si="321"/>
        <v>0</v>
      </c>
      <c r="V749" s="359">
        <f t="shared" ca="1" si="322"/>
        <v>1.2258316535116771</v>
      </c>
      <c r="W749" s="357">
        <f t="shared" ca="1" si="323"/>
        <v>6.081501024749465</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5.8210124633700628</v>
      </c>
      <c r="AH749" s="357">
        <f t="shared" ca="1" si="347"/>
        <v>-3.89084587343664</v>
      </c>
    </row>
    <row r="750" spans="1:34" x14ac:dyDescent="0.2">
      <c r="A750" s="402">
        <f t="shared" ca="1" si="325"/>
        <v>1E-4</v>
      </c>
      <c r="B750" s="357">
        <f t="shared" ca="1" si="326"/>
        <v>15.640999999999867</v>
      </c>
      <c r="C750" s="342"/>
      <c r="D750" s="359">
        <f t="shared" ca="1" si="327"/>
        <v>-0.54898924605737209</v>
      </c>
      <c r="E750" s="360">
        <f t="shared" ca="1" si="328"/>
        <v>-5.9580089920904564</v>
      </c>
      <c r="F750" s="357">
        <f t="shared" ca="1" si="329"/>
        <v>5.9832483102506604</v>
      </c>
      <c r="G750" s="359">
        <f t="shared" ca="1" si="330"/>
        <v>9.5266268439456692</v>
      </c>
      <c r="H750" s="360">
        <f t="shared" ca="1" si="331"/>
        <v>-66.844696431820026</v>
      </c>
      <c r="I750" s="357">
        <f t="shared" ca="1" si="332"/>
        <v>67.520145586972475</v>
      </c>
      <c r="J750" s="359">
        <f t="shared" ca="1" si="333"/>
        <v>187.70931447689617</v>
      </c>
      <c r="K750" s="360">
        <f t="shared" ca="1" si="334"/>
        <v>-6.7933889487920052</v>
      </c>
      <c r="L750" s="357">
        <f t="shared" ca="1" si="319"/>
        <v>187.83220404072318</v>
      </c>
      <c r="M750" s="359">
        <f t="shared" ca="1" si="335"/>
        <v>-1.4292308503650977</v>
      </c>
      <c r="N750" s="357">
        <f t="shared" ca="1" si="336"/>
        <v>-81.888895675813785</v>
      </c>
      <c r="O750" s="343"/>
      <c r="P750" s="363">
        <f t="shared" ca="1" si="337"/>
        <v>23</v>
      </c>
      <c r="Q750" s="357">
        <f t="shared" ca="1" si="338"/>
        <v>0</v>
      </c>
      <c r="R750" s="359">
        <f t="shared" ca="1" si="339"/>
        <v>0</v>
      </c>
      <c r="S750" s="360">
        <f t="shared" ca="1" si="340"/>
        <v>1.5629999999999982</v>
      </c>
      <c r="T750" s="357">
        <f t="shared" ca="1" si="320"/>
        <v>15.333029999999983</v>
      </c>
      <c r="U750" s="364">
        <f t="shared" ca="1" si="321"/>
        <v>0</v>
      </c>
      <c r="V750" s="359">
        <f t="shared" ca="1" si="322"/>
        <v>1.2258324729118408</v>
      </c>
      <c r="W750" s="357">
        <f t="shared" ca="1" si="323"/>
        <v>6.0816099491963413</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5.820945611486037</v>
      </c>
      <c r="AH750" s="357">
        <f t="shared" ca="1" si="347"/>
        <v>-3.8909155628595471</v>
      </c>
    </row>
    <row r="751" spans="1:34" x14ac:dyDescent="0.2">
      <c r="A751" s="402">
        <f t="shared" ca="1" si="325"/>
        <v>1E-4</v>
      </c>
      <c r="B751" s="357">
        <f t="shared" ca="1" si="326"/>
        <v>15.641099999999867</v>
      </c>
      <c r="C751" s="342"/>
      <c r="D751" s="359">
        <f t="shared" ca="1" si="327"/>
        <v>-0.54899118227322719</v>
      </c>
      <c r="E751" s="360">
        <f t="shared" ca="1" si="328"/>
        <v>-5.9579388744903437</v>
      </c>
      <c r="F751" s="357">
        <f t="shared" ca="1" si="329"/>
        <v>5.9831786660918809</v>
      </c>
      <c r="G751" s="359">
        <f t="shared" ca="1" si="330"/>
        <v>9.5265719448274417</v>
      </c>
      <c r="H751" s="360">
        <f t="shared" ca="1" si="331"/>
        <v>-66.845292225707482</v>
      </c>
      <c r="I751" s="357">
        <f t="shared" ca="1" si="332"/>
        <v>67.520727674990312</v>
      </c>
      <c r="J751" s="359">
        <f t="shared" ca="1" si="333"/>
        <v>187.70931447689617</v>
      </c>
      <c r="K751" s="360">
        <f t="shared" ca="1" si="334"/>
        <v>-6.8000734482248815</v>
      </c>
      <c r="L751" s="357">
        <f t="shared" ca="1" si="319"/>
        <v>187.8324459199942</v>
      </c>
      <c r="M751" s="359">
        <f t="shared" ca="1" si="335"/>
        <v>-1.4292329002887083</v>
      </c>
      <c r="N751" s="357">
        <f t="shared" ca="1" si="336"/>
        <v>-81.889013127785006</v>
      </c>
      <c r="O751" s="343"/>
      <c r="P751" s="363">
        <f t="shared" ca="1" si="337"/>
        <v>23</v>
      </c>
      <c r="Q751" s="357">
        <f t="shared" ca="1" si="338"/>
        <v>0</v>
      </c>
      <c r="R751" s="359">
        <f t="shared" ca="1" si="339"/>
        <v>0</v>
      </c>
      <c r="S751" s="360">
        <f t="shared" ca="1" si="340"/>
        <v>1.5629999999999982</v>
      </c>
      <c r="T751" s="357">
        <f t="shared" ca="1" si="320"/>
        <v>15.333029999999983</v>
      </c>
      <c r="U751" s="364">
        <f t="shared" ca="1" si="321"/>
        <v>0</v>
      </c>
      <c r="V751" s="359">
        <f t="shared" ca="1" si="322"/>
        <v>1.2258332923198567</v>
      </c>
      <c r="W751" s="357">
        <f t="shared" ca="1" si="323"/>
        <v>6.0817188735220675</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5.8208787595734162</v>
      </c>
      <c r="AH751" s="357">
        <f t="shared" ca="1" si="347"/>
        <v>-3.8909852522049575</v>
      </c>
    </row>
    <row r="752" spans="1:34" x14ac:dyDescent="0.2">
      <c r="A752" s="402">
        <f t="shared" ca="1" si="325"/>
        <v>1E-4</v>
      </c>
      <c r="B752" s="357">
        <f t="shared" ca="1" si="326"/>
        <v>15.641199999999866</v>
      </c>
      <c r="C752" s="342"/>
      <c r="D752" s="359">
        <f t="shared" ca="1" si="327"/>
        <v>-0.5489931183746356</v>
      </c>
      <c r="E752" s="360">
        <f t="shared" ca="1" si="328"/>
        <v>-5.9578687569687316</v>
      </c>
      <c r="F752" s="357">
        <f t="shared" ca="1" si="329"/>
        <v>5.9831090220124556</v>
      </c>
      <c r="G752" s="359">
        <f t="shared" ca="1" si="330"/>
        <v>9.5265170455156039</v>
      </c>
      <c r="H752" s="360">
        <f t="shared" ca="1" si="331"/>
        <v>-66.845888012583174</v>
      </c>
      <c r="I752" s="357">
        <f t="shared" ca="1" si="332"/>
        <v>67.521309756322935</v>
      </c>
      <c r="J752" s="359">
        <f t="shared" ca="1" si="333"/>
        <v>187.70931447689617</v>
      </c>
      <c r="K752" s="360">
        <f t="shared" ca="1" si="334"/>
        <v>-6.8067580072367964</v>
      </c>
      <c r="L752" s="357">
        <f t="shared" ca="1" si="319"/>
        <v>187.83268803899756</v>
      </c>
      <c r="M752" s="359">
        <f t="shared" ca="1" si="335"/>
        <v>-1.4292349501651622</v>
      </c>
      <c r="N752" s="357">
        <f t="shared" ca="1" si="336"/>
        <v>-81.889130577054331</v>
      </c>
      <c r="O752" s="343"/>
      <c r="P752" s="363">
        <f t="shared" ca="1" si="337"/>
        <v>23</v>
      </c>
      <c r="Q752" s="357">
        <f t="shared" ca="1" si="338"/>
        <v>0</v>
      </c>
      <c r="R752" s="359">
        <f t="shared" ca="1" si="339"/>
        <v>0</v>
      </c>
      <c r="S752" s="360">
        <f t="shared" ca="1" si="340"/>
        <v>1.5629999999999982</v>
      </c>
      <c r="T752" s="357">
        <f t="shared" ca="1" si="320"/>
        <v>15.333029999999983</v>
      </c>
      <c r="U752" s="364">
        <f t="shared" ca="1" si="321"/>
        <v>0</v>
      </c>
      <c r="V752" s="359">
        <f t="shared" ca="1" si="322"/>
        <v>1.2258341117357237</v>
      </c>
      <c r="W752" s="357">
        <f t="shared" ca="1" si="323"/>
        <v>6.0818277977266035</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5.8208119076322253</v>
      </c>
      <c r="AH752" s="357">
        <f t="shared" ca="1" si="347"/>
        <v>-3.8910549414728566</v>
      </c>
    </row>
    <row r="753" spans="1:34" x14ac:dyDescent="0.2">
      <c r="A753" s="402">
        <f t="shared" ca="1" si="325"/>
        <v>1E-4</v>
      </c>
      <c r="B753" s="357">
        <f t="shared" ca="1" si="326"/>
        <v>15.641299999999866</v>
      </c>
      <c r="C753" s="342"/>
      <c r="D753" s="359">
        <f t="shared" ca="1" si="327"/>
        <v>-0.54899505436159746</v>
      </c>
      <c r="E753" s="360">
        <f t="shared" ca="1" si="328"/>
        <v>-5.9577986395256453</v>
      </c>
      <c r="F753" s="357">
        <f t="shared" ca="1" si="329"/>
        <v>5.9830393780124096</v>
      </c>
      <c r="G753" s="359">
        <f t="shared" ca="1" si="330"/>
        <v>9.5264621460101679</v>
      </c>
      <c r="H753" s="360">
        <f t="shared" ca="1" si="331"/>
        <v>-66.846483792447131</v>
      </c>
      <c r="I753" s="357">
        <f t="shared" ca="1" si="332"/>
        <v>67.521891830970361</v>
      </c>
      <c r="J753" s="359">
        <f t="shared" ca="1" si="333"/>
        <v>187.70931447689617</v>
      </c>
      <c r="K753" s="360">
        <f t="shared" ca="1" si="334"/>
        <v>-6.8134426258270482</v>
      </c>
      <c r="L753" s="357">
        <f t="shared" ca="1" si="319"/>
        <v>187.83293039773866</v>
      </c>
      <c r="M753" s="359">
        <f t="shared" ca="1" si="335"/>
        <v>-1.4292369999944612</v>
      </c>
      <c r="N753" s="357">
        <f t="shared" ca="1" si="336"/>
        <v>-81.889248023621889</v>
      </c>
      <c r="O753" s="343"/>
      <c r="P753" s="363">
        <f t="shared" ca="1" si="337"/>
        <v>23</v>
      </c>
      <c r="Q753" s="357">
        <f t="shared" ca="1" si="338"/>
        <v>0</v>
      </c>
      <c r="R753" s="359">
        <f t="shared" ca="1" si="339"/>
        <v>0</v>
      </c>
      <c r="S753" s="360">
        <f t="shared" ca="1" si="340"/>
        <v>1.5629999999999982</v>
      </c>
      <c r="T753" s="357">
        <f t="shared" ca="1" si="320"/>
        <v>15.333029999999983</v>
      </c>
      <c r="U753" s="364">
        <f t="shared" ca="1" si="321"/>
        <v>0</v>
      </c>
      <c r="V753" s="359">
        <f t="shared" ca="1" si="322"/>
        <v>1.2258349311594412</v>
      </c>
      <c r="W753" s="357">
        <f t="shared" ca="1" si="323"/>
        <v>6.081936721809921</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5.8207450556624902</v>
      </c>
      <c r="AH753" s="357">
        <f t="shared" ca="1" si="347"/>
        <v>-3.8911246306632186</v>
      </c>
    </row>
    <row r="754" spans="1:34" x14ac:dyDescent="0.2">
      <c r="A754" s="402">
        <f t="shared" ca="1" si="325"/>
        <v>1E-4</v>
      </c>
      <c r="B754" s="357">
        <f t="shared" ca="1" si="326"/>
        <v>15.641399999999866</v>
      </c>
      <c r="C754" s="342"/>
      <c r="D754" s="359">
        <f t="shared" ca="1" si="327"/>
        <v>-0.54899699023411364</v>
      </c>
      <c r="E754" s="360">
        <f t="shared" ca="1" si="328"/>
        <v>-5.9577285221611014</v>
      </c>
      <c r="F754" s="357">
        <f t="shared" ca="1" si="329"/>
        <v>5.9829697340917587</v>
      </c>
      <c r="G754" s="359">
        <f t="shared" ca="1" si="330"/>
        <v>9.5264072463111447</v>
      </c>
      <c r="H754" s="360">
        <f t="shared" ca="1" si="331"/>
        <v>-66.847079565299353</v>
      </c>
      <c r="I754" s="357">
        <f t="shared" ca="1" si="332"/>
        <v>67.522473898932574</v>
      </c>
      <c r="J754" s="359">
        <f t="shared" ca="1" si="333"/>
        <v>187.70931447689617</v>
      </c>
      <c r="K754" s="360">
        <f t="shared" ca="1" si="334"/>
        <v>-6.8201273039949353</v>
      </c>
      <c r="L754" s="357">
        <f t="shared" ca="1" si="319"/>
        <v>187.83317299622288</v>
      </c>
      <c r="M754" s="359">
        <f t="shared" ca="1" si="335"/>
        <v>-1.429239049776607</v>
      </c>
      <c r="N754" s="357">
        <f t="shared" ca="1" si="336"/>
        <v>-81.889365467487764</v>
      </c>
      <c r="O754" s="343"/>
      <c r="P754" s="363">
        <f t="shared" ca="1" si="337"/>
        <v>23</v>
      </c>
      <c r="Q754" s="357">
        <f t="shared" ca="1" si="338"/>
        <v>0</v>
      </c>
      <c r="R754" s="359">
        <f t="shared" ca="1" si="339"/>
        <v>0</v>
      </c>
      <c r="S754" s="360">
        <f t="shared" ca="1" si="340"/>
        <v>1.5629999999999982</v>
      </c>
      <c r="T754" s="357">
        <f t="shared" ca="1" si="320"/>
        <v>15.333029999999983</v>
      </c>
      <c r="U754" s="364">
        <f t="shared" ca="1" si="321"/>
        <v>0</v>
      </c>
      <c r="V754" s="359">
        <f t="shared" ca="1" si="322"/>
        <v>1.2258357505910109</v>
      </c>
      <c r="W754" s="357">
        <f t="shared" ca="1" si="323"/>
        <v>6.0820456457719896</v>
      </c>
      <c r="X754" s="343"/>
      <c r="Y754" s="367" t="str">
        <f t="shared" ca="1" si="341"/>
        <v/>
      </c>
      <c r="Z754" s="368" t="str">
        <f t="shared" ca="1" si="342"/>
        <v/>
      </c>
      <c r="AA754" s="369" t="str">
        <f t="shared" ca="1" si="343"/>
        <v/>
      </c>
      <c r="AB754" s="344"/>
      <c r="AC754" s="363" t="e">
        <f t="shared" ca="1" si="344"/>
        <v>#N/A</v>
      </c>
      <c r="AD754" s="376" t="e">
        <f t="shared" ca="1" si="345"/>
        <v>#N/A</v>
      </c>
      <c r="AE754" s="377" t="e">
        <f t="shared" ca="1" si="324"/>
        <v>#N/A</v>
      </c>
      <c r="AF754" s="344"/>
      <c r="AG754" s="359">
        <f t="shared" ca="1" si="346"/>
        <v>5.8206782036642339</v>
      </c>
      <c r="AH754" s="357">
        <f t="shared" ca="1" si="347"/>
        <v>-3.8911943197760257</v>
      </c>
    </row>
    <row r="755" spans="1:34" x14ac:dyDescent="0.2">
      <c r="A755" s="402">
        <f t="shared" ca="1" si="325"/>
        <v>1E-4</v>
      </c>
      <c r="B755" s="357">
        <f t="shared" ca="1" si="326"/>
        <v>15.641499999999866</v>
      </c>
      <c r="C755" s="342"/>
      <c r="D755" s="359">
        <f t="shared" ca="1" si="327"/>
        <v>-0.54899892599218469</v>
      </c>
      <c r="E755" s="360">
        <f t="shared" ca="1" si="328"/>
        <v>-5.9576584048751222</v>
      </c>
      <c r="F755" s="357">
        <f t="shared" ca="1" si="329"/>
        <v>5.982900090250526</v>
      </c>
      <c r="G755" s="359">
        <f t="shared" ca="1" si="330"/>
        <v>9.5263523464185447</v>
      </c>
      <c r="H755" s="360">
        <f t="shared" ca="1" si="331"/>
        <v>-66.84767533113984</v>
      </c>
      <c r="I755" s="357">
        <f t="shared" ca="1" si="332"/>
        <v>67.523055960209589</v>
      </c>
      <c r="J755" s="359">
        <f t="shared" ca="1" si="333"/>
        <v>187.70931447689617</v>
      </c>
      <c r="K755" s="360">
        <f t="shared" ca="1" si="334"/>
        <v>-6.8268120417397569</v>
      </c>
      <c r="L755" s="357">
        <f t="shared" ca="1" si="319"/>
        <v>187.83341583445568</v>
      </c>
      <c r="M755" s="359">
        <f t="shared" ca="1" si="335"/>
        <v>-1.4292410995116009</v>
      </c>
      <c r="N755" s="357">
        <f t="shared" ca="1" si="336"/>
        <v>-81.889482908652042</v>
      </c>
      <c r="O755" s="343"/>
      <c r="P755" s="363">
        <f t="shared" ca="1" si="337"/>
        <v>23</v>
      </c>
      <c r="Q755" s="357">
        <f t="shared" ca="1" si="338"/>
        <v>0</v>
      </c>
      <c r="R755" s="359">
        <f t="shared" ca="1" si="339"/>
        <v>0</v>
      </c>
      <c r="S755" s="360">
        <f t="shared" ca="1" si="340"/>
        <v>1.5629999999999982</v>
      </c>
      <c r="T755" s="357">
        <f t="shared" ca="1" si="320"/>
        <v>15.333029999999983</v>
      </c>
      <c r="U755" s="364">
        <f t="shared" ca="1" si="321"/>
        <v>0</v>
      </c>
      <c r="V755" s="359">
        <f t="shared" ca="1" si="322"/>
        <v>1.2258365700304314</v>
      </c>
      <c r="W755" s="357">
        <f t="shared" ca="1" si="323"/>
        <v>6.0821545696127846</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5.8206113516374849</v>
      </c>
      <c r="AH755" s="357">
        <f t="shared" ca="1" si="347"/>
        <v>-3.8912640088112584</v>
      </c>
    </row>
    <row r="756" spans="1:34" x14ac:dyDescent="0.2">
      <c r="A756" s="402">
        <f t="shared" ca="1" si="325"/>
        <v>1E-4</v>
      </c>
      <c r="B756" s="357">
        <f t="shared" ca="1" si="326"/>
        <v>15.641599999999865</v>
      </c>
      <c r="C756" s="342"/>
      <c r="D756" s="359">
        <f t="shared" ca="1" si="327"/>
        <v>-0.54900086163581385</v>
      </c>
      <c r="E756" s="360">
        <f t="shared" ca="1" si="328"/>
        <v>-5.957588287667722</v>
      </c>
      <c r="F756" s="357">
        <f t="shared" ca="1" si="329"/>
        <v>5.9828304464887259</v>
      </c>
      <c r="G756" s="359">
        <f t="shared" ca="1" si="330"/>
        <v>9.5262974463323804</v>
      </c>
      <c r="H756" s="360">
        <f t="shared" ca="1" si="331"/>
        <v>-66.848271089968605</v>
      </c>
      <c r="I756" s="357">
        <f t="shared" ca="1" si="332"/>
        <v>67.523638014801392</v>
      </c>
      <c r="J756" s="359">
        <f t="shared" ca="1" si="333"/>
        <v>187.70931447689617</v>
      </c>
      <c r="K756" s="360">
        <f t="shared" ca="1" si="334"/>
        <v>-6.8334968390608122</v>
      </c>
      <c r="L756" s="357">
        <f t="shared" ca="1" si="319"/>
        <v>187.83365891244242</v>
      </c>
      <c r="M756" s="359">
        <f t="shared" ca="1" si="335"/>
        <v>-1.4292431491994451</v>
      </c>
      <c r="N756" s="357">
        <f t="shared" ca="1" si="336"/>
        <v>-81.889600347114822</v>
      </c>
      <c r="O756" s="343"/>
      <c r="P756" s="363">
        <f t="shared" ca="1" si="337"/>
        <v>23</v>
      </c>
      <c r="Q756" s="357">
        <f t="shared" ca="1" si="338"/>
        <v>0</v>
      </c>
      <c r="R756" s="359">
        <f t="shared" ca="1" si="339"/>
        <v>0</v>
      </c>
      <c r="S756" s="360">
        <f t="shared" ca="1" si="340"/>
        <v>1.5629999999999982</v>
      </c>
      <c r="T756" s="357">
        <f t="shared" ca="1" si="320"/>
        <v>15.333029999999983</v>
      </c>
      <c r="U756" s="364">
        <f t="shared" ca="1" si="321"/>
        <v>0</v>
      </c>
      <c r="V756" s="359">
        <f t="shared" ca="1" si="322"/>
        <v>1.2258373894777024</v>
      </c>
      <c r="W756" s="357">
        <f t="shared" ca="1" si="323"/>
        <v>6.0822634933322623</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5.8205444995822608</v>
      </c>
      <c r="AH756" s="357">
        <f t="shared" ca="1" si="347"/>
        <v>-3.8913336977689008</v>
      </c>
    </row>
    <row r="757" spans="1:34" x14ac:dyDescent="0.2">
      <c r="A757" s="402">
        <f t="shared" ca="1" si="325"/>
        <v>1E-4</v>
      </c>
      <c r="B757" s="357">
        <f t="shared" ca="1" si="326"/>
        <v>15.641699999999865</v>
      </c>
      <c r="C757" s="342"/>
      <c r="D757" s="359">
        <f t="shared" ca="1" si="327"/>
        <v>-0.54900279716499945</v>
      </c>
      <c r="E757" s="360">
        <f t="shared" ca="1" si="328"/>
        <v>-5.9575181705389291</v>
      </c>
      <c r="F757" s="357">
        <f t="shared" ca="1" si="329"/>
        <v>5.9827608028063857</v>
      </c>
      <c r="G757" s="359">
        <f t="shared" ca="1" si="330"/>
        <v>9.5262425460526643</v>
      </c>
      <c r="H757" s="360">
        <f t="shared" ca="1" si="331"/>
        <v>-66.848866841785664</v>
      </c>
      <c r="I757" s="357">
        <f t="shared" ca="1" si="332"/>
        <v>67.524220062707982</v>
      </c>
      <c r="J757" s="359">
        <f t="shared" ca="1" si="333"/>
        <v>187.70931447689617</v>
      </c>
      <c r="K757" s="360">
        <f t="shared" ca="1" si="334"/>
        <v>-6.8401816959573996</v>
      </c>
      <c r="L757" s="357">
        <f t="shared" ca="1" si="319"/>
        <v>187.8339022301885</v>
      </c>
      <c r="M757" s="359">
        <f t="shared" ca="1" si="335"/>
        <v>-1.4292451988401411</v>
      </c>
      <c r="N757" s="357">
        <f t="shared" ca="1" si="336"/>
        <v>-81.889717782876232</v>
      </c>
      <c r="O757" s="343"/>
      <c r="P757" s="363">
        <f t="shared" ca="1" si="337"/>
        <v>23</v>
      </c>
      <c r="Q757" s="357">
        <f t="shared" ca="1" si="338"/>
        <v>0</v>
      </c>
      <c r="R757" s="359">
        <f t="shared" ca="1" si="339"/>
        <v>0</v>
      </c>
      <c r="S757" s="360">
        <f t="shared" ca="1" si="340"/>
        <v>1.5629999999999982</v>
      </c>
      <c r="T757" s="357">
        <f t="shared" ca="1" si="320"/>
        <v>15.333029999999983</v>
      </c>
      <c r="U757" s="364">
        <f t="shared" ca="1" si="321"/>
        <v>0</v>
      </c>
      <c r="V757" s="359">
        <f t="shared" ca="1" si="322"/>
        <v>1.2258382089328246</v>
      </c>
      <c r="W757" s="357">
        <f t="shared" ca="1" si="323"/>
        <v>6.0823724169304061</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5.8204776474985938</v>
      </c>
      <c r="AH757" s="357">
        <f t="shared" ca="1" si="347"/>
        <v>-3.8914033866489248</v>
      </c>
    </row>
    <row r="758" spans="1:34" x14ac:dyDescent="0.2">
      <c r="A758" s="402">
        <f t="shared" ca="1" si="325"/>
        <v>1E-4</v>
      </c>
      <c r="B758" s="357">
        <f t="shared" ca="1" si="326"/>
        <v>15.641799999999865</v>
      </c>
      <c r="C758" s="342"/>
      <c r="D758" s="359">
        <f t="shared" ca="1" si="327"/>
        <v>-0.5490047325797438</v>
      </c>
      <c r="E758" s="360">
        <f t="shared" ca="1" si="328"/>
        <v>-5.9574480534887533</v>
      </c>
      <c r="F758" s="357">
        <f t="shared" ca="1" si="329"/>
        <v>5.9826911592035144</v>
      </c>
      <c r="G758" s="359">
        <f t="shared" ca="1" si="330"/>
        <v>9.526187645579407</v>
      </c>
      <c r="H758" s="360">
        <f t="shared" ca="1" si="331"/>
        <v>-66.849462586591017</v>
      </c>
      <c r="I758" s="357">
        <f t="shared" ca="1" si="332"/>
        <v>67.524802103929346</v>
      </c>
      <c r="J758" s="359">
        <f t="shared" ca="1" si="333"/>
        <v>187.70931447689617</v>
      </c>
      <c r="K758" s="360">
        <f t="shared" ca="1" si="334"/>
        <v>-6.8468666124288182</v>
      </c>
      <c r="L758" s="357">
        <f t="shared" ca="1" si="319"/>
        <v>187.83414578769936</v>
      </c>
      <c r="M758" s="359">
        <f t="shared" ca="1" si="335"/>
        <v>-1.4292472484336904</v>
      </c>
      <c r="N758" s="357">
        <f t="shared" ca="1" si="336"/>
        <v>-81.889835215936316</v>
      </c>
      <c r="O758" s="343"/>
      <c r="P758" s="363">
        <f t="shared" ca="1" si="337"/>
        <v>23</v>
      </c>
      <c r="Q758" s="357">
        <f t="shared" ca="1" si="338"/>
        <v>0</v>
      </c>
      <c r="R758" s="359">
        <f t="shared" ca="1" si="339"/>
        <v>0</v>
      </c>
      <c r="S758" s="360">
        <f t="shared" ca="1" si="340"/>
        <v>1.5629999999999982</v>
      </c>
      <c r="T758" s="357">
        <f t="shared" ca="1" si="320"/>
        <v>15.333029999999983</v>
      </c>
      <c r="U758" s="364">
        <f t="shared" ca="1" si="321"/>
        <v>0</v>
      </c>
      <c r="V758" s="359">
        <f t="shared" ca="1" si="322"/>
        <v>1.2258390283957981</v>
      </c>
      <c r="W758" s="357">
        <f t="shared" ca="1" si="323"/>
        <v>6.0824813404071776</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5.8204107953865041</v>
      </c>
      <c r="AH758" s="357">
        <f t="shared" ca="1" si="347"/>
        <v>-3.8914730754513198</v>
      </c>
    </row>
    <row r="759" spans="1:34" x14ac:dyDescent="0.2">
      <c r="A759" s="402">
        <f t="shared" ca="1" si="325"/>
        <v>1E-4</v>
      </c>
      <c r="B759" s="357">
        <f t="shared" ca="1" si="326"/>
        <v>15.641899999999865</v>
      </c>
      <c r="C759" s="342"/>
      <c r="D759" s="359">
        <f t="shared" ca="1" si="327"/>
        <v>-0.54900666788004826</v>
      </c>
      <c r="E759" s="360">
        <f t="shared" ca="1" si="328"/>
        <v>-5.9573779365172213</v>
      </c>
      <c r="F759" s="357">
        <f t="shared" ca="1" si="329"/>
        <v>5.9826215156801403</v>
      </c>
      <c r="G759" s="359">
        <f t="shared" ca="1" si="330"/>
        <v>9.5261327449126192</v>
      </c>
      <c r="H759" s="360">
        <f t="shared" ca="1" si="331"/>
        <v>-66.850058324384662</v>
      </c>
      <c r="I759" s="357">
        <f t="shared" ca="1" si="332"/>
        <v>67.525384138465498</v>
      </c>
      <c r="J759" s="359">
        <f t="shared" ca="1" si="333"/>
        <v>187.70931447689617</v>
      </c>
      <c r="K759" s="360">
        <f t="shared" ca="1" si="334"/>
        <v>-6.8535515884743674</v>
      </c>
      <c r="L759" s="357">
        <f t="shared" ca="1" si="319"/>
        <v>187.83438958498036</v>
      </c>
      <c r="M759" s="359">
        <f t="shared" ca="1" si="335"/>
        <v>-1.4292492979800948</v>
      </c>
      <c r="N759" s="357">
        <f t="shared" ca="1" si="336"/>
        <v>-81.889952646295214</v>
      </c>
      <c r="O759" s="343"/>
      <c r="P759" s="363">
        <f t="shared" ca="1" si="337"/>
        <v>23</v>
      </c>
      <c r="Q759" s="357">
        <f t="shared" ca="1" si="338"/>
        <v>0</v>
      </c>
      <c r="R759" s="359">
        <f t="shared" ca="1" si="339"/>
        <v>0</v>
      </c>
      <c r="S759" s="360">
        <f t="shared" ca="1" si="340"/>
        <v>1.5629999999999982</v>
      </c>
      <c r="T759" s="357">
        <f t="shared" ca="1" si="320"/>
        <v>15.333029999999983</v>
      </c>
      <c r="U759" s="364">
        <f t="shared" ca="1" si="321"/>
        <v>0</v>
      </c>
      <c r="V759" s="359">
        <f t="shared" ca="1" si="322"/>
        <v>1.2258398478666224</v>
      </c>
      <c r="W759" s="357">
        <f t="shared" ca="1" si="323"/>
        <v>6.0825902637625502</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5.8203439432460176</v>
      </c>
      <c r="AH759" s="357">
        <f t="shared" ca="1" si="347"/>
        <v>-3.8915427641760618</v>
      </c>
    </row>
    <row r="760" spans="1:34" x14ac:dyDescent="0.2">
      <c r="A760" s="402">
        <f t="shared" ca="1" si="325"/>
        <v>1E-4</v>
      </c>
      <c r="B760" s="357">
        <f t="shared" ca="1" si="326"/>
        <v>15.641999999999864</v>
      </c>
      <c r="C760" s="342"/>
      <c r="D760" s="359">
        <f t="shared" ca="1" si="327"/>
        <v>-0.54900860306591392</v>
      </c>
      <c r="E760" s="360">
        <f t="shared" ca="1" si="328"/>
        <v>-5.957307819624349</v>
      </c>
      <c r="F760" s="357">
        <f t="shared" ca="1" si="329"/>
        <v>5.9825518722362787</v>
      </c>
      <c r="G760" s="359">
        <f t="shared" ca="1" si="330"/>
        <v>9.5260778440523133</v>
      </c>
      <c r="H760" s="360">
        <f t="shared" ca="1" si="331"/>
        <v>-66.850654055166629</v>
      </c>
      <c r="I760" s="357">
        <f t="shared" ca="1" si="332"/>
        <v>67.525966166316422</v>
      </c>
      <c r="J760" s="359">
        <f t="shared" ca="1" si="333"/>
        <v>187.70931447689617</v>
      </c>
      <c r="K760" s="360">
        <f t="shared" ca="1" si="334"/>
        <v>-6.8602366240933446</v>
      </c>
      <c r="L760" s="357">
        <f t="shared" ca="1" si="319"/>
        <v>187.83463362203693</v>
      </c>
      <c r="M760" s="359">
        <f t="shared" ca="1" si="335"/>
        <v>-1.429251347479356</v>
      </c>
      <c r="N760" s="357">
        <f t="shared" ca="1" si="336"/>
        <v>-81.890070073952984</v>
      </c>
      <c r="O760" s="343"/>
      <c r="P760" s="363">
        <f t="shared" ca="1" si="337"/>
        <v>23</v>
      </c>
      <c r="Q760" s="357">
        <f t="shared" ca="1" si="338"/>
        <v>0</v>
      </c>
      <c r="R760" s="359">
        <f t="shared" ca="1" si="339"/>
        <v>0</v>
      </c>
      <c r="S760" s="360">
        <f t="shared" ca="1" si="340"/>
        <v>1.5629999999999982</v>
      </c>
      <c r="T760" s="357">
        <f t="shared" ca="1" si="320"/>
        <v>15.333029999999983</v>
      </c>
      <c r="U760" s="364">
        <f t="shared" ca="1" si="321"/>
        <v>0</v>
      </c>
      <c r="V760" s="359">
        <f t="shared" ca="1" si="322"/>
        <v>1.2258406673452968</v>
      </c>
      <c r="W760" s="357">
        <f t="shared" ca="1" si="323"/>
        <v>6.0826991869964866</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5.8202770910771582</v>
      </c>
      <c r="AH760" s="357">
        <f t="shared" ca="1" si="347"/>
        <v>-3.8916124528231331</v>
      </c>
    </row>
    <row r="761" spans="1:34" x14ac:dyDescent="0.2">
      <c r="A761" s="402">
        <f t="shared" ca="1" si="325"/>
        <v>1E-4</v>
      </c>
      <c r="B761" s="357">
        <f t="shared" ca="1" si="326"/>
        <v>15.642099999999864</v>
      </c>
      <c r="C761" s="342"/>
      <c r="D761" s="359">
        <f t="shared" ca="1" si="327"/>
        <v>-0.54901053813734113</v>
      </c>
      <c r="E761" s="360">
        <f t="shared" ca="1" si="328"/>
        <v>-5.9572377028101595</v>
      </c>
      <c r="F761" s="357">
        <f t="shared" ca="1" si="329"/>
        <v>5.9824822288719526</v>
      </c>
      <c r="G761" s="359">
        <f t="shared" ca="1" si="330"/>
        <v>9.5260229429984999</v>
      </c>
      <c r="H761" s="360">
        <f t="shared" ca="1" si="331"/>
        <v>-66.851249778936904</v>
      </c>
      <c r="I761" s="357">
        <f t="shared" ca="1" si="332"/>
        <v>67.526548187482121</v>
      </c>
      <c r="J761" s="359">
        <f t="shared" ca="1" si="333"/>
        <v>187.70931447689617</v>
      </c>
      <c r="K761" s="360">
        <f t="shared" ca="1" si="334"/>
        <v>-6.8669217192850498</v>
      </c>
      <c r="L761" s="357">
        <f t="shared" ca="1" si="319"/>
        <v>187.83487789887448</v>
      </c>
      <c r="M761" s="359">
        <f t="shared" ca="1" si="335"/>
        <v>-1.4292533969314758</v>
      </c>
      <c r="N761" s="357">
        <f t="shared" ca="1" si="336"/>
        <v>-81.890187498909768</v>
      </c>
      <c r="O761" s="343"/>
      <c r="P761" s="363">
        <f t="shared" ca="1" si="337"/>
        <v>23</v>
      </c>
      <c r="Q761" s="357">
        <f t="shared" ca="1" si="338"/>
        <v>0</v>
      </c>
      <c r="R761" s="359">
        <f t="shared" ca="1" si="339"/>
        <v>0</v>
      </c>
      <c r="S761" s="360">
        <f t="shared" ca="1" si="340"/>
        <v>1.5629999999999982</v>
      </c>
      <c r="T761" s="357">
        <f t="shared" ca="1" si="320"/>
        <v>15.333029999999983</v>
      </c>
      <c r="U761" s="364">
        <f t="shared" ca="1" si="321"/>
        <v>0</v>
      </c>
      <c r="V761" s="359">
        <f t="shared" ca="1" si="322"/>
        <v>1.2258414868318224</v>
      </c>
      <c r="W761" s="357">
        <f t="shared" ca="1" si="323"/>
        <v>6.0828081101089611</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5.8202102388799526</v>
      </c>
      <c r="AH761" s="357">
        <f t="shared" ca="1" si="347"/>
        <v>-3.8916821413925105</v>
      </c>
    </row>
    <row r="762" spans="1:34" x14ac:dyDescent="0.2">
      <c r="A762" s="402">
        <f t="shared" ca="1" si="325"/>
        <v>1E-4</v>
      </c>
      <c r="B762" s="357">
        <f t="shared" ca="1" si="326"/>
        <v>15.642199999999864</v>
      </c>
      <c r="C762" s="342"/>
      <c r="D762" s="359">
        <f t="shared" ca="1" si="327"/>
        <v>-0.54901247309433077</v>
      </c>
      <c r="E762" s="360">
        <f t="shared" ca="1" si="328"/>
        <v>-5.9571675860746698</v>
      </c>
      <c r="F762" s="357">
        <f t="shared" ca="1" si="329"/>
        <v>5.9824125855871779</v>
      </c>
      <c r="G762" s="359">
        <f t="shared" ca="1" si="330"/>
        <v>9.5259680417511898</v>
      </c>
      <c r="H762" s="360">
        <f t="shared" ca="1" si="331"/>
        <v>-66.851845495695514</v>
      </c>
      <c r="I762" s="357">
        <f t="shared" ca="1" si="332"/>
        <v>67.527130201962606</v>
      </c>
      <c r="J762" s="359">
        <f t="shared" ca="1" si="333"/>
        <v>187.70931447689617</v>
      </c>
      <c r="K762" s="360">
        <f t="shared" ca="1" si="334"/>
        <v>-6.8736068740487815</v>
      </c>
      <c r="L762" s="357">
        <f t="shared" ca="1" si="319"/>
        <v>187.8351224154984</v>
      </c>
      <c r="M762" s="359">
        <f t="shared" ca="1" si="335"/>
        <v>-1.4292554463364557</v>
      </c>
      <c r="N762" s="357">
        <f t="shared" ca="1" si="336"/>
        <v>-81.890304921165637</v>
      </c>
      <c r="O762" s="343"/>
      <c r="P762" s="363">
        <f t="shared" ca="1" si="337"/>
        <v>23</v>
      </c>
      <c r="Q762" s="357">
        <f t="shared" ca="1" si="338"/>
        <v>0</v>
      </c>
      <c r="R762" s="359">
        <f t="shared" ca="1" si="339"/>
        <v>0</v>
      </c>
      <c r="S762" s="360">
        <f t="shared" ca="1" si="340"/>
        <v>1.5629999999999982</v>
      </c>
      <c r="T762" s="357">
        <f t="shared" ca="1" si="320"/>
        <v>15.333029999999983</v>
      </c>
      <c r="U762" s="364">
        <f t="shared" ca="1" si="321"/>
        <v>0</v>
      </c>
      <c r="V762" s="359">
        <f t="shared" ca="1" si="322"/>
        <v>1.2258423063261987</v>
      </c>
      <c r="W762" s="357">
        <f t="shared" ca="1" si="323"/>
        <v>6.0829170330999505</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5.8201433866544257</v>
      </c>
      <c r="AH762" s="357">
        <f t="shared" ca="1" si="347"/>
        <v>-3.8917518298841767</v>
      </c>
    </row>
    <row r="763" spans="1:34" x14ac:dyDescent="0.2">
      <c r="A763" s="402">
        <f t="shared" ca="1" si="325"/>
        <v>1E-4</v>
      </c>
      <c r="B763" s="357">
        <f t="shared" ca="1" si="326"/>
        <v>15.642299999999864</v>
      </c>
      <c r="C763" s="342"/>
      <c r="D763" s="359">
        <f t="shared" ca="1" si="327"/>
        <v>-0.54901440793688527</v>
      </c>
      <c r="E763" s="360">
        <f t="shared" ca="1" si="328"/>
        <v>-5.9570974694178975</v>
      </c>
      <c r="F763" s="357">
        <f t="shared" ca="1" si="329"/>
        <v>5.9823429423819734</v>
      </c>
      <c r="G763" s="359">
        <f t="shared" ca="1" si="330"/>
        <v>9.5259131403103954</v>
      </c>
      <c r="H763" s="360">
        <f t="shared" ca="1" si="331"/>
        <v>-66.85244120544246</v>
      </c>
      <c r="I763" s="357">
        <f t="shared" ca="1" si="332"/>
        <v>67.527712209757851</v>
      </c>
      <c r="J763" s="359">
        <f t="shared" ca="1" si="333"/>
        <v>187.70931447689617</v>
      </c>
      <c r="K763" s="360">
        <f t="shared" ca="1" si="334"/>
        <v>-6.8802920883838388</v>
      </c>
      <c r="L763" s="357">
        <f t="shared" ca="1" si="319"/>
        <v>187.83536717191407</v>
      </c>
      <c r="M763" s="359">
        <f t="shared" ca="1" si="335"/>
        <v>-1.4292574956942976</v>
      </c>
      <c r="N763" s="357">
        <f t="shared" ca="1" si="336"/>
        <v>-81.89042234072069</v>
      </c>
      <c r="O763" s="343"/>
      <c r="P763" s="363">
        <f t="shared" ca="1" si="337"/>
        <v>23</v>
      </c>
      <c r="Q763" s="357">
        <f t="shared" ca="1" si="338"/>
        <v>0</v>
      </c>
      <c r="R763" s="359">
        <f t="shared" ca="1" si="339"/>
        <v>0</v>
      </c>
      <c r="S763" s="360">
        <f t="shared" ca="1" si="340"/>
        <v>1.5629999999999982</v>
      </c>
      <c r="T763" s="357">
        <f t="shared" ca="1" si="320"/>
        <v>15.333029999999983</v>
      </c>
      <c r="U763" s="364">
        <f t="shared" ca="1" si="321"/>
        <v>0</v>
      </c>
      <c r="V763" s="359">
        <f t="shared" ca="1" si="322"/>
        <v>1.2258431258284255</v>
      </c>
      <c r="W763" s="357">
        <f t="shared" ca="1" si="323"/>
        <v>6.0830259559694095</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5.8200765344005951</v>
      </c>
      <c r="AH763" s="357">
        <f t="shared" ca="1" si="347"/>
        <v>-3.8918215182981175</v>
      </c>
    </row>
    <row r="764" spans="1:34" x14ac:dyDescent="0.2">
      <c r="A764" s="402">
        <f t="shared" ca="1" si="325"/>
        <v>1E-4</v>
      </c>
      <c r="B764" s="357">
        <f t="shared" ca="1" si="326"/>
        <v>15.642399999999864</v>
      </c>
      <c r="C764" s="342"/>
      <c r="D764" s="359">
        <f t="shared" ca="1" si="327"/>
        <v>-0.54901634266500388</v>
      </c>
      <c r="E764" s="360">
        <f t="shared" ca="1" si="328"/>
        <v>-5.9570273528398676</v>
      </c>
      <c r="F764" s="357">
        <f t="shared" ca="1" si="329"/>
        <v>5.9822732992563639</v>
      </c>
      <c r="G764" s="359">
        <f t="shared" ca="1" si="330"/>
        <v>9.525858238676129</v>
      </c>
      <c r="H764" s="360">
        <f t="shared" ca="1" si="331"/>
        <v>-66.853036908177742</v>
      </c>
      <c r="I764" s="357">
        <f t="shared" ca="1" si="332"/>
        <v>67.528294210867855</v>
      </c>
      <c r="J764" s="359">
        <f t="shared" ca="1" si="333"/>
        <v>187.70931447689617</v>
      </c>
      <c r="K764" s="360">
        <f t="shared" ca="1" si="334"/>
        <v>-6.8869773622895201</v>
      </c>
      <c r="L764" s="357">
        <f t="shared" ca="1" si="319"/>
        <v>187.83561216812691</v>
      </c>
      <c r="M764" s="359">
        <f t="shared" ca="1" si="335"/>
        <v>-1.429259545005003</v>
      </c>
      <c r="N764" s="357">
        <f t="shared" ca="1" si="336"/>
        <v>-81.890539757575013</v>
      </c>
      <c r="O764" s="343"/>
      <c r="P764" s="363">
        <f t="shared" ca="1" si="337"/>
        <v>23</v>
      </c>
      <c r="Q764" s="357">
        <f t="shared" ca="1" si="338"/>
        <v>0</v>
      </c>
      <c r="R764" s="359">
        <f t="shared" ca="1" si="339"/>
        <v>0</v>
      </c>
      <c r="S764" s="360">
        <f t="shared" ca="1" si="340"/>
        <v>1.5629999999999982</v>
      </c>
      <c r="T764" s="357">
        <f t="shared" ca="1" si="320"/>
        <v>15.333029999999983</v>
      </c>
      <c r="U764" s="364">
        <f t="shared" ca="1" si="321"/>
        <v>0</v>
      </c>
      <c r="V764" s="359">
        <f t="shared" ca="1" si="322"/>
        <v>1.2258439453385028</v>
      </c>
      <c r="W764" s="357">
        <f t="shared" ca="1" si="323"/>
        <v>6.083134878717317</v>
      </c>
      <c r="X764" s="343"/>
      <c r="Y764" s="367" t="str">
        <f t="shared" ca="1" si="341"/>
        <v/>
      </c>
      <c r="Z764" s="368" t="str">
        <f t="shared" ca="1" si="342"/>
        <v/>
      </c>
      <c r="AA764" s="369" t="str">
        <f t="shared" ca="1" si="343"/>
        <v/>
      </c>
      <c r="AB764" s="344"/>
      <c r="AC764" s="363" t="e">
        <f t="shared" ca="1" si="344"/>
        <v>#N/A</v>
      </c>
      <c r="AD764" s="376" t="e">
        <f t="shared" ca="1" si="345"/>
        <v>#N/A</v>
      </c>
      <c r="AE764" s="377" t="e">
        <f t="shared" ca="1" si="324"/>
        <v>#N/A</v>
      </c>
      <c r="AF764" s="344"/>
      <c r="AG764" s="359">
        <f t="shared" ca="1" si="346"/>
        <v>5.8200096821184975</v>
      </c>
      <c r="AH764" s="357">
        <f t="shared" ca="1" si="347"/>
        <v>-3.8918912066343037</v>
      </c>
    </row>
    <row r="765" spans="1:34" x14ac:dyDescent="0.2">
      <c r="A765" s="402">
        <f t="shared" ca="1" si="325"/>
        <v>1E-4</v>
      </c>
      <c r="B765" s="357">
        <f t="shared" ca="1" si="326"/>
        <v>15.642499999999863</v>
      </c>
      <c r="C765" s="342"/>
      <c r="D765" s="359">
        <f t="shared" ca="1" si="327"/>
        <v>-0.5490182772786889</v>
      </c>
      <c r="E765" s="360">
        <f t="shared" ca="1" si="328"/>
        <v>-5.956957236340596</v>
      </c>
      <c r="F765" s="357">
        <f t="shared" ca="1" si="329"/>
        <v>5.9822036562103644</v>
      </c>
      <c r="G765" s="359">
        <f t="shared" ca="1" si="330"/>
        <v>9.5258033368484014</v>
      </c>
      <c r="H765" s="360">
        <f t="shared" ca="1" si="331"/>
        <v>-66.853632603901374</v>
      </c>
      <c r="I765" s="357">
        <f t="shared" ca="1" si="332"/>
        <v>67.528876205292633</v>
      </c>
      <c r="J765" s="359">
        <f t="shared" ca="1" si="333"/>
        <v>187.70931447689617</v>
      </c>
      <c r="K765" s="360">
        <f t="shared" ca="1" si="334"/>
        <v>-6.8936626957651237</v>
      </c>
      <c r="L765" s="357">
        <f t="shared" ca="1" si="319"/>
        <v>187.8358574041423</v>
      </c>
      <c r="M765" s="359">
        <f t="shared" ca="1" si="335"/>
        <v>-1.4292615942685734</v>
      </c>
      <c r="N765" s="357">
        <f t="shared" ca="1" si="336"/>
        <v>-81.890657171728705</v>
      </c>
      <c r="O765" s="343"/>
      <c r="P765" s="363">
        <f t="shared" ca="1" si="337"/>
        <v>23</v>
      </c>
      <c r="Q765" s="357">
        <f t="shared" ca="1" si="338"/>
        <v>0</v>
      </c>
      <c r="R765" s="359">
        <f t="shared" ca="1" si="339"/>
        <v>0</v>
      </c>
      <c r="S765" s="360">
        <f t="shared" ca="1" si="340"/>
        <v>1.5629999999999982</v>
      </c>
      <c r="T765" s="357">
        <f t="shared" ca="1" si="320"/>
        <v>15.333029999999983</v>
      </c>
      <c r="U765" s="364">
        <f t="shared" ca="1" si="321"/>
        <v>0</v>
      </c>
      <c r="V765" s="359">
        <f t="shared" ca="1" si="322"/>
        <v>1.2258447648564301</v>
      </c>
      <c r="W765" s="357">
        <f t="shared" ca="1" si="323"/>
        <v>6.0832438013436381</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5.8199428298081477</v>
      </c>
      <c r="AH765" s="357">
        <f t="shared" ca="1" si="347"/>
        <v>-3.8919608948927218</v>
      </c>
    </row>
    <row r="766" spans="1:34" x14ac:dyDescent="0.2">
      <c r="A766" s="402">
        <f t="shared" ca="1" si="325"/>
        <v>1E-4</v>
      </c>
      <c r="B766" s="357">
        <f t="shared" ca="1" si="326"/>
        <v>15.642599999999863</v>
      </c>
      <c r="C766" s="342"/>
      <c r="D766" s="359">
        <f t="shared" ca="1" si="327"/>
        <v>-0.54902021177794158</v>
      </c>
      <c r="E766" s="360">
        <f t="shared" ca="1" si="328"/>
        <v>-5.9568871199201059</v>
      </c>
      <c r="F766" s="357">
        <f t="shared" ca="1" si="329"/>
        <v>5.9821340132439991</v>
      </c>
      <c r="G766" s="359">
        <f t="shared" ca="1" si="330"/>
        <v>9.5257484348272232</v>
      </c>
      <c r="H766" s="360">
        <f t="shared" ca="1" si="331"/>
        <v>-66.854228292613371</v>
      </c>
      <c r="I766" s="357">
        <f t="shared" ca="1" si="332"/>
        <v>67.52945819303217</v>
      </c>
      <c r="J766" s="359">
        <f t="shared" ca="1" si="333"/>
        <v>187.70931447689617</v>
      </c>
      <c r="K766" s="360">
        <f t="shared" ca="1" si="334"/>
        <v>-6.9003480888099498</v>
      </c>
      <c r="L766" s="357">
        <f t="shared" ca="1" si="319"/>
        <v>187.83610287996567</v>
      </c>
      <c r="M766" s="359">
        <f t="shared" ca="1" si="335"/>
        <v>-1.429263643485011</v>
      </c>
      <c r="N766" s="357">
        <f t="shared" ca="1" si="336"/>
        <v>-81.890774583181894</v>
      </c>
      <c r="O766" s="343"/>
      <c r="P766" s="363">
        <f t="shared" ca="1" si="337"/>
        <v>23</v>
      </c>
      <c r="Q766" s="357">
        <f t="shared" ca="1" si="338"/>
        <v>0</v>
      </c>
      <c r="R766" s="359">
        <f t="shared" ca="1" si="339"/>
        <v>0</v>
      </c>
      <c r="S766" s="360">
        <f t="shared" ca="1" si="340"/>
        <v>1.5629999999999982</v>
      </c>
      <c r="T766" s="357">
        <f t="shared" ca="1" si="320"/>
        <v>15.333029999999983</v>
      </c>
      <c r="U766" s="364">
        <f t="shared" ca="1" si="321"/>
        <v>0</v>
      </c>
      <c r="V766" s="359">
        <f t="shared" ca="1" si="322"/>
        <v>1.225845584382208</v>
      </c>
      <c r="W766" s="357">
        <f t="shared" ca="1" si="323"/>
        <v>6.0833527238483454</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5.8198759774695752</v>
      </c>
      <c r="AH766" s="357">
        <f t="shared" ca="1" si="347"/>
        <v>-3.8920305830733493</v>
      </c>
    </row>
    <row r="767" spans="1:34" x14ac:dyDescent="0.2">
      <c r="A767" s="402">
        <f t="shared" ca="1" si="325"/>
        <v>1E-4</v>
      </c>
      <c r="B767" s="357">
        <f t="shared" ca="1" si="326"/>
        <v>15.642699999999863</v>
      </c>
      <c r="C767" s="342"/>
      <c r="D767" s="359">
        <f t="shared" ca="1" si="327"/>
        <v>-0.54902214616276135</v>
      </c>
      <c r="E767" s="360">
        <f t="shared" ca="1" si="328"/>
        <v>-5.9568170035784131</v>
      </c>
      <c r="F767" s="357">
        <f t="shared" ca="1" si="329"/>
        <v>5.9820643703572829</v>
      </c>
      <c r="G767" s="359">
        <f t="shared" ca="1" si="330"/>
        <v>9.5256935326126069</v>
      </c>
      <c r="H767" s="360">
        <f t="shared" ca="1" si="331"/>
        <v>-66.854823974313732</v>
      </c>
      <c r="I767" s="357">
        <f t="shared" ca="1" si="332"/>
        <v>67.530040174086466</v>
      </c>
      <c r="J767" s="359">
        <f t="shared" ca="1" si="333"/>
        <v>187.70931447689617</v>
      </c>
      <c r="K767" s="360">
        <f t="shared" ca="1" si="334"/>
        <v>-6.9070335414232957</v>
      </c>
      <c r="L767" s="357">
        <f t="shared" ca="1" si="319"/>
        <v>187.83634859560235</v>
      </c>
      <c r="M767" s="359">
        <f t="shared" ca="1" si="335"/>
        <v>-1.429265692654317</v>
      </c>
      <c r="N767" s="357">
        <f t="shared" ca="1" si="336"/>
        <v>-81.890891991934637</v>
      </c>
      <c r="O767" s="343"/>
      <c r="P767" s="363">
        <f t="shared" ca="1" si="337"/>
        <v>23</v>
      </c>
      <c r="Q767" s="357">
        <f t="shared" ca="1" si="338"/>
        <v>0</v>
      </c>
      <c r="R767" s="359">
        <f t="shared" ca="1" si="339"/>
        <v>0</v>
      </c>
      <c r="S767" s="360">
        <f t="shared" ca="1" si="340"/>
        <v>1.5629999999999982</v>
      </c>
      <c r="T767" s="357">
        <f t="shared" ca="1" si="320"/>
        <v>15.333029999999983</v>
      </c>
      <c r="U767" s="364">
        <f t="shared" ca="1" si="321"/>
        <v>0</v>
      </c>
      <c r="V767" s="359">
        <f t="shared" ca="1" si="322"/>
        <v>1.2258464039158361</v>
      </c>
      <c r="W767" s="357">
        <f t="shared" ca="1" si="323"/>
        <v>6.0834616462314077</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5.8198091251028039</v>
      </c>
      <c r="AH767" s="357">
        <f t="shared" ca="1" si="347"/>
        <v>-3.8921002711761692</v>
      </c>
    </row>
    <row r="768" spans="1:34" x14ac:dyDescent="0.2">
      <c r="A768" s="402">
        <f t="shared" ca="1" si="325"/>
        <v>1E-4</v>
      </c>
      <c r="B768" s="357">
        <f t="shared" ca="1" si="326"/>
        <v>15.642799999999863</v>
      </c>
      <c r="C768" s="342"/>
      <c r="D768" s="359">
        <f t="shared" ca="1" si="327"/>
        <v>-0.54902408043315121</v>
      </c>
      <c r="E768" s="360">
        <f t="shared" ca="1" si="328"/>
        <v>-5.9567468873155374</v>
      </c>
      <c r="F768" s="357">
        <f t="shared" ca="1" si="329"/>
        <v>5.9819947275502354</v>
      </c>
      <c r="G768" s="359">
        <f t="shared" ca="1" si="330"/>
        <v>9.525638630204563</v>
      </c>
      <c r="H768" s="360">
        <f t="shared" ca="1" si="331"/>
        <v>-66.855419649002457</v>
      </c>
      <c r="I768" s="357">
        <f t="shared" ca="1" si="332"/>
        <v>67.530622148455507</v>
      </c>
      <c r="J768" s="359">
        <f t="shared" ca="1" si="333"/>
        <v>187.70931447689617</v>
      </c>
      <c r="K768" s="360">
        <f t="shared" ca="1" si="334"/>
        <v>-6.9137190536044617</v>
      </c>
      <c r="L768" s="357">
        <f t="shared" ca="1" si="319"/>
        <v>187.8365945510578</v>
      </c>
      <c r="M768" s="359">
        <f t="shared" ca="1" si="335"/>
        <v>-1.4292677417764934</v>
      </c>
      <c r="N768" s="357">
        <f t="shared" ca="1" si="336"/>
        <v>-81.891009397987048</v>
      </c>
      <c r="O768" s="343"/>
      <c r="P768" s="363">
        <f t="shared" ca="1" si="337"/>
        <v>23</v>
      </c>
      <c r="Q768" s="357">
        <f t="shared" ca="1" si="338"/>
        <v>0</v>
      </c>
      <c r="R768" s="359">
        <f t="shared" ca="1" si="339"/>
        <v>0</v>
      </c>
      <c r="S768" s="360">
        <f t="shared" ca="1" si="340"/>
        <v>1.5629999999999982</v>
      </c>
      <c r="T768" s="357">
        <f t="shared" ca="1" si="320"/>
        <v>15.333029999999983</v>
      </c>
      <c r="U768" s="364">
        <f t="shared" ca="1" si="321"/>
        <v>0</v>
      </c>
      <c r="V768" s="359">
        <f t="shared" ca="1" si="322"/>
        <v>1.2258472234573148</v>
      </c>
      <c r="W768" s="357">
        <f t="shared" ca="1" si="323"/>
        <v>6.0835705684927905</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5.8197422727078569</v>
      </c>
      <c r="AH768" s="357">
        <f t="shared" ca="1" si="347"/>
        <v>-3.8921699592011612</v>
      </c>
    </row>
    <row r="769" spans="1:34" x14ac:dyDescent="0.2">
      <c r="A769" s="402">
        <f t="shared" ca="1" si="325"/>
        <v>1E-4</v>
      </c>
      <c r="B769" s="357">
        <f t="shared" ca="1" si="326"/>
        <v>15.642899999999862</v>
      </c>
      <c r="C769" s="342"/>
      <c r="D769" s="359">
        <f t="shared" ca="1" si="327"/>
        <v>-0.5490260145891106</v>
      </c>
      <c r="E769" s="360">
        <f t="shared" ca="1" si="328"/>
        <v>-5.9566767711315034</v>
      </c>
      <c r="F769" s="357">
        <f t="shared" ca="1" si="329"/>
        <v>5.9819250848228815</v>
      </c>
      <c r="G769" s="359">
        <f t="shared" ca="1" si="330"/>
        <v>9.5255837276031041</v>
      </c>
      <c r="H769" s="360">
        <f t="shared" ca="1" si="331"/>
        <v>-66.856015316679574</v>
      </c>
      <c r="I769" s="357">
        <f t="shared" ca="1" si="332"/>
        <v>67.531204116139307</v>
      </c>
      <c r="J769" s="359">
        <f t="shared" ca="1" si="333"/>
        <v>187.70931447689617</v>
      </c>
      <c r="K769" s="360">
        <f t="shared" ca="1" si="334"/>
        <v>-6.920404625352746</v>
      </c>
      <c r="L769" s="357">
        <f t="shared" ca="1" si="319"/>
        <v>187.83684074633734</v>
      </c>
      <c r="M769" s="359">
        <f t="shared" ca="1" si="335"/>
        <v>-1.4292697908515417</v>
      </c>
      <c r="N769" s="357">
        <f t="shared" ca="1" si="336"/>
        <v>-81.891126801339226</v>
      </c>
      <c r="O769" s="343"/>
      <c r="P769" s="363">
        <f t="shared" ca="1" si="337"/>
        <v>23</v>
      </c>
      <c r="Q769" s="357">
        <f t="shared" ca="1" si="338"/>
        <v>0</v>
      </c>
      <c r="R769" s="359">
        <f t="shared" ca="1" si="339"/>
        <v>0</v>
      </c>
      <c r="S769" s="360">
        <f t="shared" ca="1" si="340"/>
        <v>1.5629999999999982</v>
      </c>
      <c r="T769" s="357">
        <f t="shared" ca="1" si="320"/>
        <v>15.333029999999983</v>
      </c>
      <c r="U769" s="364">
        <f t="shared" ca="1" si="321"/>
        <v>0</v>
      </c>
      <c r="V769" s="359">
        <f t="shared" ca="1" si="322"/>
        <v>1.2258480430066434</v>
      </c>
      <c r="W769" s="357">
        <f t="shared" ca="1" si="323"/>
        <v>6.0836794906324698</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5.8196754202847618</v>
      </c>
      <c r="AH769" s="357">
        <f t="shared" ca="1" si="347"/>
        <v>-3.892239647148303</v>
      </c>
    </row>
    <row r="770" spans="1:34" x14ac:dyDescent="0.2">
      <c r="A770" s="402">
        <f t="shared" ca="1" si="325"/>
        <v>1E-4</v>
      </c>
      <c r="B770" s="357">
        <f t="shared" ca="1" si="326"/>
        <v>15.642999999999862</v>
      </c>
      <c r="C770" s="342"/>
      <c r="D770" s="359">
        <f t="shared" ca="1" si="327"/>
        <v>-0.54902794863064186</v>
      </c>
      <c r="E770" s="360">
        <f t="shared" ca="1" si="328"/>
        <v>-5.9566066550263237</v>
      </c>
      <c r="F770" s="357">
        <f t="shared" ca="1" si="329"/>
        <v>5.9818554421752337</v>
      </c>
      <c r="G770" s="359">
        <f t="shared" ca="1" si="330"/>
        <v>9.5255288248082408</v>
      </c>
      <c r="H770" s="360">
        <f t="shared" ca="1" si="331"/>
        <v>-66.856610977345071</v>
      </c>
      <c r="I770" s="357">
        <f t="shared" ca="1" si="332"/>
        <v>67.531786077137852</v>
      </c>
      <c r="J770" s="359">
        <f t="shared" ca="1" si="333"/>
        <v>187.70931447689617</v>
      </c>
      <c r="K770" s="360">
        <f t="shared" ca="1" si="334"/>
        <v>-6.927090256667447</v>
      </c>
      <c r="L770" s="357">
        <f t="shared" ca="1" si="319"/>
        <v>187.83708718144646</v>
      </c>
      <c r="M770" s="359">
        <f t="shared" ca="1" si="335"/>
        <v>-1.4292718398794637</v>
      </c>
      <c r="N770" s="357">
        <f t="shared" ca="1" si="336"/>
        <v>-81.891244201991256</v>
      </c>
      <c r="O770" s="343"/>
      <c r="P770" s="363">
        <f t="shared" ca="1" si="337"/>
        <v>23</v>
      </c>
      <c r="Q770" s="357">
        <f t="shared" ca="1" si="338"/>
        <v>0</v>
      </c>
      <c r="R770" s="359">
        <f t="shared" ca="1" si="339"/>
        <v>0</v>
      </c>
      <c r="S770" s="360">
        <f t="shared" ca="1" si="340"/>
        <v>1.5629999999999982</v>
      </c>
      <c r="T770" s="357">
        <f t="shared" ca="1" si="320"/>
        <v>15.333029999999983</v>
      </c>
      <c r="U770" s="364">
        <f t="shared" ca="1" si="321"/>
        <v>0</v>
      </c>
      <c r="V770" s="359">
        <f t="shared" ca="1" si="322"/>
        <v>1.2258488625638218</v>
      </c>
      <c r="W770" s="357">
        <f t="shared" ca="1" si="323"/>
        <v>6.0837884126504091</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5.8196085678335407</v>
      </c>
      <c r="AH770" s="357">
        <f t="shared" ca="1" si="347"/>
        <v>-3.8923093350175795</v>
      </c>
    </row>
    <row r="771" spans="1:34" x14ac:dyDescent="0.2">
      <c r="A771" s="402">
        <f t="shared" ca="1" si="325"/>
        <v>1E-4</v>
      </c>
      <c r="B771" s="357">
        <f t="shared" ca="1" si="326"/>
        <v>15.643099999999862</v>
      </c>
      <c r="C771" s="342"/>
      <c r="D771" s="359">
        <f t="shared" ca="1" si="327"/>
        <v>-0.54902988255774499</v>
      </c>
      <c r="E771" s="360">
        <f t="shared" ca="1" si="328"/>
        <v>-5.9565365390000231</v>
      </c>
      <c r="F771" s="357">
        <f t="shared" ca="1" si="329"/>
        <v>5.9817857996073167</v>
      </c>
      <c r="G771" s="359">
        <f t="shared" ca="1" si="330"/>
        <v>9.5254739218199855</v>
      </c>
      <c r="H771" s="360">
        <f t="shared" ca="1" si="331"/>
        <v>-66.857206630998974</v>
      </c>
      <c r="I771" s="357">
        <f t="shared" ca="1" si="332"/>
        <v>67.532368031451156</v>
      </c>
      <c r="J771" s="359">
        <f t="shared" ca="1" si="333"/>
        <v>187.70931447689617</v>
      </c>
      <c r="K771" s="360">
        <f t="shared" ca="1" si="334"/>
        <v>-6.933775947547864</v>
      </c>
      <c r="L771" s="357">
        <f t="shared" ca="1" si="319"/>
        <v>187.83733385639047</v>
      </c>
      <c r="M771" s="359">
        <f t="shared" ca="1" si="335"/>
        <v>-1.429273888860261</v>
      </c>
      <c r="N771" s="357">
        <f t="shared" ca="1" si="336"/>
        <v>-81.891361599943238</v>
      </c>
      <c r="O771" s="343"/>
      <c r="P771" s="363">
        <f t="shared" ca="1" si="337"/>
        <v>23</v>
      </c>
      <c r="Q771" s="357">
        <f t="shared" ca="1" si="338"/>
        <v>0</v>
      </c>
      <c r="R771" s="359">
        <f t="shared" ca="1" si="339"/>
        <v>0</v>
      </c>
      <c r="S771" s="360">
        <f t="shared" ca="1" si="340"/>
        <v>1.5629999999999982</v>
      </c>
      <c r="T771" s="357">
        <f t="shared" ca="1" si="320"/>
        <v>15.333029999999983</v>
      </c>
      <c r="U771" s="364">
        <f t="shared" ca="1" si="321"/>
        <v>0</v>
      </c>
      <c r="V771" s="359">
        <f t="shared" ca="1" si="322"/>
        <v>1.2258496821288503</v>
      </c>
      <c r="W771" s="357">
        <f t="shared" ca="1" si="323"/>
        <v>6.0838973345465828</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5.8195417153542213</v>
      </c>
      <c r="AH771" s="357">
        <f t="shared" ca="1" si="347"/>
        <v>-3.8923790228089676</v>
      </c>
    </row>
    <row r="772" spans="1:34" x14ac:dyDescent="0.2">
      <c r="A772" s="402">
        <f t="shared" ca="1" si="325"/>
        <v>1E-4</v>
      </c>
      <c r="B772" s="357">
        <f t="shared" ca="1" si="326"/>
        <v>15.643199999999862</v>
      </c>
      <c r="C772" s="342"/>
      <c r="D772" s="359">
        <f t="shared" ca="1" si="327"/>
        <v>-0.54903181637042209</v>
      </c>
      <c r="E772" s="360">
        <f t="shared" ca="1" si="328"/>
        <v>-5.9564664230526185</v>
      </c>
      <c r="F772" s="357">
        <f t="shared" ca="1" si="329"/>
        <v>5.9817161571191475</v>
      </c>
      <c r="G772" s="359">
        <f t="shared" ca="1" si="330"/>
        <v>9.5254190186383489</v>
      </c>
      <c r="H772" s="360">
        <f t="shared" ca="1" si="331"/>
        <v>-66.857802277641284</v>
      </c>
      <c r="I772" s="357">
        <f t="shared" ca="1" si="332"/>
        <v>67.532949979079191</v>
      </c>
      <c r="J772" s="359">
        <f t="shared" ca="1" si="333"/>
        <v>187.70931447689617</v>
      </c>
      <c r="K772" s="360">
        <f t="shared" ca="1" si="334"/>
        <v>-6.940461697993296</v>
      </c>
      <c r="L772" s="357">
        <f t="shared" ref="L772:L835" ca="1" si="348">SQRT(pos_x^2+pos_z^2)</f>
        <v>187.8375807711748</v>
      </c>
      <c r="M772" s="359">
        <f t="shared" ca="1" si="335"/>
        <v>-1.4292759377939355</v>
      </c>
      <c r="N772" s="357">
        <f t="shared" ca="1" si="336"/>
        <v>-81.891478995195286</v>
      </c>
      <c r="O772" s="343"/>
      <c r="P772" s="363">
        <f t="shared" ca="1" si="337"/>
        <v>23</v>
      </c>
      <c r="Q772" s="357">
        <f t="shared" ca="1" si="338"/>
        <v>0</v>
      </c>
      <c r="R772" s="359">
        <f t="shared" ca="1" si="339"/>
        <v>0</v>
      </c>
      <c r="S772" s="360">
        <f t="shared" ca="1" si="340"/>
        <v>1.5629999999999982</v>
      </c>
      <c r="T772" s="357">
        <f t="shared" ref="T772:T835" ca="1" si="349">m*g</f>
        <v>15.333029999999983</v>
      </c>
      <c r="U772" s="364">
        <f t="shared" ref="U772:U835" ca="1" si="350">IF(pos_xz&lt;L_rampe,Poids*COS(Beta),0)</f>
        <v>0</v>
      </c>
      <c r="V772" s="359">
        <f t="shared" ref="V772:V835" ca="1" si="351">Rho_moyen*(20000-Alt_rampe-pos_z)/(20000+Alt_rampe+pos_z)</f>
        <v>1.2258505017017285</v>
      </c>
      <c r="W772" s="357">
        <f t="shared" ref="W772:W835" ca="1" si="352">1/2*Rho*Sref*Cx*vit_xz^2</f>
        <v>6.0840062563209552</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5.8194748628468238</v>
      </c>
      <c r="AH772" s="357">
        <f t="shared" ca="1" si="347"/>
        <v>-3.8924487105224506</v>
      </c>
    </row>
    <row r="773" spans="1:34" x14ac:dyDescent="0.2">
      <c r="A773" s="402">
        <f t="shared" ref="A773:A836" ca="1" si="354">IF(B772+0.01&lt;=T_ini+ROUNDUP(Temps_fin_propu,0), 0.01, IF(K772&gt;0, 0.1, 0.0001))</f>
        <v>1E-4</v>
      </c>
      <c r="B773" s="357">
        <f t="shared" ref="B773:B836" ca="1" si="355">B772+pas</f>
        <v>15.643299999999861</v>
      </c>
      <c r="C773" s="342"/>
      <c r="D773" s="359">
        <f t="shared" ref="D773:D836" ca="1" si="356">IF(AND(L772&lt;L_rampe,Poussee&lt;Poids*SIN(M772)),0,(-W772+Poussee)/m*COS(M772)-U772/m*SIN(M772))</f>
        <v>-0.54903375006867239</v>
      </c>
      <c r="E773" s="360">
        <f t="shared" ref="E773:E836" ca="1" si="357">IF(AND(L772&lt;L_rampe,Poussee&lt;Poids*SIN(M772)),0,(-W772+Poussee)/m*SIN(M772)+U772/m*COS(M772)-Poids/m)</f>
        <v>-5.9563963071841322</v>
      </c>
      <c r="F773" s="357">
        <f t="shared" ref="F773:F836" ca="1" si="358">SQRT(acc_x^2+acc_z^2)</f>
        <v>5.9816465147107483</v>
      </c>
      <c r="G773" s="359">
        <f t="shared" ref="G773:G836" ca="1" si="359">G772+acc_x*pas</f>
        <v>9.5253641152633417</v>
      </c>
      <c r="H773" s="360">
        <f t="shared" ref="H773:H836" ca="1" si="360">H772+acc_z*pas</f>
        <v>-66.858397917272001</v>
      </c>
      <c r="I773" s="357">
        <f t="shared" ref="I773:I836" ca="1" si="361">SQRT(vit_x^2+vit_z^2)</f>
        <v>67.533531920021971</v>
      </c>
      <c r="J773" s="359">
        <f t="shared" ref="J773:J836" ca="1" si="362">J772+0.5*(vit_x+G772)*pas*(K772&gt;=0)</f>
        <v>187.70931447689617</v>
      </c>
      <c r="K773" s="360">
        <f t="shared" ref="K773:K836" ca="1" si="363">K772+0.5*(vit_z+H772)*pas</f>
        <v>-6.9471475080030416</v>
      </c>
      <c r="L773" s="357">
        <f t="shared" ca="1" si="348"/>
        <v>187.83782792580479</v>
      </c>
      <c r="M773" s="359">
        <f t="shared" ref="M773:M836" ca="1" si="364">IF(AND(L772&gt;L_rampe,G773&gt;0),ATAN2(G773,H773),$M$4)</f>
        <v>-1.4292779866804883</v>
      </c>
      <c r="N773" s="357">
        <f t="shared" ref="N773:N836" ca="1" si="365">DEGREES(Beta)</f>
        <v>-81.89159638774747</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1.5629999999999982</v>
      </c>
      <c r="T773" s="357">
        <f t="shared" ca="1" si="349"/>
        <v>15.333029999999983</v>
      </c>
      <c r="U773" s="364">
        <f t="shared" ca="1" si="350"/>
        <v>0</v>
      </c>
      <c r="V773" s="359">
        <f t="shared" ca="1" si="351"/>
        <v>1.2258513212824567</v>
      </c>
      <c r="W773" s="357">
        <f t="shared" ca="1" si="352"/>
        <v>6.0841151779734988</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5.8194080103113759</v>
      </c>
      <c r="AH773" s="357">
        <f t="shared" ref="AH773:AH836" ca="1" si="376">IF(AND(L772&lt;L_rampe,Poussee&lt;Poids*SIN(M772)), g*SIN(M772), (-W772+Poussee)/m)</f>
        <v>-3.8925183981580052</v>
      </c>
    </row>
    <row r="774" spans="1:34" x14ac:dyDescent="0.2">
      <c r="A774" s="402">
        <f t="shared" ca="1" si="354"/>
        <v>1E-4</v>
      </c>
      <c r="B774" s="357">
        <f t="shared" ca="1" si="355"/>
        <v>15.643399999999861</v>
      </c>
      <c r="C774" s="342"/>
      <c r="D774" s="359">
        <f t="shared" ca="1" si="356"/>
        <v>-0.54903568365249966</v>
      </c>
      <c r="E774" s="360">
        <f t="shared" ca="1" si="357"/>
        <v>-5.9563261913945826</v>
      </c>
      <c r="F774" s="357">
        <f t="shared" ca="1" si="358"/>
        <v>5.9815768723821359</v>
      </c>
      <c r="G774" s="359">
        <f t="shared" ca="1" si="359"/>
        <v>9.5253092116949762</v>
      </c>
      <c r="H774" s="360">
        <f t="shared" ca="1" si="360"/>
        <v>-66.858993549891139</v>
      </c>
      <c r="I774" s="357">
        <f t="shared" ca="1" si="361"/>
        <v>67.534113854279497</v>
      </c>
      <c r="J774" s="359">
        <f t="shared" ca="1" si="362"/>
        <v>187.70931447689617</v>
      </c>
      <c r="K774" s="360">
        <f t="shared" ca="1" si="363"/>
        <v>-6.9538333775763999</v>
      </c>
      <c r="L774" s="357">
        <f t="shared" ca="1" si="348"/>
        <v>187.8380753202859</v>
      </c>
      <c r="M774" s="359">
        <f t="shared" ca="1" si="364"/>
        <v>-1.429280035519922</v>
      </c>
      <c r="N774" s="357">
        <f t="shared" ca="1" si="365"/>
        <v>-81.891713777599918</v>
      </c>
      <c r="O774" s="343"/>
      <c r="P774" s="363">
        <f t="shared" ca="1" si="366"/>
        <v>23</v>
      </c>
      <c r="Q774" s="357">
        <f t="shared" ca="1" si="367"/>
        <v>0</v>
      </c>
      <c r="R774" s="359">
        <f t="shared" ca="1" si="368"/>
        <v>0</v>
      </c>
      <c r="S774" s="360">
        <f t="shared" ca="1" si="369"/>
        <v>1.5629999999999982</v>
      </c>
      <c r="T774" s="357">
        <f t="shared" ca="1" si="349"/>
        <v>15.333029999999983</v>
      </c>
      <c r="U774" s="364">
        <f t="shared" ca="1" si="350"/>
        <v>0</v>
      </c>
      <c r="V774" s="359">
        <f t="shared" ca="1" si="351"/>
        <v>1.225852140871035</v>
      </c>
      <c r="W774" s="357">
        <f t="shared" ca="1" si="352"/>
        <v>6.0842240995041843</v>
      </c>
      <c r="X774" s="343"/>
      <c r="Y774" s="367" t="str">
        <f t="shared" ca="1" si="370"/>
        <v/>
      </c>
      <c r="Z774" s="368" t="str">
        <f t="shared" ca="1" si="371"/>
        <v/>
      </c>
      <c r="AA774" s="369" t="str">
        <f t="shared" ca="1" si="372"/>
        <v/>
      </c>
      <c r="AB774" s="344"/>
      <c r="AC774" s="363" t="e">
        <f t="shared" ca="1" si="373"/>
        <v>#N/A</v>
      </c>
      <c r="AD774" s="376" t="e">
        <f t="shared" ca="1" si="374"/>
        <v>#N/A</v>
      </c>
      <c r="AE774" s="377" t="e">
        <f t="shared" ca="1" si="353"/>
        <v>#N/A</v>
      </c>
      <c r="AF774" s="344"/>
      <c r="AG774" s="359">
        <f t="shared" ca="1" si="375"/>
        <v>5.8193411577479024</v>
      </c>
      <c r="AH774" s="357">
        <f t="shared" ca="1" si="376"/>
        <v>-3.892588085715615</v>
      </c>
    </row>
    <row r="775" spans="1:34" x14ac:dyDescent="0.2">
      <c r="A775" s="402">
        <f t="shared" ca="1" si="354"/>
        <v>1E-4</v>
      </c>
      <c r="B775" s="357">
        <f t="shared" ca="1" si="355"/>
        <v>15.643499999999861</v>
      </c>
      <c r="C775" s="342"/>
      <c r="D775" s="359">
        <f t="shared" ca="1" si="356"/>
        <v>-0.5490376171219018</v>
      </c>
      <c r="E775" s="360">
        <f t="shared" ca="1" si="357"/>
        <v>-5.9562560756839877</v>
      </c>
      <c r="F775" s="357">
        <f t="shared" ca="1" si="358"/>
        <v>5.9815072301333307</v>
      </c>
      <c r="G775" s="359">
        <f t="shared" ca="1" si="359"/>
        <v>9.5252543079332632</v>
      </c>
      <c r="H775" s="360">
        <f t="shared" ca="1" si="360"/>
        <v>-66.859589175498712</v>
      </c>
      <c r="I775" s="357">
        <f t="shared" ca="1" si="361"/>
        <v>67.534695781851752</v>
      </c>
      <c r="J775" s="359">
        <f t="shared" ca="1" si="362"/>
        <v>187.70931447689617</v>
      </c>
      <c r="K775" s="360">
        <f t="shared" ca="1" si="363"/>
        <v>-6.9605193067126692</v>
      </c>
      <c r="L775" s="357">
        <f t="shared" ca="1" si="348"/>
        <v>187.83832295462346</v>
      </c>
      <c r="M775" s="359">
        <f t="shared" ca="1" si="364"/>
        <v>-1.4292820843122374</v>
      </c>
      <c r="N775" s="357">
        <f t="shared" ca="1" si="365"/>
        <v>-81.891831164752688</v>
      </c>
      <c r="O775" s="343"/>
      <c r="P775" s="363">
        <f t="shared" ca="1" si="366"/>
        <v>23</v>
      </c>
      <c r="Q775" s="357">
        <f t="shared" ca="1" si="367"/>
        <v>0</v>
      </c>
      <c r="R775" s="359">
        <f t="shared" ca="1" si="368"/>
        <v>0</v>
      </c>
      <c r="S775" s="360">
        <f t="shared" ca="1" si="369"/>
        <v>1.5629999999999982</v>
      </c>
      <c r="T775" s="357">
        <f t="shared" ca="1" si="349"/>
        <v>15.333029999999983</v>
      </c>
      <c r="U775" s="364">
        <f t="shared" ca="1" si="350"/>
        <v>0</v>
      </c>
      <c r="V775" s="359">
        <f t="shared" ca="1" si="351"/>
        <v>1.2258529604674624</v>
      </c>
      <c r="W775" s="357">
        <f t="shared" ca="1" si="352"/>
        <v>6.0843330209129771</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5.8192743051564264</v>
      </c>
      <c r="AH775" s="357">
        <f t="shared" ca="1" si="376"/>
        <v>-3.8926577731952601</v>
      </c>
    </row>
    <row r="776" spans="1:34" x14ac:dyDescent="0.2">
      <c r="A776" s="402">
        <f t="shared" ca="1" si="354"/>
        <v>1E-4</v>
      </c>
      <c r="B776" s="357">
        <f t="shared" ca="1" si="355"/>
        <v>15.643599999999861</v>
      </c>
      <c r="C776" s="342"/>
      <c r="D776" s="359">
        <f t="shared" ca="1" si="356"/>
        <v>-0.54903955047688302</v>
      </c>
      <c r="E776" s="360">
        <f t="shared" ca="1" si="357"/>
        <v>-5.9561859600523697</v>
      </c>
      <c r="F776" s="357">
        <f t="shared" ca="1" si="358"/>
        <v>5.9814375879643542</v>
      </c>
      <c r="G776" s="359">
        <f t="shared" ca="1" si="359"/>
        <v>9.5251994039782151</v>
      </c>
      <c r="H776" s="360">
        <f t="shared" ca="1" si="360"/>
        <v>-66.860184794094721</v>
      </c>
      <c r="I776" s="357">
        <f t="shared" ca="1" si="361"/>
        <v>67.535277702738753</v>
      </c>
      <c r="J776" s="359">
        <f t="shared" ca="1" si="362"/>
        <v>187.70931447689617</v>
      </c>
      <c r="K776" s="360">
        <f t="shared" ca="1" si="363"/>
        <v>-6.9672052954111487</v>
      </c>
      <c r="L776" s="357">
        <f t="shared" ca="1" si="348"/>
        <v>187.83857082882287</v>
      </c>
      <c r="M776" s="359">
        <f t="shared" ca="1" si="364"/>
        <v>-1.4292841330574366</v>
      </c>
      <c r="N776" s="357">
        <f t="shared" ca="1" si="365"/>
        <v>-81.891948549205907</v>
      </c>
      <c r="O776" s="343"/>
      <c r="P776" s="363">
        <f t="shared" ca="1" si="366"/>
        <v>23</v>
      </c>
      <c r="Q776" s="357">
        <f t="shared" ca="1" si="367"/>
        <v>0</v>
      </c>
      <c r="R776" s="359">
        <f t="shared" ca="1" si="368"/>
        <v>0</v>
      </c>
      <c r="S776" s="360">
        <f t="shared" ca="1" si="369"/>
        <v>1.5629999999999982</v>
      </c>
      <c r="T776" s="357">
        <f t="shared" ca="1" si="349"/>
        <v>15.333029999999983</v>
      </c>
      <c r="U776" s="364">
        <f t="shared" ca="1" si="350"/>
        <v>0</v>
      </c>
      <c r="V776" s="359">
        <f t="shared" ca="1" si="351"/>
        <v>1.22585378007174</v>
      </c>
      <c r="W776" s="357">
        <f t="shared" ca="1" si="352"/>
        <v>6.0844419421998541</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5.8192074525369737</v>
      </c>
      <c r="AH776" s="357">
        <f t="shared" ca="1" si="376"/>
        <v>-3.8927274605969191</v>
      </c>
    </row>
    <row r="777" spans="1:34" x14ac:dyDescent="0.2">
      <c r="A777" s="402">
        <f t="shared" ca="1" si="354"/>
        <v>1E-4</v>
      </c>
      <c r="B777" s="357">
        <f t="shared" ca="1" si="355"/>
        <v>15.64369999999986</v>
      </c>
      <c r="C777" s="342"/>
      <c r="D777" s="359">
        <f t="shared" ca="1" si="356"/>
        <v>-0.54904148371744255</v>
      </c>
      <c r="E777" s="360">
        <f t="shared" ca="1" si="357"/>
        <v>-5.9561158444997435</v>
      </c>
      <c r="F777" s="357">
        <f t="shared" ca="1" si="358"/>
        <v>5.9813679458752196</v>
      </c>
      <c r="G777" s="359">
        <f t="shared" ca="1" si="359"/>
        <v>9.5251444998298425</v>
      </c>
      <c r="H777" s="360">
        <f t="shared" ca="1" si="360"/>
        <v>-66.860780405679165</v>
      </c>
      <c r="I777" s="357">
        <f t="shared" ca="1" si="361"/>
        <v>67.535859616940456</v>
      </c>
      <c r="J777" s="359">
        <f t="shared" ca="1" si="362"/>
        <v>187.70931447689617</v>
      </c>
      <c r="K777" s="360">
        <f t="shared" ca="1" si="363"/>
        <v>-6.9738913436711378</v>
      </c>
      <c r="L777" s="357">
        <f t="shared" ca="1" si="348"/>
        <v>187.8388189428895</v>
      </c>
      <c r="M777" s="359">
        <f t="shared" ca="1" si="364"/>
        <v>-1.4292861817555214</v>
      </c>
      <c r="N777" s="357">
        <f t="shared" ca="1" si="365"/>
        <v>-81.89206593095966</v>
      </c>
      <c r="O777" s="343"/>
      <c r="P777" s="363">
        <f t="shared" ca="1" si="366"/>
        <v>23</v>
      </c>
      <c r="Q777" s="357">
        <f t="shared" ca="1" si="367"/>
        <v>0</v>
      </c>
      <c r="R777" s="359">
        <f t="shared" ca="1" si="368"/>
        <v>0</v>
      </c>
      <c r="S777" s="360">
        <f t="shared" ca="1" si="369"/>
        <v>1.5629999999999982</v>
      </c>
      <c r="T777" s="357">
        <f t="shared" ca="1" si="349"/>
        <v>15.333029999999983</v>
      </c>
      <c r="U777" s="364">
        <f t="shared" ca="1" si="350"/>
        <v>0</v>
      </c>
      <c r="V777" s="359">
        <f t="shared" ca="1" si="351"/>
        <v>1.2258545996838666</v>
      </c>
      <c r="W777" s="357">
        <f t="shared" ca="1" si="352"/>
        <v>6.0845508633647709</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5.8191405998895664</v>
      </c>
      <c r="AH777" s="357">
        <f t="shared" ca="1" si="376"/>
        <v>-3.8927971479205765</v>
      </c>
    </row>
    <row r="778" spans="1:34" x14ac:dyDescent="0.2">
      <c r="A778" s="402">
        <f t="shared" ca="1" si="354"/>
        <v>1E-4</v>
      </c>
      <c r="B778" s="357">
        <f t="shared" ca="1" si="355"/>
        <v>15.64379999999986</v>
      </c>
      <c r="C778" s="342"/>
      <c r="D778" s="359">
        <f t="shared" ca="1" si="356"/>
        <v>-0.54904341684358093</v>
      </c>
      <c r="E778" s="360">
        <f t="shared" ca="1" si="357"/>
        <v>-5.9560457290261386</v>
      </c>
      <c r="F778" s="357">
        <f t="shared" ca="1" si="358"/>
        <v>5.9812983038659571</v>
      </c>
      <c r="G778" s="359">
        <f t="shared" ca="1" si="359"/>
        <v>9.5250895954881578</v>
      </c>
      <c r="H778" s="360">
        <f t="shared" ca="1" si="360"/>
        <v>-66.861376010252073</v>
      </c>
      <c r="I778" s="357">
        <f t="shared" ca="1" si="361"/>
        <v>67.536441524456919</v>
      </c>
      <c r="J778" s="359">
        <f t="shared" ca="1" si="362"/>
        <v>187.70931447689617</v>
      </c>
      <c r="K778" s="360">
        <f t="shared" ca="1" si="363"/>
        <v>-6.9805774514919348</v>
      </c>
      <c r="L778" s="357">
        <f t="shared" ca="1" si="348"/>
        <v>187.83906729682877</v>
      </c>
      <c r="M778" s="359">
        <f t="shared" ca="1" si="364"/>
        <v>-1.4292882304064933</v>
      </c>
      <c r="N778" s="357">
        <f t="shared" ca="1" si="365"/>
        <v>-81.892183310014047</v>
      </c>
      <c r="O778" s="343"/>
      <c r="P778" s="363">
        <f t="shared" ca="1" si="366"/>
        <v>23</v>
      </c>
      <c r="Q778" s="357">
        <f t="shared" ca="1" si="367"/>
        <v>0</v>
      </c>
      <c r="R778" s="359">
        <f t="shared" ca="1" si="368"/>
        <v>0</v>
      </c>
      <c r="S778" s="360">
        <f t="shared" ca="1" si="369"/>
        <v>1.5629999999999982</v>
      </c>
      <c r="T778" s="357">
        <f t="shared" ca="1" si="349"/>
        <v>15.333029999999983</v>
      </c>
      <c r="U778" s="364">
        <f t="shared" ca="1" si="350"/>
        <v>0</v>
      </c>
      <c r="V778" s="359">
        <f t="shared" ca="1" si="351"/>
        <v>1.2258554193038431</v>
      </c>
      <c r="W778" s="357">
        <f t="shared" ca="1" si="352"/>
        <v>6.0846597844077133</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5.8190737472142402</v>
      </c>
      <c r="AH778" s="357">
        <f t="shared" ca="1" si="376"/>
        <v>-3.8928668351662048</v>
      </c>
    </row>
    <row r="779" spans="1:34" x14ac:dyDescent="0.2">
      <c r="A779" s="402">
        <f t="shared" ca="1" si="354"/>
        <v>1E-4</v>
      </c>
      <c r="B779" s="357">
        <f t="shared" ca="1" si="355"/>
        <v>15.64389999999986</v>
      </c>
      <c r="C779" s="342"/>
      <c r="D779" s="359">
        <f t="shared" ca="1" si="356"/>
        <v>-0.54904534985530018</v>
      </c>
      <c r="E779" s="360">
        <f t="shared" ca="1" si="357"/>
        <v>-5.9559756136315638</v>
      </c>
      <c r="F779" s="357">
        <f t="shared" ca="1" si="358"/>
        <v>5.9812286619365764</v>
      </c>
      <c r="G779" s="359">
        <f t="shared" ca="1" si="359"/>
        <v>9.5250346909531718</v>
      </c>
      <c r="H779" s="360">
        <f t="shared" ca="1" si="360"/>
        <v>-66.86197160781343</v>
      </c>
      <c r="I779" s="357">
        <f t="shared" ca="1" si="361"/>
        <v>67.537023425288083</v>
      </c>
      <c r="J779" s="359">
        <f t="shared" ca="1" si="362"/>
        <v>187.70931447689617</v>
      </c>
      <c r="K779" s="360">
        <f t="shared" ca="1" si="363"/>
        <v>-6.9872636188728379</v>
      </c>
      <c r="L779" s="357">
        <f t="shared" ca="1" si="348"/>
        <v>187.83931589064608</v>
      </c>
      <c r="M779" s="359">
        <f t="shared" ca="1" si="364"/>
        <v>-1.4292902790103539</v>
      </c>
      <c r="N779" s="357">
        <f t="shared" ca="1" si="365"/>
        <v>-81.892300686369154</v>
      </c>
      <c r="O779" s="343"/>
      <c r="P779" s="363">
        <f t="shared" ca="1" si="366"/>
        <v>23</v>
      </c>
      <c r="Q779" s="357">
        <f t="shared" ca="1" si="367"/>
        <v>0</v>
      </c>
      <c r="R779" s="359">
        <f t="shared" ca="1" si="368"/>
        <v>0</v>
      </c>
      <c r="S779" s="360">
        <f t="shared" ca="1" si="369"/>
        <v>1.5629999999999982</v>
      </c>
      <c r="T779" s="357">
        <f t="shared" ca="1" si="349"/>
        <v>15.333029999999983</v>
      </c>
      <c r="U779" s="364">
        <f t="shared" ca="1" si="350"/>
        <v>0</v>
      </c>
      <c r="V779" s="359">
        <f t="shared" ca="1" si="351"/>
        <v>1.225856238931669</v>
      </c>
      <c r="W779" s="357">
        <f t="shared" ca="1" si="352"/>
        <v>6.0847687053286412</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5.8190068945110021</v>
      </c>
      <c r="AH779" s="357">
        <f t="shared" ca="1" si="376"/>
        <v>-3.8929365223337942</v>
      </c>
    </row>
    <row r="780" spans="1:34" x14ac:dyDescent="0.2">
      <c r="A780" s="402">
        <f t="shared" ca="1" si="354"/>
        <v>1E-4</v>
      </c>
      <c r="B780" s="357">
        <f t="shared" ca="1" si="355"/>
        <v>15.64399999999986</v>
      </c>
      <c r="C780" s="342"/>
      <c r="D780" s="359">
        <f t="shared" ca="1" si="356"/>
        <v>-0.54904728275260195</v>
      </c>
      <c r="E780" s="360">
        <f t="shared" ca="1" si="357"/>
        <v>-5.955905498316044</v>
      </c>
      <c r="F780" s="357">
        <f t="shared" ca="1" si="358"/>
        <v>5.9811590200871017</v>
      </c>
      <c r="G780" s="359">
        <f t="shared" ca="1" si="359"/>
        <v>9.5249797862248968</v>
      </c>
      <c r="H780" s="360">
        <f t="shared" ca="1" si="360"/>
        <v>-66.862567198363266</v>
      </c>
      <c r="I780" s="357">
        <f t="shared" ca="1" si="361"/>
        <v>67.537605319433979</v>
      </c>
      <c r="J780" s="359">
        <f t="shared" ca="1" si="362"/>
        <v>187.70931447689617</v>
      </c>
      <c r="K780" s="360">
        <f t="shared" ca="1" si="363"/>
        <v>-6.9939498458131464</v>
      </c>
      <c r="L780" s="357">
        <f t="shared" ca="1" si="348"/>
        <v>187.83956472434676</v>
      </c>
      <c r="M780" s="359">
        <f t="shared" ca="1" si="364"/>
        <v>-1.429292327567105</v>
      </c>
      <c r="N780" s="357">
        <f t="shared" ca="1" si="365"/>
        <v>-81.892418060025079</v>
      </c>
      <c r="O780" s="343"/>
      <c r="P780" s="363">
        <f t="shared" ca="1" si="366"/>
        <v>23</v>
      </c>
      <c r="Q780" s="357">
        <f t="shared" ca="1" si="367"/>
        <v>0</v>
      </c>
      <c r="R780" s="359">
        <f t="shared" ca="1" si="368"/>
        <v>0</v>
      </c>
      <c r="S780" s="360">
        <f t="shared" ca="1" si="369"/>
        <v>1.5629999999999982</v>
      </c>
      <c r="T780" s="357">
        <f t="shared" ca="1" si="349"/>
        <v>15.333029999999983</v>
      </c>
      <c r="U780" s="364">
        <f t="shared" ca="1" si="350"/>
        <v>0</v>
      </c>
      <c r="V780" s="359">
        <f t="shared" ca="1" si="351"/>
        <v>1.2258570585673436</v>
      </c>
      <c r="W780" s="357">
        <f t="shared" ca="1" si="352"/>
        <v>6.084877626127521</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5.8189400417798893</v>
      </c>
      <c r="AH780" s="357">
        <f t="shared" ca="1" si="376"/>
        <v>-3.8930062094233193</v>
      </c>
    </row>
    <row r="781" spans="1:34" x14ac:dyDescent="0.2">
      <c r="A781" s="402">
        <f t="shared" ca="1" si="354"/>
        <v>1E-4</v>
      </c>
      <c r="B781" s="357">
        <f t="shared" ca="1" si="355"/>
        <v>15.64409999999986</v>
      </c>
      <c r="C781" s="342"/>
      <c r="D781" s="359">
        <f t="shared" ca="1" si="356"/>
        <v>-0.5490492155354858</v>
      </c>
      <c r="E781" s="360">
        <f t="shared" ca="1" si="357"/>
        <v>-5.9558353830796005</v>
      </c>
      <c r="F781" s="357">
        <f t="shared" ca="1" si="358"/>
        <v>5.9810893783175541</v>
      </c>
      <c r="G781" s="359">
        <f t="shared" ca="1" si="359"/>
        <v>9.5249248813033436</v>
      </c>
      <c r="H781" s="360">
        <f t="shared" ca="1" si="360"/>
        <v>-66.863162781901579</v>
      </c>
      <c r="I781" s="357">
        <f t="shared" ca="1" si="361"/>
        <v>67.538187206894591</v>
      </c>
      <c r="J781" s="359">
        <f t="shared" ca="1" si="362"/>
        <v>187.70931447689617</v>
      </c>
      <c r="K781" s="360">
        <f t="shared" ca="1" si="363"/>
        <v>-7.0006361323121595</v>
      </c>
      <c r="L781" s="357">
        <f t="shared" ca="1" si="348"/>
        <v>187.83981379793616</v>
      </c>
      <c r="M781" s="359">
        <f t="shared" ca="1" si="364"/>
        <v>-1.4292943760767485</v>
      </c>
      <c r="N781" s="357">
        <f t="shared" ca="1" si="365"/>
        <v>-81.892535430981951</v>
      </c>
      <c r="O781" s="343"/>
      <c r="P781" s="363">
        <f t="shared" ca="1" si="366"/>
        <v>23</v>
      </c>
      <c r="Q781" s="357">
        <f t="shared" ca="1" si="367"/>
        <v>0</v>
      </c>
      <c r="R781" s="359">
        <f t="shared" ca="1" si="368"/>
        <v>0</v>
      </c>
      <c r="S781" s="360">
        <f t="shared" ca="1" si="369"/>
        <v>1.5629999999999982</v>
      </c>
      <c r="T781" s="357">
        <f t="shared" ca="1" si="349"/>
        <v>15.333029999999983</v>
      </c>
      <c r="U781" s="364">
        <f t="shared" ca="1" si="350"/>
        <v>0</v>
      </c>
      <c r="V781" s="359">
        <f t="shared" ca="1" si="351"/>
        <v>1.2258578782108684</v>
      </c>
      <c r="W781" s="357">
        <f t="shared" ca="1" si="352"/>
        <v>6.084986546804334</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5.8188731890209251</v>
      </c>
      <c r="AH781" s="357">
        <f t="shared" ca="1" si="376"/>
        <v>-3.8930758964347589</v>
      </c>
    </row>
    <row r="782" spans="1:34" x14ac:dyDescent="0.2">
      <c r="A782" s="402">
        <f t="shared" ca="1" si="354"/>
        <v>1E-4</v>
      </c>
      <c r="B782" s="357">
        <f t="shared" ca="1" si="355"/>
        <v>15.644199999999859</v>
      </c>
      <c r="C782" s="342"/>
      <c r="D782" s="359">
        <f t="shared" ca="1" si="356"/>
        <v>-0.54905114820395329</v>
      </c>
      <c r="E782" s="360">
        <f t="shared" ca="1" si="357"/>
        <v>-5.9557652679222475</v>
      </c>
      <c r="F782" s="357">
        <f t="shared" ca="1" si="358"/>
        <v>5.9810197366279478</v>
      </c>
      <c r="G782" s="359">
        <f t="shared" ca="1" si="359"/>
        <v>9.5248699761885227</v>
      </c>
      <c r="H782" s="360">
        <f t="shared" ca="1" si="360"/>
        <v>-66.86375835842837</v>
      </c>
      <c r="I782" s="357">
        <f t="shared" ca="1" si="361"/>
        <v>67.53876908766992</v>
      </c>
      <c r="J782" s="359">
        <f t="shared" ca="1" si="362"/>
        <v>187.70931447689617</v>
      </c>
      <c r="K782" s="360">
        <f t="shared" ca="1" si="363"/>
        <v>-7.0073224783691757</v>
      </c>
      <c r="L782" s="357">
        <f t="shared" ca="1" si="348"/>
        <v>187.84006311141977</v>
      </c>
      <c r="M782" s="359">
        <f t="shared" ca="1" si="364"/>
        <v>-1.4292964245392856</v>
      </c>
      <c r="N782" s="357">
        <f t="shared" ca="1" si="365"/>
        <v>-81.892652799239812</v>
      </c>
      <c r="O782" s="343"/>
      <c r="P782" s="363">
        <f t="shared" ca="1" si="366"/>
        <v>23</v>
      </c>
      <c r="Q782" s="357">
        <f t="shared" ca="1" si="367"/>
        <v>0</v>
      </c>
      <c r="R782" s="359">
        <f t="shared" ca="1" si="368"/>
        <v>0</v>
      </c>
      <c r="S782" s="360">
        <f t="shared" ca="1" si="369"/>
        <v>1.5629999999999982</v>
      </c>
      <c r="T782" s="357">
        <f t="shared" ca="1" si="349"/>
        <v>15.333029999999983</v>
      </c>
      <c r="U782" s="364">
        <f t="shared" ca="1" si="350"/>
        <v>0</v>
      </c>
      <c r="V782" s="359">
        <f t="shared" ca="1" si="351"/>
        <v>1.2258586978622421</v>
      </c>
      <c r="W782" s="357">
        <f t="shared" ca="1" si="352"/>
        <v>6.0850954673590385</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5.8188063362341271</v>
      </c>
      <c r="AH782" s="357">
        <f t="shared" ca="1" si="376"/>
        <v>-3.8931455833681006</v>
      </c>
    </row>
    <row r="783" spans="1:34" x14ac:dyDescent="0.2">
      <c r="A783" s="402">
        <f t="shared" ca="1" si="354"/>
        <v>1E-4</v>
      </c>
      <c r="B783" s="357">
        <f t="shared" ca="1" si="355"/>
        <v>15.644299999999859</v>
      </c>
      <c r="C783" s="342"/>
      <c r="D783" s="359">
        <f t="shared" ca="1" si="356"/>
        <v>-0.54905308075800618</v>
      </c>
      <c r="E783" s="360">
        <f t="shared" ca="1" si="357"/>
        <v>-5.9556951528440099</v>
      </c>
      <c r="F783" s="357">
        <f t="shared" ca="1" si="358"/>
        <v>5.9809500950183061</v>
      </c>
      <c r="G783" s="359">
        <f t="shared" ca="1" si="359"/>
        <v>9.5248150708804467</v>
      </c>
      <c r="H783" s="360">
        <f t="shared" ca="1" si="360"/>
        <v>-66.864353927943654</v>
      </c>
      <c r="I783" s="357">
        <f t="shared" ca="1" si="361"/>
        <v>67.539350961759951</v>
      </c>
      <c r="J783" s="359">
        <f t="shared" ca="1" si="362"/>
        <v>187.70931447689617</v>
      </c>
      <c r="K783" s="360">
        <f t="shared" ca="1" si="363"/>
        <v>-7.014008883983494</v>
      </c>
      <c r="L783" s="357">
        <f t="shared" ca="1" si="348"/>
        <v>187.84031266480287</v>
      </c>
      <c r="M783" s="359">
        <f t="shared" ca="1" si="364"/>
        <v>-1.4292984729547182</v>
      </c>
      <c r="N783" s="357">
        <f t="shared" ca="1" si="365"/>
        <v>-81.89277016479879</v>
      </c>
      <c r="O783" s="343"/>
      <c r="P783" s="363">
        <f t="shared" ca="1" si="366"/>
        <v>23</v>
      </c>
      <c r="Q783" s="357">
        <f t="shared" ca="1" si="367"/>
        <v>0</v>
      </c>
      <c r="R783" s="359">
        <f t="shared" ca="1" si="368"/>
        <v>0</v>
      </c>
      <c r="S783" s="360">
        <f t="shared" ca="1" si="369"/>
        <v>1.5629999999999982</v>
      </c>
      <c r="T783" s="357">
        <f t="shared" ca="1" si="349"/>
        <v>15.333029999999983</v>
      </c>
      <c r="U783" s="364">
        <f t="shared" ca="1" si="350"/>
        <v>0</v>
      </c>
      <c r="V783" s="359">
        <f t="shared" ca="1" si="351"/>
        <v>1.2258595175214648</v>
      </c>
      <c r="W783" s="357">
        <f t="shared" ca="1" si="352"/>
        <v>6.085204387791606</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5.8187394834195292</v>
      </c>
      <c r="AH783" s="357">
        <f t="shared" ca="1" si="376"/>
        <v>-3.8932152702233176</v>
      </c>
    </row>
    <row r="784" spans="1:34" x14ac:dyDescent="0.2">
      <c r="A784" s="402">
        <f t="shared" ca="1" si="354"/>
        <v>1E-4</v>
      </c>
      <c r="B784" s="357">
        <f t="shared" ca="1" si="355"/>
        <v>15.644399999999859</v>
      </c>
      <c r="C784" s="342"/>
      <c r="D784" s="359">
        <f t="shared" ca="1" si="356"/>
        <v>-0.54905501319764505</v>
      </c>
      <c r="E784" s="360">
        <f t="shared" ca="1" si="357"/>
        <v>-5.9556250378449072</v>
      </c>
      <c r="F784" s="357">
        <f t="shared" ca="1" si="358"/>
        <v>5.980880453488651</v>
      </c>
      <c r="G784" s="359">
        <f t="shared" ca="1" si="359"/>
        <v>9.5247601653791261</v>
      </c>
      <c r="H784" s="360">
        <f t="shared" ca="1" si="360"/>
        <v>-66.864949490447444</v>
      </c>
      <c r="I784" s="357">
        <f t="shared" ca="1" si="361"/>
        <v>67.539932829164712</v>
      </c>
      <c r="J784" s="359">
        <f t="shared" ca="1" si="362"/>
        <v>187.70931447689617</v>
      </c>
      <c r="K784" s="360">
        <f t="shared" ca="1" si="363"/>
        <v>-7.0206953491544137</v>
      </c>
      <c r="L784" s="357">
        <f t="shared" ca="1" si="348"/>
        <v>187.84056245809086</v>
      </c>
      <c r="M784" s="359">
        <f t="shared" ca="1" si="364"/>
        <v>-1.4293005213230483</v>
      </c>
      <c r="N784" s="357">
        <f t="shared" ca="1" si="365"/>
        <v>-81.892887527658999</v>
      </c>
      <c r="O784" s="343"/>
      <c r="P784" s="363">
        <f t="shared" ca="1" si="366"/>
        <v>23</v>
      </c>
      <c r="Q784" s="357">
        <f t="shared" ca="1" si="367"/>
        <v>0</v>
      </c>
      <c r="R784" s="359">
        <f t="shared" ca="1" si="368"/>
        <v>0</v>
      </c>
      <c r="S784" s="360">
        <f t="shared" ca="1" si="369"/>
        <v>1.5629999999999982</v>
      </c>
      <c r="T784" s="357">
        <f t="shared" ca="1" si="349"/>
        <v>15.333029999999983</v>
      </c>
      <c r="U784" s="364">
        <f t="shared" ca="1" si="350"/>
        <v>0</v>
      </c>
      <c r="V784" s="359">
        <f t="shared" ca="1" si="351"/>
        <v>1.2258603371885364</v>
      </c>
      <c r="W784" s="357">
        <f t="shared" ca="1" si="352"/>
        <v>6.0853133081020108</v>
      </c>
      <c r="X784" s="343"/>
      <c r="Y784" s="367" t="str">
        <f t="shared" ca="1" si="370"/>
        <v/>
      </c>
      <c r="Z784" s="368" t="str">
        <f t="shared" ca="1" si="371"/>
        <v/>
      </c>
      <c r="AA784" s="369" t="str">
        <f t="shared" ca="1" si="372"/>
        <v/>
      </c>
      <c r="AB784" s="344"/>
      <c r="AC784" s="363" t="e">
        <f t="shared" ca="1" si="373"/>
        <v>#N/A</v>
      </c>
      <c r="AD784" s="376" t="e">
        <f t="shared" ca="1" si="374"/>
        <v>#N/A</v>
      </c>
      <c r="AE784" s="377" t="e">
        <f t="shared" ca="1" si="353"/>
        <v>#N/A</v>
      </c>
      <c r="AF784" s="344"/>
      <c r="AG784" s="359">
        <f t="shared" ca="1" si="375"/>
        <v>5.8186726305771517</v>
      </c>
      <c r="AH784" s="357">
        <f t="shared" ca="1" si="376"/>
        <v>-3.8932849570003922</v>
      </c>
    </row>
    <row r="785" spans="1:34" x14ac:dyDescent="0.2">
      <c r="A785" s="402">
        <f t="shared" ca="1" si="354"/>
        <v>1E-4</v>
      </c>
      <c r="B785" s="357">
        <f t="shared" ca="1" si="355"/>
        <v>15.644499999999859</v>
      </c>
      <c r="C785" s="342"/>
      <c r="D785" s="359">
        <f t="shared" ca="1" si="356"/>
        <v>-0.54905694552287032</v>
      </c>
      <c r="E785" s="360">
        <f t="shared" ca="1" si="357"/>
        <v>-5.9555549229249545</v>
      </c>
      <c r="F785" s="357">
        <f t="shared" ca="1" si="358"/>
        <v>5.9808108120389969</v>
      </c>
      <c r="G785" s="359">
        <f t="shared" ca="1" si="359"/>
        <v>9.5247052596845734</v>
      </c>
      <c r="H785" s="360">
        <f t="shared" ca="1" si="360"/>
        <v>-66.86554504593974</v>
      </c>
      <c r="I785" s="357">
        <f t="shared" ca="1" si="361"/>
        <v>67.540514689884176</v>
      </c>
      <c r="J785" s="359">
        <f t="shared" ca="1" si="362"/>
        <v>187.70931447689617</v>
      </c>
      <c r="K785" s="360">
        <f t="shared" ca="1" si="363"/>
        <v>-7.0273818738812333</v>
      </c>
      <c r="L785" s="357">
        <f t="shared" ca="1" si="348"/>
        <v>187.84081249128917</v>
      </c>
      <c r="M785" s="359">
        <f t="shared" ca="1" si="364"/>
        <v>-1.4293025696442772</v>
      </c>
      <c r="N785" s="357">
        <f t="shared" ca="1" si="365"/>
        <v>-81.893004887820496</v>
      </c>
      <c r="O785" s="343"/>
      <c r="P785" s="363">
        <f t="shared" ca="1" si="366"/>
        <v>23</v>
      </c>
      <c r="Q785" s="357">
        <f t="shared" ca="1" si="367"/>
        <v>0</v>
      </c>
      <c r="R785" s="359">
        <f t="shared" ca="1" si="368"/>
        <v>0</v>
      </c>
      <c r="S785" s="360">
        <f t="shared" ca="1" si="369"/>
        <v>1.5629999999999982</v>
      </c>
      <c r="T785" s="357">
        <f t="shared" ca="1" si="349"/>
        <v>15.333029999999983</v>
      </c>
      <c r="U785" s="364">
        <f t="shared" ca="1" si="350"/>
        <v>0</v>
      </c>
      <c r="V785" s="359">
        <f t="shared" ca="1" si="351"/>
        <v>1.2258611568634574</v>
      </c>
      <c r="W785" s="357">
        <f t="shared" ca="1" si="352"/>
        <v>6.0854222282902199</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5.8186057777070186</v>
      </c>
      <c r="AH785" s="357">
        <f t="shared" ca="1" si="376"/>
        <v>-3.8933546436993076</v>
      </c>
    </row>
    <row r="786" spans="1:34" x14ac:dyDescent="0.2">
      <c r="A786" s="402">
        <f t="shared" ca="1" si="354"/>
        <v>1E-4</v>
      </c>
      <c r="B786" s="357">
        <f t="shared" ca="1" si="355"/>
        <v>15.644599999999858</v>
      </c>
      <c r="C786" s="342"/>
      <c r="D786" s="359">
        <f t="shared" ca="1" si="356"/>
        <v>-0.549058877733684</v>
      </c>
      <c r="E786" s="360">
        <f t="shared" ca="1" si="357"/>
        <v>-5.955484808084174</v>
      </c>
      <c r="F786" s="357">
        <f t="shared" ca="1" si="358"/>
        <v>5.9807411706693649</v>
      </c>
      <c r="G786" s="359">
        <f t="shared" ca="1" si="359"/>
        <v>9.5246503537967993</v>
      </c>
      <c r="H786" s="360">
        <f t="shared" ca="1" si="360"/>
        <v>-66.866140594420543</v>
      </c>
      <c r="I786" s="357">
        <f t="shared" ca="1" si="361"/>
        <v>67.541096543918329</v>
      </c>
      <c r="J786" s="359">
        <f t="shared" ca="1" si="362"/>
        <v>187.70931447689617</v>
      </c>
      <c r="K786" s="360">
        <f t="shared" ca="1" si="363"/>
        <v>-7.0340684581632509</v>
      </c>
      <c r="L786" s="357">
        <f t="shared" ca="1" si="348"/>
        <v>187.84106276440309</v>
      </c>
      <c r="M786" s="359">
        <f t="shared" ca="1" si="364"/>
        <v>-1.4293046179184066</v>
      </c>
      <c r="N786" s="357">
        <f t="shared" ca="1" si="365"/>
        <v>-81.893122245283394</v>
      </c>
      <c r="O786" s="343"/>
      <c r="P786" s="363">
        <f t="shared" ca="1" si="366"/>
        <v>23</v>
      </c>
      <c r="Q786" s="357">
        <f t="shared" ca="1" si="367"/>
        <v>0</v>
      </c>
      <c r="R786" s="359">
        <f t="shared" ca="1" si="368"/>
        <v>0</v>
      </c>
      <c r="S786" s="360">
        <f t="shared" ca="1" si="369"/>
        <v>1.5629999999999982</v>
      </c>
      <c r="T786" s="357">
        <f t="shared" ca="1" si="349"/>
        <v>15.333029999999983</v>
      </c>
      <c r="U786" s="364">
        <f t="shared" ca="1" si="350"/>
        <v>0</v>
      </c>
      <c r="V786" s="359">
        <f t="shared" ca="1" si="351"/>
        <v>1.2258619765462271</v>
      </c>
      <c r="W786" s="357">
        <f t="shared" ca="1" si="352"/>
        <v>6.0855311483561998</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5.8185389248091557</v>
      </c>
      <c r="AH786" s="357">
        <f t="shared" ca="1" si="376"/>
        <v>-3.8934243303200429</v>
      </c>
    </row>
    <row r="787" spans="1:34" x14ac:dyDescent="0.2">
      <c r="A787" s="402">
        <f t="shared" ca="1" si="354"/>
        <v>1E-4</v>
      </c>
      <c r="B787" s="357">
        <f t="shared" ca="1" si="355"/>
        <v>15.644699999999858</v>
      </c>
      <c r="C787" s="342"/>
      <c r="D787" s="359">
        <f t="shared" ca="1" si="356"/>
        <v>-0.54906080983008676</v>
      </c>
      <c r="E787" s="360">
        <f t="shared" ca="1" si="357"/>
        <v>-5.9554146933225871</v>
      </c>
      <c r="F787" s="357">
        <f t="shared" ca="1" si="358"/>
        <v>5.9806715293797765</v>
      </c>
      <c r="G787" s="359">
        <f t="shared" ca="1" si="359"/>
        <v>9.5245954477158161</v>
      </c>
      <c r="H787" s="360">
        <f t="shared" ca="1" si="360"/>
        <v>-66.86673613588988</v>
      </c>
      <c r="I787" s="357">
        <f t="shared" ca="1" si="361"/>
        <v>67.541678391267197</v>
      </c>
      <c r="J787" s="359">
        <f t="shared" ca="1" si="362"/>
        <v>187.70931447689617</v>
      </c>
      <c r="K787" s="360">
        <f t="shared" ca="1" si="363"/>
        <v>-7.0407551019997667</v>
      </c>
      <c r="L787" s="357">
        <f t="shared" ca="1" si="348"/>
        <v>187.84131327743808</v>
      </c>
      <c r="M787" s="359">
        <f t="shared" ca="1" si="364"/>
        <v>-1.4293066661454383</v>
      </c>
      <c r="N787" s="357">
        <f t="shared" ca="1" si="365"/>
        <v>-81.893239600047806</v>
      </c>
      <c r="O787" s="343"/>
      <c r="P787" s="363">
        <f t="shared" ca="1" si="366"/>
        <v>23</v>
      </c>
      <c r="Q787" s="357">
        <f t="shared" ca="1" si="367"/>
        <v>0</v>
      </c>
      <c r="R787" s="359">
        <f t="shared" ca="1" si="368"/>
        <v>0</v>
      </c>
      <c r="S787" s="360">
        <f t="shared" ca="1" si="369"/>
        <v>1.5629999999999982</v>
      </c>
      <c r="T787" s="357">
        <f t="shared" ca="1" si="349"/>
        <v>15.333029999999983</v>
      </c>
      <c r="U787" s="364">
        <f t="shared" ca="1" si="350"/>
        <v>0</v>
      </c>
      <c r="V787" s="359">
        <f t="shared" ca="1" si="351"/>
        <v>1.2258627962368454</v>
      </c>
      <c r="W787" s="357">
        <f t="shared" ca="1" si="352"/>
        <v>6.0856400682999228</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5.8184720718835887</v>
      </c>
      <c r="AH787" s="357">
        <f t="shared" ca="1" si="376"/>
        <v>-3.8934940168625762</v>
      </c>
    </row>
    <row r="788" spans="1:34" x14ac:dyDescent="0.2">
      <c r="A788" s="402">
        <f t="shared" ca="1" si="354"/>
        <v>1E-4</v>
      </c>
      <c r="B788" s="357">
        <f t="shared" ca="1" si="355"/>
        <v>15.644799999999858</v>
      </c>
      <c r="C788" s="342"/>
      <c r="D788" s="359">
        <f t="shared" ca="1" si="356"/>
        <v>-0.54906274181207926</v>
      </c>
      <c r="E788" s="360">
        <f t="shared" ca="1" si="357"/>
        <v>-5.9553445786402115</v>
      </c>
      <c r="F788" s="357">
        <f t="shared" ca="1" si="358"/>
        <v>5.9806018881702503</v>
      </c>
      <c r="G788" s="359">
        <f t="shared" ca="1" si="359"/>
        <v>9.5245405414416346</v>
      </c>
      <c r="H788" s="360">
        <f t="shared" ca="1" si="360"/>
        <v>-66.867331670347738</v>
      </c>
      <c r="I788" s="357">
        <f t="shared" ca="1" si="361"/>
        <v>67.542260231930754</v>
      </c>
      <c r="J788" s="359">
        <f t="shared" ca="1" si="362"/>
        <v>187.70931447689617</v>
      </c>
      <c r="K788" s="360">
        <f t="shared" ca="1" si="363"/>
        <v>-7.0474418053900783</v>
      </c>
      <c r="L788" s="357">
        <f t="shared" ca="1" si="348"/>
        <v>187.84156403039947</v>
      </c>
      <c r="M788" s="359">
        <f t="shared" ca="1" si="364"/>
        <v>-1.429308714325374</v>
      </c>
      <c r="N788" s="357">
        <f t="shared" ca="1" si="365"/>
        <v>-81.893356952113791</v>
      </c>
      <c r="O788" s="343"/>
      <c r="P788" s="363">
        <f t="shared" ca="1" si="366"/>
        <v>23</v>
      </c>
      <c r="Q788" s="357">
        <f t="shared" ca="1" si="367"/>
        <v>0</v>
      </c>
      <c r="R788" s="359">
        <f t="shared" ca="1" si="368"/>
        <v>0</v>
      </c>
      <c r="S788" s="360">
        <f t="shared" ca="1" si="369"/>
        <v>1.5629999999999982</v>
      </c>
      <c r="T788" s="357">
        <f t="shared" ca="1" si="349"/>
        <v>15.333029999999983</v>
      </c>
      <c r="U788" s="364">
        <f t="shared" ca="1" si="350"/>
        <v>0</v>
      </c>
      <c r="V788" s="359">
        <f t="shared" ca="1" si="351"/>
        <v>1.2258636159353127</v>
      </c>
      <c r="W788" s="357">
        <f t="shared" ca="1" si="352"/>
        <v>6.0857489881213578</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5.818405218930339</v>
      </c>
      <c r="AH788" s="357">
        <f t="shared" ca="1" si="376"/>
        <v>-3.8935637033268904</v>
      </c>
    </row>
    <row r="789" spans="1:34" x14ac:dyDescent="0.2">
      <c r="A789" s="402">
        <f t="shared" ca="1" si="354"/>
        <v>1E-4</v>
      </c>
      <c r="B789" s="357">
        <f t="shared" ca="1" si="355"/>
        <v>15.644899999999858</v>
      </c>
      <c r="C789" s="342"/>
      <c r="D789" s="359">
        <f t="shared" ca="1" si="356"/>
        <v>-0.54906467367966327</v>
      </c>
      <c r="E789" s="360">
        <f t="shared" ca="1" si="357"/>
        <v>-5.9552744640370676</v>
      </c>
      <c r="F789" s="357">
        <f t="shared" ca="1" si="358"/>
        <v>5.9805322470408049</v>
      </c>
      <c r="G789" s="359">
        <f t="shared" ca="1" si="359"/>
        <v>9.5244856349742673</v>
      </c>
      <c r="H789" s="360">
        <f t="shared" ca="1" si="360"/>
        <v>-66.867927197794145</v>
      </c>
      <c r="I789" s="357">
        <f t="shared" ca="1" si="361"/>
        <v>67.542842065909014</v>
      </c>
      <c r="J789" s="359">
        <f t="shared" ca="1" si="362"/>
        <v>187.70931447689617</v>
      </c>
      <c r="K789" s="360">
        <f t="shared" ca="1" si="363"/>
        <v>-7.0541285683334856</v>
      </c>
      <c r="L789" s="357">
        <f t="shared" ca="1" si="348"/>
        <v>187.84181502329261</v>
      </c>
      <c r="M789" s="359">
        <f t="shared" ca="1" si="364"/>
        <v>-1.4293107624582153</v>
      </c>
      <c r="N789" s="357">
        <f t="shared" ca="1" si="365"/>
        <v>-81.89347430148149</v>
      </c>
      <c r="O789" s="343"/>
      <c r="P789" s="363">
        <f t="shared" ca="1" si="366"/>
        <v>23</v>
      </c>
      <c r="Q789" s="357">
        <f t="shared" ca="1" si="367"/>
        <v>0</v>
      </c>
      <c r="R789" s="359">
        <f t="shared" ca="1" si="368"/>
        <v>0</v>
      </c>
      <c r="S789" s="360">
        <f t="shared" ca="1" si="369"/>
        <v>1.5629999999999982</v>
      </c>
      <c r="T789" s="357">
        <f t="shared" ca="1" si="349"/>
        <v>15.333029999999983</v>
      </c>
      <c r="U789" s="364">
        <f t="shared" ca="1" si="350"/>
        <v>0</v>
      </c>
      <c r="V789" s="359">
        <f t="shared" ca="1" si="351"/>
        <v>1.2258644356416284</v>
      </c>
      <c r="W789" s="357">
        <f t="shared" ca="1" si="352"/>
        <v>6.0858579078204729</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5.8183383659494368</v>
      </c>
      <c r="AH789" s="357">
        <f t="shared" ca="1" si="376"/>
        <v>-3.8936333897129654</v>
      </c>
    </row>
    <row r="790" spans="1:34" x14ac:dyDescent="0.2">
      <c r="A790" s="402">
        <f t="shared" ca="1" si="354"/>
        <v>1E-4</v>
      </c>
      <c r="B790" s="357">
        <f t="shared" ca="1" si="355"/>
        <v>15.644999999999857</v>
      </c>
      <c r="C790" s="342"/>
      <c r="D790" s="359">
        <f t="shared" ca="1" si="356"/>
        <v>-0.54906660543283925</v>
      </c>
      <c r="E790" s="360">
        <f t="shared" ca="1" si="357"/>
        <v>-5.955204349513175</v>
      </c>
      <c r="F790" s="357">
        <f t="shared" ca="1" si="358"/>
        <v>5.9804626059914607</v>
      </c>
      <c r="G790" s="359">
        <f t="shared" ca="1" si="359"/>
        <v>9.5244307283137246</v>
      </c>
      <c r="H790" s="360">
        <f t="shared" ca="1" si="360"/>
        <v>-66.868522718229102</v>
      </c>
      <c r="I790" s="357">
        <f t="shared" ca="1" si="361"/>
        <v>67.543423893201975</v>
      </c>
      <c r="J790" s="359">
        <f t="shared" ca="1" si="362"/>
        <v>187.70931447689617</v>
      </c>
      <c r="K790" s="360">
        <f t="shared" ca="1" si="363"/>
        <v>-7.060815390829287</v>
      </c>
      <c r="L790" s="357">
        <f t="shared" ca="1" si="348"/>
        <v>187.84206625612291</v>
      </c>
      <c r="M790" s="359">
        <f t="shared" ca="1" si="364"/>
        <v>-1.4293128105439639</v>
      </c>
      <c r="N790" s="357">
        <f t="shared" ca="1" si="365"/>
        <v>-81.893591648150959</v>
      </c>
      <c r="O790" s="343"/>
      <c r="P790" s="363">
        <f t="shared" ca="1" si="366"/>
        <v>23</v>
      </c>
      <c r="Q790" s="357">
        <f t="shared" ca="1" si="367"/>
        <v>0</v>
      </c>
      <c r="R790" s="359">
        <f t="shared" ca="1" si="368"/>
        <v>0</v>
      </c>
      <c r="S790" s="360">
        <f t="shared" ca="1" si="369"/>
        <v>1.5629999999999982</v>
      </c>
      <c r="T790" s="357">
        <f t="shared" ca="1" si="349"/>
        <v>15.333029999999983</v>
      </c>
      <c r="U790" s="364">
        <f t="shared" ca="1" si="350"/>
        <v>0</v>
      </c>
      <c r="V790" s="359">
        <f t="shared" ca="1" si="351"/>
        <v>1.2258652553557934</v>
      </c>
      <c r="W790" s="357">
        <f t="shared" ca="1" si="352"/>
        <v>6.0859668273972432</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5.8182715129409015</v>
      </c>
      <c r="AH790" s="357">
        <f t="shared" ca="1" si="376"/>
        <v>-3.8937030760207807</v>
      </c>
    </row>
    <row r="791" spans="1:34" x14ac:dyDescent="0.2">
      <c r="A791" s="402">
        <f t="shared" ca="1" si="354"/>
        <v>1E-4</v>
      </c>
      <c r="B791" s="357">
        <f t="shared" ca="1" si="355"/>
        <v>15.645099999999857</v>
      </c>
      <c r="C791" s="342"/>
      <c r="D791" s="359">
        <f t="shared" ca="1" si="356"/>
        <v>-0.54906853707160908</v>
      </c>
      <c r="E791" s="360">
        <f t="shared" ca="1" si="357"/>
        <v>-5.9551342350685506</v>
      </c>
      <c r="F791" s="357">
        <f t="shared" ca="1" si="358"/>
        <v>5.9803929650222356</v>
      </c>
      <c r="G791" s="359">
        <f t="shared" ca="1" si="359"/>
        <v>9.5243758214600174</v>
      </c>
      <c r="H791" s="360">
        <f t="shared" ca="1" si="360"/>
        <v>-66.869118231652607</v>
      </c>
      <c r="I791" s="357">
        <f t="shared" ca="1" si="361"/>
        <v>67.544005713809625</v>
      </c>
      <c r="J791" s="359">
        <f t="shared" ca="1" si="362"/>
        <v>187.70931447689617</v>
      </c>
      <c r="K791" s="360">
        <f t="shared" ca="1" si="363"/>
        <v>-7.0675022728767809</v>
      </c>
      <c r="L791" s="357">
        <f t="shared" ca="1" si="348"/>
        <v>187.84231772889572</v>
      </c>
      <c r="M791" s="359">
        <f t="shared" ca="1" si="364"/>
        <v>-1.4293148585826216</v>
      </c>
      <c r="N791" s="357">
        <f t="shared" ca="1" si="365"/>
        <v>-81.893708992122328</v>
      </c>
      <c r="O791" s="343"/>
      <c r="P791" s="363">
        <f t="shared" ca="1" si="366"/>
        <v>23</v>
      </c>
      <c r="Q791" s="357">
        <f t="shared" ca="1" si="367"/>
        <v>0</v>
      </c>
      <c r="R791" s="359">
        <f t="shared" ca="1" si="368"/>
        <v>0</v>
      </c>
      <c r="S791" s="360">
        <f t="shared" ca="1" si="369"/>
        <v>1.5629999999999982</v>
      </c>
      <c r="T791" s="357">
        <f t="shared" ca="1" si="349"/>
        <v>15.333029999999983</v>
      </c>
      <c r="U791" s="364">
        <f t="shared" ca="1" si="350"/>
        <v>0</v>
      </c>
      <c r="V791" s="359">
        <f t="shared" ca="1" si="351"/>
        <v>1.2258660750778065</v>
      </c>
      <c r="W791" s="357">
        <f t="shared" ca="1" si="352"/>
        <v>6.0860757468516304</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5.8182046599047581</v>
      </c>
      <c r="AH791" s="357">
        <f t="shared" ca="1" si="376"/>
        <v>-3.89377276225032</v>
      </c>
    </row>
    <row r="792" spans="1:34" x14ac:dyDescent="0.2">
      <c r="A792" s="402">
        <f t="shared" ca="1" si="354"/>
        <v>1E-4</v>
      </c>
      <c r="B792" s="357">
        <f t="shared" ca="1" si="355"/>
        <v>15.645199999999857</v>
      </c>
      <c r="C792" s="342"/>
      <c r="D792" s="359">
        <f t="shared" ca="1" si="356"/>
        <v>-0.54907046859597231</v>
      </c>
      <c r="E792" s="360">
        <f t="shared" ca="1" si="357"/>
        <v>-5.9550641207032182</v>
      </c>
      <c r="F792" s="357">
        <f t="shared" ca="1" si="358"/>
        <v>5.9803233241331526</v>
      </c>
      <c r="G792" s="359">
        <f t="shared" ca="1" si="359"/>
        <v>9.524320914413158</v>
      </c>
      <c r="H792" s="360">
        <f t="shared" ca="1" si="360"/>
        <v>-66.869713738064675</v>
      </c>
      <c r="I792" s="357">
        <f t="shared" ca="1" si="361"/>
        <v>67.544587527731963</v>
      </c>
      <c r="J792" s="359">
        <f t="shared" ca="1" si="362"/>
        <v>187.70931447689617</v>
      </c>
      <c r="K792" s="360">
        <f t="shared" ca="1" si="363"/>
        <v>-7.0741892144752665</v>
      </c>
      <c r="L792" s="357">
        <f t="shared" ca="1" si="348"/>
        <v>187.84256944161643</v>
      </c>
      <c r="M792" s="359">
        <f t="shared" ca="1" si="364"/>
        <v>-1.42931690657419</v>
      </c>
      <c r="N792" s="357">
        <f t="shared" ca="1" si="365"/>
        <v>-81.89382633339568</v>
      </c>
      <c r="O792" s="343"/>
      <c r="P792" s="363">
        <f t="shared" ca="1" si="366"/>
        <v>23</v>
      </c>
      <c r="Q792" s="357">
        <f t="shared" ca="1" si="367"/>
        <v>0</v>
      </c>
      <c r="R792" s="359">
        <f t="shared" ca="1" si="368"/>
        <v>0</v>
      </c>
      <c r="S792" s="360">
        <f t="shared" ca="1" si="369"/>
        <v>1.5629999999999982</v>
      </c>
      <c r="T792" s="357">
        <f t="shared" ca="1" si="349"/>
        <v>15.333029999999983</v>
      </c>
      <c r="U792" s="364">
        <f t="shared" ca="1" si="350"/>
        <v>0</v>
      </c>
      <c r="V792" s="359">
        <f t="shared" ca="1" si="351"/>
        <v>1.2258668948076683</v>
      </c>
      <c r="W792" s="357">
        <f t="shared" ca="1" si="352"/>
        <v>6.086184666183609</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5.8181378068410359</v>
      </c>
      <c r="AH792" s="357">
        <f t="shared" ca="1" si="376"/>
        <v>-3.8938424484015597</v>
      </c>
    </row>
    <row r="793" spans="1:34" x14ac:dyDescent="0.2">
      <c r="A793" s="402">
        <f t="shared" ca="1" si="354"/>
        <v>1E-4</v>
      </c>
      <c r="B793" s="357">
        <f t="shared" ca="1" si="355"/>
        <v>15.645299999999857</v>
      </c>
      <c r="C793" s="342"/>
      <c r="D793" s="359">
        <f t="shared" ca="1" si="356"/>
        <v>-0.54907240000593127</v>
      </c>
      <c r="E793" s="360">
        <f t="shared" ca="1" si="357"/>
        <v>-5.9549940064171967</v>
      </c>
      <c r="F793" s="357">
        <f t="shared" ca="1" si="358"/>
        <v>5.9802536833242286</v>
      </c>
      <c r="G793" s="359">
        <f t="shared" ca="1" si="359"/>
        <v>9.5242660071731571</v>
      </c>
      <c r="H793" s="360">
        <f t="shared" ca="1" si="360"/>
        <v>-66.870309237465321</v>
      </c>
      <c r="I793" s="357">
        <f t="shared" ca="1" si="361"/>
        <v>67.545169334968975</v>
      </c>
      <c r="J793" s="359">
        <f t="shared" ca="1" si="362"/>
        <v>187.70931447689617</v>
      </c>
      <c r="K793" s="360">
        <f t="shared" ca="1" si="363"/>
        <v>-7.080876215624043</v>
      </c>
      <c r="L793" s="357">
        <f t="shared" ca="1" si="348"/>
        <v>187.84282139429041</v>
      </c>
      <c r="M793" s="359">
        <f t="shared" ca="1" si="364"/>
        <v>-1.4293189545186706</v>
      </c>
      <c r="N793" s="357">
        <f t="shared" ca="1" si="365"/>
        <v>-81.893943671971087</v>
      </c>
      <c r="O793" s="343"/>
      <c r="P793" s="363">
        <f t="shared" ca="1" si="366"/>
        <v>23</v>
      </c>
      <c r="Q793" s="357">
        <f t="shared" ca="1" si="367"/>
        <v>0</v>
      </c>
      <c r="R793" s="359">
        <f t="shared" ca="1" si="368"/>
        <v>0</v>
      </c>
      <c r="S793" s="360">
        <f t="shared" ca="1" si="369"/>
        <v>1.5629999999999982</v>
      </c>
      <c r="T793" s="357">
        <f t="shared" ca="1" si="349"/>
        <v>15.333029999999983</v>
      </c>
      <c r="U793" s="364">
        <f t="shared" ca="1" si="350"/>
        <v>0</v>
      </c>
      <c r="V793" s="359">
        <f t="shared" ca="1" si="351"/>
        <v>1.2258677145453782</v>
      </c>
      <c r="W793" s="357">
        <f t="shared" ca="1" si="352"/>
        <v>6.0862935853931441</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5.8180709537497544</v>
      </c>
      <c r="AH793" s="357">
        <f t="shared" ca="1" si="376"/>
        <v>-3.8939121344744825</v>
      </c>
    </row>
    <row r="794" spans="1:34" x14ac:dyDescent="0.2">
      <c r="A794" s="402">
        <f t="shared" ca="1" si="354"/>
        <v>1E-4</v>
      </c>
      <c r="B794" s="357">
        <f t="shared" ca="1" si="355"/>
        <v>15.645399999999857</v>
      </c>
      <c r="C794" s="342"/>
      <c r="D794" s="359">
        <f t="shared" ca="1" si="356"/>
        <v>-0.54907433130148664</v>
      </c>
      <c r="E794" s="360">
        <f t="shared" ca="1" si="357"/>
        <v>-5.9549238922105046</v>
      </c>
      <c r="F794" s="357">
        <f t="shared" ca="1" si="358"/>
        <v>5.9801840425954857</v>
      </c>
      <c r="G794" s="359">
        <f t="shared" ca="1" si="359"/>
        <v>9.5242110997400271</v>
      </c>
      <c r="H794" s="360">
        <f t="shared" ca="1" si="360"/>
        <v>-66.870904729854544</v>
      </c>
      <c r="I794" s="357">
        <f t="shared" ca="1" si="361"/>
        <v>67.545751135520689</v>
      </c>
      <c r="J794" s="359">
        <f t="shared" ca="1" si="362"/>
        <v>187.70931447689617</v>
      </c>
      <c r="K794" s="360">
        <f t="shared" ca="1" si="363"/>
        <v>-7.0875632763224088</v>
      </c>
      <c r="L794" s="357">
        <f t="shared" ca="1" si="348"/>
        <v>187.843073586923</v>
      </c>
      <c r="M794" s="359">
        <f t="shared" ca="1" si="364"/>
        <v>-1.4293210024160654</v>
      </c>
      <c r="N794" s="357">
        <f t="shared" ca="1" si="365"/>
        <v>-81.894061007848691</v>
      </c>
      <c r="O794" s="343"/>
      <c r="P794" s="363">
        <f t="shared" ca="1" si="366"/>
        <v>23</v>
      </c>
      <c r="Q794" s="357">
        <f t="shared" ca="1" si="367"/>
        <v>0</v>
      </c>
      <c r="R794" s="359">
        <f t="shared" ca="1" si="368"/>
        <v>0</v>
      </c>
      <c r="S794" s="360">
        <f t="shared" ca="1" si="369"/>
        <v>1.5629999999999982</v>
      </c>
      <c r="T794" s="357">
        <f t="shared" ca="1" si="349"/>
        <v>15.333029999999983</v>
      </c>
      <c r="U794" s="364">
        <f t="shared" ca="1" si="350"/>
        <v>0</v>
      </c>
      <c r="V794" s="359">
        <f t="shared" ca="1" si="351"/>
        <v>1.225868534290937</v>
      </c>
      <c r="W794" s="357">
        <f t="shared" ca="1" si="352"/>
        <v>6.0864025044802137</v>
      </c>
      <c r="X794" s="343"/>
      <c r="Y794" s="367" t="str">
        <f t="shared" ca="1" si="370"/>
        <v/>
      </c>
      <c r="Z794" s="368" t="str">
        <f t="shared" ca="1" si="371"/>
        <v/>
      </c>
      <c r="AA794" s="369" t="str">
        <f t="shared" ca="1" si="372"/>
        <v/>
      </c>
      <c r="AB794" s="344"/>
      <c r="AC794" s="363" t="e">
        <f t="shared" ca="1" si="373"/>
        <v>#N/A</v>
      </c>
      <c r="AD794" s="376" t="e">
        <f t="shared" ca="1" si="374"/>
        <v>#N/A</v>
      </c>
      <c r="AE794" s="377" t="e">
        <f t="shared" ca="1" si="353"/>
        <v>#N/A</v>
      </c>
      <c r="AF794" s="344"/>
      <c r="AG794" s="359">
        <f t="shared" ca="1" si="375"/>
        <v>5.818004100630942</v>
      </c>
      <c r="AH794" s="357">
        <f t="shared" ca="1" si="376"/>
        <v>-3.8939818204690666</v>
      </c>
    </row>
    <row r="795" spans="1:34" x14ac:dyDescent="0.2">
      <c r="A795" s="402">
        <f t="shared" ca="1" si="354"/>
        <v>1E-4</v>
      </c>
      <c r="B795" s="357">
        <f t="shared" ca="1" si="355"/>
        <v>15.645499999999856</v>
      </c>
      <c r="C795" s="342"/>
      <c r="D795" s="359">
        <f t="shared" ca="1" si="356"/>
        <v>-0.54907626248263974</v>
      </c>
      <c r="E795" s="360">
        <f t="shared" ca="1" si="357"/>
        <v>-5.9548537780831587</v>
      </c>
      <c r="F795" s="357">
        <f t="shared" ca="1" si="358"/>
        <v>5.9801144019469374</v>
      </c>
      <c r="G795" s="359">
        <f t="shared" ca="1" si="359"/>
        <v>9.5241561921137787</v>
      </c>
      <c r="H795" s="360">
        <f t="shared" ca="1" si="360"/>
        <v>-66.871500215232359</v>
      </c>
      <c r="I795" s="357">
        <f t="shared" ca="1" si="361"/>
        <v>67.546332929387077</v>
      </c>
      <c r="J795" s="359">
        <f t="shared" ca="1" si="362"/>
        <v>187.70931447689617</v>
      </c>
      <c r="K795" s="360">
        <f t="shared" ca="1" si="363"/>
        <v>-7.0942503965696631</v>
      </c>
      <c r="L795" s="357">
        <f t="shared" ca="1" si="348"/>
        <v>187.84332601951959</v>
      </c>
      <c r="M795" s="359">
        <f t="shared" ca="1" si="364"/>
        <v>-1.4293230502663758</v>
      </c>
      <c r="N795" s="357">
        <f t="shared" ca="1" si="365"/>
        <v>-81.89417834102855</v>
      </c>
      <c r="O795" s="343"/>
      <c r="P795" s="363">
        <f t="shared" ca="1" si="366"/>
        <v>23</v>
      </c>
      <c r="Q795" s="357">
        <f t="shared" ca="1" si="367"/>
        <v>0</v>
      </c>
      <c r="R795" s="359">
        <f t="shared" ca="1" si="368"/>
        <v>0</v>
      </c>
      <c r="S795" s="360">
        <f t="shared" ca="1" si="369"/>
        <v>1.5629999999999982</v>
      </c>
      <c r="T795" s="357">
        <f t="shared" ca="1" si="349"/>
        <v>15.333029999999983</v>
      </c>
      <c r="U795" s="364">
        <f t="shared" ca="1" si="350"/>
        <v>0</v>
      </c>
      <c r="V795" s="359">
        <f t="shared" ca="1" si="351"/>
        <v>1.2258693540443437</v>
      </c>
      <c r="W795" s="357">
        <f t="shared" ca="1" si="352"/>
        <v>6.0865114234447786</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5.81793724748462</v>
      </c>
      <c r="AH795" s="357">
        <f t="shared" ca="1" si="376"/>
        <v>-3.8940515063852978</v>
      </c>
    </row>
    <row r="796" spans="1:34" x14ac:dyDescent="0.2">
      <c r="A796" s="402">
        <f t="shared" ca="1" si="354"/>
        <v>1E-4</v>
      </c>
      <c r="B796" s="357">
        <f t="shared" ca="1" si="355"/>
        <v>15.645599999999856</v>
      </c>
      <c r="C796" s="342"/>
      <c r="D796" s="359">
        <f t="shared" ca="1" si="356"/>
        <v>-0.54907819354939136</v>
      </c>
      <c r="E796" s="360">
        <f t="shared" ca="1" si="357"/>
        <v>-5.9547836640351832</v>
      </c>
      <c r="F796" s="357">
        <f t="shared" ca="1" si="358"/>
        <v>5.9800447613786094</v>
      </c>
      <c r="G796" s="359">
        <f t="shared" ca="1" si="359"/>
        <v>9.5241012842944244</v>
      </c>
      <c r="H796" s="360">
        <f t="shared" ca="1" si="360"/>
        <v>-66.872095693598766</v>
      </c>
      <c r="I796" s="357">
        <f t="shared" ca="1" si="361"/>
        <v>67.546914716568139</v>
      </c>
      <c r="J796" s="359">
        <f t="shared" ca="1" si="362"/>
        <v>187.70931447689617</v>
      </c>
      <c r="K796" s="360">
        <f t="shared" ca="1" si="363"/>
        <v>-7.100937576365105</v>
      </c>
      <c r="L796" s="357">
        <f t="shared" ca="1" si="348"/>
        <v>187.84357869208554</v>
      </c>
      <c r="M796" s="359">
        <f t="shared" ca="1" si="364"/>
        <v>-1.4293250980696037</v>
      </c>
      <c r="N796" s="357">
        <f t="shared" ca="1" si="365"/>
        <v>-81.89429567151079</v>
      </c>
      <c r="O796" s="343"/>
      <c r="P796" s="363">
        <f t="shared" ca="1" si="366"/>
        <v>23</v>
      </c>
      <c r="Q796" s="357">
        <f t="shared" ca="1" si="367"/>
        <v>0</v>
      </c>
      <c r="R796" s="359">
        <f t="shared" ca="1" si="368"/>
        <v>0</v>
      </c>
      <c r="S796" s="360">
        <f t="shared" ca="1" si="369"/>
        <v>1.5629999999999982</v>
      </c>
      <c r="T796" s="357">
        <f t="shared" ca="1" si="349"/>
        <v>15.333029999999983</v>
      </c>
      <c r="U796" s="364">
        <f t="shared" ca="1" si="350"/>
        <v>0</v>
      </c>
      <c r="V796" s="359">
        <f t="shared" ca="1" si="351"/>
        <v>1.2258701738055984</v>
      </c>
      <c r="W796" s="357">
        <f t="shared" ca="1" si="352"/>
        <v>6.0866203422868068</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5.8178703943108161</v>
      </c>
      <c r="AH796" s="357">
        <f t="shared" ca="1" si="376"/>
        <v>-3.8941211922231513</v>
      </c>
    </row>
    <row r="797" spans="1:34" x14ac:dyDescent="0.2">
      <c r="A797" s="402">
        <f t="shared" ca="1" si="354"/>
        <v>1E-4</v>
      </c>
      <c r="B797" s="357">
        <f t="shared" ca="1" si="355"/>
        <v>15.645699999999856</v>
      </c>
      <c r="C797" s="342"/>
      <c r="D797" s="359">
        <f t="shared" ca="1" si="356"/>
        <v>-0.54908012450174204</v>
      </c>
      <c r="E797" s="360">
        <f t="shared" ca="1" si="357"/>
        <v>-5.9547135500665984</v>
      </c>
      <c r="F797" s="357">
        <f t="shared" ca="1" si="358"/>
        <v>5.9799751208905212</v>
      </c>
      <c r="G797" s="359">
        <f t="shared" ca="1" si="359"/>
        <v>9.5240463762819747</v>
      </c>
      <c r="H797" s="360">
        <f t="shared" ca="1" si="360"/>
        <v>-66.872691164953778</v>
      </c>
      <c r="I797" s="357">
        <f t="shared" ca="1" si="361"/>
        <v>67.547496497063875</v>
      </c>
      <c r="J797" s="359">
        <f t="shared" ca="1" si="362"/>
        <v>187.70931447689617</v>
      </c>
      <c r="K797" s="360">
        <f t="shared" ca="1" si="363"/>
        <v>-7.1076248157080331</v>
      </c>
      <c r="L797" s="357">
        <f t="shared" ca="1" si="348"/>
        <v>187.84383160462622</v>
      </c>
      <c r="M797" s="359">
        <f t="shared" ca="1" si="364"/>
        <v>-1.4293271458257508</v>
      </c>
      <c r="N797" s="357">
        <f t="shared" ca="1" si="365"/>
        <v>-81.894412999295483</v>
      </c>
      <c r="O797" s="343"/>
      <c r="P797" s="363">
        <f t="shared" ca="1" si="366"/>
        <v>23</v>
      </c>
      <c r="Q797" s="357">
        <f t="shared" ca="1" si="367"/>
        <v>0</v>
      </c>
      <c r="R797" s="359">
        <f t="shared" ca="1" si="368"/>
        <v>0</v>
      </c>
      <c r="S797" s="360">
        <f t="shared" ca="1" si="369"/>
        <v>1.5629999999999982</v>
      </c>
      <c r="T797" s="357">
        <f t="shared" ca="1" si="349"/>
        <v>15.333029999999983</v>
      </c>
      <c r="U797" s="364">
        <f t="shared" ca="1" si="350"/>
        <v>0</v>
      </c>
      <c r="V797" s="359">
        <f t="shared" ca="1" si="351"/>
        <v>1.2258709935747016</v>
      </c>
      <c r="W797" s="357">
        <f t="shared" ca="1" si="352"/>
        <v>6.0867292610062762</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5.8178035411095541</v>
      </c>
      <c r="AH797" s="357">
        <f t="shared" ca="1" si="376"/>
        <v>-3.8941908779826067</v>
      </c>
    </row>
    <row r="798" spans="1:34" x14ac:dyDescent="0.2">
      <c r="A798" s="402">
        <f t="shared" ca="1" si="354"/>
        <v>1E-4</v>
      </c>
      <c r="B798" s="357">
        <f t="shared" ca="1" si="355"/>
        <v>15.645799999999856</v>
      </c>
      <c r="C798" s="342"/>
      <c r="D798" s="359">
        <f t="shared" ca="1" si="356"/>
        <v>-0.54908205533969323</v>
      </c>
      <c r="E798" s="360">
        <f t="shared" ca="1" si="357"/>
        <v>-5.9546434361774194</v>
      </c>
      <c r="F798" s="357">
        <f t="shared" ca="1" si="358"/>
        <v>5.9799054804826879</v>
      </c>
      <c r="G798" s="359">
        <f t="shared" ca="1" si="359"/>
        <v>9.5239914680764404</v>
      </c>
      <c r="H798" s="360">
        <f t="shared" ca="1" si="360"/>
        <v>-66.873286629297397</v>
      </c>
      <c r="I798" s="357">
        <f t="shared" ca="1" si="361"/>
        <v>67.548078270874285</v>
      </c>
      <c r="J798" s="359">
        <f t="shared" ca="1" si="362"/>
        <v>187.70931447689617</v>
      </c>
      <c r="K798" s="360">
        <f t="shared" ca="1" si="363"/>
        <v>-7.1143121145977455</v>
      </c>
      <c r="L798" s="357">
        <f t="shared" ca="1" si="348"/>
        <v>187.84408475714696</v>
      </c>
      <c r="M798" s="359">
        <f t="shared" ca="1" si="364"/>
        <v>-1.4293291935348185</v>
      </c>
      <c r="N798" s="357">
        <f t="shared" ca="1" si="365"/>
        <v>-81.894530324382728</v>
      </c>
      <c r="O798" s="343"/>
      <c r="P798" s="363">
        <f t="shared" ca="1" si="366"/>
        <v>23</v>
      </c>
      <c r="Q798" s="357">
        <f t="shared" ca="1" si="367"/>
        <v>0</v>
      </c>
      <c r="R798" s="359">
        <f t="shared" ca="1" si="368"/>
        <v>0</v>
      </c>
      <c r="S798" s="360">
        <f t="shared" ca="1" si="369"/>
        <v>1.5629999999999982</v>
      </c>
      <c r="T798" s="357">
        <f t="shared" ca="1" si="349"/>
        <v>15.333029999999983</v>
      </c>
      <c r="U798" s="364">
        <f t="shared" ca="1" si="350"/>
        <v>0</v>
      </c>
      <c r="V798" s="359">
        <f t="shared" ca="1" si="351"/>
        <v>1.2258718133516529</v>
      </c>
      <c r="W798" s="357">
        <f t="shared" ca="1" si="352"/>
        <v>6.0868381796031521</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5.817736687880859</v>
      </c>
      <c r="AH798" s="357">
        <f t="shared" ca="1" si="376"/>
        <v>-3.8942605636636491</v>
      </c>
    </row>
    <row r="799" spans="1:34" x14ac:dyDescent="0.2">
      <c r="A799" s="402">
        <f t="shared" ca="1" si="354"/>
        <v>1E-4</v>
      </c>
      <c r="B799" s="357">
        <f t="shared" ca="1" si="355"/>
        <v>15.645899999999855</v>
      </c>
      <c r="C799" s="342"/>
      <c r="D799" s="359">
        <f t="shared" ca="1" si="356"/>
        <v>-0.54908398606324693</v>
      </c>
      <c r="E799" s="360">
        <f t="shared" ca="1" si="357"/>
        <v>-5.9545733223676685</v>
      </c>
      <c r="F799" s="357">
        <f t="shared" ca="1" si="358"/>
        <v>5.9798358401551317</v>
      </c>
      <c r="G799" s="359">
        <f t="shared" ca="1" si="359"/>
        <v>9.5239365596778338</v>
      </c>
      <c r="H799" s="360">
        <f t="shared" ca="1" si="360"/>
        <v>-66.873882086629635</v>
      </c>
      <c r="I799" s="357">
        <f t="shared" ca="1" si="361"/>
        <v>67.548660037999369</v>
      </c>
      <c r="J799" s="359">
        <f t="shared" ca="1" si="362"/>
        <v>187.70931447689617</v>
      </c>
      <c r="K799" s="360">
        <f t="shared" ca="1" si="363"/>
        <v>-7.1209994730335415</v>
      </c>
      <c r="L799" s="357">
        <f t="shared" ca="1" si="348"/>
        <v>187.84433814965317</v>
      </c>
      <c r="M799" s="359">
        <f t="shared" ca="1" si="364"/>
        <v>-1.4293312411968089</v>
      </c>
      <c r="N799" s="357">
        <f t="shared" ca="1" si="365"/>
        <v>-81.894647646772654</v>
      </c>
      <c r="O799" s="343"/>
      <c r="P799" s="363">
        <f t="shared" ca="1" si="366"/>
        <v>23</v>
      </c>
      <c r="Q799" s="357">
        <f t="shared" ca="1" si="367"/>
        <v>0</v>
      </c>
      <c r="R799" s="359">
        <f t="shared" ca="1" si="368"/>
        <v>0</v>
      </c>
      <c r="S799" s="360">
        <f t="shared" ca="1" si="369"/>
        <v>1.5629999999999982</v>
      </c>
      <c r="T799" s="357">
        <f t="shared" ca="1" si="349"/>
        <v>15.333029999999983</v>
      </c>
      <c r="U799" s="364">
        <f t="shared" ca="1" si="350"/>
        <v>0</v>
      </c>
      <c r="V799" s="359">
        <f t="shared" ca="1" si="351"/>
        <v>1.225872633136452</v>
      </c>
      <c r="W799" s="357">
        <f t="shared" ca="1" si="352"/>
        <v>6.0869470980774034</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5.8176698346247511</v>
      </c>
      <c r="AH799" s="357">
        <f t="shared" ca="1" si="376"/>
        <v>-3.8943302492662566</v>
      </c>
    </row>
    <row r="800" spans="1:34" x14ac:dyDescent="0.2">
      <c r="A800" s="402">
        <f t="shared" ca="1" si="354"/>
        <v>1E-4</v>
      </c>
      <c r="B800" s="357">
        <f t="shared" ca="1" si="355"/>
        <v>15.645999999999855</v>
      </c>
      <c r="C800" s="342"/>
      <c r="D800" s="359">
        <f t="shared" ca="1" si="356"/>
        <v>-0.54908591667240214</v>
      </c>
      <c r="E800" s="360">
        <f t="shared" ca="1" si="357"/>
        <v>-5.954503208637365</v>
      </c>
      <c r="F800" s="357">
        <f t="shared" ca="1" si="358"/>
        <v>5.9797661999078731</v>
      </c>
      <c r="G800" s="359">
        <f t="shared" ca="1" si="359"/>
        <v>9.5238816510861657</v>
      </c>
      <c r="H800" s="360">
        <f t="shared" ca="1" si="360"/>
        <v>-66.874477536950494</v>
      </c>
      <c r="I800" s="357">
        <f t="shared" ca="1" si="361"/>
        <v>67.549241798439098</v>
      </c>
      <c r="J800" s="359">
        <f t="shared" ca="1" si="362"/>
        <v>187.70931447689617</v>
      </c>
      <c r="K800" s="360">
        <f t="shared" ca="1" si="363"/>
        <v>-7.1276868910147204</v>
      </c>
      <c r="L800" s="357">
        <f t="shared" ca="1" si="348"/>
        <v>187.84459178215019</v>
      </c>
      <c r="M800" s="359">
        <f t="shared" ca="1" si="364"/>
        <v>-1.4293332888117232</v>
      </c>
      <c r="N800" s="357">
        <f t="shared" ca="1" si="365"/>
        <v>-81.894764966465303</v>
      </c>
      <c r="O800" s="343"/>
      <c r="P800" s="363">
        <f t="shared" ca="1" si="366"/>
        <v>23</v>
      </c>
      <c r="Q800" s="357">
        <f t="shared" ca="1" si="367"/>
        <v>0</v>
      </c>
      <c r="R800" s="359">
        <f t="shared" ca="1" si="368"/>
        <v>0</v>
      </c>
      <c r="S800" s="360">
        <f t="shared" ca="1" si="369"/>
        <v>1.5629999999999982</v>
      </c>
      <c r="T800" s="357">
        <f t="shared" ca="1" si="349"/>
        <v>15.333029999999983</v>
      </c>
      <c r="U800" s="364">
        <f t="shared" ca="1" si="350"/>
        <v>0</v>
      </c>
      <c r="V800" s="359">
        <f t="shared" ca="1" si="351"/>
        <v>1.2258734529290989</v>
      </c>
      <c r="W800" s="357">
        <f t="shared" ca="1" si="352"/>
        <v>6.0870560164289955</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5.8176029813412615</v>
      </c>
      <c r="AH800" s="357">
        <f t="shared" ca="1" si="376"/>
        <v>-3.8943999347904099</v>
      </c>
    </row>
    <row r="801" spans="1:34" x14ac:dyDescent="0.2">
      <c r="A801" s="402">
        <f t="shared" ca="1" si="354"/>
        <v>1E-4</v>
      </c>
      <c r="B801" s="357">
        <f t="shared" ca="1" si="355"/>
        <v>15.646099999999855</v>
      </c>
      <c r="C801" s="342"/>
      <c r="D801" s="359">
        <f t="shared" ca="1" si="356"/>
        <v>-0.54908784716716164</v>
      </c>
      <c r="E801" s="360">
        <f t="shared" ca="1" si="357"/>
        <v>-5.9544330949865323</v>
      </c>
      <c r="F801" s="357">
        <f t="shared" ca="1" si="358"/>
        <v>5.9796965597409342</v>
      </c>
      <c r="G801" s="359">
        <f t="shared" ca="1" si="359"/>
        <v>9.5238267423014484</v>
      </c>
      <c r="H801" s="360">
        <f t="shared" ca="1" si="360"/>
        <v>-66.875072980259986</v>
      </c>
      <c r="I801" s="357">
        <f t="shared" ca="1" si="361"/>
        <v>67.549823552193502</v>
      </c>
      <c r="J801" s="359">
        <f t="shared" ca="1" si="362"/>
        <v>187.70931447689617</v>
      </c>
      <c r="K801" s="360">
        <f t="shared" ca="1" si="363"/>
        <v>-7.1343743685405814</v>
      </c>
      <c r="L801" s="357">
        <f t="shared" ca="1" si="348"/>
        <v>187.84484565464336</v>
      </c>
      <c r="M801" s="359">
        <f t="shared" ca="1" si="364"/>
        <v>-1.4293353363795633</v>
      </c>
      <c r="N801" s="357">
        <f t="shared" ca="1" si="365"/>
        <v>-81.894882283460817</v>
      </c>
      <c r="O801" s="343"/>
      <c r="P801" s="363">
        <f t="shared" ca="1" si="366"/>
        <v>23</v>
      </c>
      <c r="Q801" s="357">
        <f t="shared" ca="1" si="367"/>
        <v>0</v>
      </c>
      <c r="R801" s="359">
        <f t="shared" ca="1" si="368"/>
        <v>0</v>
      </c>
      <c r="S801" s="360">
        <f t="shared" ca="1" si="369"/>
        <v>1.5629999999999982</v>
      </c>
      <c r="T801" s="357">
        <f t="shared" ca="1" si="349"/>
        <v>15.333029999999983</v>
      </c>
      <c r="U801" s="364">
        <f t="shared" ca="1" si="350"/>
        <v>0</v>
      </c>
      <c r="V801" s="359">
        <f t="shared" ca="1" si="351"/>
        <v>1.2258742727295939</v>
      </c>
      <c r="W801" s="357">
        <f t="shared" ca="1" si="352"/>
        <v>6.0871649346579044</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5.8175361280304152</v>
      </c>
      <c r="AH801" s="357">
        <f t="shared" ca="1" si="376"/>
        <v>-3.894469620236086</v>
      </c>
    </row>
    <row r="802" spans="1:34" x14ac:dyDescent="0.2">
      <c r="A802" s="402">
        <f t="shared" ca="1" si="354"/>
        <v>1E-4</v>
      </c>
      <c r="B802" s="357">
        <f t="shared" ca="1" si="355"/>
        <v>15.646199999999855</v>
      </c>
      <c r="C802" s="342"/>
      <c r="D802" s="359">
        <f t="shared" ca="1" si="356"/>
        <v>-0.54908977754752597</v>
      </c>
      <c r="E802" s="360">
        <f t="shared" ca="1" si="357"/>
        <v>-5.9543629814151844</v>
      </c>
      <c r="F802" s="357">
        <f t="shared" ca="1" si="358"/>
        <v>5.9796269196543292</v>
      </c>
      <c r="G802" s="359">
        <f t="shared" ca="1" si="359"/>
        <v>9.5237718333236945</v>
      </c>
      <c r="H802" s="360">
        <f t="shared" ca="1" si="360"/>
        <v>-66.875668416558128</v>
      </c>
      <c r="I802" s="357">
        <f t="shared" ca="1" si="361"/>
        <v>67.550405299262565</v>
      </c>
      <c r="J802" s="359">
        <f t="shared" ca="1" si="362"/>
        <v>187.70931447689617</v>
      </c>
      <c r="K802" s="360">
        <f t="shared" ca="1" si="363"/>
        <v>-7.1410619056104219</v>
      </c>
      <c r="L802" s="357">
        <f t="shared" ca="1" si="348"/>
        <v>187.84509976713807</v>
      </c>
      <c r="M802" s="359">
        <f t="shared" ca="1" si="364"/>
        <v>-1.4293373839003312</v>
      </c>
      <c r="N802" s="357">
        <f t="shared" ca="1" si="365"/>
        <v>-81.894999597759281</v>
      </c>
      <c r="O802" s="343"/>
      <c r="P802" s="363">
        <f t="shared" ca="1" si="366"/>
        <v>23</v>
      </c>
      <c r="Q802" s="357">
        <f t="shared" ca="1" si="367"/>
        <v>0</v>
      </c>
      <c r="R802" s="359">
        <f t="shared" ca="1" si="368"/>
        <v>0</v>
      </c>
      <c r="S802" s="360">
        <f t="shared" ca="1" si="369"/>
        <v>1.5629999999999982</v>
      </c>
      <c r="T802" s="357">
        <f t="shared" ca="1" si="349"/>
        <v>15.333029999999983</v>
      </c>
      <c r="U802" s="364">
        <f t="shared" ca="1" si="350"/>
        <v>0</v>
      </c>
      <c r="V802" s="359">
        <f t="shared" ca="1" si="351"/>
        <v>1.2258750925379367</v>
      </c>
      <c r="W802" s="357">
        <f t="shared" ca="1" si="352"/>
        <v>6.0872738527640982</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5.8174692746922325</v>
      </c>
      <c r="AH802" s="357">
        <f t="shared" ca="1" si="376"/>
        <v>-3.8945393056032702</v>
      </c>
    </row>
    <row r="803" spans="1:34" x14ac:dyDescent="0.2">
      <c r="A803" s="402">
        <f t="shared" ca="1" si="354"/>
        <v>1E-4</v>
      </c>
      <c r="B803" s="357">
        <f t="shared" ca="1" si="355"/>
        <v>15.646299999999854</v>
      </c>
      <c r="C803" s="342"/>
      <c r="D803" s="359">
        <f t="shared" ca="1" si="356"/>
        <v>-0.54909170781349548</v>
      </c>
      <c r="E803" s="360">
        <f t="shared" ca="1" si="357"/>
        <v>-5.9542928679233418</v>
      </c>
      <c r="F803" s="357">
        <f t="shared" ca="1" si="358"/>
        <v>5.9795572796480778</v>
      </c>
      <c r="G803" s="359">
        <f t="shared" ca="1" si="359"/>
        <v>9.5237169241529127</v>
      </c>
      <c r="H803" s="360">
        <f t="shared" ca="1" si="360"/>
        <v>-66.876263845844917</v>
      </c>
      <c r="I803" s="357">
        <f t="shared" ca="1" si="361"/>
        <v>67.550987039646287</v>
      </c>
      <c r="J803" s="359">
        <f t="shared" ca="1" si="362"/>
        <v>187.70931447689617</v>
      </c>
      <c r="K803" s="360">
        <f t="shared" ca="1" si="363"/>
        <v>-7.147749502223542</v>
      </c>
      <c r="L803" s="357">
        <f t="shared" ca="1" si="348"/>
        <v>187.84535411963969</v>
      </c>
      <c r="M803" s="359">
        <f t="shared" ca="1" si="364"/>
        <v>-1.429339431374028</v>
      </c>
      <c r="N803" s="357">
        <f t="shared" ca="1" si="365"/>
        <v>-81.895116909360766</v>
      </c>
      <c r="O803" s="343"/>
      <c r="P803" s="363">
        <f t="shared" ca="1" si="366"/>
        <v>23</v>
      </c>
      <c r="Q803" s="357">
        <f t="shared" ca="1" si="367"/>
        <v>0</v>
      </c>
      <c r="R803" s="359">
        <f t="shared" ca="1" si="368"/>
        <v>0</v>
      </c>
      <c r="S803" s="360">
        <f t="shared" ca="1" si="369"/>
        <v>1.5629999999999982</v>
      </c>
      <c r="T803" s="357">
        <f t="shared" ca="1" si="349"/>
        <v>15.333029999999983</v>
      </c>
      <c r="U803" s="364">
        <f t="shared" ca="1" si="350"/>
        <v>0</v>
      </c>
      <c r="V803" s="359">
        <f t="shared" ca="1" si="351"/>
        <v>1.225875912354127</v>
      </c>
      <c r="W803" s="357">
        <f t="shared" ca="1" si="352"/>
        <v>6.087382770747543</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5.8174024213267383</v>
      </c>
      <c r="AH803" s="357">
        <f t="shared" ca="1" si="376"/>
        <v>-3.8946089908919421</v>
      </c>
    </row>
    <row r="804" spans="1:34" x14ac:dyDescent="0.2">
      <c r="A804" s="402">
        <f t="shared" ca="1" si="354"/>
        <v>1E-4</v>
      </c>
      <c r="B804" s="357">
        <f t="shared" ca="1" si="355"/>
        <v>15.646399999999854</v>
      </c>
      <c r="C804" s="342"/>
      <c r="D804" s="359">
        <f t="shared" ca="1" si="356"/>
        <v>-0.54909363796507249</v>
      </c>
      <c r="E804" s="360">
        <f t="shared" ca="1" si="357"/>
        <v>-5.9542227545110276</v>
      </c>
      <c r="F804" s="357">
        <f t="shared" ca="1" si="358"/>
        <v>5.979487639722203</v>
      </c>
      <c r="G804" s="359">
        <f t="shared" ca="1" si="359"/>
        <v>9.5236620147891156</v>
      </c>
      <c r="H804" s="360">
        <f t="shared" ca="1" si="360"/>
        <v>-66.87685926812037</v>
      </c>
      <c r="I804" s="357">
        <f t="shared" ca="1" si="361"/>
        <v>67.55156877334467</v>
      </c>
      <c r="J804" s="359">
        <f t="shared" ca="1" si="362"/>
        <v>187.70931447689617</v>
      </c>
      <c r="K804" s="360">
        <f t="shared" ca="1" si="363"/>
        <v>-7.1544371583792401</v>
      </c>
      <c r="L804" s="357">
        <f t="shared" ca="1" si="348"/>
        <v>187.84560871215356</v>
      </c>
      <c r="M804" s="359">
        <f t="shared" ca="1" si="364"/>
        <v>-1.4293414788006558</v>
      </c>
      <c r="N804" s="357">
        <f t="shared" ca="1" si="365"/>
        <v>-81.895234218265401</v>
      </c>
      <c r="O804" s="343"/>
      <c r="P804" s="363">
        <f t="shared" ca="1" si="366"/>
        <v>23</v>
      </c>
      <c r="Q804" s="357">
        <f t="shared" ca="1" si="367"/>
        <v>0</v>
      </c>
      <c r="R804" s="359">
        <f t="shared" ca="1" si="368"/>
        <v>0</v>
      </c>
      <c r="S804" s="360">
        <f t="shared" ca="1" si="369"/>
        <v>1.5629999999999982</v>
      </c>
      <c r="T804" s="357">
        <f t="shared" ca="1" si="349"/>
        <v>15.333029999999983</v>
      </c>
      <c r="U804" s="364">
        <f t="shared" ca="1" si="350"/>
        <v>0</v>
      </c>
      <c r="V804" s="359">
        <f t="shared" ca="1" si="351"/>
        <v>1.2258767321781654</v>
      </c>
      <c r="W804" s="357">
        <f t="shared" ca="1" si="352"/>
        <v>6.0874916886082158</v>
      </c>
      <c r="X804" s="343"/>
      <c r="Y804" s="367" t="str">
        <f t="shared" ca="1" si="370"/>
        <v/>
      </c>
      <c r="Z804" s="368" t="str">
        <f t="shared" ca="1" si="371"/>
        <v/>
      </c>
      <c r="AA804" s="369" t="str">
        <f t="shared" ca="1" si="372"/>
        <v/>
      </c>
      <c r="AB804" s="344"/>
      <c r="AC804" s="363" t="e">
        <f t="shared" ca="1" si="373"/>
        <v>#N/A</v>
      </c>
      <c r="AD804" s="376" t="e">
        <f t="shared" ca="1" si="374"/>
        <v>#N/A</v>
      </c>
      <c r="AE804" s="377" t="e">
        <f t="shared" ca="1" si="353"/>
        <v>#N/A</v>
      </c>
      <c r="AF804" s="344"/>
      <c r="AG804" s="359">
        <f t="shared" ca="1" si="375"/>
        <v>5.8173355679339593</v>
      </c>
      <c r="AH804" s="357">
        <f t="shared" ca="1" si="376"/>
        <v>-3.8946786761020795</v>
      </c>
    </row>
    <row r="805" spans="1:34" x14ac:dyDescent="0.2">
      <c r="A805" s="402">
        <f t="shared" ca="1" si="354"/>
        <v>1E-4</v>
      </c>
      <c r="B805" s="357">
        <f t="shared" ca="1" si="355"/>
        <v>15.646499999999854</v>
      </c>
      <c r="C805" s="342"/>
      <c r="D805" s="359">
        <f t="shared" ca="1" si="356"/>
        <v>-0.54909556800225745</v>
      </c>
      <c r="E805" s="360">
        <f t="shared" ca="1" si="357"/>
        <v>-5.9541526411782568</v>
      </c>
      <c r="F805" s="357">
        <f t="shared" ca="1" si="358"/>
        <v>5.9794179998767216</v>
      </c>
      <c r="G805" s="359">
        <f t="shared" ca="1" si="359"/>
        <v>9.5236071052323155</v>
      </c>
      <c r="H805" s="360">
        <f t="shared" ca="1" si="360"/>
        <v>-66.877454683384485</v>
      </c>
      <c r="I805" s="357">
        <f t="shared" ca="1" si="361"/>
        <v>67.552150500357698</v>
      </c>
      <c r="J805" s="359">
        <f t="shared" ca="1" si="362"/>
        <v>187.70931447689617</v>
      </c>
      <c r="K805" s="360">
        <f t="shared" ca="1" si="363"/>
        <v>-7.1611248740768154</v>
      </c>
      <c r="L805" s="357">
        <f t="shared" ca="1" si="348"/>
        <v>187.84586354468502</v>
      </c>
      <c r="M805" s="359">
        <f t="shared" ca="1" si="364"/>
        <v>-1.4293435261802161</v>
      </c>
      <c r="N805" s="357">
        <f t="shared" ca="1" si="365"/>
        <v>-81.89535152447327</v>
      </c>
      <c r="O805" s="343"/>
      <c r="P805" s="363">
        <f t="shared" ca="1" si="366"/>
        <v>23</v>
      </c>
      <c r="Q805" s="357">
        <f t="shared" ca="1" si="367"/>
        <v>0</v>
      </c>
      <c r="R805" s="359">
        <f t="shared" ca="1" si="368"/>
        <v>0</v>
      </c>
      <c r="S805" s="360">
        <f t="shared" ca="1" si="369"/>
        <v>1.5629999999999982</v>
      </c>
      <c r="T805" s="357">
        <f t="shared" ca="1" si="349"/>
        <v>15.333029999999983</v>
      </c>
      <c r="U805" s="364">
        <f t="shared" ca="1" si="350"/>
        <v>0</v>
      </c>
      <c r="V805" s="359">
        <f t="shared" ca="1" si="351"/>
        <v>1.2258775520100509</v>
      </c>
      <c r="W805" s="357">
        <f t="shared" ca="1" si="352"/>
        <v>6.0876006063460766</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5.8172687145139177</v>
      </c>
      <c r="AH805" s="357">
        <f t="shared" ca="1" si="376"/>
        <v>-3.8947483612336677</v>
      </c>
    </row>
    <row r="806" spans="1:34" x14ac:dyDescent="0.2">
      <c r="A806" s="402">
        <f t="shared" ca="1" si="354"/>
        <v>1E-4</v>
      </c>
      <c r="B806" s="357">
        <f t="shared" ca="1" si="355"/>
        <v>15.646599999999854</v>
      </c>
      <c r="C806" s="342"/>
      <c r="D806" s="359">
        <f t="shared" ca="1" si="356"/>
        <v>-0.54909749792505103</v>
      </c>
      <c r="E806" s="360">
        <f t="shared" ca="1" si="357"/>
        <v>-5.9540825279250527</v>
      </c>
      <c r="F806" s="357">
        <f t="shared" ca="1" si="358"/>
        <v>5.979348360111655</v>
      </c>
      <c r="G806" s="359">
        <f t="shared" ca="1" si="359"/>
        <v>9.5235521954825231</v>
      </c>
      <c r="H806" s="360">
        <f t="shared" ca="1" si="360"/>
        <v>-66.878050091637277</v>
      </c>
      <c r="I806" s="357">
        <f t="shared" ca="1" si="361"/>
        <v>67.552732220685371</v>
      </c>
      <c r="J806" s="359">
        <f t="shared" ca="1" si="362"/>
        <v>187.70931447689617</v>
      </c>
      <c r="K806" s="360">
        <f t="shared" ca="1" si="363"/>
        <v>-7.1678126493155663</v>
      </c>
      <c r="L806" s="357">
        <f t="shared" ca="1" si="348"/>
        <v>187.84611861723943</v>
      </c>
      <c r="M806" s="359">
        <f t="shared" ca="1" si="364"/>
        <v>-1.4293455735127107</v>
      </c>
      <c r="N806" s="357">
        <f t="shared" ca="1" si="365"/>
        <v>-81.895468827984473</v>
      </c>
      <c r="O806" s="343"/>
      <c r="P806" s="363">
        <f t="shared" ca="1" si="366"/>
        <v>23</v>
      </c>
      <c r="Q806" s="357">
        <f t="shared" ca="1" si="367"/>
        <v>0</v>
      </c>
      <c r="R806" s="359">
        <f t="shared" ca="1" si="368"/>
        <v>0</v>
      </c>
      <c r="S806" s="360">
        <f t="shared" ca="1" si="369"/>
        <v>1.5629999999999982</v>
      </c>
      <c r="T806" s="357">
        <f t="shared" ca="1" si="349"/>
        <v>15.333029999999983</v>
      </c>
      <c r="U806" s="364">
        <f t="shared" ca="1" si="350"/>
        <v>0</v>
      </c>
      <c r="V806" s="359">
        <f t="shared" ca="1" si="351"/>
        <v>1.2258783718497843</v>
      </c>
      <c r="W806" s="357">
        <f t="shared" ca="1" si="352"/>
        <v>6.0877095239611014</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5.8172018610666427</v>
      </c>
      <c r="AH806" s="357">
        <f t="shared" ca="1" si="376"/>
        <v>-3.8948180462866819</v>
      </c>
    </row>
    <row r="807" spans="1:34" x14ac:dyDescent="0.2">
      <c r="A807" s="402">
        <f t="shared" ca="1" si="354"/>
        <v>1E-4</v>
      </c>
      <c r="B807" s="357">
        <f t="shared" ca="1" si="355"/>
        <v>15.646699999999854</v>
      </c>
      <c r="C807" s="342"/>
      <c r="D807" s="359">
        <f t="shared" ca="1" si="356"/>
        <v>-0.54909942773345455</v>
      </c>
      <c r="E807" s="360">
        <f t="shared" ca="1" si="357"/>
        <v>-5.9540124147514328</v>
      </c>
      <c r="F807" s="357">
        <f t="shared" ca="1" si="358"/>
        <v>5.9792787204270219</v>
      </c>
      <c r="G807" s="359">
        <f t="shared" ca="1" si="359"/>
        <v>9.5234972855397491</v>
      </c>
      <c r="H807" s="360">
        <f t="shared" ca="1" si="360"/>
        <v>-66.878645492878746</v>
      </c>
      <c r="I807" s="357">
        <f t="shared" ca="1" si="361"/>
        <v>67.553313934327704</v>
      </c>
      <c r="J807" s="359">
        <f t="shared" ca="1" si="362"/>
        <v>187.70931447689617</v>
      </c>
      <c r="K807" s="360">
        <f t="shared" ca="1" si="363"/>
        <v>-7.1745004840947919</v>
      </c>
      <c r="L807" s="357">
        <f t="shared" ca="1" si="348"/>
        <v>187.84637392982216</v>
      </c>
      <c r="M807" s="359">
        <f t="shared" ca="1" si="364"/>
        <v>-1.4293476207981413</v>
      </c>
      <c r="N807" s="357">
        <f t="shared" ca="1" si="365"/>
        <v>-81.89558612879911</v>
      </c>
      <c r="O807" s="343"/>
      <c r="P807" s="363">
        <f t="shared" ca="1" si="366"/>
        <v>23</v>
      </c>
      <c r="Q807" s="357">
        <f t="shared" ca="1" si="367"/>
        <v>0</v>
      </c>
      <c r="R807" s="359">
        <f t="shared" ca="1" si="368"/>
        <v>0</v>
      </c>
      <c r="S807" s="360">
        <f t="shared" ca="1" si="369"/>
        <v>1.5629999999999982</v>
      </c>
      <c r="T807" s="357">
        <f t="shared" ca="1" si="349"/>
        <v>15.333029999999983</v>
      </c>
      <c r="U807" s="364">
        <f t="shared" ca="1" si="350"/>
        <v>0</v>
      </c>
      <c r="V807" s="359">
        <f t="shared" ca="1" si="351"/>
        <v>1.2258791916973648</v>
      </c>
      <c r="W807" s="357">
        <f t="shared" ca="1" si="352"/>
        <v>6.0878184414532557</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5.8171350075921548</v>
      </c>
      <c r="AH807" s="357">
        <f t="shared" ca="1" si="376"/>
        <v>-3.8948877312611061</v>
      </c>
    </row>
    <row r="808" spans="1:34" x14ac:dyDescent="0.2">
      <c r="A808" s="402">
        <f t="shared" ca="1" si="354"/>
        <v>1E-4</v>
      </c>
      <c r="B808" s="357">
        <f t="shared" ca="1" si="355"/>
        <v>15.646799999999853</v>
      </c>
      <c r="C808" s="342"/>
      <c r="D808" s="359">
        <f t="shared" ca="1" si="356"/>
        <v>-0.54910135742746902</v>
      </c>
      <c r="E808" s="360">
        <f t="shared" ca="1" si="357"/>
        <v>-5.9539423016574187</v>
      </c>
      <c r="F808" s="357">
        <f t="shared" ca="1" si="358"/>
        <v>5.9792090808228417</v>
      </c>
      <c r="G808" s="359">
        <f t="shared" ca="1" si="359"/>
        <v>9.5234423754040058</v>
      </c>
      <c r="H808" s="360">
        <f t="shared" ca="1" si="360"/>
        <v>-66.879240887108907</v>
      </c>
      <c r="I808" s="357">
        <f t="shared" ca="1" si="361"/>
        <v>67.553895641284669</v>
      </c>
      <c r="J808" s="359">
        <f t="shared" ca="1" si="362"/>
        <v>187.70931447689617</v>
      </c>
      <c r="K808" s="360">
        <f t="shared" ca="1" si="363"/>
        <v>-7.1811883784137915</v>
      </c>
      <c r="L808" s="357">
        <f t="shared" ca="1" si="348"/>
        <v>187.84662948243857</v>
      </c>
      <c r="M808" s="359">
        <f t="shared" ca="1" si="364"/>
        <v>-1.4293496680365092</v>
      </c>
      <c r="N808" s="357">
        <f t="shared" ca="1" si="365"/>
        <v>-81.895703426917237</v>
      </c>
      <c r="O808" s="343"/>
      <c r="P808" s="363">
        <f t="shared" ca="1" si="366"/>
        <v>23</v>
      </c>
      <c r="Q808" s="357">
        <f t="shared" ca="1" si="367"/>
        <v>0</v>
      </c>
      <c r="R808" s="359">
        <f t="shared" ca="1" si="368"/>
        <v>0</v>
      </c>
      <c r="S808" s="360">
        <f t="shared" ca="1" si="369"/>
        <v>1.5629999999999982</v>
      </c>
      <c r="T808" s="357">
        <f t="shared" ca="1" si="349"/>
        <v>15.333029999999983</v>
      </c>
      <c r="U808" s="364">
        <f t="shared" ca="1" si="350"/>
        <v>0</v>
      </c>
      <c r="V808" s="359">
        <f t="shared" ca="1" si="351"/>
        <v>1.2258800115527926</v>
      </c>
      <c r="W808" s="357">
        <f t="shared" ca="1" si="352"/>
        <v>6.08792735882251</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5.8170681540904798</v>
      </c>
      <c r="AH808" s="357">
        <f t="shared" ca="1" si="376"/>
        <v>-3.894957416156918</v>
      </c>
    </row>
    <row r="809" spans="1:34" x14ac:dyDescent="0.2">
      <c r="A809" s="402">
        <f t="shared" ca="1" si="354"/>
        <v>1E-4</v>
      </c>
      <c r="B809" s="357">
        <f t="shared" ca="1" si="355"/>
        <v>15.646899999999853</v>
      </c>
      <c r="C809" s="342"/>
      <c r="D809" s="359">
        <f t="shared" ca="1" si="356"/>
        <v>-0.54910328700709621</v>
      </c>
      <c r="E809" s="360">
        <f t="shared" ca="1" si="357"/>
        <v>-5.9538721886430306</v>
      </c>
      <c r="F809" s="357">
        <f t="shared" ca="1" si="358"/>
        <v>5.9791394412991368</v>
      </c>
      <c r="G809" s="359">
        <f t="shared" ca="1" si="359"/>
        <v>9.5233874650753059</v>
      </c>
      <c r="H809" s="360">
        <f t="shared" ca="1" si="360"/>
        <v>-66.879836274327772</v>
      </c>
      <c r="I809" s="357">
        <f t="shared" ca="1" si="361"/>
        <v>67.554477341556293</v>
      </c>
      <c r="J809" s="359">
        <f t="shared" ca="1" si="362"/>
        <v>187.70931447689617</v>
      </c>
      <c r="K809" s="360">
        <f t="shared" ca="1" si="363"/>
        <v>-7.1878763322718635</v>
      </c>
      <c r="L809" s="357">
        <f t="shared" ca="1" si="348"/>
        <v>187.84688527509402</v>
      </c>
      <c r="M809" s="359">
        <f t="shared" ca="1" si="364"/>
        <v>-1.4293517152278166</v>
      </c>
      <c r="N809" s="357">
        <f t="shared" ca="1" si="365"/>
        <v>-81.89582072233901</v>
      </c>
      <c r="O809" s="343"/>
      <c r="P809" s="363">
        <f t="shared" ca="1" si="366"/>
        <v>23</v>
      </c>
      <c r="Q809" s="357">
        <f t="shared" ca="1" si="367"/>
        <v>0</v>
      </c>
      <c r="R809" s="359">
        <f t="shared" ca="1" si="368"/>
        <v>0</v>
      </c>
      <c r="S809" s="360">
        <f t="shared" ca="1" si="369"/>
        <v>1.5629999999999982</v>
      </c>
      <c r="T809" s="357">
        <f t="shared" ca="1" si="349"/>
        <v>15.333029999999983</v>
      </c>
      <c r="U809" s="364">
        <f t="shared" ca="1" si="350"/>
        <v>0</v>
      </c>
      <c r="V809" s="359">
        <f t="shared" ca="1" si="351"/>
        <v>1.2258808314160679</v>
      </c>
      <c r="W809" s="357">
        <f t="shared" ca="1" si="352"/>
        <v>6.0880362760688369</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5.8170013005616443</v>
      </c>
      <c r="AH809" s="357">
        <f t="shared" ca="1" si="376"/>
        <v>-3.8950271009740991</v>
      </c>
    </row>
    <row r="810" spans="1:34" x14ac:dyDescent="0.2">
      <c r="A810" s="402">
        <f t="shared" ca="1" si="354"/>
        <v>1E-4</v>
      </c>
      <c r="B810" s="357">
        <f t="shared" ca="1" si="355"/>
        <v>15.646999999999853</v>
      </c>
      <c r="C810" s="342"/>
      <c r="D810" s="359">
        <f t="shared" ca="1" si="356"/>
        <v>-0.54910521647233623</v>
      </c>
      <c r="E810" s="360">
        <f t="shared" ca="1" si="357"/>
        <v>-5.9538020757082837</v>
      </c>
      <c r="F810" s="357">
        <f t="shared" ca="1" si="358"/>
        <v>5.9790698018559212</v>
      </c>
      <c r="G810" s="359">
        <f t="shared" ca="1" si="359"/>
        <v>9.523332554553658</v>
      </c>
      <c r="H810" s="360">
        <f t="shared" ca="1" si="360"/>
        <v>-66.880431654535343</v>
      </c>
      <c r="I810" s="357">
        <f t="shared" ca="1" si="361"/>
        <v>67.555059035142548</v>
      </c>
      <c r="J810" s="359">
        <f t="shared" ca="1" si="362"/>
        <v>187.70931447689617</v>
      </c>
      <c r="K810" s="360">
        <f t="shared" ca="1" si="363"/>
        <v>-7.194564345668307</v>
      </c>
      <c r="L810" s="357">
        <f t="shared" ca="1" si="348"/>
        <v>187.84714130779381</v>
      </c>
      <c r="M810" s="359">
        <f t="shared" ca="1" si="364"/>
        <v>-1.4293537623720649</v>
      </c>
      <c r="N810" s="357">
        <f t="shared" ca="1" si="365"/>
        <v>-81.895938015064502</v>
      </c>
      <c r="O810" s="343"/>
      <c r="P810" s="363">
        <f t="shared" ca="1" si="366"/>
        <v>23</v>
      </c>
      <c r="Q810" s="357">
        <f t="shared" ca="1" si="367"/>
        <v>0</v>
      </c>
      <c r="R810" s="359">
        <f t="shared" ca="1" si="368"/>
        <v>0</v>
      </c>
      <c r="S810" s="360">
        <f t="shared" ca="1" si="369"/>
        <v>1.5629999999999982</v>
      </c>
      <c r="T810" s="357">
        <f t="shared" ca="1" si="349"/>
        <v>15.333029999999983</v>
      </c>
      <c r="U810" s="364">
        <f t="shared" ca="1" si="350"/>
        <v>0</v>
      </c>
      <c r="V810" s="359">
        <f t="shared" ca="1" si="351"/>
        <v>1.2258816512871902</v>
      </c>
      <c r="W810" s="357">
        <f t="shared" ca="1" si="352"/>
        <v>6.0881451931922017</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5.8169344470056696</v>
      </c>
      <c r="AH810" s="357">
        <f t="shared" ca="1" si="376"/>
        <v>-3.895096785712632</v>
      </c>
    </row>
    <row r="811" spans="1:34" x14ac:dyDescent="0.2">
      <c r="A811" s="402">
        <f t="shared" ca="1" si="354"/>
        <v>1E-4</v>
      </c>
      <c r="B811" s="357">
        <f t="shared" ca="1" si="355"/>
        <v>15.647099999999853</v>
      </c>
      <c r="C811" s="342"/>
      <c r="D811" s="359">
        <f t="shared" ca="1" si="356"/>
        <v>-0.5491071458231902</v>
      </c>
      <c r="E811" s="360">
        <f t="shared" ca="1" si="357"/>
        <v>-5.9537319628532011</v>
      </c>
      <c r="F811" s="357">
        <f t="shared" ca="1" si="358"/>
        <v>5.9790001624932172</v>
      </c>
      <c r="G811" s="359">
        <f t="shared" ca="1" si="359"/>
        <v>9.5232776438390765</v>
      </c>
      <c r="H811" s="360">
        <f t="shared" ca="1" si="360"/>
        <v>-66.881027027731633</v>
      </c>
      <c r="I811" s="357">
        <f t="shared" ca="1" si="361"/>
        <v>67.555640722043449</v>
      </c>
      <c r="J811" s="359">
        <f t="shared" ca="1" si="362"/>
        <v>187.70931447689617</v>
      </c>
      <c r="K811" s="360">
        <f t="shared" ca="1" si="363"/>
        <v>-7.2012524186024205</v>
      </c>
      <c r="L811" s="357">
        <f t="shared" ca="1" si="348"/>
        <v>187.84739758054337</v>
      </c>
      <c r="M811" s="359">
        <f t="shared" ca="1" si="364"/>
        <v>-1.4293558094692558</v>
      </c>
      <c r="N811" s="357">
        <f t="shared" ca="1" si="365"/>
        <v>-81.896055305093782</v>
      </c>
      <c r="O811" s="343"/>
      <c r="P811" s="363">
        <f t="shared" ca="1" si="366"/>
        <v>23</v>
      </c>
      <c r="Q811" s="357">
        <f t="shared" ca="1" si="367"/>
        <v>0</v>
      </c>
      <c r="R811" s="359">
        <f t="shared" ca="1" si="368"/>
        <v>0</v>
      </c>
      <c r="S811" s="360">
        <f t="shared" ca="1" si="369"/>
        <v>1.5629999999999982</v>
      </c>
      <c r="T811" s="357">
        <f t="shared" ca="1" si="349"/>
        <v>15.333029999999983</v>
      </c>
      <c r="U811" s="364">
        <f t="shared" ca="1" si="350"/>
        <v>0</v>
      </c>
      <c r="V811" s="359">
        <f t="shared" ca="1" si="351"/>
        <v>1.22588247116616</v>
      </c>
      <c r="W811" s="357">
        <f t="shared" ca="1" si="352"/>
        <v>6.0882541101925787</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5.8168675934225806</v>
      </c>
      <c r="AH811" s="357">
        <f t="shared" ca="1" si="376"/>
        <v>-3.8951664703724944</v>
      </c>
    </row>
    <row r="812" spans="1:34" x14ac:dyDescent="0.2">
      <c r="A812" s="402">
        <f t="shared" ca="1" si="354"/>
        <v>1E-4</v>
      </c>
      <c r="B812" s="357">
        <f t="shared" ca="1" si="355"/>
        <v>15.647199999999852</v>
      </c>
      <c r="C812" s="342"/>
      <c r="D812" s="359">
        <f t="shared" ca="1" si="356"/>
        <v>-0.54910907505966011</v>
      </c>
      <c r="E812" s="360">
        <f t="shared" ca="1" si="357"/>
        <v>-5.9536618500778005</v>
      </c>
      <c r="F812" s="357">
        <f t="shared" ca="1" si="358"/>
        <v>5.9789305232110443</v>
      </c>
      <c r="G812" s="359">
        <f t="shared" ca="1" si="359"/>
        <v>9.5232227329315702</v>
      </c>
      <c r="H812" s="360">
        <f t="shared" ca="1" si="360"/>
        <v>-66.881622393916643</v>
      </c>
      <c r="I812" s="357">
        <f t="shared" ca="1" si="361"/>
        <v>67.556222402258967</v>
      </c>
      <c r="J812" s="359">
        <f t="shared" ca="1" si="362"/>
        <v>187.70931447689617</v>
      </c>
      <c r="K812" s="360">
        <f t="shared" ca="1" si="363"/>
        <v>-7.2079405510735031</v>
      </c>
      <c r="L812" s="357">
        <f t="shared" ca="1" si="348"/>
        <v>187.84765409334796</v>
      </c>
      <c r="M812" s="359">
        <f t="shared" ca="1" si="364"/>
        <v>-1.4293578565193912</v>
      </c>
      <c r="N812" s="357">
        <f t="shared" ca="1" si="365"/>
        <v>-81.896172592426993</v>
      </c>
      <c r="O812" s="343"/>
      <c r="P812" s="363">
        <f t="shared" ca="1" si="366"/>
        <v>23</v>
      </c>
      <c r="Q812" s="357">
        <f t="shared" ca="1" si="367"/>
        <v>0</v>
      </c>
      <c r="R812" s="359">
        <f t="shared" ca="1" si="368"/>
        <v>0</v>
      </c>
      <c r="S812" s="360">
        <f t="shared" ca="1" si="369"/>
        <v>1.5629999999999982</v>
      </c>
      <c r="T812" s="357">
        <f t="shared" ca="1" si="349"/>
        <v>15.333029999999983</v>
      </c>
      <c r="U812" s="364">
        <f t="shared" ca="1" si="350"/>
        <v>0</v>
      </c>
      <c r="V812" s="359">
        <f t="shared" ca="1" si="351"/>
        <v>1.2258832910529767</v>
      </c>
      <c r="W812" s="357">
        <f t="shared" ca="1" si="352"/>
        <v>6.0883630270699314</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5.816800739812404</v>
      </c>
      <c r="AH812" s="357">
        <f t="shared" ca="1" si="376"/>
        <v>-3.8952361549536696</v>
      </c>
    </row>
    <row r="813" spans="1:34" x14ac:dyDescent="0.2">
      <c r="A813" s="402">
        <f t="shared" ca="1" si="354"/>
        <v>1E-4</v>
      </c>
      <c r="B813" s="357">
        <f t="shared" ca="1" si="355"/>
        <v>15.647299999999852</v>
      </c>
      <c r="C813" s="342"/>
      <c r="D813" s="359">
        <f t="shared" ca="1" si="356"/>
        <v>-0.54911100418174519</v>
      </c>
      <c r="E813" s="360">
        <f t="shared" ca="1" si="357"/>
        <v>-5.953591737382105</v>
      </c>
      <c r="F813" s="357">
        <f t="shared" ca="1" si="358"/>
        <v>5.9788608840094239</v>
      </c>
      <c r="G813" s="359">
        <f t="shared" ca="1" si="359"/>
        <v>9.5231678218311515</v>
      </c>
      <c r="H813" s="360">
        <f t="shared" ca="1" si="360"/>
        <v>-66.882217753090387</v>
      </c>
      <c r="I813" s="357">
        <f t="shared" ca="1" si="361"/>
        <v>67.556804075789131</v>
      </c>
      <c r="J813" s="359">
        <f t="shared" ca="1" si="362"/>
        <v>187.70931447689617</v>
      </c>
      <c r="K813" s="360">
        <f t="shared" ca="1" si="363"/>
        <v>-7.2146287430808531</v>
      </c>
      <c r="L813" s="357">
        <f t="shared" ca="1" si="348"/>
        <v>187.84791084621298</v>
      </c>
      <c r="M813" s="359">
        <f t="shared" ca="1" si="364"/>
        <v>-1.4293599035224724</v>
      </c>
      <c r="N813" s="357">
        <f t="shared" ca="1" si="365"/>
        <v>-81.896289877064206</v>
      </c>
      <c r="O813" s="343"/>
      <c r="P813" s="363">
        <f t="shared" ca="1" si="366"/>
        <v>23</v>
      </c>
      <c r="Q813" s="357">
        <f t="shared" ca="1" si="367"/>
        <v>0</v>
      </c>
      <c r="R813" s="359">
        <f t="shared" ca="1" si="368"/>
        <v>0</v>
      </c>
      <c r="S813" s="360">
        <f t="shared" ca="1" si="369"/>
        <v>1.5629999999999982</v>
      </c>
      <c r="T813" s="357">
        <f t="shared" ca="1" si="349"/>
        <v>15.333029999999983</v>
      </c>
      <c r="U813" s="364">
        <f t="shared" ca="1" si="350"/>
        <v>0</v>
      </c>
      <c r="V813" s="359">
        <f t="shared" ca="1" si="351"/>
        <v>1.2258841109476404</v>
      </c>
      <c r="W813" s="357">
        <f t="shared" ca="1" si="352"/>
        <v>6.0884719438242341</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5.8167338861751645</v>
      </c>
      <c r="AH813" s="357">
        <f t="shared" ca="1" si="376"/>
        <v>-3.8953058394561348</v>
      </c>
    </row>
    <row r="814" spans="1:34" x14ac:dyDescent="0.2">
      <c r="A814" s="402">
        <f t="shared" ca="1" si="354"/>
        <v>1E-4</v>
      </c>
      <c r="B814" s="357">
        <f t="shared" ca="1" si="355"/>
        <v>15.647399999999852</v>
      </c>
      <c r="C814" s="342"/>
      <c r="D814" s="359">
        <f t="shared" ca="1" si="356"/>
        <v>-0.54911293318944854</v>
      </c>
      <c r="E814" s="360">
        <f t="shared" ca="1" si="357"/>
        <v>-5.9535216247661298</v>
      </c>
      <c r="F814" s="357">
        <f t="shared" ca="1" si="358"/>
        <v>5.9787912448883729</v>
      </c>
      <c r="G814" s="359">
        <f t="shared" ca="1" si="359"/>
        <v>9.5231129105378329</v>
      </c>
      <c r="H814" s="360">
        <f t="shared" ca="1" si="360"/>
        <v>-66.882813105252865</v>
      </c>
      <c r="I814" s="357">
        <f t="shared" ca="1" si="361"/>
        <v>67.557385742633912</v>
      </c>
      <c r="J814" s="359">
        <f t="shared" ca="1" si="362"/>
        <v>187.70931447689617</v>
      </c>
      <c r="K814" s="360">
        <f t="shared" ca="1" si="363"/>
        <v>-7.2213169946237699</v>
      </c>
      <c r="L814" s="357">
        <f t="shared" ca="1" si="348"/>
        <v>187.8481678391438</v>
      </c>
      <c r="M814" s="359">
        <f t="shared" ca="1" si="364"/>
        <v>-1.4293619504785013</v>
      </c>
      <c r="N814" s="357">
        <f t="shared" ca="1" si="365"/>
        <v>-81.896407159005506</v>
      </c>
      <c r="O814" s="343"/>
      <c r="P814" s="363">
        <f t="shared" ca="1" si="366"/>
        <v>23</v>
      </c>
      <c r="Q814" s="357">
        <f t="shared" ca="1" si="367"/>
        <v>0</v>
      </c>
      <c r="R814" s="359">
        <f t="shared" ca="1" si="368"/>
        <v>0</v>
      </c>
      <c r="S814" s="360">
        <f t="shared" ca="1" si="369"/>
        <v>1.5629999999999982</v>
      </c>
      <c r="T814" s="357">
        <f t="shared" ca="1" si="349"/>
        <v>15.333029999999983</v>
      </c>
      <c r="U814" s="364">
        <f t="shared" ca="1" si="350"/>
        <v>0</v>
      </c>
      <c r="V814" s="359">
        <f t="shared" ca="1" si="351"/>
        <v>1.2258849308501507</v>
      </c>
      <c r="W814" s="357">
        <f t="shared" ca="1" si="352"/>
        <v>6.0885808604554494</v>
      </c>
      <c r="X814" s="343"/>
      <c r="Y814" s="367" t="str">
        <f t="shared" ca="1" si="370"/>
        <v/>
      </c>
      <c r="Z814" s="368" t="str">
        <f t="shared" ca="1" si="371"/>
        <v/>
      </c>
      <c r="AA814" s="369" t="str">
        <f t="shared" ca="1" si="372"/>
        <v/>
      </c>
      <c r="AB814" s="344"/>
      <c r="AC814" s="363" t="e">
        <f t="shared" ca="1" si="373"/>
        <v>#N/A</v>
      </c>
      <c r="AD814" s="376" t="e">
        <f t="shared" ca="1" si="374"/>
        <v>#N/A</v>
      </c>
      <c r="AE814" s="377" t="e">
        <f t="shared" ca="1" si="353"/>
        <v>#N/A</v>
      </c>
      <c r="AF814" s="344"/>
      <c r="AG814" s="359">
        <f t="shared" ca="1" si="375"/>
        <v>5.8166670325108871</v>
      </c>
      <c r="AH814" s="357">
        <f t="shared" ca="1" si="376"/>
        <v>-3.8953755238798728</v>
      </c>
    </row>
    <row r="815" spans="1:34" x14ac:dyDescent="0.2">
      <c r="A815" s="402">
        <f t="shared" ca="1" si="354"/>
        <v>1E-4</v>
      </c>
      <c r="B815" s="357">
        <f t="shared" ca="1" si="355"/>
        <v>15.647499999999852</v>
      </c>
      <c r="C815" s="342"/>
      <c r="D815" s="359">
        <f t="shared" ca="1" si="356"/>
        <v>-0.54911486208276983</v>
      </c>
      <c r="E815" s="360">
        <f t="shared" ca="1" si="357"/>
        <v>-5.9534515122299005</v>
      </c>
      <c r="F815" s="357">
        <f t="shared" ca="1" si="358"/>
        <v>5.9787216058479151</v>
      </c>
      <c r="G815" s="359">
        <f t="shared" ca="1" si="359"/>
        <v>9.5230579990516251</v>
      </c>
      <c r="H815" s="360">
        <f t="shared" ca="1" si="360"/>
        <v>-66.88340845040409</v>
      </c>
      <c r="I815" s="357">
        <f t="shared" ca="1" si="361"/>
        <v>67.557967402793338</v>
      </c>
      <c r="J815" s="359">
        <f t="shared" ca="1" si="362"/>
        <v>187.70931447689617</v>
      </c>
      <c r="K815" s="360">
        <f t="shared" ca="1" si="363"/>
        <v>-7.2280053057015525</v>
      </c>
      <c r="L815" s="357">
        <f t="shared" ca="1" si="348"/>
        <v>187.84842507214574</v>
      </c>
      <c r="M815" s="359">
        <f t="shared" ca="1" si="364"/>
        <v>-1.4293639973874797</v>
      </c>
      <c r="N815" s="357">
        <f t="shared" ca="1" si="365"/>
        <v>-81.896524438251006</v>
      </c>
      <c r="O815" s="343"/>
      <c r="P815" s="363">
        <f t="shared" ca="1" si="366"/>
        <v>23</v>
      </c>
      <c r="Q815" s="357">
        <f t="shared" ca="1" si="367"/>
        <v>0</v>
      </c>
      <c r="R815" s="359">
        <f t="shared" ca="1" si="368"/>
        <v>0</v>
      </c>
      <c r="S815" s="360">
        <f t="shared" ca="1" si="369"/>
        <v>1.5629999999999982</v>
      </c>
      <c r="T815" s="357">
        <f t="shared" ca="1" si="349"/>
        <v>15.333029999999983</v>
      </c>
      <c r="U815" s="364">
        <f t="shared" ca="1" si="350"/>
        <v>0</v>
      </c>
      <c r="V815" s="359">
        <f t="shared" ca="1" si="351"/>
        <v>1.2258857507605081</v>
      </c>
      <c r="W815" s="357">
        <f t="shared" ca="1" si="352"/>
        <v>6.0886897769635571</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5.8166001788195967</v>
      </c>
      <c r="AH815" s="357">
        <f t="shared" ca="1" si="376"/>
        <v>-3.8954452082248601</v>
      </c>
    </row>
    <row r="816" spans="1:34" x14ac:dyDescent="0.2">
      <c r="A816" s="402">
        <f t="shared" ca="1" si="354"/>
        <v>1E-4</v>
      </c>
      <c r="B816" s="357">
        <f t="shared" ca="1" si="355"/>
        <v>15.647599999999851</v>
      </c>
      <c r="C816" s="342"/>
      <c r="D816" s="359">
        <f t="shared" ca="1" si="356"/>
        <v>-0.54911679086171095</v>
      </c>
      <c r="E816" s="360">
        <f t="shared" ca="1" si="357"/>
        <v>-5.9533813997734288</v>
      </c>
      <c r="F816" s="357">
        <f t="shared" ca="1" si="358"/>
        <v>5.9786519668880622</v>
      </c>
      <c r="G816" s="359">
        <f t="shared" ca="1" si="359"/>
        <v>9.5230030873725386</v>
      </c>
      <c r="H816" s="360">
        <f t="shared" ca="1" si="360"/>
        <v>-66.884003788544064</v>
      </c>
      <c r="I816" s="357">
        <f t="shared" ca="1" si="361"/>
        <v>67.558549056267353</v>
      </c>
      <c r="J816" s="359">
        <f t="shared" ca="1" si="362"/>
        <v>187.70931447689617</v>
      </c>
      <c r="K816" s="360">
        <f t="shared" ca="1" si="363"/>
        <v>-7.2346936763135004</v>
      </c>
      <c r="L816" s="357">
        <f t="shared" ca="1" si="348"/>
        <v>187.84868254522411</v>
      </c>
      <c r="M816" s="359">
        <f t="shared" ca="1" si="364"/>
        <v>-1.4293660442494089</v>
      </c>
      <c r="N816" s="357">
        <f t="shared" ca="1" si="365"/>
        <v>-81.896641714800808</v>
      </c>
      <c r="O816" s="343"/>
      <c r="P816" s="363">
        <f t="shared" ca="1" si="366"/>
        <v>23</v>
      </c>
      <c r="Q816" s="357">
        <f t="shared" ca="1" si="367"/>
        <v>0</v>
      </c>
      <c r="R816" s="359">
        <f t="shared" ca="1" si="368"/>
        <v>0</v>
      </c>
      <c r="S816" s="360">
        <f t="shared" ca="1" si="369"/>
        <v>1.5629999999999982</v>
      </c>
      <c r="T816" s="357">
        <f t="shared" ca="1" si="349"/>
        <v>15.333029999999983</v>
      </c>
      <c r="U816" s="364">
        <f t="shared" ca="1" si="350"/>
        <v>0</v>
      </c>
      <c r="V816" s="359">
        <f t="shared" ca="1" si="351"/>
        <v>1.2258865706787125</v>
      </c>
      <c r="W816" s="357">
        <f t="shared" ca="1" si="352"/>
        <v>6.0887986933485161</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5.8165333251013127</v>
      </c>
      <c r="AH816" s="357">
        <f t="shared" ca="1" si="376"/>
        <v>-3.8955148924910841</v>
      </c>
    </row>
    <row r="817" spans="1:34" x14ac:dyDescent="0.2">
      <c r="A817" s="402">
        <f t="shared" ca="1" si="354"/>
        <v>1E-4</v>
      </c>
      <c r="B817" s="357">
        <f t="shared" ca="1" si="355"/>
        <v>15.647699999999851</v>
      </c>
      <c r="C817" s="342"/>
      <c r="D817" s="359">
        <f t="shared" ca="1" si="356"/>
        <v>-0.54911871952627234</v>
      </c>
      <c r="E817" s="360">
        <f t="shared" ca="1" si="357"/>
        <v>-5.9533112873967422</v>
      </c>
      <c r="F817" s="357">
        <f t="shared" ca="1" si="358"/>
        <v>5.9785823280088417</v>
      </c>
      <c r="G817" s="359">
        <f t="shared" ca="1" si="359"/>
        <v>9.522948175500586</v>
      </c>
      <c r="H817" s="360">
        <f t="shared" ca="1" si="360"/>
        <v>-66.884599119672799</v>
      </c>
      <c r="I817" s="357">
        <f t="shared" ca="1" si="361"/>
        <v>67.559130703056013</v>
      </c>
      <c r="J817" s="359">
        <f t="shared" ca="1" si="362"/>
        <v>187.70931447689617</v>
      </c>
      <c r="K817" s="360">
        <f t="shared" ca="1" si="363"/>
        <v>-7.2413821064589108</v>
      </c>
      <c r="L817" s="357">
        <f t="shared" ca="1" si="348"/>
        <v>187.84894025838432</v>
      </c>
      <c r="M817" s="359">
        <f t="shared" ca="1" si="364"/>
        <v>-1.4293680910642912</v>
      </c>
      <c r="N817" s="357">
        <f t="shared" ca="1" si="365"/>
        <v>-81.896758988655009</v>
      </c>
      <c r="O817" s="343"/>
      <c r="P817" s="363">
        <f t="shared" ca="1" si="366"/>
        <v>23</v>
      </c>
      <c r="Q817" s="357">
        <f t="shared" ca="1" si="367"/>
        <v>0</v>
      </c>
      <c r="R817" s="359">
        <f t="shared" ca="1" si="368"/>
        <v>0</v>
      </c>
      <c r="S817" s="360">
        <f t="shared" ca="1" si="369"/>
        <v>1.5629999999999982</v>
      </c>
      <c r="T817" s="357">
        <f t="shared" ca="1" si="349"/>
        <v>15.333029999999983</v>
      </c>
      <c r="U817" s="364">
        <f t="shared" ca="1" si="350"/>
        <v>0</v>
      </c>
      <c r="V817" s="359">
        <f t="shared" ca="1" si="351"/>
        <v>1.2258873906047636</v>
      </c>
      <c r="W817" s="357">
        <f t="shared" ca="1" si="352"/>
        <v>6.0889076096103034</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5.8164664713560654</v>
      </c>
      <c r="AH817" s="357">
        <f t="shared" ca="1" si="376"/>
        <v>-3.8955845766785178</v>
      </c>
    </row>
    <row r="818" spans="1:34" x14ac:dyDescent="0.2">
      <c r="A818" s="402">
        <f t="shared" ca="1" si="354"/>
        <v>1E-4</v>
      </c>
      <c r="B818" s="357">
        <f t="shared" ca="1" si="355"/>
        <v>15.647799999999851</v>
      </c>
      <c r="C818" s="342"/>
      <c r="D818" s="359">
        <f t="shared" ca="1" si="356"/>
        <v>-0.54912064807645466</v>
      </c>
      <c r="E818" s="360">
        <f t="shared" ca="1" si="357"/>
        <v>-5.9532411750998548</v>
      </c>
      <c r="F818" s="357">
        <f t="shared" ca="1" si="358"/>
        <v>5.9785126892102687</v>
      </c>
      <c r="G818" s="359">
        <f t="shared" ca="1" si="359"/>
        <v>9.5228932634357779</v>
      </c>
      <c r="H818" s="360">
        <f t="shared" ca="1" si="360"/>
        <v>-66.885194443790311</v>
      </c>
      <c r="I818" s="357">
        <f t="shared" ca="1" si="361"/>
        <v>67.559712343159276</v>
      </c>
      <c r="J818" s="359">
        <f t="shared" ca="1" si="362"/>
        <v>187.70931447689617</v>
      </c>
      <c r="K818" s="360">
        <f t="shared" ca="1" si="363"/>
        <v>-7.2480705961370839</v>
      </c>
      <c r="L818" s="357">
        <f t="shared" ca="1" si="348"/>
        <v>187.84919821163169</v>
      </c>
      <c r="M818" s="359">
        <f t="shared" ca="1" si="364"/>
        <v>-1.4293701378321275</v>
      </c>
      <c r="N818" s="357">
        <f t="shared" ca="1" si="365"/>
        <v>-81.896876259813666</v>
      </c>
      <c r="O818" s="343"/>
      <c r="P818" s="363">
        <f t="shared" ca="1" si="366"/>
        <v>23</v>
      </c>
      <c r="Q818" s="357">
        <f t="shared" ca="1" si="367"/>
        <v>0</v>
      </c>
      <c r="R818" s="359">
        <f t="shared" ca="1" si="368"/>
        <v>0</v>
      </c>
      <c r="S818" s="360">
        <f t="shared" ca="1" si="369"/>
        <v>1.5629999999999982</v>
      </c>
      <c r="T818" s="357">
        <f t="shared" ca="1" si="349"/>
        <v>15.333029999999983</v>
      </c>
      <c r="U818" s="364">
        <f t="shared" ca="1" si="350"/>
        <v>0</v>
      </c>
      <c r="V818" s="359">
        <f t="shared" ca="1" si="351"/>
        <v>1.2258882105386617</v>
      </c>
      <c r="W818" s="357">
        <f t="shared" ca="1" si="352"/>
        <v>6.0890165257488853</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5.8163996175838797</v>
      </c>
      <c r="AH818" s="357">
        <f t="shared" ca="1" si="376"/>
        <v>-3.8956542607871469</v>
      </c>
    </row>
    <row r="819" spans="1:34" x14ac:dyDescent="0.2">
      <c r="A819" s="402">
        <f t="shared" ca="1" si="354"/>
        <v>1E-4</v>
      </c>
      <c r="B819" s="357">
        <f t="shared" ca="1" si="355"/>
        <v>15.647899999999851</v>
      </c>
      <c r="C819" s="342"/>
      <c r="D819" s="359">
        <f t="shared" ca="1" si="356"/>
        <v>-0.5491225765122606</v>
      </c>
      <c r="E819" s="360">
        <f t="shared" ca="1" si="357"/>
        <v>-5.9531710628827899</v>
      </c>
      <c r="F819" s="357">
        <f t="shared" ca="1" si="358"/>
        <v>5.9784430504923662</v>
      </c>
      <c r="G819" s="359">
        <f t="shared" ca="1" si="359"/>
        <v>9.5228383511781267</v>
      </c>
      <c r="H819" s="360">
        <f t="shared" ca="1" si="360"/>
        <v>-66.8857897608966</v>
      </c>
      <c r="I819" s="357">
        <f t="shared" ca="1" si="361"/>
        <v>67.560293976577171</v>
      </c>
      <c r="J819" s="359">
        <f t="shared" ca="1" si="362"/>
        <v>187.70931447689617</v>
      </c>
      <c r="K819" s="360">
        <f t="shared" ca="1" si="363"/>
        <v>-7.2547591453473181</v>
      </c>
      <c r="L819" s="357">
        <f t="shared" ca="1" si="348"/>
        <v>187.84945640497153</v>
      </c>
      <c r="M819" s="359">
        <f t="shared" ca="1" si="364"/>
        <v>-1.4293721845529201</v>
      </c>
      <c r="N819" s="357">
        <f t="shared" ca="1" si="365"/>
        <v>-81.896993528276923</v>
      </c>
      <c r="O819" s="343"/>
      <c r="P819" s="363">
        <f t="shared" ca="1" si="366"/>
        <v>23</v>
      </c>
      <c r="Q819" s="357">
        <f t="shared" ca="1" si="367"/>
        <v>0</v>
      </c>
      <c r="R819" s="359">
        <f t="shared" ca="1" si="368"/>
        <v>0</v>
      </c>
      <c r="S819" s="360">
        <f t="shared" ca="1" si="369"/>
        <v>1.5629999999999982</v>
      </c>
      <c r="T819" s="357">
        <f t="shared" ca="1" si="349"/>
        <v>15.333029999999983</v>
      </c>
      <c r="U819" s="364">
        <f t="shared" ca="1" si="350"/>
        <v>0</v>
      </c>
      <c r="V819" s="359">
        <f t="shared" ca="1" si="351"/>
        <v>1.2258890304804055</v>
      </c>
      <c r="W819" s="357">
        <f t="shared" ca="1" si="352"/>
        <v>6.0891254417642333</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5.816332763784775</v>
      </c>
      <c r="AH819" s="357">
        <f t="shared" ca="1" si="376"/>
        <v>-3.8957239448169498</v>
      </c>
    </row>
    <row r="820" spans="1:34" x14ac:dyDescent="0.2">
      <c r="A820" s="402">
        <f t="shared" ca="1" si="354"/>
        <v>1E-4</v>
      </c>
      <c r="B820" s="357">
        <f t="shared" ca="1" si="355"/>
        <v>15.64799999999985</v>
      </c>
      <c r="C820" s="342"/>
      <c r="D820" s="359">
        <f t="shared" ca="1" si="356"/>
        <v>-0.54912450483368958</v>
      </c>
      <c r="E820" s="360">
        <f t="shared" ca="1" si="357"/>
        <v>-5.9531009507455632</v>
      </c>
      <c r="F820" s="357">
        <f t="shared" ca="1" si="358"/>
        <v>5.9783734118551486</v>
      </c>
      <c r="G820" s="359">
        <f t="shared" ca="1" si="359"/>
        <v>9.5227834387276431</v>
      </c>
      <c r="H820" s="360">
        <f t="shared" ca="1" si="360"/>
        <v>-66.886385070991679</v>
      </c>
      <c r="I820" s="357">
        <f t="shared" ca="1" si="361"/>
        <v>67.560875603309668</v>
      </c>
      <c r="J820" s="359">
        <f t="shared" ca="1" si="362"/>
        <v>187.70931447689617</v>
      </c>
      <c r="K820" s="360">
        <f t="shared" ca="1" si="363"/>
        <v>-7.2614477540889126</v>
      </c>
      <c r="L820" s="357">
        <f t="shared" ca="1" si="348"/>
        <v>187.84971483840923</v>
      </c>
      <c r="M820" s="359">
        <f t="shared" ca="1" si="364"/>
        <v>-1.4293742312266704</v>
      </c>
      <c r="N820" s="357">
        <f t="shared" ca="1" si="365"/>
        <v>-81.897110794044863</v>
      </c>
      <c r="O820" s="343"/>
      <c r="P820" s="363">
        <f t="shared" ca="1" si="366"/>
        <v>23</v>
      </c>
      <c r="Q820" s="357">
        <f t="shared" ca="1" si="367"/>
        <v>0</v>
      </c>
      <c r="R820" s="359">
        <f t="shared" ca="1" si="368"/>
        <v>0</v>
      </c>
      <c r="S820" s="360">
        <f t="shared" ca="1" si="369"/>
        <v>1.5629999999999982</v>
      </c>
      <c r="T820" s="357">
        <f t="shared" ca="1" si="349"/>
        <v>15.333029999999983</v>
      </c>
      <c r="U820" s="364">
        <f t="shared" ca="1" si="350"/>
        <v>0</v>
      </c>
      <c r="V820" s="359">
        <f t="shared" ca="1" si="351"/>
        <v>1.2258898504299962</v>
      </c>
      <c r="W820" s="357">
        <f t="shared" ca="1" si="352"/>
        <v>6.089234357656311</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5.8162659099587817</v>
      </c>
      <c r="AH820" s="357">
        <f t="shared" ca="1" si="376"/>
        <v>-3.8957936287679082</v>
      </c>
    </row>
    <row r="821" spans="1:34" x14ac:dyDescent="0.2">
      <c r="A821" s="402">
        <f t="shared" ca="1" si="354"/>
        <v>1E-4</v>
      </c>
      <c r="B821" s="357">
        <f t="shared" ca="1" si="355"/>
        <v>15.64809999999985</v>
      </c>
      <c r="C821" s="342"/>
      <c r="D821" s="359">
        <f t="shared" ca="1" si="356"/>
        <v>-0.54912643304074327</v>
      </c>
      <c r="E821" s="360">
        <f t="shared" ca="1" si="357"/>
        <v>-5.9530308386881998</v>
      </c>
      <c r="F821" s="357">
        <f t="shared" ca="1" si="358"/>
        <v>5.9783037732986424</v>
      </c>
      <c r="G821" s="359">
        <f t="shared" ca="1" si="359"/>
        <v>9.5227285260843395</v>
      </c>
      <c r="H821" s="360">
        <f t="shared" ca="1" si="360"/>
        <v>-66.886980374075549</v>
      </c>
      <c r="I821" s="357">
        <f t="shared" ca="1" si="361"/>
        <v>67.561457223356769</v>
      </c>
      <c r="J821" s="359">
        <f t="shared" ca="1" si="362"/>
        <v>187.70931447689617</v>
      </c>
      <c r="K821" s="360">
        <f t="shared" ca="1" si="363"/>
        <v>-7.2681364223611657</v>
      </c>
      <c r="L821" s="357">
        <f t="shared" ca="1" si="348"/>
        <v>187.84997351195008</v>
      </c>
      <c r="M821" s="359">
        <f t="shared" ca="1" si="364"/>
        <v>-1.4293762778533803</v>
      </c>
      <c r="N821" s="357">
        <f t="shared" ca="1" si="365"/>
        <v>-81.897228057117573</v>
      </c>
      <c r="O821" s="343"/>
      <c r="P821" s="363">
        <f t="shared" ca="1" si="366"/>
        <v>23</v>
      </c>
      <c r="Q821" s="357">
        <f t="shared" ca="1" si="367"/>
        <v>0</v>
      </c>
      <c r="R821" s="359">
        <f t="shared" ca="1" si="368"/>
        <v>0</v>
      </c>
      <c r="S821" s="360">
        <f t="shared" ca="1" si="369"/>
        <v>1.5629999999999982</v>
      </c>
      <c r="T821" s="357">
        <f t="shared" ca="1" si="349"/>
        <v>15.333029999999983</v>
      </c>
      <c r="U821" s="364">
        <f t="shared" ca="1" si="350"/>
        <v>0</v>
      </c>
      <c r="V821" s="359">
        <f t="shared" ca="1" si="351"/>
        <v>1.2258906703874335</v>
      </c>
      <c r="W821" s="357">
        <f t="shared" ca="1" si="352"/>
        <v>6.0893432734250954</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5.8161990561059254</v>
      </c>
      <c r="AH821" s="357">
        <f t="shared" ca="1" si="376"/>
        <v>-3.8958633126399986</v>
      </c>
    </row>
    <row r="822" spans="1:34" x14ac:dyDescent="0.2">
      <c r="A822" s="402">
        <f t="shared" ca="1" si="354"/>
        <v>1E-4</v>
      </c>
      <c r="B822" s="357">
        <f t="shared" ca="1" si="355"/>
        <v>15.64819999999985</v>
      </c>
      <c r="C822" s="342"/>
      <c r="D822" s="359">
        <f t="shared" ca="1" si="356"/>
        <v>-0.54912836113342234</v>
      </c>
      <c r="E822" s="360">
        <f t="shared" ca="1" si="357"/>
        <v>-5.9529607267107139</v>
      </c>
      <c r="F822" s="357">
        <f t="shared" ca="1" si="358"/>
        <v>5.97823413482286</v>
      </c>
      <c r="G822" s="359">
        <f t="shared" ca="1" si="359"/>
        <v>9.5226736132482266</v>
      </c>
      <c r="H822" s="360">
        <f t="shared" ca="1" si="360"/>
        <v>-66.887575670148223</v>
      </c>
      <c r="I822" s="357">
        <f t="shared" ca="1" si="361"/>
        <v>67.5620388367185</v>
      </c>
      <c r="J822" s="359">
        <f t="shared" ca="1" si="362"/>
        <v>187.70931447689617</v>
      </c>
      <c r="K822" s="360">
        <f t="shared" ca="1" si="363"/>
        <v>-7.2748251501633767</v>
      </c>
      <c r="L822" s="357">
        <f t="shared" ca="1" si="348"/>
        <v>187.85023242559947</v>
      </c>
      <c r="M822" s="359">
        <f t="shared" ca="1" si="364"/>
        <v>-1.4293783244330511</v>
      </c>
      <c r="N822" s="357">
        <f t="shared" ca="1" si="365"/>
        <v>-81.897345317495152</v>
      </c>
      <c r="O822" s="343"/>
      <c r="P822" s="363">
        <f t="shared" ca="1" si="366"/>
        <v>23</v>
      </c>
      <c r="Q822" s="357">
        <f t="shared" ca="1" si="367"/>
        <v>0</v>
      </c>
      <c r="R822" s="359">
        <f t="shared" ca="1" si="368"/>
        <v>0</v>
      </c>
      <c r="S822" s="360">
        <f t="shared" ca="1" si="369"/>
        <v>1.5629999999999982</v>
      </c>
      <c r="T822" s="357">
        <f t="shared" ca="1" si="349"/>
        <v>15.333029999999983</v>
      </c>
      <c r="U822" s="364">
        <f t="shared" ca="1" si="350"/>
        <v>0</v>
      </c>
      <c r="V822" s="359">
        <f t="shared" ca="1" si="351"/>
        <v>1.2258914903527169</v>
      </c>
      <c r="W822" s="357">
        <f t="shared" ca="1" si="352"/>
        <v>6.0894521890705544</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5.8161322022262247</v>
      </c>
      <c r="AH822" s="357">
        <f t="shared" ca="1" si="376"/>
        <v>-3.8959329964332068</v>
      </c>
    </row>
    <row r="823" spans="1:34" x14ac:dyDescent="0.2">
      <c r="A823" s="402">
        <f t="shared" ca="1" si="354"/>
        <v>1E-4</v>
      </c>
      <c r="B823" s="357">
        <f t="shared" ca="1" si="355"/>
        <v>15.64829999999985</v>
      </c>
      <c r="C823" s="342"/>
      <c r="D823" s="359">
        <f t="shared" ca="1" si="356"/>
        <v>-0.54913028911172901</v>
      </c>
      <c r="E823" s="360">
        <f t="shared" ca="1" si="357"/>
        <v>-5.9528906148131266</v>
      </c>
      <c r="F823" s="357">
        <f t="shared" ca="1" si="358"/>
        <v>5.9781644964278238</v>
      </c>
      <c r="G823" s="359">
        <f t="shared" ca="1" si="359"/>
        <v>9.522618700219315</v>
      </c>
      <c r="H823" s="360">
        <f t="shared" ca="1" si="360"/>
        <v>-66.888170959209702</v>
      </c>
      <c r="I823" s="357">
        <f t="shared" ca="1" si="361"/>
        <v>67.56262044339482</v>
      </c>
      <c r="J823" s="359">
        <f t="shared" ca="1" si="362"/>
        <v>187.70931447689617</v>
      </c>
      <c r="K823" s="360">
        <f t="shared" ca="1" si="363"/>
        <v>-7.2815139374948448</v>
      </c>
      <c r="L823" s="357">
        <f t="shared" ca="1" si="348"/>
        <v>187.85049157936274</v>
      </c>
      <c r="M823" s="359">
        <f t="shared" ca="1" si="364"/>
        <v>-1.4293803709656849</v>
      </c>
      <c r="N823" s="357">
        <f t="shared" ca="1" si="365"/>
        <v>-81.897462575177698</v>
      </c>
      <c r="O823" s="343"/>
      <c r="P823" s="363">
        <f t="shared" ca="1" si="366"/>
        <v>23</v>
      </c>
      <c r="Q823" s="357">
        <f t="shared" ca="1" si="367"/>
        <v>0</v>
      </c>
      <c r="R823" s="359">
        <f t="shared" ca="1" si="368"/>
        <v>0</v>
      </c>
      <c r="S823" s="360">
        <f t="shared" ca="1" si="369"/>
        <v>1.5629999999999982</v>
      </c>
      <c r="T823" s="357">
        <f t="shared" ca="1" si="349"/>
        <v>15.333029999999983</v>
      </c>
      <c r="U823" s="364">
        <f t="shared" ca="1" si="350"/>
        <v>0</v>
      </c>
      <c r="V823" s="359">
        <f t="shared" ca="1" si="351"/>
        <v>1.2258923103258468</v>
      </c>
      <c r="W823" s="357">
        <f t="shared" ca="1" si="352"/>
        <v>6.0895611045926543</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5.8160653483197038</v>
      </c>
      <c r="AH823" s="357">
        <f t="shared" ca="1" si="376"/>
        <v>-3.8960026801475123</v>
      </c>
    </row>
    <row r="824" spans="1:34" x14ac:dyDescent="0.2">
      <c r="A824" s="402">
        <f t="shared" ca="1" si="354"/>
        <v>1E-4</v>
      </c>
      <c r="B824" s="357">
        <f t="shared" ca="1" si="355"/>
        <v>15.64839999999985</v>
      </c>
      <c r="C824" s="342"/>
      <c r="D824" s="359">
        <f t="shared" ca="1" si="356"/>
        <v>-0.54913221697566272</v>
      </c>
      <c r="E824" s="360">
        <f t="shared" ca="1" si="357"/>
        <v>-5.9528205029954577</v>
      </c>
      <c r="F824" s="357">
        <f t="shared" ca="1" si="358"/>
        <v>5.9780948581135531</v>
      </c>
      <c r="G824" s="359">
        <f t="shared" ca="1" si="359"/>
        <v>9.5225637869976172</v>
      </c>
      <c r="H824" s="360">
        <f t="shared" ca="1" si="360"/>
        <v>-66.888766241260001</v>
      </c>
      <c r="I824" s="357">
        <f t="shared" ca="1" si="361"/>
        <v>67.563202043385729</v>
      </c>
      <c r="J824" s="359">
        <f t="shared" ca="1" si="362"/>
        <v>187.70931447689617</v>
      </c>
      <c r="K824" s="360">
        <f t="shared" ca="1" si="363"/>
        <v>-7.2882027843548682</v>
      </c>
      <c r="L824" s="357">
        <f t="shared" ca="1" si="348"/>
        <v>187.85075097324517</v>
      </c>
      <c r="M824" s="359">
        <f t="shared" ca="1" si="364"/>
        <v>-1.429382417451283</v>
      </c>
      <c r="N824" s="357">
        <f t="shared" ca="1" si="365"/>
        <v>-81.897579830165313</v>
      </c>
      <c r="O824" s="343"/>
      <c r="P824" s="363">
        <f t="shared" ca="1" si="366"/>
        <v>23</v>
      </c>
      <c r="Q824" s="357">
        <f t="shared" ca="1" si="367"/>
        <v>0</v>
      </c>
      <c r="R824" s="359">
        <f t="shared" ca="1" si="368"/>
        <v>0</v>
      </c>
      <c r="S824" s="360">
        <f t="shared" ca="1" si="369"/>
        <v>1.5629999999999982</v>
      </c>
      <c r="T824" s="357">
        <f t="shared" ca="1" si="349"/>
        <v>15.333029999999983</v>
      </c>
      <c r="U824" s="364">
        <f t="shared" ca="1" si="350"/>
        <v>0</v>
      </c>
      <c r="V824" s="359">
        <f t="shared" ca="1" si="351"/>
        <v>1.2258931303068232</v>
      </c>
      <c r="W824" s="357">
        <f t="shared" ca="1" si="352"/>
        <v>6.089670019991364</v>
      </c>
      <c r="X824" s="343"/>
      <c r="Y824" s="367" t="str">
        <f t="shared" ca="1" si="370"/>
        <v/>
      </c>
      <c r="Z824" s="368" t="str">
        <f t="shared" ca="1" si="371"/>
        <v/>
      </c>
      <c r="AA824" s="369" t="str">
        <f t="shared" ca="1" si="372"/>
        <v/>
      </c>
      <c r="AB824" s="344"/>
      <c r="AC824" s="363" t="e">
        <f t="shared" ca="1" si="373"/>
        <v>#N/A</v>
      </c>
      <c r="AD824" s="376" t="e">
        <f t="shared" ca="1" si="374"/>
        <v>#N/A</v>
      </c>
      <c r="AE824" s="377" t="e">
        <f t="shared" ca="1" si="353"/>
        <v>#N/A</v>
      </c>
      <c r="AF824" s="344"/>
      <c r="AG824" s="359">
        <f t="shared" ca="1" si="375"/>
        <v>5.8159984943863945</v>
      </c>
      <c r="AH824" s="357">
        <f t="shared" ca="1" si="376"/>
        <v>-3.8960723637828929</v>
      </c>
    </row>
    <row r="825" spans="1:34" x14ac:dyDescent="0.2">
      <c r="A825" s="402">
        <f t="shared" ca="1" si="354"/>
        <v>1E-4</v>
      </c>
      <c r="B825" s="357">
        <f t="shared" ca="1" si="355"/>
        <v>15.648499999999849</v>
      </c>
      <c r="C825" s="342"/>
      <c r="D825" s="359">
        <f t="shared" ca="1" si="356"/>
        <v>-0.54913414472522581</v>
      </c>
      <c r="E825" s="360">
        <f t="shared" ca="1" si="357"/>
        <v>-5.9527503912577302</v>
      </c>
      <c r="F825" s="357">
        <f t="shared" ca="1" si="358"/>
        <v>5.9780252198800703</v>
      </c>
      <c r="G825" s="359">
        <f t="shared" ca="1" si="359"/>
        <v>9.5225088735831438</v>
      </c>
      <c r="H825" s="360">
        <f t="shared" ca="1" si="360"/>
        <v>-66.889361516299132</v>
      </c>
      <c r="I825" s="357">
        <f t="shared" ca="1" si="361"/>
        <v>67.563783636691255</v>
      </c>
      <c r="J825" s="359">
        <f t="shared" ca="1" si="362"/>
        <v>187.70931447689617</v>
      </c>
      <c r="K825" s="360">
        <f t="shared" ca="1" si="363"/>
        <v>-7.2948916907427463</v>
      </c>
      <c r="L825" s="357">
        <f t="shared" ca="1" si="348"/>
        <v>187.85101060725216</v>
      </c>
      <c r="M825" s="359">
        <f t="shared" ca="1" si="364"/>
        <v>-1.4293844638898474</v>
      </c>
      <c r="N825" s="357">
        <f t="shared" ca="1" si="365"/>
        <v>-81.89769708245808</v>
      </c>
      <c r="O825" s="343"/>
      <c r="P825" s="363">
        <f t="shared" ca="1" si="366"/>
        <v>23</v>
      </c>
      <c r="Q825" s="357">
        <f t="shared" ca="1" si="367"/>
        <v>0</v>
      </c>
      <c r="R825" s="359">
        <f t="shared" ca="1" si="368"/>
        <v>0</v>
      </c>
      <c r="S825" s="360">
        <f t="shared" ca="1" si="369"/>
        <v>1.5629999999999982</v>
      </c>
      <c r="T825" s="357">
        <f t="shared" ca="1" si="349"/>
        <v>15.333029999999983</v>
      </c>
      <c r="U825" s="364">
        <f t="shared" ca="1" si="350"/>
        <v>0</v>
      </c>
      <c r="V825" s="359">
        <f t="shared" ca="1" si="351"/>
        <v>1.2258939502956454</v>
      </c>
      <c r="W825" s="357">
        <f t="shared" ca="1" si="352"/>
        <v>6.089778935266656</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5.8159316404263164</v>
      </c>
      <c r="AH825" s="357">
        <f t="shared" ca="1" si="376"/>
        <v>-3.8961420473393291</v>
      </c>
    </row>
    <row r="826" spans="1:34" x14ac:dyDescent="0.2">
      <c r="A826" s="402">
        <f t="shared" ca="1" si="354"/>
        <v>1E-4</v>
      </c>
      <c r="B826" s="357">
        <f t="shared" ca="1" si="355"/>
        <v>15.648599999999849</v>
      </c>
      <c r="C826" s="342"/>
      <c r="D826" s="359">
        <f t="shared" ca="1" si="356"/>
        <v>-0.54913607236041839</v>
      </c>
      <c r="E826" s="360">
        <f t="shared" ca="1" si="357"/>
        <v>-5.95268027959996</v>
      </c>
      <c r="F826" s="357">
        <f t="shared" ca="1" si="358"/>
        <v>5.9779555817273922</v>
      </c>
      <c r="G826" s="359">
        <f t="shared" ca="1" si="359"/>
        <v>9.5224539599759073</v>
      </c>
      <c r="H826" s="360">
        <f t="shared" ca="1" si="360"/>
        <v>-66.889956784327097</v>
      </c>
      <c r="I826" s="357">
        <f t="shared" ca="1" si="361"/>
        <v>67.56436522331137</v>
      </c>
      <c r="J826" s="359">
        <f t="shared" ca="1" si="362"/>
        <v>187.70931447689617</v>
      </c>
      <c r="K826" s="360">
        <f t="shared" ca="1" si="363"/>
        <v>-7.3015806566577774</v>
      </c>
      <c r="L826" s="357">
        <f t="shared" ca="1" si="348"/>
        <v>187.85127048138904</v>
      </c>
      <c r="M826" s="359">
        <f t="shared" ca="1" si="364"/>
        <v>-1.4293865102813796</v>
      </c>
      <c r="N826" s="357">
        <f t="shared" ca="1" si="365"/>
        <v>-81.8978143320561</v>
      </c>
      <c r="O826" s="343"/>
      <c r="P826" s="363">
        <f t="shared" ca="1" si="366"/>
        <v>23</v>
      </c>
      <c r="Q826" s="357">
        <f t="shared" ca="1" si="367"/>
        <v>0</v>
      </c>
      <c r="R826" s="359">
        <f t="shared" ca="1" si="368"/>
        <v>0</v>
      </c>
      <c r="S826" s="360">
        <f t="shared" ca="1" si="369"/>
        <v>1.5629999999999982</v>
      </c>
      <c r="T826" s="357">
        <f t="shared" ca="1" si="349"/>
        <v>15.333029999999983</v>
      </c>
      <c r="U826" s="364">
        <f t="shared" ca="1" si="350"/>
        <v>0</v>
      </c>
      <c r="V826" s="359">
        <f t="shared" ca="1" si="351"/>
        <v>1.2258947702923138</v>
      </c>
      <c r="W826" s="357">
        <f t="shared" ca="1" si="352"/>
        <v>6.0898878504185001</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5.8158647864394961</v>
      </c>
      <c r="AH826" s="357">
        <f t="shared" ca="1" si="376"/>
        <v>-3.8962117308168032</v>
      </c>
    </row>
    <row r="827" spans="1:34" x14ac:dyDescent="0.2">
      <c r="A827" s="402">
        <f t="shared" ca="1" si="354"/>
        <v>1E-4</v>
      </c>
      <c r="B827" s="357">
        <f t="shared" ca="1" si="355"/>
        <v>15.648699999999849</v>
      </c>
      <c r="C827" s="342"/>
      <c r="D827" s="359">
        <f t="shared" ca="1" si="356"/>
        <v>-0.54913799988124223</v>
      </c>
      <c r="E827" s="360">
        <f t="shared" ca="1" si="357"/>
        <v>-5.9526101680221668</v>
      </c>
      <c r="F827" s="357">
        <f t="shared" ca="1" si="358"/>
        <v>5.9778859436555383</v>
      </c>
      <c r="G827" s="359">
        <f t="shared" ca="1" si="359"/>
        <v>9.5223990461759183</v>
      </c>
      <c r="H827" s="360">
        <f t="shared" ca="1" si="360"/>
        <v>-66.890552045343895</v>
      </c>
      <c r="I827" s="357">
        <f t="shared" ca="1" si="361"/>
        <v>67.564946803246073</v>
      </c>
      <c r="J827" s="359">
        <f t="shared" ca="1" si="362"/>
        <v>187.70931447689617</v>
      </c>
      <c r="K827" s="360">
        <f t="shared" ca="1" si="363"/>
        <v>-7.3082696820992608</v>
      </c>
      <c r="L827" s="357">
        <f t="shared" ca="1" si="348"/>
        <v>187.85153059566107</v>
      </c>
      <c r="M827" s="359">
        <f t="shared" ca="1" si="364"/>
        <v>-1.4293885566258813</v>
      </c>
      <c r="N827" s="357">
        <f t="shared" ca="1" si="365"/>
        <v>-81.897931578959486</v>
      </c>
      <c r="O827" s="343"/>
      <c r="P827" s="363">
        <f t="shared" ca="1" si="366"/>
        <v>23</v>
      </c>
      <c r="Q827" s="357">
        <f t="shared" ca="1" si="367"/>
        <v>0</v>
      </c>
      <c r="R827" s="359">
        <f t="shared" ca="1" si="368"/>
        <v>0</v>
      </c>
      <c r="S827" s="360">
        <f t="shared" ca="1" si="369"/>
        <v>1.5629999999999982</v>
      </c>
      <c r="T827" s="357">
        <f t="shared" ca="1" si="349"/>
        <v>15.333029999999983</v>
      </c>
      <c r="U827" s="364">
        <f t="shared" ca="1" si="350"/>
        <v>0</v>
      </c>
      <c r="V827" s="359">
        <f t="shared" ca="1" si="351"/>
        <v>1.225895590296828</v>
      </c>
      <c r="W827" s="357">
        <f t="shared" ca="1" si="352"/>
        <v>6.0899967654468607</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5.8157979324259559</v>
      </c>
      <c r="AH827" s="357">
        <f t="shared" ca="1" si="376"/>
        <v>-3.8962814142152959</v>
      </c>
    </row>
    <row r="828" spans="1:34" x14ac:dyDescent="0.2">
      <c r="A828" s="402">
        <f t="shared" ca="1" si="354"/>
        <v>1E-4</v>
      </c>
      <c r="B828" s="357">
        <f t="shared" ca="1" si="355"/>
        <v>15.648799999999849</v>
      </c>
      <c r="C828" s="342"/>
      <c r="D828" s="359">
        <f t="shared" ca="1" si="356"/>
        <v>-0.54913992728769812</v>
      </c>
      <c r="E828" s="360">
        <f t="shared" ca="1" si="357"/>
        <v>-5.9525400565243736</v>
      </c>
      <c r="F828" s="357">
        <f t="shared" ca="1" si="358"/>
        <v>5.9778163056645299</v>
      </c>
      <c r="G828" s="359">
        <f t="shared" ca="1" si="359"/>
        <v>9.5223441321831892</v>
      </c>
      <c r="H828" s="360">
        <f t="shared" ca="1" si="360"/>
        <v>-66.891147299349541</v>
      </c>
      <c r="I828" s="357">
        <f t="shared" ca="1" si="361"/>
        <v>67.565528376495365</v>
      </c>
      <c r="J828" s="359">
        <f t="shared" ca="1" si="362"/>
        <v>187.70931447689617</v>
      </c>
      <c r="K828" s="360">
        <f t="shared" ca="1" si="363"/>
        <v>-7.3149587670664955</v>
      </c>
      <c r="L828" s="357">
        <f t="shared" ca="1" si="348"/>
        <v>187.85179095007368</v>
      </c>
      <c r="M828" s="359">
        <f t="shared" ca="1" si="364"/>
        <v>-1.4293906029233543</v>
      </c>
      <c r="N828" s="357">
        <f t="shared" ca="1" si="365"/>
        <v>-81.89804882316831</v>
      </c>
      <c r="O828" s="343"/>
      <c r="P828" s="363">
        <f t="shared" ca="1" si="366"/>
        <v>23</v>
      </c>
      <c r="Q828" s="357">
        <f t="shared" ca="1" si="367"/>
        <v>0</v>
      </c>
      <c r="R828" s="359">
        <f t="shared" ca="1" si="368"/>
        <v>0</v>
      </c>
      <c r="S828" s="360">
        <f t="shared" ca="1" si="369"/>
        <v>1.5629999999999982</v>
      </c>
      <c r="T828" s="357">
        <f t="shared" ca="1" si="349"/>
        <v>15.333029999999983</v>
      </c>
      <c r="U828" s="364">
        <f t="shared" ca="1" si="350"/>
        <v>0</v>
      </c>
      <c r="V828" s="359">
        <f t="shared" ca="1" si="351"/>
        <v>1.2258964103091883</v>
      </c>
      <c r="W828" s="357">
        <f t="shared" ca="1" si="352"/>
        <v>6.0901056803517122</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5.8157310783857259</v>
      </c>
      <c r="AH828" s="357">
        <f t="shared" ca="1" si="376"/>
        <v>-3.8963510975347844</v>
      </c>
    </row>
    <row r="829" spans="1:34" x14ac:dyDescent="0.2">
      <c r="A829" s="402">
        <f t="shared" ca="1" si="354"/>
        <v>1E-4</v>
      </c>
      <c r="B829" s="357">
        <f t="shared" ca="1" si="355"/>
        <v>15.648899999999848</v>
      </c>
      <c r="C829" s="342"/>
      <c r="D829" s="359">
        <f t="shared" ca="1" si="356"/>
        <v>-0.54914185457978648</v>
      </c>
      <c r="E829" s="360">
        <f t="shared" ca="1" si="357"/>
        <v>-5.9524699451065972</v>
      </c>
      <c r="F829" s="357">
        <f t="shared" ca="1" si="358"/>
        <v>5.9777466677543858</v>
      </c>
      <c r="G829" s="359">
        <f t="shared" ca="1" si="359"/>
        <v>9.5222892179977308</v>
      </c>
      <c r="H829" s="360">
        <f t="shared" ca="1" si="360"/>
        <v>-66.891742546344048</v>
      </c>
      <c r="I829" s="357">
        <f t="shared" ca="1" si="361"/>
        <v>67.566109943059246</v>
      </c>
      <c r="J829" s="359">
        <f t="shared" ca="1" si="362"/>
        <v>187.70931447689617</v>
      </c>
      <c r="K829" s="360">
        <f t="shared" ca="1" si="363"/>
        <v>-7.32164791155878</v>
      </c>
      <c r="L829" s="357">
        <f t="shared" ca="1" si="348"/>
        <v>187.85205154463213</v>
      </c>
      <c r="M829" s="359">
        <f t="shared" ca="1" si="364"/>
        <v>-1.4293926491738</v>
      </c>
      <c r="N829" s="357">
        <f t="shared" ca="1" si="365"/>
        <v>-81.898166064682684</v>
      </c>
      <c r="O829" s="343"/>
      <c r="P829" s="363">
        <f t="shared" ca="1" si="366"/>
        <v>23</v>
      </c>
      <c r="Q829" s="357">
        <f t="shared" ca="1" si="367"/>
        <v>0</v>
      </c>
      <c r="R829" s="359">
        <f t="shared" ca="1" si="368"/>
        <v>0</v>
      </c>
      <c r="S829" s="360">
        <f t="shared" ca="1" si="369"/>
        <v>1.5629999999999982</v>
      </c>
      <c r="T829" s="357">
        <f t="shared" ca="1" si="349"/>
        <v>15.333029999999983</v>
      </c>
      <c r="U829" s="364">
        <f t="shared" ca="1" si="350"/>
        <v>0</v>
      </c>
      <c r="V829" s="359">
        <f t="shared" ca="1" si="351"/>
        <v>1.2258972303293942</v>
      </c>
      <c r="W829" s="357">
        <f t="shared" ca="1" si="352"/>
        <v>6.0902145951330207</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5.8156642243188257</v>
      </c>
      <c r="AH829" s="357">
        <f t="shared" ca="1" si="376"/>
        <v>-3.8964207807752524</v>
      </c>
    </row>
    <row r="830" spans="1:34" x14ac:dyDescent="0.2">
      <c r="A830" s="402">
        <f t="shared" ca="1" si="354"/>
        <v>1E-4</v>
      </c>
      <c r="B830" s="357">
        <f t="shared" ca="1" si="355"/>
        <v>15.648999999999848</v>
      </c>
      <c r="C830" s="342"/>
      <c r="D830" s="359">
        <f t="shared" ca="1" si="356"/>
        <v>-0.54914378175750933</v>
      </c>
      <c r="E830" s="360">
        <f t="shared" ca="1" si="357"/>
        <v>-5.9523998337688591</v>
      </c>
      <c r="F830" s="357">
        <f t="shared" ca="1" si="358"/>
        <v>5.9776770299251263</v>
      </c>
      <c r="G830" s="359">
        <f t="shared" ca="1" si="359"/>
        <v>9.5222343036195554</v>
      </c>
      <c r="H830" s="360">
        <f t="shared" ca="1" si="360"/>
        <v>-66.892337786327431</v>
      </c>
      <c r="I830" s="357">
        <f t="shared" ca="1" si="361"/>
        <v>67.566691502937729</v>
      </c>
      <c r="J830" s="359">
        <f t="shared" ca="1" si="362"/>
        <v>187.70931447689617</v>
      </c>
      <c r="K830" s="360">
        <f t="shared" ca="1" si="363"/>
        <v>-7.3283371155754136</v>
      </c>
      <c r="L830" s="357">
        <f t="shared" ca="1" si="348"/>
        <v>187.85231237934181</v>
      </c>
      <c r="M830" s="359">
        <f t="shared" ca="1" si="364"/>
        <v>-1.4293946953772205</v>
      </c>
      <c r="N830" s="357">
        <f t="shared" ca="1" si="365"/>
        <v>-81.898283303502694</v>
      </c>
      <c r="O830" s="343"/>
      <c r="P830" s="363">
        <f t="shared" ca="1" si="366"/>
        <v>23</v>
      </c>
      <c r="Q830" s="357">
        <f t="shared" ca="1" si="367"/>
        <v>0</v>
      </c>
      <c r="R830" s="359">
        <f t="shared" ca="1" si="368"/>
        <v>0</v>
      </c>
      <c r="S830" s="360">
        <f t="shared" ca="1" si="369"/>
        <v>1.5629999999999982</v>
      </c>
      <c r="T830" s="357">
        <f t="shared" ca="1" si="349"/>
        <v>15.333029999999983</v>
      </c>
      <c r="U830" s="364">
        <f t="shared" ca="1" si="350"/>
        <v>0</v>
      </c>
      <c r="V830" s="359">
        <f t="shared" ca="1" si="351"/>
        <v>1.2258980503574461</v>
      </c>
      <c r="W830" s="357">
        <f t="shared" ca="1" si="352"/>
        <v>6.0903235097907622</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5.8155973702252819</v>
      </c>
      <c r="AH830" s="357">
        <f t="shared" ca="1" si="376"/>
        <v>-3.896490463936678</v>
      </c>
    </row>
    <row r="831" spans="1:34" x14ac:dyDescent="0.2">
      <c r="A831" s="402">
        <f t="shared" ca="1" si="354"/>
        <v>1E-4</v>
      </c>
      <c r="B831" s="357">
        <f t="shared" ca="1" si="355"/>
        <v>15.649099999999848</v>
      </c>
      <c r="C831" s="342"/>
      <c r="D831" s="359">
        <f t="shared" ca="1" si="356"/>
        <v>-0.549145708820867</v>
      </c>
      <c r="E831" s="360">
        <f t="shared" ca="1" si="357"/>
        <v>-5.9523297225111733</v>
      </c>
      <c r="F831" s="357">
        <f t="shared" ca="1" si="358"/>
        <v>5.9776073921767656</v>
      </c>
      <c r="G831" s="359">
        <f t="shared" ca="1" si="359"/>
        <v>9.5221793890486737</v>
      </c>
      <c r="H831" s="360">
        <f t="shared" ca="1" si="360"/>
        <v>-66.892933019299676</v>
      </c>
      <c r="I831" s="357">
        <f t="shared" ca="1" si="361"/>
        <v>67.567273056130773</v>
      </c>
      <c r="J831" s="359">
        <f t="shared" ca="1" si="362"/>
        <v>187.70931447689617</v>
      </c>
      <c r="K831" s="360">
        <f t="shared" ca="1" si="363"/>
        <v>-7.3350263791156953</v>
      </c>
      <c r="L831" s="357">
        <f t="shared" ca="1" si="348"/>
        <v>187.85257345420803</v>
      </c>
      <c r="M831" s="359">
        <f t="shared" ca="1" si="364"/>
        <v>-1.4293967415336171</v>
      </c>
      <c r="N831" s="357">
        <f t="shared" ca="1" si="365"/>
        <v>-81.89840053962844</v>
      </c>
      <c r="O831" s="343"/>
      <c r="P831" s="363">
        <f t="shared" ca="1" si="366"/>
        <v>23</v>
      </c>
      <c r="Q831" s="357">
        <f t="shared" ca="1" si="367"/>
        <v>0</v>
      </c>
      <c r="R831" s="359">
        <f t="shared" ca="1" si="368"/>
        <v>0</v>
      </c>
      <c r="S831" s="360">
        <f t="shared" ca="1" si="369"/>
        <v>1.5629999999999982</v>
      </c>
      <c r="T831" s="357">
        <f t="shared" ca="1" si="349"/>
        <v>15.333029999999983</v>
      </c>
      <c r="U831" s="364">
        <f t="shared" ca="1" si="350"/>
        <v>0</v>
      </c>
      <c r="V831" s="359">
        <f t="shared" ca="1" si="351"/>
        <v>1.225898870393344</v>
      </c>
      <c r="W831" s="357">
        <f t="shared" ca="1" si="352"/>
        <v>6.0904324243248986</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5.815530516105115</v>
      </c>
      <c r="AH831" s="357">
        <f t="shared" ca="1" si="376"/>
        <v>-3.8965601470190463</v>
      </c>
    </row>
    <row r="832" spans="1:34" x14ac:dyDescent="0.2">
      <c r="A832" s="402">
        <f t="shared" ca="1" si="354"/>
        <v>1E-4</v>
      </c>
      <c r="B832" s="357">
        <f t="shared" ca="1" si="355"/>
        <v>15.649199999999848</v>
      </c>
      <c r="C832" s="342"/>
      <c r="D832" s="359">
        <f t="shared" ca="1" si="356"/>
        <v>-0.54914763576986136</v>
      </c>
      <c r="E832" s="360">
        <f t="shared" ca="1" si="357"/>
        <v>-5.9522596113335675</v>
      </c>
      <c r="F832" s="357">
        <f t="shared" ca="1" si="358"/>
        <v>5.9775377545093313</v>
      </c>
      <c r="G832" s="359">
        <f t="shared" ca="1" si="359"/>
        <v>9.5221244742850963</v>
      </c>
      <c r="H832" s="360">
        <f t="shared" ca="1" si="360"/>
        <v>-66.893528245260811</v>
      </c>
      <c r="I832" s="357">
        <f t="shared" ca="1" si="361"/>
        <v>67.567854602638405</v>
      </c>
      <c r="J832" s="359">
        <f t="shared" ca="1" si="362"/>
        <v>187.70931447689617</v>
      </c>
      <c r="K832" s="360">
        <f t="shared" ca="1" si="363"/>
        <v>-7.3417157021789237</v>
      </c>
      <c r="L832" s="357">
        <f t="shared" ca="1" si="348"/>
        <v>187.8528347692361</v>
      </c>
      <c r="M832" s="359">
        <f t="shared" ca="1" si="364"/>
        <v>-1.4293987876429914</v>
      </c>
      <c r="N832" s="357">
        <f t="shared" ca="1" si="365"/>
        <v>-81.898517773060021</v>
      </c>
      <c r="O832" s="343"/>
      <c r="P832" s="363">
        <f t="shared" ca="1" si="366"/>
        <v>23</v>
      </c>
      <c r="Q832" s="357">
        <f t="shared" ca="1" si="367"/>
        <v>0</v>
      </c>
      <c r="R832" s="359">
        <f t="shared" ca="1" si="368"/>
        <v>0</v>
      </c>
      <c r="S832" s="360">
        <f t="shared" ca="1" si="369"/>
        <v>1.5629999999999982</v>
      </c>
      <c r="T832" s="357">
        <f t="shared" ca="1" si="349"/>
        <v>15.333029999999983</v>
      </c>
      <c r="U832" s="364">
        <f t="shared" ca="1" si="350"/>
        <v>0</v>
      </c>
      <c r="V832" s="359">
        <f t="shared" ca="1" si="351"/>
        <v>1.2258996904370876</v>
      </c>
      <c r="W832" s="357">
        <f t="shared" ca="1" si="352"/>
        <v>6.0905413387354042</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5.815463661958356</v>
      </c>
      <c r="AH832" s="357">
        <f t="shared" ca="1" si="376"/>
        <v>-3.8966298300223325</v>
      </c>
    </row>
    <row r="833" spans="1:34" x14ac:dyDescent="0.2">
      <c r="A833" s="402">
        <f t="shared" ca="1" si="354"/>
        <v>1E-4</v>
      </c>
      <c r="B833" s="357">
        <f t="shared" ca="1" si="355"/>
        <v>15.649299999999847</v>
      </c>
      <c r="C833" s="342"/>
      <c r="D833" s="359">
        <f t="shared" ca="1" si="356"/>
        <v>-0.54914956260449355</v>
      </c>
      <c r="E833" s="360">
        <f t="shared" ca="1" si="357"/>
        <v>-5.952189500236055</v>
      </c>
      <c r="F833" s="357">
        <f t="shared" ca="1" si="358"/>
        <v>5.9774681169228367</v>
      </c>
      <c r="G833" s="359">
        <f t="shared" ca="1" si="359"/>
        <v>9.5220695593288358</v>
      </c>
      <c r="H833" s="360">
        <f t="shared" ca="1" si="360"/>
        <v>-66.894123464210836</v>
      </c>
      <c r="I833" s="357">
        <f t="shared" ca="1" si="361"/>
        <v>67.568436142460627</v>
      </c>
      <c r="J833" s="359">
        <f t="shared" ca="1" si="362"/>
        <v>187.70931447689617</v>
      </c>
      <c r="K833" s="360">
        <f t="shared" ca="1" si="363"/>
        <v>-7.3484050847643969</v>
      </c>
      <c r="L833" s="357">
        <f t="shared" ca="1" si="348"/>
        <v>187.85309632443136</v>
      </c>
      <c r="M833" s="359">
        <f t="shared" ca="1" si="364"/>
        <v>-1.4294008337053457</v>
      </c>
      <c r="N833" s="357">
        <f t="shared" ca="1" si="365"/>
        <v>-81.898635003797537</v>
      </c>
      <c r="O833" s="343"/>
      <c r="P833" s="363">
        <f t="shared" ca="1" si="366"/>
        <v>23</v>
      </c>
      <c r="Q833" s="357">
        <f t="shared" ca="1" si="367"/>
        <v>0</v>
      </c>
      <c r="R833" s="359">
        <f t="shared" ca="1" si="368"/>
        <v>0</v>
      </c>
      <c r="S833" s="360">
        <f t="shared" ca="1" si="369"/>
        <v>1.5629999999999982</v>
      </c>
      <c r="T833" s="357">
        <f t="shared" ca="1" si="349"/>
        <v>15.333029999999983</v>
      </c>
      <c r="U833" s="364">
        <f t="shared" ca="1" si="350"/>
        <v>0</v>
      </c>
      <c r="V833" s="359">
        <f t="shared" ca="1" si="351"/>
        <v>1.2259005104886767</v>
      </c>
      <c r="W833" s="357">
        <f t="shared" ca="1" si="352"/>
        <v>6.0906502530222477</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5.8153968077850262</v>
      </c>
      <c r="AH833" s="357">
        <f t="shared" ca="1" si="376"/>
        <v>-3.8966995129465203</v>
      </c>
    </row>
    <row r="834" spans="1:34" x14ac:dyDescent="0.2">
      <c r="A834" s="402">
        <f t="shared" ca="1" si="354"/>
        <v>1E-4</v>
      </c>
      <c r="B834" s="357">
        <f t="shared" ca="1" si="355"/>
        <v>15.649399999999847</v>
      </c>
      <c r="C834" s="342"/>
      <c r="D834" s="359">
        <f t="shared" ca="1" si="356"/>
        <v>-0.54915148932476321</v>
      </c>
      <c r="E834" s="360">
        <f t="shared" ca="1" si="357"/>
        <v>-5.952119389218657</v>
      </c>
      <c r="F834" s="357">
        <f t="shared" ca="1" si="358"/>
        <v>5.9773984794173032</v>
      </c>
      <c r="G834" s="359">
        <f t="shared" ca="1" si="359"/>
        <v>9.5220146441799027</v>
      </c>
      <c r="H834" s="360">
        <f t="shared" ca="1" si="360"/>
        <v>-66.894718676149751</v>
      </c>
      <c r="I834" s="357">
        <f t="shared" ca="1" si="361"/>
        <v>67.569017675597408</v>
      </c>
      <c r="J834" s="359">
        <f t="shared" ca="1" si="362"/>
        <v>187.70931447689617</v>
      </c>
      <c r="K834" s="360">
        <f t="shared" ca="1" si="363"/>
        <v>-7.3550945268714152</v>
      </c>
      <c r="L834" s="357">
        <f t="shared" ca="1" si="348"/>
        <v>187.85335811979917</v>
      </c>
      <c r="M834" s="359">
        <f t="shared" ca="1" si="364"/>
        <v>-1.429402879720681</v>
      </c>
      <c r="N834" s="357">
        <f t="shared" ca="1" si="365"/>
        <v>-81.898752231841073</v>
      </c>
      <c r="O834" s="343"/>
      <c r="P834" s="363">
        <f t="shared" ca="1" si="366"/>
        <v>23</v>
      </c>
      <c r="Q834" s="357">
        <f t="shared" ca="1" si="367"/>
        <v>0</v>
      </c>
      <c r="R834" s="359">
        <f t="shared" ca="1" si="368"/>
        <v>0</v>
      </c>
      <c r="S834" s="360">
        <f t="shared" ca="1" si="369"/>
        <v>1.5629999999999982</v>
      </c>
      <c r="T834" s="357">
        <f t="shared" ca="1" si="349"/>
        <v>15.333029999999983</v>
      </c>
      <c r="U834" s="364">
        <f t="shared" ca="1" si="350"/>
        <v>0</v>
      </c>
      <c r="V834" s="359">
        <f t="shared" ca="1" si="351"/>
        <v>1.225901330548111</v>
      </c>
      <c r="W834" s="357">
        <f t="shared" ca="1" si="352"/>
        <v>6.0907591671853964</v>
      </c>
      <c r="X834" s="343"/>
      <c r="Y834" s="367" t="str">
        <f t="shared" ca="1" si="370"/>
        <v/>
      </c>
      <c r="Z834" s="368" t="str">
        <f t="shared" ca="1" si="371"/>
        <v/>
      </c>
      <c r="AA834" s="369" t="str">
        <f t="shared" ca="1" si="372"/>
        <v/>
      </c>
      <c r="AB834" s="344"/>
      <c r="AC834" s="363" t="e">
        <f t="shared" ca="1" si="373"/>
        <v>#N/A</v>
      </c>
      <c r="AD834" s="376" t="e">
        <f t="shared" ca="1" si="374"/>
        <v>#N/A</v>
      </c>
      <c r="AE834" s="377" t="e">
        <f t="shared" ca="1" si="353"/>
        <v>#N/A</v>
      </c>
      <c r="AF834" s="344"/>
      <c r="AG834" s="359">
        <f t="shared" ca="1" si="375"/>
        <v>5.815329953585147</v>
      </c>
      <c r="AH834" s="357">
        <f t="shared" ca="1" si="376"/>
        <v>-3.89676919579159</v>
      </c>
    </row>
    <row r="835" spans="1:34" x14ac:dyDescent="0.2">
      <c r="A835" s="402">
        <f t="shared" ca="1" si="354"/>
        <v>1E-4</v>
      </c>
      <c r="B835" s="357">
        <f t="shared" ca="1" si="355"/>
        <v>15.649499999999847</v>
      </c>
      <c r="C835" s="342"/>
      <c r="D835" s="359">
        <f t="shared" ca="1" si="356"/>
        <v>-0.54915341593067257</v>
      </c>
      <c r="E835" s="360">
        <f t="shared" ca="1" si="357"/>
        <v>-5.9520492782813958</v>
      </c>
      <c r="F835" s="357">
        <f t="shared" ca="1" si="358"/>
        <v>5.9773288419927519</v>
      </c>
      <c r="G835" s="359">
        <f t="shared" ca="1" si="359"/>
        <v>9.5219597288383095</v>
      </c>
      <c r="H835" s="360">
        <f t="shared" ca="1" si="360"/>
        <v>-66.895313881077584</v>
      </c>
      <c r="I835" s="357">
        <f t="shared" ca="1" si="361"/>
        <v>67.569599202048764</v>
      </c>
      <c r="J835" s="359">
        <f t="shared" ca="1" si="362"/>
        <v>187.70931447689617</v>
      </c>
      <c r="K835" s="360">
        <f t="shared" ca="1" si="363"/>
        <v>-7.3617840284992768</v>
      </c>
      <c r="L835" s="357">
        <f t="shared" ca="1" si="348"/>
        <v>187.8536201553448</v>
      </c>
      <c r="M835" s="359">
        <f t="shared" ca="1" si="364"/>
        <v>-1.4294049256889994</v>
      </c>
      <c r="N835" s="357">
        <f t="shared" ca="1" si="365"/>
        <v>-81.898869457190727</v>
      </c>
      <c r="O835" s="343"/>
      <c r="P835" s="363">
        <f t="shared" ca="1" si="366"/>
        <v>23</v>
      </c>
      <c r="Q835" s="357">
        <f t="shared" ca="1" si="367"/>
        <v>0</v>
      </c>
      <c r="R835" s="359">
        <f t="shared" ca="1" si="368"/>
        <v>0</v>
      </c>
      <c r="S835" s="360">
        <f t="shared" ca="1" si="369"/>
        <v>1.5629999999999982</v>
      </c>
      <c r="T835" s="357">
        <f t="shared" ca="1" si="349"/>
        <v>15.333029999999983</v>
      </c>
      <c r="U835" s="364">
        <f t="shared" ca="1" si="350"/>
        <v>0</v>
      </c>
      <c r="V835" s="359">
        <f t="shared" ca="1" si="351"/>
        <v>1.2259021506153909</v>
      </c>
      <c r="W835" s="357">
        <f t="shared" ca="1" si="352"/>
        <v>6.0908680812248184</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5.8152630993587513</v>
      </c>
      <c r="AH835" s="357">
        <f t="shared" ca="1" si="376"/>
        <v>-3.8968388785575199</v>
      </c>
    </row>
    <row r="836" spans="1:34" x14ac:dyDescent="0.2">
      <c r="A836" s="402">
        <f t="shared" ca="1" si="354"/>
        <v>1E-4</v>
      </c>
      <c r="B836" s="357">
        <f t="shared" ca="1" si="355"/>
        <v>15.649599999999847</v>
      </c>
      <c r="C836" s="342"/>
      <c r="D836" s="359">
        <f t="shared" ca="1" si="356"/>
        <v>-0.54915534242222197</v>
      </c>
      <c r="E836" s="360">
        <f t="shared" ca="1" si="357"/>
        <v>-5.951979167424291</v>
      </c>
      <c r="F836" s="357">
        <f t="shared" ca="1" si="358"/>
        <v>5.9772592046492035</v>
      </c>
      <c r="G836" s="359">
        <f t="shared" ca="1" si="359"/>
        <v>9.5219048133040669</v>
      </c>
      <c r="H836" s="360">
        <f t="shared" ca="1" si="360"/>
        <v>-66.895909078994322</v>
      </c>
      <c r="I836" s="357">
        <f t="shared" ca="1" si="361"/>
        <v>67.570180721814694</v>
      </c>
      <c r="J836" s="359">
        <f t="shared" ca="1" si="362"/>
        <v>187.70931447689617</v>
      </c>
      <c r="K836" s="360">
        <f t="shared" ca="1" si="363"/>
        <v>-7.3684735896472802</v>
      </c>
      <c r="L836" s="357">
        <f t="shared" ref="L836:L899" ca="1" si="377">SQRT(pos_x^2+pos_z^2)</f>
        <v>187.8538824310736</v>
      </c>
      <c r="M836" s="359">
        <f t="shared" ca="1" si="364"/>
        <v>-1.4294069716103024</v>
      </c>
      <c r="N836" s="357">
        <f t="shared" ca="1" si="365"/>
        <v>-81.898986679846615</v>
      </c>
      <c r="O836" s="343"/>
      <c r="P836" s="363">
        <f t="shared" ca="1" si="366"/>
        <v>23</v>
      </c>
      <c r="Q836" s="357">
        <f t="shared" ca="1" si="367"/>
        <v>0</v>
      </c>
      <c r="R836" s="359">
        <f t="shared" ca="1" si="368"/>
        <v>0</v>
      </c>
      <c r="S836" s="360">
        <f t="shared" ca="1" si="369"/>
        <v>1.5629999999999982</v>
      </c>
      <c r="T836" s="357">
        <f t="shared" ref="T836:T899" ca="1" si="378">m*g</f>
        <v>15.333029999999983</v>
      </c>
      <c r="U836" s="364">
        <f t="shared" ref="U836:U899" ca="1" si="379">IF(pos_xz&lt;L_rampe,Poids*COS(Beta),0)</f>
        <v>0</v>
      </c>
      <c r="V836" s="359">
        <f t="shared" ref="V836:V899" ca="1" si="380">Rho_moyen*(20000-Alt_rampe-pos_z)/(20000+Alt_rampe+pos_z)</f>
        <v>1.225902970690516</v>
      </c>
      <c r="W836" s="357">
        <f t="shared" ref="W836:W899" ca="1" si="381">1/2*Rho*Sref*Cx*vit_xz^2</f>
        <v>6.090976995140486</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5.8151962451058594</v>
      </c>
      <c r="AH836" s="357">
        <f t="shared" ca="1" si="376"/>
        <v>-3.89690856124429</v>
      </c>
    </row>
    <row r="837" spans="1:34" x14ac:dyDescent="0.2">
      <c r="A837" s="402">
        <f t="shared" ref="A837:A900" ca="1" si="383">IF(B836+0.01&lt;=T_ini+ROUNDUP(Temps_fin_propu,0), 0.01, IF(K836&gt;0, 0.1, 0.0001))</f>
        <v>1E-4</v>
      </c>
      <c r="B837" s="357">
        <f t="shared" ref="B837:B900" ca="1" si="384">B836+pas</f>
        <v>15.649699999999847</v>
      </c>
      <c r="C837" s="342"/>
      <c r="D837" s="359">
        <f t="shared" ref="D837:D900" ca="1" si="385">IF(AND(L836&lt;L_rampe,Poussee&lt;Poids*SIN(M836)),0,(-W836+Poussee)/m*COS(M836)-U836/m*SIN(M836))</f>
        <v>-0.54915726879941273</v>
      </c>
      <c r="E837" s="360">
        <f t="shared" ref="E837:E900" ca="1" si="386">IF(AND(L836&lt;L_rampe,Poussee&lt;Poids*SIN(M836)),0,(-W836+Poussee)/m*SIN(M836)+U836/m*COS(M836)-Poids/m)</f>
        <v>-5.9519090566473594</v>
      </c>
      <c r="F837" s="357">
        <f t="shared" ref="F837:F900" ca="1" si="387">SQRT(acc_x^2+acc_z^2)</f>
        <v>5.9771895673866728</v>
      </c>
      <c r="G837" s="359">
        <f t="shared" ref="G837:G900" ca="1" si="388">G836+acc_x*pas</f>
        <v>9.5218498975771872</v>
      </c>
      <c r="H837" s="360">
        <f t="shared" ref="H837:H900" ca="1" si="389">H836+acc_z*pas</f>
        <v>-66.896504269899992</v>
      </c>
      <c r="I837" s="357">
        <f t="shared" ref="I837:I900" ca="1" si="390">SQRT(vit_x^2+vit_z^2)</f>
        <v>67.570762234895199</v>
      </c>
      <c r="J837" s="359">
        <f t="shared" ref="J837:J900" ca="1" si="391">J836+0.5*(vit_x+G836)*pas*(K836&gt;=0)</f>
        <v>187.70931447689617</v>
      </c>
      <c r="K837" s="360">
        <f t="shared" ref="K837:K900" ca="1" si="392">K836+0.5*(vit_z+H836)*pas</f>
        <v>-7.3751632103147244</v>
      </c>
      <c r="L837" s="357">
        <f t="shared" ca="1" si="377"/>
        <v>187.85414494699094</v>
      </c>
      <c r="M837" s="359">
        <f t="shared" ref="M837:M900" ca="1" si="393">IF(AND(L836&gt;L_rampe,G837&gt;0),ATAN2(G837,H837),$M$4)</f>
        <v>-1.4294090174845917</v>
      </c>
      <c r="N837" s="357">
        <f t="shared" ref="N837:N900" ca="1" si="394">DEGREES(Beta)</f>
        <v>-81.899103899808807</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1.5629999999999982</v>
      </c>
      <c r="T837" s="357">
        <f t="shared" ca="1" si="378"/>
        <v>15.333029999999983</v>
      </c>
      <c r="U837" s="364">
        <f t="shared" ca="1" si="379"/>
        <v>0</v>
      </c>
      <c r="V837" s="359">
        <f t="shared" ca="1" si="380"/>
        <v>1.2259037907734869</v>
      </c>
      <c r="W837" s="357">
        <f t="shared" ca="1" si="381"/>
        <v>6.0910859089323734</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5.8151293908264954</v>
      </c>
      <c r="AH837" s="357">
        <f t="shared" ref="AH837:AH900" ca="1" si="405">IF(AND(L836&lt;L_rampe,Poussee&lt;Poids*SIN(M836)), g*SIN(M836), (-W836+Poussee)/m)</f>
        <v>-3.896978243851883</v>
      </c>
    </row>
    <row r="838" spans="1:34" x14ac:dyDescent="0.2">
      <c r="A838" s="402">
        <f t="shared" ca="1" si="383"/>
        <v>1E-4</v>
      </c>
      <c r="B838" s="357">
        <f t="shared" ca="1" si="384"/>
        <v>15.649799999999846</v>
      </c>
      <c r="C838" s="342"/>
      <c r="D838" s="359">
        <f t="shared" ca="1" si="385"/>
        <v>-0.54915919506224653</v>
      </c>
      <c r="E838" s="360">
        <f t="shared" ca="1" si="386"/>
        <v>-5.9518389459506178</v>
      </c>
      <c r="F838" s="357">
        <f t="shared" ca="1" si="387"/>
        <v>5.9771199302051805</v>
      </c>
      <c r="G838" s="359">
        <f t="shared" ca="1" si="388"/>
        <v>9.5217949816576812</v>
      </c>
      <c r="H838" s="360">
        <f t="shared" ca="1" si="389"/>
        <v>-66.897099453794581</v>
      </c>
      <c r="I838" s="357">
        <f t="shared" ca="1" si="390"/>
        <v>67.571343741290249</v>
      </c>
      <c r="J838" s="359">
        <f t="shared" ca="1" si="391"/>
        <v>187.70931447689617</v>
      </c>
      <c r="K838" s="360">
        <f t="shared" ca="1" si="392"/>
        <v>-7.3818528905009089</v>
      </c>
      <c r="L838" s="357">
        <f t="shared" ca="1" si="377"/>
        <v>187.85440770310208</v>
      </c>
      <c r="M838" s="359">
        <f t="shared" ca="1" si="393"/>
        <v>-1.4294110633118691</v>
      </c>
      <c r="N838" s="357">
        <f t="shared" ca="1" si="394"/>
        <v>-81.899221117077403</v>
      </c>
      <c r="O838" s="343"/>
      <c r="P838" s="363">
        <f t="shared" ca="1" si="395"/>
        <v>23</v>
      </c>
      <c r="Q838" s="357">
        <f t="shared" ca="1" si="396"/>
        <v>0</v>
      </c>
      <c r="R838" s="359">
        <f t="shared" ca="1" si="397"/>
        <v>0</v>
      </c>
      <c r="S838" s="360">
        <f t="shared" ca="1" si="398"/>
        <v>1.5629999999999982</v>
      </c>
      <c r="T838" s="357">
        <f t="shared" ca="1" si="378"/>
        <v>15.333029999999983</v>
      </c>
      <c r="U838" s="364">
        <f t="shared" ca="1" si="379"/>
        <v>0</v>
      </c>
      <c r="V838" s="359">
        <f t="shared" ca="1" si="380"/>
        <v>1.2259046108643024</v>
      </c>
      <c r="W838" s="357">
        <f t="shared" ca="1" si="381"/>
        <v>6.0911948226004382</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5.8150625365206814</v>
      </c>
      <c r="AH838" s="357">
        <f t="shared" ca="1" si="405"/>
        <v>-3.897047926380282</v>
      </c>
    </row>
    <row r="839" spans="1:34" x14ac:dyDescent="0.2">
      <c r="A839" s="402">
        <f t="shared" ca="1" si="383"/>
        <v>1E-4</v>
      </c>
      <c r="B839" s="357">
        <f t="shared" ca="1" si="384"/>
        <v>15.649899999999846</v>
      </c>
      <c r="C839" s="342"/>
      <c r="D839" s="359">
        <f t="shared" ca="1" si="385"/>
        <v>-0.54916112121072302</v>
      </c>
      <c r="E839" s="360">
        <f t="shared" ca="1" si="386"/>
        <v>-5.9517688353340956</v>
      </c>
      <c r="F839" s="357">
        <f t="shared" ca="1" si="387"/>
        <v>5.9770502931047513</v>
      </c>
      <c r="G839" s="359">
        <f t="shared" ca="1" si="388"/>
        <v>9.5217400655455595</v>
      </c>
      <c r="H839" s="360">
        <f t="shared" ca="1" si="389"/>
        <v>-66.897694630678117</v>
      </c>
      <c r="I839" s="357">
        <f t="shared" ca="1" si="390"/>
        <v>67.571925240999875</v>
      </c>
      <c r="J839" s="359">
        <f t="shared" ca="1" si="391"/>
        <v>187.70931447689617</v>
      </c>
      <c r="K839" s="360">
        <f t="shared" ca="1" si="392"/>
        <v>-7.3885426302051327</v>
      </c>
      <c r="L839" s="357">
        <f t="shared" ca="1" si="377"/>
        <v>187.85467069941237</v>
      </c>
      <c r="M839" s="359">
        <f t="shared" ca="1" si="393"/>
        <v>-1.429413109092136</v>
      </c>
      <c r="N839" s="357">
        <f t="shared" ca="1" si="394"/>
        <v>-81.899338331652515</v>
      </c>
      <c r="O839" s="343"/>
      <c r="P839" s="363">
        <f t="shared" ca="1" si="395"/>
        <v>23</v>
      </c>
      <c r="Q839" s="357">
        <f t="shared" ca="1" si="396"/>
        <v>0</v>
      </c>
      <c r="R839" s="359">
        <f t="shared" ca="1" si="397"/>
        <v>0</v>
      </c>
      <c r="S839" s="360">
        <f t="shared" ca="1" si="398"/>
        <v>1.5629999999999982</v>
      </c>
      <c r="T839" s="357">
        <f t="shared" ca="1" si="378"/>
        <v>15.333029999999983</v>
      </c>
      <c r="U839" s="364">
        <f t="shared" ca="1" si="379"/>
        <v>0</v>
      </c>
      <c r="V839" s="359">
        <f t="shared" ca="1" si="380"/>
        <v>1.2259054309629636</v>
      </c>
      <c r="W839" s="357">
        <f t="shared" ca="1" si="381"/>
        <v>6.0913037361446607</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5.8149956821884512</v>
      </c>
      <c r="AH839" s="357">
        <f t="shared" ca="1" si="405"/>
        <v>-3.8971176088294595</v>
      </c>
    </row>
    <row r="840" spans="1:34" x14ac:dyDescent="0.2">
      <c r="A840" s="402">
        <f t="shared" ca="1" si="383"/>
        <v>1E-4</v>
      </c>
      <c r="B840" s="357">
        <f t="shared" ca="1" si="384"/>
        <v>15.649999999999846</v>
      </c>
      <c r="C840" s="342"/>
      <c r="D840" s="359">
        <f t="shared" ca="1" si="385"/>
        <v>-0.54916304724484477</v>
      </c>
      <c r="E840" s="360">
        <f t="shared" ca="1" si="386"/>
        <v>-5.9516987247978035</v>
      </c>
      <c r="F840" s="357">
        <f t="shared" ca="1" si="387"/>
        <v>5.9769806560853986</v>
      </c>
      <c r="G840" s="359">
        <f t="shared" ca="1" si="388"/>
        <v>9.5216851492408345</v>
      </c>
      <c r="H840" s="360">
        <f t="shared" ca="1" si="389"/>
        <v>-66.8982898005506</v>
      </c>
      <c r="I840" s="357">
        <f t="shared" ca="1" si="390"/>
        <v>67.57250673402406</v>
      </c>
      <c r="J840" s="359">
        <f t="shared" ca="1" si="391"/>
        <v>187.70931447689617</v>
      </c>
      <c r="K840" s="360">
        <f t="shared" ca="1" si="392"/>
        <v>-7.3952324294266942</v>
      </c>
      <c r="L840" s="357">
        <f t="shared" ca="1" si="377"/>
        <v>187.85493393592711</v>
      </c>
      <c r="M840" s="359">
        <f t="shared" ca="1" si="393"/>
        <v>-1.4294151548253944</v>
      </c>
      <c r="N840" s="357">
        <f t="shared" ca="1" si="394"/>
        <v>-81.899455543534231</v>
      </c>
      <c r="O840" s="343"/>
      <c r="P840" s="363">
        <f t="shared" ca="1" si="395"/>
        <v>23</v>
      </c>
      <c r="Q840" s="357">
        <f t="shared" ca="1" si="396"/>
        <v>0</v>
      </c>
      <c r="R840" s="359">
        <f t="shared" ca="1" si="397"/>
        <v>0</v>
      </c>
      <c r="S840" s="360">
        <f t="shared" ca="1" si="398"/>
        <v>1.5629999999999982</v>
      </c>
      <c r="T840" s="357">
        <f t="shared" ca="1" si="378"/>
        <v>15.333029999999983</v>
      </c>
      <c r="U840" s="364">
        <f t="shared" ca="1" si="379"/>
        <v>0</v>
      </c>
      <c r="V840" s="359">
        <f t="shared" ca="1" si="380"/>
        <v>1.2259062510694698</v>
      </c>
      <c r="W840" s="357">
        <f t="shared" ca="1" si="381"/>
        <v>6.0914126495650072</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5.814928827829819</v>
      </c>
      <c r="AH840" s="357">
        <f t="shared" ca="1" si="405"/>
        <v>-3.8971872911994034</v>
      </c>
    </row>
    <row r="841" spans="1:34" x14ac:dyDescent="0.2">
      <c r="A841" s="402">
        <f t="shared" ca="1" si="383"/>
        <v>1E-4</v>
      </c>
      <c r="B841" s="357">
        <f t="shared" ca="1" si="384"/>
        <v>15.650099999999846</v>
      </c>
      <c r="C841" s="342"/>
      <c r="D841" s="359">
        <f t="shared" ca="1" si="385"/>
        <v>-0.5491649731646121</v>
      </c>
      <c r="E841" s="360">
        <f t="shared" ca="1" si="386"/>
        <v>-5.9516286143417636</v>
      </c>
      <c r="F841" s="357">
        <f t="shared" ca="1" si="387"/>
        <v>5.9769110191471437</v>
      </c>
      <c r="G841" s="359">
        <f t="shared" ca="1" si="388"/>
        <v>9.5216302327435187</v>
      </c>
      <c r="H841" s="360">
        <f t="shared" ca="1" si="389"/>
        <v>-66.89888496341203</v>
      </c>
      <c r="I841" s="357">
        <f t="shared" ca="1" si="390"/>
        <v>67.573088220362777</v>
      </c>
      <c r="J841" s="359">
        <f t="shared" ca="1" si="391"/>
        <v>187.70931447689617</v>
      </c>
      <c r="K841" s="360">
        <f t="shared" ca="1" si="392"/>
        <v>-7.4019222881648927</v>
      </c>
      <c r="L841" s="357">
        <f t="shared" ca="1" si="377"/>
        <v>187.85519741265168</v>
      </c>
      <c r="M841" s="359">
        <f t="shared" ca="1" si="393"/>
        <v>-1.4294172005116457</v>
      </c>
      <c r="N841" s="357">
        <f t="shared" ca="1" si="394"/>
        <v>-81.899572752722634</v>
      </c>
      <c r="O841" s="343"/>
      <c r="P841" s="363">
        <f t="shared" ca="1" si="395"/>
        <v>23</v>
      </c>
      <c r="Q841" s="357">
        <f t="shared" ca="1" si="396"/>
        <v>0</v>
      </c>
      <c r="R841" s="359">
        <f t="shared" ca="1" si="397"/>
        <v>0</v>
      </c>
      <c r="S841" s="360">
        <f t="shared" ca="1" si="398"/>
        <v>1.5629999999999982</v>
      </c>
      <c r="T841" s="357">
        <f t="shared" ca="1" si="378"/>
        <v>15.333029999999983</v>
      </c>
      <c r="U841" s="364">
        <f t="shared" ca="1" si="379"/>
        <v>0</v>
      </c>
      <c r="V841" s="359">
        <f t="shared" ca="1" si="380"/>
        <v>1.2259070711838209</v>
      </c>
      <c r="W841" s="357">
        <f t="shared" ca="1" si="381"/>
        <v>6.0915215628614412</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5.8148619734448115</v>
      </c>
      <c r="AH841" s="357">
        <f t="shared" ca="1" si="405"/>
        <v>-3.8972569734900921</v>
      </c>
    </row>
    <row r="842" spans="1:34" x14ac:dyDescent="0.2">
      <c r="A842" s="402">
        <f t="shared" ca="1" si="383"/>
        <v>1E-4</v>
      </c>
      <c r="B842" s="357">
        <f t="shared" ca="1" si="384"/>
        <v>15.650199999999845</v>
      </c>
      <c r="C842" s="342"/>
      <c r="D842" s="359">
        <f t="shared" ca="1" si="385"/>
        <v>-0.54916689897002613</v>
      </c>
      <c r="E842" s="360">
        <f t="shared" ca="1" si="386"/>
        <v>-5.9515585039659991</v>
      </c>
      <c r="F842" s="357">
        <f t="shared" ca="1" si="387"/>
        <v>5.9768413822900097</v>
      </c>
      <c r="G842" s="359">
        <f t="shared" ca="1" si="388"/>
        <v>9.521575316053621</v>
      </c>
      <c r="H842" s="360">
        <f t="shared" ca="1" si="389"/>
        <v>-66.899480119262421</v>
      </c>
      <c r="I842" s="357">
        <f t="shared" ca="1" si="390"/>
        <v>67.573669700016069</v>
      </c>
      <c r="J842" s="359">
        <f t="shared" ca="1" si="391"/>
        <v>187.70931447689617</v>
      </c>
      <c r="K842" s="360">
        <f t="shared" ca="1" si="392"/>
        <v>-7.4086122064190265</v>
      </c>
      <c r="L842" s="357">
        <f t="shared" ca="1" si="377"/>
        <v>187.85546112959133</v>
      </c>
      <c r="M842" s="359">
        <f t="shared" ca="1" si="393"/>
        <v>-1.4294192461508919</v>
      </c>
      <c r="N842" s="357">
        <f t="shared" ca="1" si="394"/>
        <v>-81.899689959217852</v>
      </c>
      <c r="O842" s="343"/>
      <c r="P842" s="363">
        <f t="shared" ca="1" si="395"/>
        <v>23</v>
      </c>
      <c r="Q842" s="357">
        <f t="shared" ca="1" si="396"/>
        <v>0</v>
      </c>
      <c r="R842" s="359">
        <f t="shared" ca="1" si="397"/>
        <v>0</v>
      </c>
      <c r="S842" s="360">
        <f t="shared" ca="1" si="398"/>
        <v>1.5629999999999982</v>
      </c>
      <c r="T842" s="357">
        <f t="shared" ca="1" si="378"/>
        <v>15.333029999999983</v>
      </c>
      <c r="U842" s="364">
        <f t="shared" ca="1" si="379"/>
        <v>0</v>
      </c>
      <c r="V842" s="359">
        <f t="shared" ca="1" si="380"/>
        <v>1.2259078913060169</v>
      </c>
      <c r="W842" s="357">
        <f t="shared" ca="1" si="381"/>
        <v>6.0916304760339388</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5.8147951190334615</v>
      </c>
      <c r="AH842" s="357">
        <f t="shared" ca="1" si="405"/>
        <v>-3.8973266557015025</v>
      </c>
    </row>
    <row r="843" spans="1:34" x14ac:dyDescent="0.2">
      <c r="A843" s="402">
        <f t="shared" ca="1" si="383"/>
        <v>1E-4</v>
      </c>
      <c r="B843" s="357">
        <f t="shared" ca="1" si="384"/>
        <v>15.650299999999845</v>
      </c>
      <c r="C843" s="342"/>
      <c r="D843" s="359">
        <f t="shared" ca="1" si="385"/>
        <v>-0.54916882466108707</v>
      </c>
      <c r="E843" s="360">
        <f t="shared" ca="1" si="386"/>
        <v>-5.9514883936705258</v>
      </c>
      <c r="F843" s="357">
        <f t="shared" ca="1" si="387"/>
        <v>5.9767717455140126</v>
      </c>
      <c r="G843" s="359">
        <f t="shared" ca="1" si="388"/>
        <v>9.5215203991711554</v>
      </c>
      <c r="H843" s="360">
        <f t="shared" ca="1" si="389"/>
        <v>-66.900075268101787</v>
      </c>
      <c r="I843" s="357">
        <f t="shared" ca="1" si="390"/>
        <v>67.574251172983907</v>
      </c>
      <c r="J843" s="359">
        <f t="shared" ca="1" si="391"/>
        <v>187.70931447689617</v>
      </c>
      <c r="K843" s="360">
        <f t="shared" ca="1" si="392"/>
        <v>-7.4153021841883948</v>
      </c>
      <c r="L843" s="357">
        <f t="shared" ca="1" si="377"/>
        <v>187.85572508675142</v>
      </c>
      <c r="M843" s="359">
        <f t="shared" ca="1" si="393"/>
        <v>-1.4294212917431341</v>
      </c>
      <c r="N843" s="357">
        <f t="shared" ca="1" si="394"/>
        <v>-81.899807163019929</v>
      </c>
      <c r="O843" s="343"/>
      <c r="P843" s="363">
        <f t="shared" ca="1" si="395"/>
        <v>23</v>
      </c>
      <c r="Q843" s="357">
        <f t="shared" ca="1" si="396"/>
        <v>0</v>
      </c>
      <c r="R843" s="359">
        <f t="shared" ca="1" si="397"/>
        <v>0</v>
      </c>
      <c r="S843" s="360">
        <f t="shared" ca="1" si="398"/>
        <v>1.5629999999999982</v>
      </c>
      <c r="T843" s="357">
        <f t="shared" ca="1" si="378"/>
        <v>15.333029999999983</v>
      </c>
      <c r="U843" s="364">
        <f t="shared" ca="1" si="379"/>
        <v>0</v>
      </c>
      <c r="V843" s="359">
        <f t="shared" ca="1" si="380"/>
        <v>1.2259087114360581</v>
      </c>
      <c r="W843" s="357">
        <f t="shared" ca="1" si="381"/>
        <v>6.0917393890824689</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5.8147282645957867</v>
      </c>
      <c r="AH843" s="357">
        <f t="shared" ca="1" si="405"/>
        <v>-3.8973963378336185</v>
      </c>
    </row>
    <row r="844" spans="1:34" x14ac:dyDescent="0.2">
      <c r="A844" s="402">
        <f t="shared" ca="1" si="383"/>
        <v>1E-4</v>
      </c>
      <c r="B844" s="357">
        <f t="shared" ca="1" si="384"/>
        <v>15.650399999999845</v>
      </c>
      <c r="C844" s="342"/>
      <c r="D844" s="359">
        <f t="shared" ca="1" si="385"/>
        <v>-0.54917075023779838</v>
      </c>
      <c r="E844" s="360">
        <f t="shared" ca="1" si="386"/>
        <v>-5.9514182834553644</v>
      </c>
      <c r="F844" s="357">
        <f t="shared" ca="1" si="387"/>
        <v>5.9767021088191727</v>
      </c>
      <c r="G844" s="359">
        <f t="shared" ca="1" si="388"/>
        <v>9.5214654820961311</v>
      </c>
      <c r="H844" s="360">
        <f t="shared" ca="1" si="389"/>
        <v>-66.900670409930129</v>
      </c>
      <c r="I844" s="357">
        <f t="shared" ca="1" si="390"/>
        <v>67.57483263926629</v>
      </c>
      <c r="J844" s="359">
        <f t="shared" ca="1" si="391"/>
        <v>187.70931447689617</v>
      </c>
      <c r="K844" s="360">
        <f t="shared" ca="1" si="392"/>
        <v>-7.421992221472296</v>
      </c>
      <c r="L844" s="357">
        <f t="shared" ca="1" si="377"/>
        <v>187.85598928413728</v>
      </c>
      <c r="M844" s="359">
        <f t="shared" ca="1" si="393"/>
        <v>-1.4294233372883747</v>
      </c>
      <c r="N844" s="357">
        <f t="shared" ca="1" si="394"/>
        <v>-81.899924364129021</v>
      </c>
      <c r="O844" s="343"/>
      <c r="P844" s="363">
        <f t="shared" ca="1" si="395"/>
        <v>23</v>
      </c>
      <c r="Q844" s="357">
        <f t="shared" ca="1" si="396"/>
        <v>0</v>
      </c>
      <c r="R844" s="359">
        <f t="shared" ca="1" si="397"/>
        <v>0</v>
      </c>
      <c r="S844" s="360">
        <f t="shared" ca="1" si="398"/>
        <v>1.5629999999999982</v>
      </c>
      <c r="T844" s="357">
        <f t="shared" ca="1" si="378"/>
        <v>15.333029999999983</v>
      </c>
      <c r="U844" s="364">
        <f t="shared" ca="1" si="379"/>
        <v>0</v>
      </c>
      <c r="V844" s="359">
        <f t="shared" ca="1" si="380"/>
        <v>1.2259095315739439</v>
      </c>
      <c r="W844" s="357">
        <f t="shared" ca="1" si="381"/>
        <v>6.0918483020069987</v>
      </c>
      <c r="X844" s="343"/>
      <c r="Y844" s="367" t="str">
        <f t="shared" ca="1" si="399"/>
        <v/>
      </c>
      <c r="Z844" s="368" t="str">
        <f t="shared" ca="1" si="400"/>
        <v/>
      </c>
      <c r="AA844" s="369" t="str">
        <f t="shared" ca="1" si="401"/>
        <v/>
      </c>
      <c r="AB844" s="344"/>
      <c r="AC844" s="363" t="e">
        <f t="shared" ca="1" si="402"/>
        <v>#N/A</v>
      </c>
      <c r="AD844" s="376" t="e">
        <f t="shared" ca="1" si="403"/>
        <v>#N/A</v>
      </c>
      <c r="AE844" s="377" t="e">
        <f t="shared" ca="1" si="382"/>
        <v>#N/A</v>
      </c>
      <c r="AF844" s="344"/>
      <c r="AG844" s="359">
        <f t="shared" ca="1" si="404"/>
        <v>5.8146614101318104</v>
      </c>
      <c r="AH844" s="357">
        <f t="shared" ca="1" si="405"/>
        <v>-3.8974660198864211</v>
      </c>
    </row>
    <row r="845" spans="1:34" x14ac:dyDescent="0.2">
      <c r="A845" s="402">
        <f t="shared" ca="1" si="383"/>
        <v>1E-4</v>
      </c>
      <c r="B845" s="357">
        <f t="shared" ca="1" si="384"/>
        <v>15.650499999999845</v>
      </c>
      <c r="C845" s="342"/>
      <c r="D845" s="359">
        <f t="shared" ca="1" si="385"/>
        <v>-0.54917267570015837</v>
      </c>
      <c r="E845" s="360">
        <f t="shared" ca="1" si="386"/>
        <v>-5.9513481733205342</v>
      </c>
      <c r="F845" s="357">
        <f t="shared" ca="1" si="387"/>
        <v>5.9766324722055089</v>
      </c>
      <c r="G845" s="359">
        <f t="shared" ca="1" si="388"/>
        <v>9.5214105648285603</v>
      </c>
      <c r="H845" s="360">
        <f t="shared" ca="1" si="389"/>
        <v>-66.90126554474746</v>
      </c>
      <c r="I845" s="357">
        <f t="shared" ca="1" si="390"/>
        <v>67.575414098863234</v>
      </c>
      <c r="J845" s="359">
        <f t="shared" ca="1" si="391"/>
        <v>187.70931447689617</v>
      </c>
      <c r="K845" s="360">
        <f t="shared" ca="1" si="392"/>
        <v>-7.4286823182700301</v>
      </c>
      <c r="L845" s="357">
        <f t="shared" ca="1" si="377"/>
        <v>187.85625372175417</v>
      </c>
      <c r="M845" s="359">
        <f t="shared" ca="1" si="393"/>
        <v>-1.429425382786615</v>
      </c>
      <c r="N845" s="357">
        <f t="shared" ca="1" si="394"/>
        <v>-81.900041562545198</v>
      </c>
      <c r="O845" s="343"/>
      <c r="P845" s="363">
        <f t="shared" ca="1" si="395"/>
        <v>23</v>
      </c>
      <c r="Q845" s="357">
        <f t="shared" ca="1" si="396"/>
        <v>0</v>
      </c>
      <c r="R845" s="359">
        <f t="shared" ca="1" si="397"/>
        <v>0</v>
      </c>
      <c r="S845" s="360">
        <f t="shared" ca="1" si="398"/>
        <v>1.5629999999999982</v>
      </c>
      <c r="T845" s="357">
        <f t="shared" ca="1" si="378"/>
        <v>15.333029999999983</v>
      </c>
      <c r="U845" s="364">
        <f t="shared" ca="1" si="379"/>
        <v>0</v>
      </c>
      <c r="V845" s="359">
        <f t="shared" ca="1" si="380"/>
        <v>1.2259103517196743</v>
      </c>
      <c r="W845" s="357">
        <f t="shared" ca="1" si="381"/>
        <v>6.0919572148075023</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5.814594555641559</v>
      </c>
      <c r="AH845" s="357">
        <f t="shared" ca="1" si="405"/>
        <v>-3.8975357018598884</v>
      </c>
    </row>
    <row r="846" spans="1:34" x14ac:dyDescent="0.2">
      <c r="A846" s="402">
        <f t="shared" ca="1" si="383"/>
        <v>1E-4</v>
      </c>
      <c r="B846" s="357">
        <f t="shared" ca="1" si="384"/>
        <v>15.650599999999844</v>
      </c>
      <c r="C846" s="342"/>
      <c r="D846" s="359">
        <f t="shared" ca="1" si="385"/>
        <v>-0.54917460104816951</v>
      </c>
      <c r="E846" s="360">
        <f t="shared" ca="1" si="386"/>
        <v>-5.9512780632660531</v>
      </c>
      <c r="F846" s="357">
        <f t="shared" ca="1" si="387"/>
        <v>5.9765628356730396</v>
      </c>
      <c r="G846" s="359">
        <f t="shared" ca="1" si="388"/>
        <v>9.5213556473684555</v>
      </c>
      <c r="H846" s="360">
        <f t="shared" ca="1" si="389"/>
        <v>-66.901860672553781</v>
      </c>
      <c r="I846" s="357">
        <f t="shared" ca="1" si="390"/>
        <v>67.575995551774696</v>
      </c>
      <c r="J846" s="359">
        <f t="shared" ca="1" si="391"/>
        <v>187.70931447689617</v>
      </c>
      <c r="K846" s="360">
        <f t="shared" ca="1" si="392"/>
        <v>-7.4353724745808956</v>
      </c>
      <c r="L846" s="357">
        <f t="shared" ca="1" si="377"/>
        <v>187.85651839960747</v>
      </c>
      <c r="M846" s="359">
        <f t="shared" ca="1" si="393"/>
        <v>-1.4294274282378567</v>
      </c>
      <c r="N846" s="357">
        <f t="shared" ca="1" si="394"/>
        <v>-81.900158758268546</v>
      </c>
      <c r="O846" s="343"/>
      <c r="P846" s="363">
        <f t="shared" ca="1" si="395"/>
        <v>23</v>
      </c>
      <c r="Q846" s="357">
        <f t="shared" ca="1" si="396"/>
        <v>0</v>
      </c>
      <c r="R846" s="359">
        <f t="shared" ca="1" si="397"/>
        <v>0</v>
      </c>
      <c r="S846" s="360">
        <f t="shared" ca="1" si="398"/>
        <v>1.5629999999999982</v>
      </c>
      <c r="T846" s="357">
        <f t="shared" ca="1" si="378"/>
        <v>15.333029999999983</v>
      </c>
      <c r="U846" s="364">
        <f t="shared" ca="1" si="379"/>
        <v>0</v>
      </c>
      <c r="V846" s="359">
        <f t="shared" ca="1" si="380"/>
        <v>1.2259111718732496</v>
      </c>
      <c r="W846" s="357">
        <f t="shared" ca="1" si="381"/>
        <v>6.0920661274839398</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5.8145277011250567</v>
      </c>
      <c r="AH846" s="357">
        <f t="shared" ca="1" si="405"/>
        <v>-3.8976053837540046</v>
      </c>
    </row>
    <row r="847" spans="1:34" x14ac:dyDescent="0.2">
      <c r="A847" s="402">
        <f t="shared" ca="1" si="383"/>
        <v>1E-4</v>
      </c>
      <c r="B847" s="357">
        <f t="shared" ca="1" si="384"/>
        <v>15.650699999999844</v>
      </c>
      <c r="C847" s="342"/>
      <c r="D847" s="359">
        <f t="shared" ca="1" si="385"/>
        <v>-0.54917652628183222</v>
      </c>
      <c r="E847" s="360">
        <f t="shared" ca="1" si="386"/>
        <v>-5.9512079532919469</v>
      </c>
      <c r="F847" s="357">
        <f t="shared" ca="1" si="387"/>
        <v>5.9764931992217898</v>
      </c>
      <c r="G847" s="359">
        <f t="shared" ca="1" si="388"/>
        <v>9.5213007297158274</v>
      </c>
      <c r="H847" s="360">
        <f t="shared" ca="1" si="389"/>
        <v>-66.902455793349105</v>
      </c>
      <c r="I847" s="357">
        <f t="shared" ca="1" si="390"/>
        <v>67.576576998000704</v>
      </c>
      <c r="J847" s="359">
        <f t="shared" ca="1" si="391"/>
        <v>187.70931447689617</v>
      </c>
      <c r="K847" s="360">
        <f t="shared" ca="1" si="392"/>
        <v>-7.4420626904041907</v>
      </c>
      <c r="L847" s="357">
        <f t="shared" ca="1" si="377"/>
        <v>187.85678331770242</v>
      </c>
      <c r="M847" s="359">
        <f t="shared" ca="1" si="393"/>
        <v>-1.4294294736421016</v>
      </c>
      <c r="N847" s="357">
        <f t="shared" ca="1" si="394"/>
        <v>-81.900275951299179</v>
      </c>
      <c r="O847" s="343"/>
      <c r="P847" s="363">
        <f t="shared" ca="1" si="395"/>
        <v>23</v>
      </c>
      <c r="Q847" s="357">
        <f t="shared" ca="1" si="396"/>
        <v>0</v>
      </c>
      <c r="R847" s="359">
        <f t="shared" ca="1" si="397"/>
        <v>0</v>
      </c>
      <c r="S847" s="360">
        <f t="shared" ca="1" si="398"/>
        <v>1.5629999999999982</v>
      </c>
      <c r="T847" s="357">
        <f t="shared" ca="1" si="378"/>
        <v>15.333029999999983</v>
      </c>
      <c r="U847" s="364">
        <f t="shared" ca="1" si="379"/>
        <v>0</v>
      </c>
      <c r="V847" s="359">
        <f t="shared" ca="1" si="380"/>
        <v>1.2259119920346691</v>
      </c>
      <c r="W847" s="357">
        <f t="shared" ca="1" si="381"/>
        <v>6.0921750400362873</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5.8144608465823335</v>
      </c>
      <c r="AH847" s="357">
        <f t="shared" ca="1" si="405"/>
        <v>-3.8976750655687442</v>
      </c>
    </row>
    <row r="848" spans="1:34" x14ac:dyDescent="0.2">
      <c r="A848" s="402">
        <f t="shared" ca="1" si="383"/>
        <v>1E-4</v>
      </c>
      <c r="B848" s="357">
        <f t="shared" ca="1" si="384"/>
        <v>15.650799999999844</v>
      </c>
      <c r="C848" s="342"/>
      <c r="D848" s="359">
        <f t="shared" ca="1" si="385"/>
        <v>-0.54917845140114763</v>
      </c>
      <c r="E848" s="360">
        <f t="shared" ca="1" si="386"/>
        <v>-5.9511378433982296</v>
      </c>
      <c r="F848" s="357">
        <f t="shared" ca="1" si="387"/>
        <v>5.9764235628517746</v>
      </c>
      <c r="G848" s="359">
        <f t="shared" ca="1" si="388"/>
        <v>9.5212458118706866</v>
      </c>
      <c r="H848" s="360">
        <f t="shared" ca="1" si="389"/>
        <v>-66.903050907133448</v>
      </c>
      <c r="I848" s="357">
        <f t="shared" ca="1" si="390"/>
        <v>67.577158437541257</v>
      </c>
      <c r="J848" s="359">
        <f t="shared" ca="1" si="391"/>
        <v>187.70931447689617</v>
      </c>
      <c r="K848" s="360">
        <f t="shared" ca="1" si="392"/>
        <v>-7.4487529657392146</v>
      </c>
      <c r="L848" s="357">
        <f t="shared" ca="1" si="377"/>
        <v>187.85704847604441</v>
      </c>
      <c r="M848" s="359">
        <f t="shared" ca="1" si="393"/>
        <v>-1.4294315189993512</v>
      </c>
      <c r="N848" s="357">
        <f t="shared" ca="1" si="394"/>
        <v>-81.900393141637167</v>
      </c>
      <c r="O848" s="343"/>
      <c r="P848" s="363">
        <f t="shared" ca="1" si="395"/>
        <v>23</v>
      </c>
      <c r="Q848" s="357">
        <f t="shared" ca="1" si="396"/>
        <v>0</v>
      </c>
      <c r="R848" s="359">
        <f t="shared" ca="1" si="397"/>
        <v>0</v>
      </c>
      <c r="S848" s="360">
        <f t="shared" ca="1" si="398"/>
        <v>1.5629999999999982</v>
      </c>
      <c r="T848" s="357">
        <f t="shared" ca="1" si="378"/>
        <v>15.333029999999983</v>
      </c>
      <c r="U848" s="364">
        <f t="shared" ca="1" si="379"/>
        <v>0</v>
      </c>
      <c r="V848" s="359">
        <f t="shared" ca="1" si="380"/>
        <v>1.2259128122039336</v>
      </c>
      <c r="W848" s="357">
        <f t="shared" ca="1" si="381"/>
        <v>6.092283952464518</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5.8143939920134118</v>
      </c>
      <c r="AH848" s="357">
        <f t="shared" ca="1" si="405"/>
        <v>-3.8977447473040909</v>
      </c>
    </row>
    <row r="849" spans="1:34" x14ac:dyDescent="0.2">
      <c r="A849" s="402">
        <f t="shared" ca="1" si="383"/>
        <v>1E-4</v>
      </c>
      <c r="B849" s="357">
        <f t="shared" ca="1" si="384"/>
        <v>15.650899999999844</v>
      </c>
      <c r="C849" s="342"/>
      <c r="D849" s="359">
        <f t="shared" ca="1" si="385"/>
        <v>-0.54918037640611794</v>
      </c>
      <c r="E849" s="360">
        <f t="shared" ca="1" si="386"/>
        <v>-5.95106773358492</v>
      </c>
      <c r="F849" s="357">
        <f t="shared" ca="1" si="387"/>
        <v>5.9763539265630117</v>
      </c>
      <c r="G849" s="359">
        <f t="shared" ca="1" si="388"/>
        <v>9.5211908938330456</v>
      </c>
      <c r="H849" s="360">
        <f t="shared" ca="1" si="389"/>
        <v>-66.903646013906808</v>
      </c>
      <c r="I849" s="357">
        <f t="shared" ca="1" si="390"/>
        <v>67.577739870396357</v>
      </c>
      <c r="J849" s="359">
        <f t="shared" ca="1" si="391"/>
        <v>187.70931447689617</v>
      </c>
      <c r="K849" s="360">
        <f t="shared" ca="1" si="392"/>
        <v>-7.4554433005852667</v>
      </c>
      <c r="L849" s="357">
        <f t="shared" ca="1" si="377"/>
        <v>187.85731387463875</v>
      </c>
      <c r="M849" s="359">
        <f t="shared" ca="1" si="393"/>
        <v>-1.4294335643096072</v>
      </c>
      <c r="N849" s="357">
        <f t="shared" ca="1" si="394"/>
        <v>-81.900510329282639</v>
      </c>
      <c r="O849" s="343"/>
      <c r="P849" s="363">
        <f t="shared" ca="1" si="395"/>
        <v>23</v>
      </c>
      <c r="Q849" s="357">
        <f t="shared" ca="1" si="396"/>
        <v>0</v>
      </c>
      <c r="R849" s="359">
        <f t="shared" ca="1" si="397"/>
        <v>0</v>
      </c>
      <c r="S849" s="360">
        <f t="shared" ca="1" si="398"/>
        <v>1.5629999999999982</v>
      </c>
      <c r="T849" s="357">
        <f t="shared" ca="1" si="378"/>
        <v>15.333029999999983</v>
      </c>
      <c r="U849" s="364">
        <f t="shared" ca="1" si="379"/>
        <v>0</v>
      </c>
      <c r="V849" s="359">
        <f t="shared" ca="1" si="380"/>
        <v>1.2259136323810427</v>
      </c>
      <c r="W849" s="357">
        <f t="shared" ca="1" si="381"/>
        <v>6.0923928647685974</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5.8143271374183101</v>
      </c>
      <c r="AH849" s="357">
        <f t="shared" ca="1" si="405"/>
        <v>-3.8978144289600287</v>
      </c>
    </row>
    <row r="850" spans="1:34" x14ac:dyDescent="0.2">
      <c r="A850" s="402">
        <f t="shared" ca="1" si="383"/>
        <v>1E-4</v>
      </c>
      <c r="B850" s="357">
        <f t="shared" ca="1" si="384"/>
        <v>15.650999999999843</v>
      </c>
      <c r="C850" s="342"/>
      <c r="D850" s="359">
        <f t="shared" ca="1" si="385"/>
        <v>-0.54918230129674328</v>
      </c>
      <c r="E850" s="360">
        <f t="shared" ca="1" si="386"/>
        <v>-5.9509976238520395</v>
      </c>
      <c r="F850" s="357">
        <f t="shared" ca="1" si="387"/>
        <v>5.9762842903555224</v>
      </c>
      <c r="G850" s="359">
        <f t="shared" ca="1" si="388"/>
        <v>9.5211359756029168</v>
      </c>
      <c r="H850" s="360">
        <f t="shared" ca="1" si="389"/>
        <v>-66.904241113669187</v>
      </c>
      <c r="I850" s="357">
        <f t="shared" ca="1" si="390"/>
        <v>67.578321296565974</v>
      </c>
      <c r="J850" s="359">
        <f t="shared" ca="1" si="391"/>
        <v>187.70931447689617</v>
      </c>
      <c r="K850" s="360">
        <f t="shared" ca="1" si="392"/>
        <v>-7.4621336949416452</v>
      </c>
      <c r="L850" s="357">
        <f t="shared" ca="1" si="377"/>
        <v>187.85757951349072</v>
      </c>
      <c r="M850" s="359">
        <f t="shared" ca="1" si="393"/>
        <v>-1.4294356095728713</v>
      </c>
      <c r="N850" s="357">
        <f t="shared" ca="1" si="394"/>
        <v>-81.900627514235666</v>
      </c>
      <c r="O850" s="343"/>
      <c r="P850" s="363">
        <f t="shared" ca="1" si="395"/>
        <v>23</v>
      </c>
      <c r="Q850" s="357">
        <f t="shared" ca="1" si="396"/>
        <v>0</v>
      </c>
      <c r="R850" s="359">
        <f t="shared" ca="1" si="397"/>
        <v>0</v>
      </c>
      <c r="S850" s="360">
        <f t="shared" ca="1" si="398"/>
        <v>1.5629999999999982</v>
      </c>
      <c r="T850" s="357">
        <f t="shared" ca="1" si="378"/>
        <v>15.333029999999983</v>
      </c>
      <c r="U850" s="364">
        <f t="shared" ca="1" si="379"/>
        <v>0</v>
      </c>
      <c r="V850" s="359">
        <f t="shared" ca="1" si="380"/>
        <v>1.2259144525659957</v>
      </c>
      <c r="W850" s="357">
        <f t="shared" ca="1" si="381"/>
        <v>6.0925017769484908</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5.8142602827970542</v>
      </c>
      <c r="AH850" s="357">
        <f t="shared" ca="1" si="405"/>
        <v>-3.8978841105365354</v>
      </c>
    </row>
    <row r="851" spans="1:34" x14ac:dyDescent="0.2">
      <c r="A851" s="402">
        <f t="shared" ca="1" si="383"/>
        <v>1E-4</v>
      </c>
      <c r="B851" s="357">
        <f t="shared" ca="1" si="384"/>
        <v>15.651099999999843</v>
      </c>
      <c r="C851" s="342"/>
      <c r="D851" s="359">
        <f t="shared" ca="1" si="385"/>
        <v>-0.54918422607302464</v>
      </c>
      <c r="E851" s="360">
        <f t="shared" ca="1" si="386"/>
        <v>-5.950927514199611</v>
      </c>
      <c r="F851" s="357">
        <f t="shared" ca="1" si="387"/>
        <v>5.97621465422933</v>
      </c>
      <c r="G851" s="359">
        <f t="shared" ca="1" si="388"/>
        <v>9.5210810571803091</v>
      </c>
      <c r="H851" s="360">
        <f t="shared" ca="1" si="389"/>
        <v>-66.904836206420612</v>
      </c>
      <c r="I851" s="357">
        <f t="shared" ca="1" si="390"/>
        <v>67.578902716050138</v>
      </c>
      <c r="J851" s="359">
        <f t="shared" ca="1" si="391"/>
        <v>187.70931447689617</v>
      </c>
      <c r="K851" s="360">
        <f t="shared" ca="1" si="392"/>
        <v>-7.4688241488076494</v>
      </c>
      <c r="L851" s="357">
        <f t="shared" ca="1" si="377"/>
        <v>187.85784539260561</v>
      </c>
      <c r="M851" s="359">
        <f t="shared" ca="1" si="393"/>
        <v>-1.4294376547891452</v>
      </c>
      <c r="N851" s="357">
        <f t="shared" ca="1" si="394"/>
        <v>-81.900744696496346</v>
      </c>
      <c r="O851" s="343"/>
      <c r="P851" s="363">
        <f t="shared" ca="1" si="395"/>
        <v>23</v>
      </c>
      <c r="Q851" s="357">
        <f t="shared" ca="1" si="396"/>
        <v>0</v>
      </c>
      <c r="R851" s="359">
        <f t="shared" ca="1" si="397"/>
        <v>0</v>
      </c>
      <c r="S851" s="360">
        <f t="shared" ca="1" si="398"/>
        <v>1.5629999999999982</v>
      </c>
      <c r="T851" s="357">
        <f t="shared" ca="1" si="378"/>
        <v>15.333029999999983</v>
      </c>
      <c r="U851" s="364">
        <f t="shared" ca="1" si="379"/>
        <v>0</v>
      </c>
      <c r="V851" s="359">
        <f t="shared" ca="1" si="380"/>
        <v>1.2259152727587932</v>
      </c>
      <c r="W851" s="357">
        <f t="shared" ca="1" si="381"/>
        <v>6.0926106890041751</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5.814193428149677</v>
      </c>
      <c r="AH851" s="357">
        <f t="shared" ca="1" si="405"/>
        <v>-3.8979537920335878</v>
      </c>
    </row>
    <row r="852" spans="1:34" x14ac:dyDescent="0.2">
      <c r="A852" s="402">
        <f t="shared" ca="1" si="383"/>
        <v>1E-4</v>
      </c>
      <c r="B852" s="357">
        <f t="shared" ca="1" si="384"/>
        <v>15.651199999999843</v>
      </c>
      <c r="C852" s="342"/>
      <c r="D852" s="359">
        <f t="shared" ca="1" si="385"/>
        <v>-0.54918615073496369</v>
      </c>
      <c r="E852" s="360">
        <f t="shared" ca="1" si="386"/>
        <v>-5.9508574046276479</v>
      </c>
      <c r="F852" s="357">
        <f t="shared" ca="1" si="387"/>
        <v>5.9761450181844475</v>
      </c>
      <c r="G852" s="359">
        <f t="shared" ca="1" si="388"/>
        <v>9.5210261385652348</v>
      </c>
      <c r="H852" s="360">
        <f t="shared" ca="1" si="389"/>
        <v>-66.905431292161069</v>
      </c>
      <c r="I852" s="357">
        <f t="shared" ca="1" si="390"/>
        <v>67.579484128848804</v>
      </c>
      <c r="J852" s="359">
        <f t="shared" ca="1" si="391"/>
        <v>187.70931447689617</v>
      </c>
      <c r="K852" s="360">
        <f t="shared" ca="1" si="392"/>
        <v>-7.4755146621825785</v>
      </c>
      <c r="L852" s="357">
        <f t="shared" ca="1" si="377"/>
        <v>187.85811151198877</v>
      </c>
      <c r="M852" s="359">
        <f t="shared" ca="1" si="393"/>
        <v>-1.4294396999584307</v>
      </c>
      <c r="N852" s="357">
        <f t="shared" ca="1" si="394"/>
        <v>-81.900861876064795</v>
      </c>
      <c r="O852" s="343"/>
      <c r="P852" s="363">
        <f t="shared" ca="1" si="395"/>
        <v>23</v>
      </c>
      <c r="Q852" s="357">
        <f t="shared" ca="1" si="396"/>
        <v>0</v>
      </c>
      <c r="R852" s="359">
        <f t="shared" ca="1" si="397"/>
        <v>0</v>
      </c>
      <c r="S852" s="360">
        <f t="shared" ca="1" si="398"/>
        <v>1.5629999999999982</v>
      </c>
      <c r="T852" s="357">
        <f t="shared" ca="1" si="378"/>
        <v>15.333029999999983</v>
      </c>
      <c r="U852" s="364">
        <f t="shared" ca="1" si="379"/>
        <v>0</v>
      </c>
      <c r="V852" s="359">
        <f t="shared" ca="1" si="380"/>
        <v>1.225916092959435</v>
      </c>
      <c r="W852" s="357">
        <f t="shared" ca="1" si="381"/>
        <v>6.0927196009356122</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5.8141265734761944</v>
      </c>
      <c r="AH852" s="357">
        <f t="shared" ca="1" si="405"/>
        <v>-3.8980234734511723</v>
      </c>
    </row>
    <row r="853" spans="1:34" x14ac:dyDescent="0.2">
      <c r="A853" s="402">
        <f t="shared" ca="1" si="383"/>
        <v>1E-4</v>
      </c>
      <c r="B853" s="357">
        <f t="shared" ca="1" si="384"/>
        <v>15.651299999999843</v>
      </c>
      <c r="C853" s="342"/>
      <c r="D853" s="359">
        <f t="shared" ca="1" si="385"/>
        <v>-0.54918807528256008</v>
      </c>
      <c r="E853" s="360">
        <f t="shared" ca="1" si="386"/>
        <v>-5.9507872951361769</v>
      </c>
      <c r="F853" s="357">
        <f t="shared" ca="1" si="387"/>
        <v>5.9760753822209018</v>
      </c>
      <c r="G853" s="359">
        <f t="shared" ca="1" si="388"/>
        <v>9.5209712197577065</v>
      </c>
      <c r="H853" s="360">
        <f t="shared" ca="1" si="389"/>
        <v>-66.906026370890586</v>
      </c>
      <c r="I853" s="357">
        <f t="shared" ca="1" si="390"/>
        <v>67.580065534962017</v>
      </c>
      <c r="J853" s="359">
        <f t="shared" ca="1" si="391"/>
        <v>187.70931447689617</v>
      </c>
      <c r="K853" s="360">
        <f t="shared" ca="1" si="392"/>
        <v>-7.4822052350657309</v>
      </c>
      <c r="L853" s="357">
        <f t="shared" ca="1" si="377"/>
        <v>187.8583778716455</v>
      </c>
      <c r="M853" s="359">
        <f t="shared" ca="1" si="393"/>
        <v>-1.4294417450807293</v>
      </c>
      <c r="N853" s="357">
        <f t="shared" ca="1" si="394"/>
        <v>-81.900979052941096</v>
      </c>
      <c r="O853" s="343"/>
      <c r="P853" s="363">
        <f t="shared" ca="1" si="395"/>
        <v>23</v>
      </c>
      <c r="Q853" s="357">
        <f t="shared" ca="1" si="396"/>
        <v>0</v>
      </c>
      <c r="R853" s="359">
        <f t="shared" ca="1" si="397"/>
        <v>0</v>
      </c>
      <c r="S853" s="360">
        <f t="shared" ca="1" si="398"/>
        <v>1.5629999999999982</v>
      </c>
      <c r="T853" s="357">
        <f t="shared" ca="1" si="378"/>
        <v>15.333029999999983</v>
      </c>
      <c r="U853" s="364">
        <f t="shared" ca="1" si="379"/>
        <v>0</v>
      </c>
      <c r="V853" s="359">
        <f t="shared" ca="1" si="380"/>
        <v>1.2259169131679208</v>
      </c>
      <c r="W853" s="357">
        <f t="shared" ca="1" si="381"/>
        <v>6.092828512742777</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5.8140597187766367</v>
      </c>
      <c r="AH853" s="357">
        <f t="shared" ca="1" si="405"/>
        <v>-3.8980931547892639</v>
      </c>
    </row>
    <row r="854" spans="1:34" x14ac:dyDescent="0.2">
      <c r="A854" s="402">
        <f t="shared" ca="1" si="383"/>
        <v>1E-4</v>
      </c>
      <c r="B854" s="357">
        <f t="shared" ca="1" si="384"/>
        <v>15.651399999999843</v>
      </c>
      <c r="C854" s="342"/>
      <c r="D854" s="359">
        <f t="shared" ca="1" si="385"/>
        <v>-0.54918999971581606</v>
      </c>
      <c r="E854" s="360">
        <f t="shared" ca="1" si="386"/>
        <v>-5.9507171857252121</v>
      </c>
      <c r="F854" s="357">
        <f t="shared" ca="1" si="387"/>
        <v>5.9760057463387071</v>
      </c>
      <c r="G854" s="359">
        <f t="shared" ca="1" si="388"/>
        <v>9.5209163007577349</v>
      </c>
      <c r="H854" s="360">
        <f t="shared" ca="1" si="389"/>
        <v>-66.906621442609165</v>
      </c>
      <c r="I854" s="357">
        <f t="shared" ca="1" si="390"/>
        <v>67.580646934389748</v>
      </c>
      <c r="J854" s="359">
        <f t="shared" ca="1" si="391"/>
        <v>187.70931447689617</v>
      </c>
      <c r="K854" s="360">
        <f t="shared" ca="1" si="392"/>
        <v>-7.4888958674564057</v>
      </c>
      <c r="L854" s="357">
        <f t="shared" ca="1" si="377"/>
        <v>187.8586444715811</v>
      </c>
      <c r="M854" s="359">
        <f t="shared" ca="1" si="393"/>
        <v>-1.4294437901560428</v>
      </c>
      <c r="N854" s="357">
        <f t="shared" ca="1" si="394"/>
        <v>-81.90109622712535</v>
      </c>
      <c r="O854" s="343"/>
      <c r="P854" s="363">
        <f t="shared" ca="1" si="395"/>
        <v>23</v>
      </c>
      <c r="Q854" s="357">
        <f t="shared" ca="1" si="396"/>
        <v>0</v>
      </c>
      <c r="R854" s="359">
        <f t="shared" ca="1" si="397"/>
        <v>0</v>
      </c>
      <c r="S854" s="360">
        <f t="shared" ca="1" si="398"/>
        <v>1.5629999999999982</v>
      </c>
      <c r="T854" s="357">
        <f t="shared" ca="1" si="378"/>
        <v>15.333029999999983</v>
      </c>
      <c r="U854" s="364">
        <f t="shared" ca="1" si="379"/>
        <v>0</v>
      </c>
      <c r="V854" s="359">
        <f t="shared" ca="1" si="380"/>
        <v>1.2259177333842508</v>
      </c>
      <c r="W854" s="357">
        <f t="shared" ca="1" si="381"/>
        <v>6.092937424425636</v>
      </c>
      <c r="X854" s="343"/>
      <c r="Y854" s="367" t="str">
        <f t="shared" ca="1" si="399"/>
        <v/>
      </c>
      <c r="Z854" s="368" t="str">
        <f t="shared" ca="1" si="400"/>
        <v/>
      </c>
      <c r="AA854" s="369" t="str">
        <f t="shared" ca="1" si="401"/>
        <v/>
      </c>
      <c r="AB854" s="344"/>
      <c r="AC854" s="363" t="e">
        <f t="shared" ca="1" si="402"/>
        <v>#N/A</v>
      </c>
      <c r="AD854" s="376" t="e">
        <f t="shared" ca="1" si="403"/>
        <v>#N/A</v>
      </c>
      <c r="AE854" s="377" t="e">
        <f t="shared" ca="1" si="382"/>
        <v>#N/A</v>
      </c>
      <c r="AF854" s="344"/>
      <c r="AG854" s="359">
        <f t="shared" ca="1" si="404"/>
        <v>5.8139928640510252</v>
      </c>
      <c r="AH854" s="357">
        <f t="shared" ca="1" si="405"/>
        <v>-3.8981628360478466</v>
      </c>
    </row>
    <row r="855" spans="1:34" x14ac:dyDescent="0.2">
      <c r="A855" s="402">
        <f t="shared" ca="1" si="383"/>
        <v>1E-4</v>
      </c>
      <c r="B855" s="357">
        <f t="shared" ca="1" si="384"/>
        <v>15.651499999999842</v>
      </c>
      <c r="C855" s="342"/>
      <c r="D855" s="359">
        <f t="shared" ca="1" si="385"/>
        <v>-0.54919192403473205</v>
      </c>
      <c r="E855" s="360">
        <f t="shared" ca="1" si="386"/>
        <v>-5.9506470763947759</v>
      </c>
      <c r="F855" s="357">
        <f t="shared" ca="1" si="387"/>
        <v>5.9759361105378854</v>
      </c>
      <c r="G855" s="359">
        <f t="shared" ca="1" si="388"/>
        <v>9.5208613815653322</v>
      </c>
      <c r="H855" s="360">
        <f t="shared" ca="1" si="389"/>
        <v>-66.907216507316804</v>
      </c>
      <c r="I855" s="357">
        <f t="shared" ca="1" si="390"/>
        <v>67.581228327131996</v>
      </c>
      <c r="J855" s="359">
        <f t="shared" ca="1" si="391"/>
        <v>187.70931447689617</v>
      </c>
      <c r="K855" s="360">
        <f t="shared" ca="1" si="392"/>
        <v>-7.4955865593539022</v>
      </c>
      <c r="L855" s="357">
        <f t="shared" ca="1" si="377"/>
        <v>187.85891131180088</v>
      </c>
      <c r="M855" s="359">
        <f t="shared" ca="1" si="393"/>
        <v>-1.4294458351843726</v>
      </c>
      <c r="N855" s="357">
        <f t="shared" ca="1" si="394"/>
        <v>-81.901213398617628</v>
      </c>
      <c r="O855" s="343"/>
      <c r="P855" s="363">
        <f t="shared" ca="1" si="395"/>
        <v>23</v>
      </c>
      <c r="Q855" s="357">
        <f t="shared" ca="1" si="396"/>
        <v>0</v>
      </c>
      <c r="R855" s="359">
        <f t="shared" ca="1" si="397"/>
        <v>0</v>
      </c>
      <c r="S855" s="360">
        <f t="shared" ca="1" si="398"/>
        <v>1.5629999999999982</v>
      </c>
      <c r="T855" s="357">
        <f t="shared" ca="1" si="378"/>
        <v>15.333029999999983</v>
      </c>
      <c r="U855" s="364">
        <f t="shared" ca="1" si="379"/>
        <v>0</v>
      </c>
      <c r="V855" s="359">
        <f t="shared" ca="1" si="380"/>
        <v>1.2259185536084252</v>
      </c>
      <c r="W855" s="357">
        <f t="shared" ca="1" si="381"/>
        <v>6.0930463359841625</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5.8139260092993865</v>
      </c>
      <c r="AH855" s="357">
        <f t="shared" ca="1" si="405"/>
        <v>-3.8982325172268992</v>
      </c>
    </row>
    <row r="856" spans="1:34" x14ac:dyDescent="0.2">
      <c r="A856" s="402">
        <f t="shared" ca="1" si="383"/>
        <v>1E-4</v>
      </c>
      <c r="B856" s="357">
        <f t="shared" ca="1" si="384"/>
        <v>15.651599999999842</v>
      </c>
      <c r="C856" s="342"/>
      <c r="D856" s="359">
        <f t="shared" ca="1" si="385"/>
        <v>-0.5491938482393105</v>
      </c>
      <c r="E856" s="360">
        <f t="shared" ca="1" si="386"/>
        <v>-5.9505769671448867</v>
      </c>
      <c r="F856" s="357">
        <f t="shared" ca="1" si="387"/>
        <v>5.9758664748184547</v>
      </c>
      <c r="G856" s="359">
        <f t="shared" ca="1" si="388"/>
        <v>9.5208064621805075</v>
      </c>
      <c r="H856" s="360">
        <f t="shared" ca="1" si="389"/>
        <v>-66.907811565013517</v>
      </c>
      <c r="I856" s="357">
        <f t="shared" ca="1" si="390"/>
        <v>67.581809713188761</v>
      </c>
      <c r="J856" s="359">
        <f t="shared" ca="1" si="391"/>
        <v>187.70931447689617</v>
      </c>
      <c r="K856" s="360">
        <f t="shared" ca="1" si="392"/>
        <v>-7.5022773107575187</v>
      </c>
      <c r="L856" s="357">
        <f t="shared" ca="1" si="377"/>
        <v>187.85917839231016</v>
      </c>
      <c r="M856" s="359">
        <f t="shared" ca="1" si="393"/>
        <v>-1.4294478801657209</v>
      </c>
      <c r="N856" s="357">
        <f t="shared" ca="1" si="394"/>
        <v>-81.901330567418071</v>
      </c>
      <c r="O856" s="343"/>
      <c r="P856" s="363">
        <f t="shared" ca="1" si="395"/>
        <v>23</v>
      </c>
      <c r="Q856" s="357">
        <f t="shared" ca="1" si="396"/>
        <v>0</v>
      </c>
      <c r="R856" s="359">
        <f t="shared" ca="1" si="397"/>
        <v>0</v>
      </c>
      <c r="S856" s="360">
        <f t="shared" ca="1" si="398"/>
        <v>1.5629999999999982</v>
      </c>
      <c r="T856" s="357">
        <f t="shared" ca="1" si="378"/>
        <v>15.333029999999983</v>
      </c>
      <c r="U856" s="364">
        <f t="shared" ca="1" si="379"/>
        <v>0</v>
      </c>
      <c r="V856" s="359">
        <f t="shared" ca="1" si="380"/>
        <v>1.2259193738404428</v>
      </c>
      <c r="W856" s="357">
        <f t="shared" ca="1" si="381"/>
        <v>6.0931552474183217</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5.8138591545217437</v>
      </c>
      <c r="AH856" s="357">
        <f t="shared" ca="1" si="405"/>
        <v>-3.8983021983264039</v>
      </c>
    </row>
    <row r="857" spans="1:34" x14ac:dyDescent="0.2">
      <c r="A857" s="402">
        <f t="shared" ca="1" si="383"/>
        <v>1E-4</v>
      </c>
      <c r="B857" s="357">
        <f t="shared" ca="1" si="384"/>
        <v>15.651699999999842</v>
      </c>
      <c r="C857" s="342"/>
      <c r="D857" s="359">
        <f t="shared" ca="1" si="385"/>
        <v>-0.54919577232955041</v>
      </c>
      <c r="E857" s="360">
        <f t="shared" ca="1" si="386"/>
        <v>-5.9505068579755633</v>
      </c>
      <c r="F857" s="357">
        <f t="shared" ca="1" si="387"/>
        <v>5.9757968391804335</v>
      </c>
      <c r="G857" s="359">
        <f t="shared" ca="1" si="388"/>
        <v>9.5207515426032749</v>
      </c>
      <c r="H857" s="360">
        <f t="shared" ca="1" si="389"/>
        <v>-66.90840661569932</v>
      </c>
      <c r="I857" s="357">
        <f t="shared" ca="1" si="390"/>
        <v>67.582391092560044</v>
      </c>
      <c r="J857" s="359">
        <f t="shared" ca="1" si="391"/>
        <v>187.70931447689617</v>
      </c>
      <c r="K857" s="360">
        <f t="shared" ca="1" si="392"/>
        <v>-7.5089681216665545</v>
      </c>
      <c r="L857" s="357">
        <f t="shared" ca="1" si="377"/>
        <v>187.85944571311421</v>
      </c>
      <c r="M857" s="359">
        <f t="shared" ca="1" si="393"/>
        <v>-1.4294499251000889</v>
      </c>
      <c r="N857" s="357">
        <f t="shared" ca="1" si="394"/>
        <v>-81.901447733526737</v>
      </c>
      <c r="O857" s="343"/>
      <c r="P857" s="363">
        <f t="shared" ca="1" si="395"/>
        <v>23</v>
      </c>
      <c r="Q857" s="357">
        <f t="shared" ca="1" si="396"/>
        <v>0</v>
      </c>
      <c r="R857" s="359">
        <f t="shared" ca="1" si="397"/>
        <v>0</v>
      </c>
      <c r="S857" s="360">
        <f t="shared" ca="1" si="398"/>
        <v>1.5629999999999982</v>
      </c>
      <c r="T857" s="357">
        <f t="shared" ca="1" si="378"/>
        <v>15.333029999999983</v>
      </c>
      <c r="U857" s="364">
        <f t="shared" ca="1" si="379"/>
        <v>0</v>
      </c>
      <c r="V857" s="359">
        <f t="shared" ca="1" si="380"/>
        <v>1.2259201940803051</v>
      </c>
      <c r="W857" s="357">
        <f t="shared" ca="1" si="381"/>
        <v>6.093264158728088</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5.8137922997181226</v>
      </c>
      <c r="AH857" s="357">
        <f t="shared" ca="1" si="405"/>
        <v>-3.8983718793463398</v>
      </c>
    </row>
    <row r="858" spans="1:34" x14ac:dyDescent="0.2">
      <c r="A858" s="402">
        <f t="shared" ca="1" si="383"/>
        <v>1E-4</v>
      </c>
      <c r="B858" s="357">
        <f t="shared" ca="1" si="384"/>
        <v>15.651799999999842</v>
      </c>
      <c r="C858" s="342"/>
      <c r="D858" s="359">
        <f t="shared" ca="1" si="385"/>
        <v>-0.54919769630545412</v>
      </c>
      <c r="E858" s="360">
        <f t="shared" ca="1" si="386"/>
        <v>-5.9504367488868262</v>
      </c>
      <c r="F858" s="357">
        <f t="shared" ca="1" si="387"/>
        <v>5.9757272036238431</v>
      </c>
      <c r="G858" s="359">
        <f t="shared" ca="1" si="388"/>
        <v>9.5206966228336452</v>
      </c>
      <c r="H858" s="360">
        <f t="shared" ca="1" si="389"/>
        <v>-66.909001659374212</v>
      </c>
      <c r="I858" s="357">
        <f t="shared" ca="1" si="390"/>
        <v>67.582972465245845</v>
      </c>
      <c r="J858" s="359">
        <f t="shared" ca="1" si="391"/>
        <v>187.70931447689617</v>
      </c>
      <c r="K858" s="360">
        <f t="shared" ca="1" si="392"/>
        <v>-7.5156589920803079</v>
      </c>
      <c r="L858" s="357">
        <f t="shared" ca="1" si="377"/>
        <v>187.85971327421836</v>
      </c>
      <c r="M858" s="359">
        <f t="shared" ca="1" si="393"/>
        <v>-1.4294519699874786</v>
      </c>
      <c r="N858" s="357">
        <f t="shared" ca="1" si="394"/>
        <v>-81.901564896943739</v>
      </c>
      <c r="O858" s="343"/>
      <c r="P858" s="363">
        <f t="shared" ca="1" si="395"/>
        <v>23</v>
      </c>
      <c r="Q858" s="357">
        <f t="shared" ca="1" si="396"/>
        <v>0</v>
      </c>
      <c r="R858" s="359">
        <f t="shared" ca="1" si="397"/>
        <v>0</v>
      </c>
      <c r="S858" s="360">
        <f t="shared" ca="1" si="398"/>
        <v>1.5629999999999982</v>
      </c>
      <c r="T858" s="357">
        <f t="shared" ca="1" si="378"/>
        <v>15.333029999999983</v>
      </c>
      <c r="U858" s="364">
        <f t="shared" ca="1" si="379"/>
        <v>0</v>
      </c>
      <c r="V858" s="359">
        <f t="shared" ca="1" si="380"/>
        <v>1.2259210143280108</v>
      </c>
      <c r="W858" s="357">
        <f t="shared" ca="1" si="381"/>
        <v>6.0933730699134268</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5.8137254448885463</v>
      </c>
      <c r="AH858" s="357">
        <f t="shared" ca="1" si="405"/>
        <v>-3.8984415602866891</v>
      </c>
    </row>
    <row r="859" spans="1:34" x14ac:dyDescent="0.2">
      <c r="A859" s="402">
        <f t="shared" ca="1" si="383"/>
        <v>1E-4</v>
      </c>
      <c r="B859" s="357">
        <f t="shared" ca="1" si="384"/>
        <v>15.651899999999841</v>
      </c>
      <c r="C859" s="342"/>
      <c r="D859" s="359">
        <f t="shared" ca="1" si="385"/>
        <v>-0.5491996201670224</v>
      </c>
      <c r="E859" s="360">
        <f t="shared" ca="1" si="386"/>
        <v>-5.9503666398786947</v>
      </c>
      <c r="F859" s="357">
        <f t="shared" ca="1" si="387"/>
        <v>5.9756575681487023</v>
      </c>
      <c r="G859" s="359">
        <f t="shared" ca="1" si="388"/>
        <v>9.5206417028716288</v>
      </c>
      <c r="H859" s="360">
        <f t="shared" ca="1" si="389"/>
        <v>-66.909596696038193</v>
      </c>
      <c r="I859" s="357">
        <f t="shared" ca="1" si="390"/>
        <v>67.583553831246135</v>
      </c>
      <c r="J859" s="359">
        <f t="shared" ca="1" si="391"/>
        <v>187.70931447689617</v>
      </c>
      <c r="K859" s="360">
        <f t="shared" ca="1" si="392"/>
        <v>-7.5223499219980781</v>
      </c>
      <c r="L859" s="357">
        <f t="shared" ca="1" si="377"/>
        <v>187.85998107562793</v>
      </c>
      <c r="M859" s="359">
        <f t="shared" ca="1" si="393"/>
        <v>-1.4294540148278914</v>
      </c>
      <c r="N859" s="357">
        <f t="shared" ca="1" si="394"/>
        <v>-81.901682057669177</v>
      </c>
      <c r="O859" s="343"/>
      <c r="P859" s="363">
        <f t="shared" ca="1" si="395"/>
        <v>23</v>
      </c>
      <c r="Q859" s="357">
        <f t="shared" ca="1" si="396"/>
        <v>0</v>
      </c>
      <c r="R859" s="359">
        <f t="shared" ca="1" si="397"/>
        <v>0</v>
      </c>
      <c r="S859" s="360">
        <f t="shared" ca="1" si="398"/>
        <v>1.5629999999999982</v>
      </c>
      <c r="T859" s="357">
        <f t="shared" ca="1" si="378"/>
        <v>15.333029999999983</v>
      </c>
      <c r="U859" s="364">
        <f t="shared" ca="1" si="379"/>
        <v>0</v>
      </c>
      <c r="V859" s="359">
        <f t="shared" ca="1" si="380"/>
        <v>1.2259218345835603</v>
      </c>
      <c r="W859" s="357">
        <f t="shared" ca="1" si="381"/>
        <v>6.0934819809743042</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5.8136585900330395</v>
      </c>
      <c r="AH859" s="357">
        <f t="shared" ca="1" si="405"/>
        <v>-3.8985112411474305</v>
      </c>
    </row>
    <row r="860" spans="1:34" x14ac:dyDescent="0.2">
      <c r="A860" s="402">
        <f t="shared" ca="1" si="383"/>
        <v>1E-4</v>
      </c>
      <c r="B860" s="357">
        <f t="shared" ca="1" si="384"/>
        <v>15.651999999999841</v>
      </c>
      <c r="C860" s="342"/>
      <c r="D860" s="359">
        <f t="shared" ca="1" si="385"/>
        <v>-0.54920154391425602</v>
      </c>
      <c r="E860" s="360">
        <f t="shared" ca="1" si="386"/>
        <v>-5.950296530951193</v>
      </c>
      <c r="F860" s="357">
        <f t="shared" ca="1" si="387"/>
        <v>5.9755879327550359</v>
      </c>
      <c r="G860" s="359">
        <f t="shared" ca="1" si="388"/>
        <v>9.5205867827172366</v>
      </c>
      <c r="H860" s="360">
        <f t="shared" ca="1" si="389"/>
        <v>-66.910191725691291</v>
      </c>
      <c r="I860" s="357">
        <f t="shared" ca="1" si="390"/>
        <v>67.584135190560943</v>
      </c>
      <c r="J860" s="359">
        <f t="shared" ca="1" si="391"/>
        <v>187.70931447689617</v>
      </c>
      <c r="K860" s="360">
        <f t="shared" ca="1" si="392"/>
        <v>-7.5290409114191643</v>
      </c>
      <c r="L860" s="357">
        <f t="shared" ca="1" si="377"/>
        <v>187.86024911734819</v>
      </c>
      <c r="M860" s="359">
        <f t="shared" ca="1" si="393"/>
        <v>-1.4294560596213293</v>
      </c>
      <c r="N860" s="357">
        <f t="shared" ca="1" si="394"/>
        <v>-81.901799215703136</v>
      </c>
      <c r="O860" s="343"/>
      <c r="P860" s="363">
        <f t="shared" ca="1" si="395"/>
        <v>23</v>
      </c>
      <c r="Q860" s="357">
        <f t="shared" ca="1" si="396"/>
        <v>0</v>
      </c>
      <c r="R860" s="359">
        <f t="shared" ca="1" si="397"/>
        <v>0</v>
      </c>
      <c r="S860" s="360">
        <f t="shared" ca="1" si="398"/>
        <v>1.5629999999999982</v>
      </c>
      <c r="T860" s="357">
        <f t="shared" ca="1" si="378"/>
        <v>15.333029999999983</v>
      </c>
      <c r="U860" s="364">
        <f t="shared" ca="1" si="379"/>
        <v>0</v>
      </c>
      <c r="V860" s="359">
        <f t="shared" ca="1" si="380"/>
        <v>1.2259226548469537</v>
      </c>
      <c r="W860" s="357">
        <f t="shared" ca="1" si="381"/>
        <v>6.0935908919106989</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5.8135917351516326</v>
      </c>
      <c r="AH860" s="357">
        <f t="shared" ca="1" si="405"/>
        <v>-3.8985809219285419</v>
      </c>
    </row>
    <row r="861" spans="1:34" x14ac:dyDescent="0.2">
      <c r="A861" s="402">
        <f t="shared" ca="1" si="383"/>
        <v>1E-4</v>
      </c>
      <c r="B861" s="357">
        <f t="shared" ca="1" si="384"/>
        <v>15.652099999999841</v>
      </c>
      <c r="C861" s="342"/>
      <c r="D861" s="359">
        <f t="shared" ca="1" si="385"/>
        <v>-0.54920346754715599</v>
      </c>
      <c r="E861" s="360">
        <f t="shared" ca="1" si="386"/>
        <v>-5.9502264221043326</v>
      </c>
      <c r="F861" s="357">
        <f t="shared" ca="1" si="387"/>
        <v>5.9755182974428545</v>
      </c>
      <c r="G861" s="359">
        <f t="shared" ca="1" si="388"/>
        <v>9.5205318623704827</v>
      </c>
      <c r="H861" s="360">
        <f t="shared" ca="1" si="389"/>
        <v>-66.910786748333507</v>
      </c>
      <c r="I861" s="357">
        <f t="shared" ca="1" si="390"/>
        <v>67.584716543190254</v>
      </c>
      <c r="J861" s="359">
        <f t="shared" ca="1" si="391"/>
        <v>187.70931447689617</v>
      </c>
      <c r="K861" s="360">
        <f t="shared" ca="1" si="392"/>
        <v>-7.5357319603428659</v>
      </c>
      <c r="L861" s="357">
        <f t="shared" ca="1" si="377"/>
        <v>187.86051739938446</v>
      </c>
      <c r="M861" s="359">
        <f t="shared" ca="1" si="393"/>
        <v>-1.4294581043677934</v>
      </c>
      <c r="N861" s="357">
        <f t="shared" ca="1" si="394"/>
        <v>-81.901916371045715</v>
      </c>
      <c r="O861" s="343"/>
      <c r="P861" s="363">
        <f t="shared" ca="1" si="395"/>
        <v>23</v>
      </c>
      <c r="Q861" s="357">
        <f t="shared" ca="1" si="396"/>
        <v>0</v>
      </c>
      <c r="R861" s="359">
        <f t="shared" ca="1" si="397"/>
        <v>0</v>
      </c>
      <c r="S861" s="360">
        <f t="shared" ca="1" si="398"/>
        <v>1.5629999999999982</v>
      </c>
      <c r="T861" s="357">
        <f t="shared" ca="1" si="378"/>
        <v>15.333029999999983</v>
      </c>
      <c r="U861" s="364">
        <f t="shared" ca="1" si="379"/>
        <v>0</v>
      </c>
      <c r="V861" s="359">
        <f t="shared" ca="1" si="380"/>
        <v>1.2259234751181902</v>
      </c>
      <c r="W861" s="357">
        <f t="shared" ca="1" si="381"/>
        <v>6.0936998027225711</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5.8135248802443407</v>
      </c>
      <c r="AH861" s="357">
        <f t="shared" ca="1" si="405"/>
        <v>-3.8986506026300103</v>
      </c>
    </row>
    <row r="862" spans="1:34" x14ac:dyDescent="0.2">
      <c r="A862" s="402">
        <f t="shared" ca="1" si="383"/>
        <v>1E-4</v>
      </c>
      <c r="B862" s="357">
        <f t="shared" ca="1" si="384"/>
        <v>15.652199999999841</v>
      </c>
      <c r="C862" s="342"/>
      <c r="D862" s="359">
        <f t="shared" ca="1" si="385"/>
        <v>-0.54920539106572464</v>
      </c>
      <c r="E862" s="360">
        <f t="shared" ca="1" si="386"/>
        <v>-5.950156313338141</v>
      </c>
      <c r="F862" s="357">
        <f t="shared" ca="1" si="387"/>
        <v>5.9754486622121847</v>
      </c>
      <c r="G862" s="359">
        <f t="shared" ca="1" si="388"/>
        <v>9.5204769418313759</v>
      </c>
      <c r="H862" s="360">
        <f t="shared" ca="1" si="389"/>
        <v>-66.91138176396484</v>
      </c>
      <c r="I862" s="357">
        <f t="shared" ca="1" si="390"/>
        <v>67.585297889134068</v>
      </c>
      <c r="J862" s="359">
        <f t="shared" ca="1" si="391"/>
        <v>187.70931447689617</v>
      </c>
      <c r="K862" s="360">
        <f t="shared" ca="1" si="392"/>
        <v>-7.542423068768481</v>
      </c>
      <c r="L862" s="357">
        <f t="shared" ca="1" si="377"/>
        <v>187.86078592174204</v>
      </c>
      <c r="M862" s="359">
        <f t="shared" ca="1" si="393"/>
        <v>-1.429460149067286</v>
      </c>
      <c r="N862" s="357">
        <f t="shared" ca="1" si="394"/>
        <v>-81.902033523697014</v>
      </c>
      <c r="O862" s="343"/>
      <c r="P862" s="363">
        <f t="shared" ca="1" si="395"/>
        <v>23</v>
      </c>
      <c r="Q862" s="357">
        <f t="shared" ca="1" si="396"/>
        <v>0</v>
      </c>
      <c r="R862" s="359">
        <f t="shared" ca="1" si="397"/>
        <v>0</v>
      </c>
      <c r="S862" s="360">
        <f t="shared" ca="1" si="398"/>
        <v>1.5629999999999982</v>
      </c>
      <c r="T862" s="357">
        <f t="shared" ca="1" si="378"/>
        <v>15.333029999999983</v>
      </c>
      <c r="U862" s="364">
        <f t="shared" ca="1" si="379"/>
        <v>0</v>
      </c>
      <c r="V862" s="359">
        <f t="shared" ca="1" si="380"/>
        <v>1.2259242953972704</v>
      </c>
      <c r="W862" s="357">
        <f t="shared" ca="1" si="381"/>
        <v>6.0938087134098975</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5.8134580253111947</v>
      </c>
      <c r="AH862" s="357">
        <f t="shared" ca="1" si="405"/>
        <v>-3.8987202832518095</v>
      </c>
    </row>
    <row r="863" spans="1:34" x14ac:dyDescent="0.2">
      <c r="A863" s="402">
        <f t="shared" ca="1" si="383"/>
        <v>1E-4</v>
      </c>
      <c r="B863" s="357">
        <f t="shared" ca="1" si="384"/>
        <v>15.65229999999984</v>
      </c>
      <c r="C863" s="342"/>
      <c r="D863" s="359">
        <f t="shared" ca="1" si="385"/>
        <v>-0.54920731446996141</v>
      </c>
      <c r="E863" s="360">
        <f t="shared" ca="1" si="386"/>
        <v>-5.9500862046526315</v>
      </c>
      <c r="F863" s="357">
        <f t="shared" ca="1" si="387"/>
        <v>5.9753790270630418</v>
      </c>
      <c r="G863" s="359">
        <f t="shared" ca="1" si="388"/>
        <v>9.5204220210999289</v>
      </c>
      <c r="H863" s="360">
        <f t="shared" ca="1" si="389"/>
        <v>-66.911976772585305</v>
      </c>
      <c r="I863" s="357">
        <f t="shared" ca="1" si="390"/>
        <v>67.585879228392372</v>
      </c>
      <c r="J863" s="359">
        <f t="shared" ca="1" si="391"/>
        <v>187.70931447689617</v>
      </c>
      <c r="K863" s="360">
        <f t="shared" ca="1" si="392"/>
        <v>-7.5491142366953081</v>
      </c>
      <c r="L863" s="357">
        <f t="shared" ca="1" si="377"/>
        <v>187.86105468442622</v>
      </c>
      <c r="M863" s="359">
        <f t="shared" ca="1" si="393"/>
        <v>-1.4294621937198086</v>
      </c>
      <c r="N863" s="357">
        <f t="shared" ca="1" si="394"/>
        <v>-81.902150673657133</v>
      </c>
      <c r="O863" s="343"/>
      <c r="P863" s="363">
        <f t="shared" ca="1" si="395"/>
        <v>23</v>
      </c>
      <c r="Q863" s="357">
        <f t="shared" ca="1" si="396"/>
        <v>0</v>
      </c>
      <c r="R863" s="359">
        <f t="shared" ca="1" si="397"/>
        <v>0</v>
      </c>
      <c r="S863" s="360">
        <f t="shared" ca="1" si="398"/>
        <v>1.5629999999999982</v>
      </c>
      <c r="T863" s="357">
        <f t="shared" ca="1" si="378"/>
        <v>15.333029999999983</v>
      </c>
      <c r="U863" s="364">
        <f t="shared" ca="1" si="379"/>
        <v>0</v>
      </c>
      <c r="V863" s="359">
        <f t="shared" ca="1" si="380"/>
        <v>1.2259251156841944</v>
      </c>
      <c r="W863" s="357">
        <f t="shared" ca="1" si="381"/>
        <v>6.0939176239726418</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5.8133911703522188</v>
      </c>
      <c r="AH863" s="357">
        <f t="shared" ca="1" si="405"/>
        <v>-3.898789963793925</v>
      </c>
    </row>
    <row r="864" spans="1:34" x14ac:dyDescent="0.2">
      <c r="A864" s="402">
        <f t="shared" ca="1" si="383"/>
        <v>1E-4</v>
      </c>
      <c r="B864" s="357">
        <f t="shared" ca="1" si="384"/>
        <v>15.65239999999984</v>
      </c>
      <c r="C864" s="342"/>
      <c r="D864" s="359">
        <f t="shared" ca="1" si="385"/>
        <v>-0.54920923775986741</v>
      </c>
      <c r="E864" s="360">
        <f t="shared" ca="1" si="386"/>
        <v>-5.950016096047829</v>
      </c>
      <c r="F864" s="357">
        <f t="shared" ca="1" si="387"/>
        <v>5.9753093919954496</v>
      </c>
      <c r="G864" s="359">
        <f t="shared" ca="1" si="388"/>
        <v>9.5203671001761521</v>
      </c>
      <c r="H864" s="360">
        <f t="shared" ca="1" si="389"/>
        <v>-66.912571774194916</v>
      </c>
      <c r="I864" s="357">
        <f t="shared" ca="1" si="390"/>
        <v>67.586460560965193</v>
      </c>
      <c r="J864" s="359">
        <f t="shared" ca="1" si="391"/>
        <v>187.70931447689617</v>
      </c>
      <c r="K864" s="360">
        <f t="shared" ca="1" si="392"/>
        <v>-7.5558054641226473</v>
      </c>
      <c r="L864" s="357">
        <f t="shared" ca="1" si="377"/>
        <v>187.86132368744228</v>
      </c>
      <c r="M864" s="359">
        <f t="shared" ca="1" si="393"/>
        <v>-1.4294642383253628</v>
      </c>
      <c r="N864" s="357">
        <f t="shared" ca="1" si="394"/>
        <v>-81.902267820926156</v>
      </c>
      <c r="O864" s="343"/>
      <c r="P864" s="363">
        <f t="shared" ca="1" si="395"/>
        <v>23</v>
      </c>
      <c r="Q864" s="357">
        <f t="shared" ca="1" si="396"/>
        <v>0</v>
      </c>
      <c r="R864" s="359">
        <f t="shared" ca="1" si="397"/>
        <v>0</v>
      </c>
      <c r="S864" s="360">
        <f t="shared" ca="1" si="398"/>
        <v>1.5629999999999982</v>
      </c>
      <c r="T864" s="357">
        <f t="shared" ca="1" si="378"/>
        <v>15.333029999999983</v>
      </c>
      <c r="U864" s="364">
        <f t="shared" ca="1" si="379"/>
        <v>0</v>
      </c>
      <c r="V864" s="359">
        <f t="shared" ca="1" si="380"/>
        <v>1.2259259359789616</v>
      </c>
      <c r="W864" s="357">
        <f t="shared" ca="1" si="381"/>
        <v>6.0940265344107818</v>
      </c>
      <c r="X864" s="343"/>
      <c r="Y864" s="367" t="str">
        <f t="shared" ca="1" si="399"/>
        <v/>
      </c>
      <c r="Z864" s="368" t="str">
        <f t="shared" ca="1" si="400"/>
        <v/>
      </c>
      <c r="AA864" s="369" t="str">
        <f t="shared" ca="1" si="401"/>
        <v/>
      </c>
      <c r="AB864" s="344"/>
      <c r="AC864" s="363" t="e">
        <f t="shared" ca="1" si="402"/>
        <v>#N/A</v>
      </c>
      <c r="AD864" s="376" t="e">
        <f t="shared" ca="1" si="403"/>
        <v>#N/A</v>
      </c>
      <c r="AE864" s="377" t="e">
        <f t="shared" ca="1" si="382"/>
        <v>#N/A</v>
      </c>
      <c r="AF864" s="344"/>
      <c r="AG864" s="359">
        <f t="shared" ca="1" si="404"/>
        <v>5.8133243153674385</v>
      </c>
      <c r="AH864" s="357">
        <f t="shared" ca="1" si="405"/>
        <v>-3.8988596442563335</v>
      </c>
    </row>
    <row r="865" spans="1:34" x14ac:dyDescent="0.2">
      <c r="A865" s="402">
        <f t="shared" ca="1" si="383"/>
        <v>1E-4</v>
      </c>
      <c r="B865" s="357">
        <f t="shared" ca="1" si="384"/>
        <v>15.65249999999984</v>
      </c>
      <c r="C865" s="342"/>
      <c r="D865" s="359">
        <f t="shared" ca="1" si="385"/>
        <v>-0.54921116093544464</v>
      </c>
      <c r="E865" s="360">
        <f t="shared" ca="1" si="386"/>
        <v>-5.9499459875237459</v>
      </c>
      <c r="F865" s="357">
        <f t="shared" ca="1" si="387"/>
        <v>5.9752397570094189</v>
      </c>
      <c r="G865" s="359">
        <f t="shared" ca="1" si="388"/>
        <v>9.520312179060058</v>
      </c>
      <c r="H865" s="360">
        <f t="shared" ca="1" si="389"/>
        <v>-66.913166768793673</v>
      </c>
      <c r="I865" s="357">
        <f t="shared" ca="1" si="390"/>
        <v>67.587041886852489</v>
      </c>
      <c r="J865" s="359">
        <f t="shared" ca="1" si="391"/>
        <v>187.70931447689617</v>
      </c>
      <c r="K865" s="360">
        <f t="shared" ca="1" si="392"/>
        <v>-7.5624967510497969</v>
      </c>
      <c r="L865" s="357">
        <f t="shared" ca="1" si="377"/>
        <v>187.86159293079555</v>
      </c>
      <c r="M865" s="359">
        <f t="shared" ca="1" si="393"/>
        <v>-1.4294662828839502</v>
      </c>
      <c r="N865" s="357">
        <f t="shared" ca="1" si="394"/>
        <v>-81.902384965504169</v>
      </c>
      <c r="O865" s="343"/>
      <c r="P865" s="363">
        <f t="shared" ca="1" si="395"/>
        <v>23</v>
      </c>
      <c r="Q865" s="357">
        <f t="shared" ca="1" si="396"/>
        <v>0</v>
      </c>
      <c r="R865" s="359">
        <f t="shared" ca="1" si="397"/>
        <v>0</v>
      </c>
      <c r="S865" s="360">
        <f t="shared" ca="1" si="398"/>
        <v>1.5629999999999982</v>
      </c>
      <c r="T865" s="357">
        <f t="shared" ca="1" si="378"/>
        <v>15.333029999999983</v>
      </c>
      <c r="U865" s="364">
        <f t="shared" ca="1" si="379"/>
        <v>0</v>
      </c>
      <c r="V865" s="359">
        <f t="shared" ca="1" si="380"/>
        <v>1.2259267562815719</v>
      </c>
      <c r="W865" s="357">
        <f t="shared" ca="1" si="381"/>
        <v>6.0941354447242748</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5.8132574603568727</v>
      </c>
      <c r="AH865" s="357">
        <f t="shared" ca="1" si="405"/>
        <v>-3.8989293246390204</v>
      </c>
    </row>
    <row r="866" spans="1:34" x14ac:dyDescent="0.2">
      <c r="A866" s="402">
        <f t="shared" ca="1" si="383"/>
        <v>1E-4</v>
      </c>
      <c r="B866" s="357">
        <f t="shared" ca="1" si="384"/>
        <v>15.65259999999984</v>
      </c>
      <c r="C866" s="342"/>
      <c r="D866" s="359">
        <f t="shared" ca="1" si="385"/>
        <v>-0.54921308399669411</v>
      </c>
      <c r="E866" s="360">
        <f t="shared" ca="1" si="386"/>
        <v>-5.9498758790804116</v>
      </c>
      <c r="F866" s="357">
        <f t="shared" ca="1" si="387"/>
        <v>5.9751701221049816</v>
      </c>
      <c r="G866" s="359">
        <f t="shared" ca="1" si="388"/>
        <v>9.5202572577516591</v>
      </c>
      <c r="H866" s="360">
        <f t="shared" ca="1" si="389"/>
        <v>-66.913761756381575</v>
      </c>
      <c r="I866" s="357">
        <f t="shared" ca="1" si="390"/>
        <v>67.587623206054275</v>
      </c>
      <c r="J866" s="359">
        <f t="shared" ca="1" si="391"/>
        <v>187.70931447689617</v>
      </c>
      <c r="K866" s="360">
        <f t="shared" ca="1" si="392"/>
        <v>-7.5691880974760553</v>
      </c>
      <c r="L866" s="357">
        <f t="shared" ca="1" si="377"/>
        <v>187.86186241449136</v>
      </c>
      <c r="M866" s="359">
        <f t="shared" ca="1" si="393"/>
        <v>-1.4294683273955726</v>
      </c>
      <c r="N866" s="357">
        <f t="shared" ca="1" si="394"/>
        <v>-81.9025021073913</v>
      </c>
      <c r="O866" s="343"/>
      <c r="P866" s="363">
        <f t="shared" ca="1" si="395"/>
        <v>23</v>
      </c>
      <c r="Q866" s="357">
        <f t="shared" ca="1" si="396"/>
        <v>0</v>
      </c>
      <c r="R866" s="359">
        <f t="shared" ca="1" si="397"/>
        <v>0</v>
      </c>
      <c r="S866" s="360">
        <f t="shared" ca="1" si="398"/>
        <v>1.5629999999999982</v>
      </c>
      <c r="T866" s="357">
        <f t="shared" ca="1" si="378"/>
        <v>15.333029999999983</v>
      </c>
      <c r="U866" s="364">
        <f t="shared" ca="1" si="379"/>
        <v>0</v>
      </c>
      <c r="V866" s="359">
        <f t="shared" ca="1" si="380"/>
        <v>1.2259275765920261</v>
      </c>
      <c r="W866" s="357">
        <f t="shared" ca="1" si="381"/>
        <v>6.0942443549131013</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5.8131906053205533</v>
      </c>
      <c r="AH866" s="357">
        <f t="shared" ca="1" si="405"/>
        <v>-3.8989990049419592</v>
      </c>
    </row>
    <row r="867" spans="1:34" x14ac:dyDescent="0.2">
      <c r="A867" s="402">
        <f t="shared" ca="1" si="383"/>
        <v>1E-4</v>
      </c>
      <c r="B867" s="357">
        <f t="shared" ca="1" si="384"/>
        <v>15.65269999999984</v>
      </c>
      <c r="C867" s="342"/>
      <c r="D867" s="359">
        <f t="shared" ca="1" si="385"/>
        <v>-0.54921500694361614</v>
      </c>
      <c r="E867" s="360">
        <f t="shared" ca="1" si="386"/>
        <v>-5.9498057707178376</v>
      </c>
      <c r="F867" s="357">
        <f t="shared" ca="1" si="387"/>
        <v>5.9751004872821474</v>
      </c>
      <c r="G867" s="359">
        <f t="shared" ca="1" si="388"/>
        <v>9.5202023362509642</v>
      </c>
      <c r="H867" s="360">
        <f t="shared" ca="1" si="389"/>
        <v>-66.914356736958652</v>
      </c>
      <c r="I867" s="357">
        <f t="shared" ca="1" si="390"/>
        <v>67.588204518570564</v>
      </c>
      <c r="J867" s="359">
        <f t="shared" ca="1" si="391"/>
        <v>187.70931447689617</v>
      </c>
      <c r="K867" s="360">
        <f t="shared" ca="1" si="392"/>
        <v>-7.5758795034007225</v>
      </c>
      <c r="L867" s="357">
        <f t="shared" ca="1" si="377"/>
        <v>187.86213213853492</v>
      </c>
      <c r="M867" s="359">
        <f t="shared" ca="1" si="393"/>
        <v>-1.4294703718602317</v>
      </c>
      <c r="N867" s="357">
        <f t="shared" ca="1" si="394"/>
        <v>-81.902619246587633</v>
      </c>
      <c r="O867" s="343"/>
      <c r="P867" s="363">
        <f t="shared" ca="1" si="395"/>
        <v>23</v>
      </c>
      <c r="Q867" s="357">
        <f t="shared" ca="1" si="396"/>
        <v>0</v>
      </c>
      <c r="R867" s="359">
        <f t="shared" ca="1" si="397"/>
        <v>0</v>
      </c>
      <c r="S867" s="360">
        <f t="shared" ca="1" si="398"/>
        <v>1.5629999999999982</v>
      </c>
      <c r="T867" s="357">
        <f t="shared" ca="1" si="378"/>
        <v>15.333029999999983</v>
      </c>
      <c r="U867" s="364">
        <f t="shared" ca="1" si="379"/>
        <v>0</v>
      </c>
      <c r="V867" s="359">
        <f t="shared" ca="1" si="380"/>
        <v>1.225928396910323</v>
      </c>
      <c r="W867" s="357">
        <f t="shared" ca="1" si="381"/>
        <v>6.0943532649772267</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5.813123750258498</v>
      </c>
      <c r="AH867" s="357">
        <f t="shared" ca="1" si="405"/>
        <v>-3.8990686851651364</v>
      </c>
    </row>
    <row r="868" spans="1:34" x14ac:dyDescent="0.2">
      <c r="A868" s="402">
        <f t="shared" ca="1" si="383"/>
        <v>1E-4</v>
      </c>
      <c r="B868" s="357">
        <f t="shared" ca="1" si="384"/>
        <v>15.652799999999839</v>
      </c>
      <c r="C868" s="342"/>
      <c r="D868" s="359">
        <f t="shared" ca="1" si="385"/>
        <v>-0.54921692977621206</v>
      </c>
      <c r="E868" s="360">
        <f t="shared" ca="1" si="386"/>
        <v>-5.949735662436046</v>
      </c>
      <c r="F868" s="357">
        <f t="shared" ca="1" si="387"/>
        <v>5.9750308525409386</v>
      </c>
      <c r="G868" s="359">
        <f t="shared" ca="1" si="388"/>
        <v>9.5201474145579859</v>
      </c>
      <c r="H868" s="360">
        <f t="shared" ca="1" si="389"/>
        <v>-66.914951710524889</v>
      </c>
      <c r="I868" s="357">
        <f t="shared" ca="1" si="390"/>
        <v>67.588785824401313</v>
      </c>
      <c r="J868" s="359">
        <f t="shared" ca="1" si="391"/>
        <v>187.70931447689617</v>
      </c>
      <c r="K868" s="360">
        <f t="shared" ca="1" si="392"/>
        <v>-7.5825709688230969</v>
      </c>
      <c r="L868" s="357">
        <f t="shared" ca="1" si="377"/>
        <v>187.86240210293155</v>
      </c>
      <c r="M868" s="359">
        <f t="shared" ca="1" si="393"/>
        <v>-1.4294724162779291</v>
      </c>
      <c r="N868" s="357">
        <f t="shared" ca="1" si="394"/>
        <v>-81.902736383093256</v>
      </c>
      <c r="O868" s="343"/>
      <c r="P868" s="363">
        <f t="shared" ca="1" si="395"/>
        <v>23</v>
      </c>
      <c r="Q868" s="357">
        <f t="shared" ca="1" si="396"/>
        <v>0</v>
      </c>
      <c r="R868" s="359">
        <f t="shared" ca="1" si="397"/>
        <v>0</v>
      </c>
      <c r="S868" s="360">
        <f t="shared" ca="1" si="398"/>
        <v>1.5629999999999982</v>
      </c>
      <c r="T868" s="357">
        <f t="shared" ca="1" si="378"/>
        <v>15.333029999999983</v>
      </c>
      <c r="U868" s="364">
        <f t="shared" ca="1" si="379"/>
        <v>0</v>
      </c>
      <c r="V868" s="359">
        <f t="shared" ca="1" si="380"/>
        <v>1.2259292172364626</v>
      </c>
      <c r="W868" s="357">
        <f t="shared" ca="1" si="381"/>
        <v>6.0944621749166137</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5.8130568951707371</v>
      </c>
      <c r="AH868" s="357">
        <f t="shared" ca="1" si="405"/>
        <v>-3.8991383653085308</v>
      </c>
    </row>
    <row r="869" spans="1:34" x14ac:dyDescent="0.2">
      <c r="A869" s="402">
        <f t="shared" ca="1" si="383"/>
        <v>1E-4</v>
      </c>
      <c r="B869" s="357">
        <f t="shared" ca="1" si="384"/>
        <v>15.652899999999839</v>
      </c>
      <c r="C869" s="342"/>
      <c r="D869" s="359">
        <f t="shared" ca="1" si="385"/>
        <v>-0.54921885249448277</v>
      </c>
      <c r="E869" s="360">
        <f t="shared" ca="1" si="386"/>
        <v>-5.9496655542350609</v>
      </c>
      <c r="F869" s="357">
        <f t="shared" ca="1" si="387"/>
        <v>5.9749612178813809</v>
      </c>
      <c r="G869" s="359">
        <f t="shared" ca="1" si="388"/>
        <v>9.5200924926727364</v>
      </c>
      <c r="H869" s="360">
        <f t="shared" ca="1" si="389"/>
        <v>-66.915546677080314</v>
      </c>
      <c r="I869" s="357">
        <f t="shared" ca="1" si="390"/>
        <v>67.589367123546566</v>
      </c>
      <c r="J869" s="359">
        <f t="shared" ca="1" si="391"/>
        <v>187.70931447689617</v>
      </c>
      <c r="K869" s="360">
        <f t="shared" ca="1" si="392"/>
        <v>-7.5892624937424769</v>
      </c>
      <c r="L869" s="357">
        <f t="shared" ca="1" si="377"/>
        <v>187.86267230768655</v>
      </c>
      <c r="M869" s="359">
        <f t="shared" ca="1" si="393"/>
        <v>-1.4294744606486665</v>
      </c>
      <c r="N869" s="357">
        <f t="shared" ca="1" si="394"/>
        <v>-81.902853516908266</v>
      </c>
      <c r="O869" s="343"/>
      <c r="P869" s="363">
        <f t="shared" ca="1" si="395"/>
        <v>23</v>
      </c>
      <c r="Q869" s="357">
        <f t="shared" ca="1" si="396"/>
        <v>0</v>
      </c>
      <c r="R869" s="359">
        <f t="shared" ca="1" si="397"/>
        <v>0</v>
      </c>
      <c r="S869" s="360">
        <f t="shared" ca="1" si="398"/>
        <v>1.5629999999999982</v>
      </c>
      <c r="T869" s="357">
        <f t="shared" ca="1" si="378"/>
        <v>15.333029999999983</v>
      </c>
      <c r="U869" s="364">
        <f t="shared" ca="1" si="379"/>
        <v>0</v>
      </c>
      <c r="V869" s="359">
        <f t="shared" ca="1" si="380"/>
        <v>1.2259300375704465</v>
      </c>
      <c r="W869" s="357">
        <f t="shared" ca="1" si="381"/>
        <v>6.0945710847312471</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5.8129900400572954</v>
      </c>
      <c r="AH869" s="357">
        <f t="shared" ca="1" si="405"/>
        <v>-3.8992080453721183</v>
      </c>
    </row>
    <row r="870" spans="1:34" x14ac:dyDescent="0.2">
      <c r="A870" s="402">
        <f t="shared" ca="1" si="383"/>
        <v>1E-4</v>
      </c>
      <c r="B870" s="357">
        <f t="shared" ca="1" si="384"/>
        <v>15.652999999999839</v>
      </c>
      <c r="C870" s="342"/>
      <c r="D870" s="359">
        <f t="shared" ca="1" si="385"/>
        <v>-0.54922077509843026</v>
      </c>
      <c r="E870" s="360">
        <f t="shared" ca="1" si="386"/>
        <v>-5.949595446114893</v>
      </c>
      <c r="F870" s="357">
        <f t="shared" ca="1" si="387"/>
        <v>5.9748915833034824</v>
      </c>
      <c r="G870" s="359">
        <f t="shared" ca="1" si="388"/>
        <v>9.5200375705952265</v>
      </c>
      <c r="H870" s="360">
        <f t="shared" ca="1" si="389"/>
        <v>-66.916141636624928</v>
      </c>
      <c r="I870" s="357">
        <f t="shared" ca="1" si="390"/>
        <v>67.589948416006294</v>
      </c>
      <c r="J870" s="359">
        <f t="shared" ca="1" si="391"/>
        <v>187.70931447689617</v>
      </c>
      <c r="K870" s="360">
        <f t="shared" ca="1" si="392"/>
        <v>-7.5959540781581625</v>
      </c>
      <c r="L870" s="357">
        <f t="shared" ca="1" si="377"/>
        <v>187.86294275280525</v>
      </c>
      <c r="M870" s="359">
        <f t="shared" ca="1" si="393"/>
        <v>-1.4294765049724454</v>
      </c>
      <c r="N870" s="357">
        <f t="shared" ca="1" si="394"/>
        <v>-81.902970648032763</v>
      </c>
      <c r="O870" s="343"/>
      <c r="P870" s="363">
        <f t="shared" ca="1" si="395"/>
        <v>23</v>
      </c>
      <c r="Q870" s="357">
        <f t="shared" ca="1" si="396"/>
        <v>0</v>
      </c>
      <c r="R870" s="359">
        <f t="shared" ca="1" si="397"/>
        <v>0</v>
      </c>
      <c r="S870" s="360">
        <f t="shared" ca="1" si="398"/>
        <v>1.5629999999999982</v>
      </c>
      <c r="T870" s="357">
        <f t="shared" ca="1" si="378"/>
        <v>15.333029999999983</v>
      </c>
      <c r="U870" s="364">
        <f t="shared" ca="1" si="379"/>
        <v>0</v>
      </c>
      <c r="V870" s="359">
        <f t="shared" ca="1" si="380"/>
        <v>1.2259308579122723</v>
      </c>
      <c r="W870" s="357">
        <f t="shared" ca="1" si="381"/>
        <v>6.0946799944210825</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5.8129231849181906</v>
      </c>
      <c r="AH870" s="357">
        <f t="shared" ca="1" si="405"/>
        <v>-3.8992777253558888</v>
      </c>
    </row>
    <row r="871" spans="1:34" x14ac:dyDescent="0.2">
      <c r="A871" s="402">
        <f t="shared" ca="1" si="383"/>
        <v>1E-4</v>
      </c>
      <c r="B871" s="357">
        <f t="shared" ca="1" si="384"/>
        <v>15.653099999999839</v>
      </c>
      <c r="C871" s="342"/>
      <c r="D871" s="359">
        <f t="shared" ca="1" si="385"/>
        <v>-0.54922269758805486</v>
      </c>
      <c r="E871" s="360">
        <f t="shared" ca="1" si="386"/>
        <v>-5.9495253380755706</v>
      </c>
      <c r="F871" s="357">
        <f t="shared" ca="1" si="387"/>
        <v>5.9748219488072722</v>
      </c>
      <c r="G871" s="359">
        <f t="shared" ca="1" si="388"/>
        <v>9.5199826483254668</v>
      </c>
      <c r="H871" s="360">
        <f t="shared" ca="1" si="389"/>
        <v>-66.916736589158731</v>
      </c>
      <c r="I871" s="357">
        <f t="shared" ca="1" si="390"/>
        <v>67.590529701780511</v>
      </c>
      <c r="J871" s="359">
        <f t="shared" ca="1" si="391"/>
        <v>187.70931447689617</v>
      </c>
      <c r="K871" s="360">
        <f t="shared" ca="1" si="392"/>
        <v>-7.6026457220694521</v>
      </c>
      <c r="L871" s="357">
        <f t="shared" ca="1" si="377"/>
        <v>187.86321343829292</v>
      </c>
      <c r="M871" s="359">
        <f t="shared" ca="1" si="393"/>
        <v>-1.4294785492492679</v>
      </c>
      <c r="N871" s="357">
        <f t="shared" ca="1" si="394"/>
        <v>-81.903087776466847</v>
      </c>
      <c r="O871" s="343"/>
      <c r="P871" s="363">
        <f t="shared" ca="1" si="395"/>
        <v>23</v>
      </c>
      <c r="Q871" s="357">
        <f t="shared" ca="1" si="396"/>
        <v>0</v>
      </c>
      <c r="R871" s="359">
        <f t="shared" ca="1" si="397"/>
        <v>0</v>
      </c>
      <c r="S871" s="360">
        <f t="shared" ca="1" si="398"/>
        <v>1.5629999999999982</v>
      </c>
      <c r="T871" s="357">
        <f t="shared" ca="1" si="378"/>
        <v>15.333029999999983</v>
      </c>
      <c r="U871" s="364">
        <f t="shared" ca="1" si="379"/>
        <v>0</v>
      </c>
      <c r="V871" s="359">
        <f t="shared" ca="1" si="380"/>
        <v>1.2259316782619412</v>
      </c>
      <c r="W871" s="357">
        <f t="shared" ca="1" si="381"/>
        <v>6.094788903986097</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5.8128563297534548</v>
      </c>
      <c r="AH871" s="357">
        <f t="shared" ca="1" si="405"/>
        <v>-3.8993474052598143</v>
      </c>
    </row>
    <row r="872" spans="1:34" x14ac:dyDescent="0.2">
      <c r="A872" s="402">
        <f t="shared" ca="1" si="383"/>
        <v>1E-4</v>
      </c>
      <c r="B872" s="357">
        <f t="shared" ca="1" si="384"/>
        <v>15.653199999999838</v>
      </c>
      <c r="C872" s="342"/>
      <c r="D872" s="359">
        <f t="shared" ca="1" si="385"/>
        <v>-0.54922461996335703</v>
      </c>
      <c r="E872" s="360">
        <f t="shared" ca="1" si="386"/>
        <v>-5.9494552301171062</v>
      </c>
      <c r="F872" s="357">
        <f t="shared" ca="1" si="387"/>
        <v>5.974752314392763</v>
      </c>
      <c r="G872" s="359">
        <f t="shared" ca="1" si="388"/>
        <v>9.5199277258634698</v>
      </c>
      <c r="H872" s="360">
        <f t="shared" ca="1" si="389"/>
        <v>-66.917331534681736</v>
      </c>
      <c r="I872" s="357">
        <f t="shared" ca="1" si="390"/>
        <v>67.591110980869189</v>
      </c>
      <c r="J872" s="359">
        <f t="shared" ca="1" si="391"/>
        <v>187.70931447689617</v>
      </c>
      <c r="K872" s="360">
        <f t="shared" ca="1" si="392"/>
        <v>-7.6093374254756441</v>
      </c>
      <c r="L872" s="357">
        <f t="shared" ca="1" si="377"/>
        <v>187.86348436415483</v>
      </c>
      <c r="M872" s="359">
        <f t="shared" ca="1" si="393"/>
        <v>-1.4294805934791353</v>
      </c>
      <c r="N872" s="357">
        <f t="shared" ca="1" si="394"/>
        <v>-81.903204902210604</v>
      </c>
      <c r="O872" s="343"/>
      <c r="P872" s="363">
        <f t="shared" ca="1" si="395"/>
        <v>23</v>
      </c>
      <c r="Q872" s="357">
        <f t="shared" ca="1" si="396"/>
        <v>0</v>
      </c>
      <c r="R872" s="359">
        <f t="shared" ca="1" si="397"/>
        <v>0</v>
      </c>
      <c r="S872" s="360">
        <f t="shared" ca="1" si="398"/>
        <v>1.5629999999999982</v>
      </c>
      <c r="T872" s="357">
        <f t="shared" ca="1" si="378"/>
        <v>15.333029999999983</v>
      </c>
      <c r="U872" s="364">
        <f t="shared" ca="1" si="379"/>
        <v>0</v>
      </c>
      <c r="V872" s="359">
        <f t="shared" ca="1" si="380"/>
        <v>1.2259324986194529</v>
      </c>
      <c r="W872" s="357">
        <f t="shared" ca="1" si="381"/>
        <v>6.0948978134262548</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5.8127894745631092</v>
      </c>
      <c r="AH872" s="357">
        <f t="shared" ca="1" si="405"/>
        <v>-3.8994170850838796</v>
      </c>
    </row>
    <row r="873" spans="1:34" x14ac:dyDescent="0.2">
      <c r="A873" s="402">
        <f t="shared" ca="1" si="383"/>
        <v>1E-4</v>
      </c>
      <c r="B873" s="357">
        <f t="shared" ca="1" si="384"/>
        <v>15.653299999999838</v>
      </c>
      <c r="C873" s="342"/>
      <c r="D873" s="359">
        <f t="shared" ca="1" si="385"/>
        <v>-0.54922654222433864</v>
      </c>
      <c r="E873" s="360">
        <f t="shared" ca="1" si="386"/>
        <v>-5.9493851222395255</v>
      </c>
      <c r="F873" s="357">
        <f t="shared" ca="1" si="387"/>
        <v>5.9746826800599813</v>
      </c>
      <c r="G873" s="359">
        <f t="shared" ca="1" si="388"/>
        <v>9.5198728032092479</v>
      </c>
      <c r="H873" s="360">
        <f t="shared" ca="1" si="389"/>
        <v>-66.917926473193958</v>
      </c>
      <c r="I873" s="357">
        <f t="shared" ca="1" si="390"/>
        <v>67.591692253272328</v>
      </c>
      <c r="J873" s="359">
        <f t="shared" ca="1" si="391"/>
        <v>187.70931447689617</v>
      </c>
      <c r="K873" s="360">
        <f t="shared" ca="1" si="392"/>
        <v>-7.6160291883760376</v>
      </c>
      <c r="L873" s="357">
        <f t="shared" ca="1" si="377"/>
        <v>187.86375553039628</v>
      </c>
      <c r="M873" s="359">
        <f t="shared" ca="1" si="393"/>
        <v>-1.4294826376620493</v>
      </c>
      <c r="N873" s="357">
        <f t="shared" ca="1" si="394"/>
        <v>-81.903322025264131</v>
      </c>
      <c r="O873" s="343"/>
      <c r="P873" s="363">
        <f t="shared" ca="1" si="395"/>
        <v>23</v>
      </c>
      <c r="Q873" s="357">
        <f t="shared" ca="1" si="396"/>
        <v>0</v>
      </c>
      <c r="R873" s="359">
        <f t="shared" ca="1" si="397"/>
        <v>0</v>
      </c>
      <c r="S873" s="360">
        <f t="shared" ca="1" si="398"/>
        <v>1.5629999999999982</v>
      </c>
      <c r="T873" s="357">
        <f t="shared" ca="1" si="378"/>
        <v>15.333029999999983</v>
      </c>
      <c r="U873" s="364">
        <f t="shared" ca="1" si="379"/>
        <v>0</v>
      </c>
      <c r="V873" s="359">
        <f t="shared" ca="1" si="380"/>
        <v>1.2259333189848076</v>
      </c>
      <c r="W873" s="357">
        <f t="shared" ca="1" si="381"/>
        <v>6.0950067227415268</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5.8127226193471779</v>
      </c>
      <c r="AH873" s="357">
        <f t="shared" ca="1" si="405"/>
        <v>-3.8994867648280627</v>
      </c>
    </row>
    <row r="874" spans="1:34" x14ac:dyDescent="0.2">
      <c r="A874" s="402">
        <f t="shared" ca="1" si="383"/>
        <v>1E-4</v>
      </c>
      <c r="B874" s="357">
        <f t="shared" ca="1" si="384"/>
        <v>15.653399999999838</v>
      </c>
      <c r="C874" s="342"/>
      <c r="D874" s="359">
        <f t="shared" ca="1" si="385"/>
        <v>-0.54922846437100059</v>
      </c>
      <c r="E874" s="360">
        <f t="shared" ca="1" si="386"/>
        <v>-5.9493150144428455</v>
      </c>
      <c r="F874" s="357">
        <f t="shared" ca="1" si="387"/>
        <v>5.9746130458089421</v>
      </c>
      <c r="G874" s="359">
        <f t="shared" ca="1" si="388"/>
        <v>9.51981788036281</v>
      </c>
      <c r="H874" s="360">
        <f t="shared" ca="1" si="389"/>
        <v>-66.918521404695397</v>
      </c>
      <c r="I874" s="357">
        <f t="shared" ca="1" si="390"/>
        <v>67.59227351898997</v>
      </c>
      <c r="J874" s="359">
        <f t="shared" ca="1" si="391"/>
        <v>187.70931447689617</v>
      </c>
      <c r="K874" s="360">
        <f t="shared" ca="1" si="392"/>
        <v>-7.6227210107699319</v>
      </c>
      <c r="L874" s="357">
        <f t="shared" ca="1" si="377"/>
        <v>187.86402693702254</v>
      </c>
      <c r="M874" s="359">
        <f t="shared" ca="1" si="393"/>
        <v>-1.4294846817980118</v>
      </c>
      <c r="N874" s="357">
        <f t="shared" ca="1" si="394"/>
        <v>-81.90343914562753</v>
      </c>
      <c r="O874" s="343"/>
      <c r="P874" s="363">
        <f t="shared" ca="1" si="395"/>
        <v>23</v>
      </c>
      <c r="Q874" s="357">
        <f t="shared" ca="1" si="396"/>
        <v>0</v>
      </c>
      <c r="R874" s="359">
        <f t="shared" ca="1" si="397"/>
        <v>0</v>
      </c>
      <c r="S874" s="360">
        <f t="shared" ca="1" si="398"/>
        <v>1.5629999999999982</v>
      </c>
      <c r="T874" s="357">
        <f t="shared" ca="1" si="378"/>
        <v>15.333029999999983</v>
      </c>
      <c r="U874" s="364">
        <f t="shared" ca="1" si="379"/>
        <v>0</v>
      </c>
      <c r="V874" s="359">
        <f t="shared" ca="1" si="380"/>
        <v>1.2259341393580048</v>
      </c>
      <c r="W874" s="357">
        <f t="shared" ca="1" si="381"/>
        <v>6.0951156319318889</v>
      </c>
      <c r="X874" s="343"/>
      <c r="Y874" s="367" t="str">
        <f t="shared" ca="1" si="399"/>
        <v/>
      </c>
      <c r="Z874" s="368" t="str">
        <f t="shared" ca="1" si="400"/>
        <v/>
      </c>
      <c r="AA874" s="369" t="str">
        <f t="shared" ca="1" si="401"/>
        <v/>
      </c>
      <c r="AB874" s="344"/>
      <c r="AC874" s="363" t="e">
        <f t="shared" ca="1" si="402"/>
        <v>#N/A</v>
      </c>
      <c r="AD874" s="376" t="e">
        <f t="shared" ca="1" si="403"/>
        <v>#N/A</v>
      </c>
      <c r="AE874" s="377" t="e">
        <f t="shared" ca="1" si="382"/>
        <v>#N/A</v>
      </c>
      <c r="AF874" s="344"/>
      <c r="AG874" s="359">
        <f t="shared" ca="1" si="404"/>
        <v>5.8126557641056902</v>
      </c>
      <c r="AH874" s="357">
        <f t="shared" ca="1" si="405"/>
        <v>-3.8995564444923443</v>
      </c>
    </row>
    <row r="875" spans="1:34" x14ac:dyDescent="0.2">
      <c r="A875" s="402">
        <f t="shared" ca="1" si="383"/>
        <v>1E-4</v>
      </c>
      <c r="B875" s="357">
        <f t="shared" ca="1" si="384"/>
        <v>15.653499999999838</v>
      </c>
      <c r="C875" s="342"/>
      <c r="D875" s="359">
        <f t="shared" ca="1" si="385"/>
        <v>-0.54923038640334398</v>
      </c>
      <c r="E875" s="360">
        <f t="shared" ca="1" si="386"/>
        <v>-5.9492449067270838</v>
      </c>
      <c r="F875" s="357">
        <f t="shared" ca="1" si="387"/>
        <v>5.9745434116396643</v>
      </c>
      <c r="G875" s="359">
        <f t="shared" ca="1" si="388"/>
        <v>9.5197629573241702</v>
      </c>
      <c r="H875" s="360">
        <f t="shared" ca="1" si="389"/>
        <v>-66.919116329186068</v>
      </c>
      <c r="I875" s="357">
        <f t="shared" ca="1" si="390"/>
        <v>67.592854778022058</v>
      </c>
      <c r="J875" s="359">
        <f t="shared" ca="1" si="391"/>
        <v>187.70931447689617</v>
      </c>
      <c r="K875" s="360">
        <f t="shared" ca="1" si="392"/>
        <v>-7.6294128926566263</v>
      </c>
      <c r="L875" s="357">
        <f t="shared" ca="1" si="377"/>
        <v>187.86429858403895</v>
      </c>
      <c r="M875" s="359">
        <f t="shared" ca="1" si="393"/>
        <v>-1.4294867258870243</v>
      </c>
      <c r="N875" s="357">
        <f t="shared" ca="1" si="394"/>
        <v>-81.903556263300899</v>
      </c>
      <c r="O875" s="343"/>
      <c r="P875" s="363">
        <f t="shared" ca="1" si="395"/>
        <v>23</v>
      </c>
      <c r="Q875" s="357">
        <f t="shared" ca="1" si="396"/>
        <v>0</v>
      </c>
      <c r="R875" s="359">
        <f t="shared" ca="1" si="397"/>
        <v>0</v>
      </c>
      <c r="S875" s="360">
        <f t="shared" ca="1" si="398"/>
        <v>1.5629999999999982</v>
      </c>
      <c r="T875" s="357">
        <f t="shared" ca="1" si="378"/>
        <v>15.333029999999983</v>
      </c>
      <c r="U875" s="364">
        <f t="shared" ca="1" si="379"/>
        <v>0</v>
      </c>
      <c r="V875" s="359">
        <f t="shared" ca="1" si="380"/>
        <v>1.2259349597390448</v>
      </c>
      <c r="W875" s="357">
        <f t="shared" ca="1" si="381"/>
        <v>6.0952245409973029</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5.8125889088386629</v>
      </c>
      <c r="AH875" s="357">
        <f t="shared" ca="1" si="405"/>
        <v>-3.8996261240767089</v>
      </c>
    </row>
    <row r="876" spans="1:34" x14ac:dyDescent="0.2">
      <c r="A876" s="402">
        <f t="shared" ca="1" si="383"/>
        <v>1E-4</v>
      </c>
      <c r="B876" s="357">
        <f t="shared" ca="1" si="384"/>
        <v>15.653599999999837</v>
      </c>
      <c r="C876" s="342"/>
      <c r="D876" s="359">
        <f t="shared" ca="1" si="385"/>
        <v>-0.54923230832136982</v>
      </c>
      <c r="E876" s="360">
        <f t="shared" ca="1" si="386"/>
        <v>-5.9491747990922619</v>
      </c>
      <c r="F876" s="357">
        <f t="shared" ca="1" si="387"/>
        <v>5.9744737775521681</v>
      </c>
      <c r="G876" s="359">
        <f t="shared" ca="1" si="388"/>
        <v>9.5197080340933375</v>
      </c>
      <c r="H876" s="360">
        <f t="shared" ca="1" si="389"/>
        <v>-66.919711246665983</v>
      </c>
      <c r="I876" s="357">
        <f t="shared" ca="1" si="390"/>
        <v>67.593436030368622</v>
      </c>
      <c r="J876" s="359">
        <f t="shared" ca="1" si="391"/>
        <v>187.70931447689617</v>
      </c>
      <c r="K876" s="360">
        <f t="shared" ca="1" si="392"/>
        <v>-7.636104834035419</v>
      </c>
      <c r="L876" s="357">
        <f t="shared" ca="1" si="377"/>
        <v>187.86457047145075</v>
      </c>
      <c r="M876" s="359">
        <f t="shared" ca="1" si="393"/>
        <v>-1.4294887699290886</v>
      </c>
      <c r="N876" s="357">
        <f t="shared" ca="1" si="394"/>
        <v>-81.903673378284324</v>
      </c>
      <c r="O876" s="343"/>
      <c r="P876" s="363">
        <f t="shared" ca="1" si="395"/>
        <v>23</v>
      </c>
      <c r="Q876" s="357">
        <f t="shared" ca="1" si="396"/>
        <v>0</v>
      </c>
      <c r="R876" s="359">
        <f t="shared" ca="1" si="397"/>
        <v>0</v>
      </c>
      <c r="S876" s="360">
        <f t="shared" ca="1" si="398"/>
        <v>1.5629999999999982</v>
      </c>
      <c r="T876" s="357">
        <f t="shared" ca="1" si="378"/>
        <v>15.333029999999983</v>
      </c>
      <c r="U876" s="364">
        <f t="shared" ca="1" si="379"/>
        <v>0</v>
      </c>
      <c r="V876" s="359">
        <f t="shared" ca="1" si="380"/>
        <v>1.2259357801279276</v>
      </c>
      <c r="W876" s="357">
        <f t="shared" ca="1" si="381"/>
        <v>6.0953334499377441</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5.8125220535461262</v>
      </c>
      <c r="AH876" s="357">
        <f t="shared" ca="1" si="405"/>
        <v>-3.8996958035811327</v>
      </c>
    </row>
    <row r="877" spans="1:34" x14ac:dyDescent="0.2">
      <c r="A877" s="402">
        <f t="shared" ca="1" si="383"/>
        <v>1E-4</v>
      </c>
      <c r="B877" s="357">
        <f t="shared" ca="1" si="384"/>
        <v>15.653699999999837</v>
      </c>
      <c r="C877" s="342"/>
      <c r="D877" s="359">
        <f t="shared" ca="1" si="385"/>
        <v>-0.5492342301250791</v>
      </c>
      <c r="E877" s="360">
        <f t="shared" ca="1" si="386"/>
        <v>-5.9491046915383992</v>
      </c>
      <c r="F877" s="357">
        <f t="shared" ca="1" si="387"/>
        <v>5.9744041435464741</v>
      </c>
      <c r="G877" s="359">
        <f t="shared" ca="1" si="388"/>
        <v>9.5196531106703244</v>
      </c>
      <c r="H877" s="360">
        <f t="shared" ca="1" si="389"/>
        <v>-66.920306157135144</v>
      </c>
      <c r="I877" s="357">
        <f t="shared" ca="1" si="390"/>
        <v>67.59401727602966</v>
      </c>
      <c r="J877" s="359">
        <f t="shared" ca="1" si="391"/>
        <v>187.70931447689617</v>
      </c>
      <c r="K877" s="360">
        <f t="shared" ca="1" si="392"/>
        <v>-7.6427968349056092</v>
      </c>
      <c r="L877" s="357">
        <f t="shared" ca="1" si="377"/>
        <v>187.8648425992632</v>
      </c>
      <c r="M877" s="359">
        <f t="shared" ca="1" si="393"/>
        <v>-1.4294908139242062</v>
      </c>
      <c r="N877" s="357">
        <f t="shared" ca="1" si="394"/>
        <v>-81.903790490577904</v>
      </c>
      <c r="O877" s="343"/>
      <c r="P877" s="363">
        <f t="shared" ca="1" si="395"/>
        <v>23</v>
      </c>
      <c r="Q877" s="357">
        <f t="shared" ca="1" si="396"/>
        <v>0</v>
      </c>
      <c r="R877" s="359">
        <f t="shared" ca="1" si="397"/>
        <v>0</v>
      </c>
      <c r="S877" s="360">
        <f t="shared" ca="1" si="398"/>
        <v>1.5629999999999982</v>
      </c>
      <c r="T877" s="357">
        <f t="shared" ca="1" si="378"/>
        <v>15.333029999999983</v>
      </c>
      <c r="U877" s="364">
        <f t="shared" ca="1" si="379"/>
        <v>0</v>
      </c>
      <c r="V877" s="359">
        <f t="shared" ca="1" si="380"/>
        <v>1.2259366005246521</v>
      </c>
      <c r="W877" s="357">
        <f t="shared" ca="1" si="381"/>
        <v>6.0954423587531759</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5.8124551982281023</v>
      </c>
      <c r="AH877" s="357">
        <f t="shared" ca="1" si="405"/>
        <v>-3.899765483005599</v>
      </c>
    </row>
    <row r="878" spans="1:34" x14ac:dyDescent="0.2">
      <c r="A878" s="402">
        <f t="shared" ca="1" si="383"/>
        <v>1E-4</v>
      </c>
      <c r="B878" s="357">
        <f t="shared" ca="1" si="384"/>
        <v>15.653799999999837</v>
      </c>
      <c r="C878" s="342"/>
      <c r="D878" s="359">
        <f t="shared" ca="1" si="385"/>
        <v>-0.54923615181447283</v>
      </c>
      <c r="E878" s="360">
        <f t="shared" ca="1" si="386"/>
        <v>-5.949034584065517</v>
      </c>
      <c r="F878" s="357">
        <f t="shared" ca="1" si="387"/>
        <v>5.9743345096226035</v>
      </c>
      <c r="G878" s="359">
        <f t="shared" ca="1" si="388"/>
        <v>9.5195981870551432</v>
      </c>
      <c r="H878" s="360">
        <f t="shared" ca="1" si="389"/>
        <v>-66.92090106059355</v>
      </c>
      <c r="I878" s="357">
        <f t="shared" ca="1" si="390"/>
        <v>67.594598515005146</v>
      </c>
      <c r="J878" s="359">
        <f t="shared" ca="1" si="391"/>
        <v>187.70931447689617</v>
      </c>
      <c r="K878" s="360">
        <f t="shared" ca="1" si="392"/>
        <v>-7.6494888952664954</v>
      </c>
      <c r="L878" s="357">
        <f t="shared" ca="1" si="377"/>
        <v>187.86511496748167</v>
      </c>
      <c r="M878" s="359">
        <f t="shared" ca="1" si="393"/>
        <v>-1.4294928578723791</v>
      </c>
      <c r="N878" s="357">
        <f t="shared" ca="1" si="394"/>
        <v>-81.903907600181753</v>
      </c>
      <c r="O878" s="343"/>
      <c r="P878" s="363">
        <f t="shared" ca="1" si="395"/>
        <v>23</v>
      </c>
      <c r="Q878" s="357">
        <f t="shared" ca="1" si="396"/>
        <v>0</v>
      </c>
      <c r="R878" s="359">
        <f t="shared" ca="1" si="397"/>
        <v>0</v>
      </c>
      <c r="S878" s="360">
        <f t="shared" ca="1" si="398"/>
        <v>1.5629999999999982</v>
      </c>
      <c r="T878" s="357">
        <f t="shared" ca="1" si="378"/>
        <v>15.333029999999983</v>
      </c>
      <c r="U878" s="364">
        <f t="shared" ca="1" si="379"/>
        <v>0</v>
      </c>
      <c r="V878" s="359">
        <f t="shared" ca="1" si="380"/>
        <v>1.2259374209292195</v>
      </c>
      <c r="W878" s="357">
        <f t="shared" ca="1" si="381"/>
        <v>6.0955512674435726</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5.8123883428846188</v>
      </c>
      <c r="AH878" s="357">
        <f t="shared" ca="1" si="405"/>
        <v>-3.8998351623500853</v>
      </c>
    </row>
    <row r="879" spans="1:34" x14ac:dyDescent="0.2">
      <c r="A879" s="402">
        <f t="shared" ca="1" si="383"/>
        <v>1E-4</v>
      </c>
      <c r="B879" s="357">
        <f t="shared" ca="1" si="384"/>
        <v>15.653899999999837</v>
      </c>
      <c r="C879" s="342"/>
      <c r="D879" s="359">
        <f t="shared" ca="1" si="385"/>
        <v>-0.54923807338955144</v>
      </c>
      <c r="E879" s="360">
        <f t="shared" ca="1" si="386"/>
        <v>-5.9489644766736305</v>
      </c>
      <c r="F879" s="357">
        <f t="shared" ca="1" si="387"/>
        <v>5.9742648757805696</v>
      </c>
      <c r="G879" s="359">
        <f t="shared" ca="1" si="388"/>
        <v>9.5195432632478045</v>
      </c>
      <c r="H879" s="360">
        <f t="shared" ca="1" si="389"/>
        <v>-66.921495957041216</v>
      </c>
      <c r="I879" s="357">
        <f t="shared" ca="1" si="390"/>
        <v>67.595179747295077</v>
      </c>
      <c r="J879" s="359">
        <f t="shared" ca="1" si="391"/>
        <v>187.70931447689617</v>
      </c>
      <c r="K879" s="360">
        <f t="shared" ca="1" si="392"/>
        <v>-7.6561810151173768</v>
      </c>
      <c r="L879" s="357">
        <f t="shared" ca="1" si="377"/>
        <v>187.86538757611137</v>
      </c>
      <c r="M879" s="359">
        <f t="shared" ca="1" si="393"/>
        <v>-1.4294949017736085</v>
      </c>
      <c r="N879" s="357">
        <f t="shared" ca="1" si="394"/>
        <v>-81.904024707095942</v>
      </c>
      <c r="O879" s="343"/>
      <c r="P879" s="363">
        <f t="shared" ca="1" si="395"/>
        <v>23</v>
      </c>
      <c r="Q879" s="357">
        <f t="shared" ca="1" si="396"/>
        <v>0</v>
      </c>
      <c r="R879" s="359">
        <f t="shared" ca="1" si="397"/>
        <v>0</v>
      </c>
      <c r="S879" s="360">
        <f t="shared" ca="1" si="398"/>
        <v>1.5629999999999982</v>
      </c>
      <c r="T879" s="357">
        <f t="shared" ca="1" si="378"/>
        <v>15.333029999999983</v>
      </c>
      <c r="U879" s="364">
        <f t="shared" ca="1" si="379"/>
        <v>0</v>
      </c>
      <c r="V879" s="359">
        <f t="shared" ca="1" si="380"/>
        <v>1.2259382413416293</v>
      </c>
      <c r="W879" s="357">
        <f t="shared" ca="1" si="381"/>
        <v>6.0956601760088986</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5.8123214875156961</v>
      </c>
      <c r="AH879" s="357">
        <f t="shared" ca="1" si="405"/>
        <v>-3.8999048416145743</v>
      </c>
    </row>
    <row r="880" spans="1:34" x14ac:dyDescent="0.2">
      <c r="A880" s="402">
        <f t="shared" ca="1" si="383"/>
        <v>1E-4</v>
      </c>
      <c r="B880" s="357">
        <f t="shared" ca="1" si="384"/>
        <v>15.653999999999836</v>
      </c>
      <c r="C880" s="342"/>
      <c r="D880" s="359">
        <f t="shared" ca="1" si="385"/>
        <v>-0.54923999485031749</v>
      </c>
      <c r="E880" s="360">
        <f t="shared" ca="1" si="386"/>
        <v>-5.9488943693627654</v>
      </c>
      <c r="F880" s="357">
        <f t="shared" ca="1" si="387"/>
        <v>5.9741952420204001</v>
      </c>
      <c r="G880" s="359">
        <f t="shared" ca="1" si="388"/>
        <v>9.5194883392483192</v>
      </c>
      <c r="H880" s="360">
        <f t="shared" ca="1" si="389"/>
        <v>-66.922090846478156</v>
      </c>
      <c r="I880" s="357">
        <f t="shared" ca="1" si="390"/>
        <v>67.595760972899484</v>
      </c>
      <c r="J880" s="359">
        <f t="shared" ca="1" si="391"/>
        <v>187.70931447689617</v>
      </c>
      <c r="K880" s="360">
        <f t="shared" ca="1" si="392"/>
        <v>-7.6628731944575526</v>
      </c>
      <c r="L880" s="357">
        <f t="shared" ca="1" si="377"/>
        <v>187.86566042515761</v>
      </c>
      <c r="M880" s="359">
        <f t="shared" ca="1" si="393"/>
        <v>-1.4294969456278965</v>
      </c>
      <c r="N880" s="357">
        <f t="shared" ca="1" si="394"/>
        <v>-81.904141811320585</v>
      </c>
      <c r="O880" s="343"/>
      <c r="P880" s="363">
        <f t="shared" ca="1" si="395"/>
        <v>23</v>
      </c>
      <c r="Q880" s="357">
        <f t="shared" ca="1" si="396"/>
        <v>0</v>
      </c>
      <c r="R880" s="359">
        <f t="shared" ca="1" si="397"/>
        <v>0</v>
      </c>
      <c r="S880" s="360">
        <f t="shared" ca="1" si="398"/>
        <v>1.5629999999999982</v>
      </c>
      <c r="T880" s="357">
        <f t="shared" ca="1" si="378"/>
        <v>15.333029999999983</v>
      </c>
      <c r="U880" s="364">
        <f t="shared" ca="1" si="379"/>
        <v>0</v>
      </c>
      <c r="V880" s="359">
        <f t="shared" ca="1" si="380"/>
        <v>1.2259390617618813</v>
      </c>
      <c r="W880" s="357">
        <f t="shared" ca="1" si="381"/>
        <v>6.0957690844491283</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5.8122546321213653</v>
      </c>
      <c r="AH880" s="357">
        <f t="shared" ca="1" si="405"/>
        <v>-3.8999745207990442</v>
      </c>
    </row>
    <row r="881" spans="1:34" x14ac:dyDescent="0.2">
      <c r="A881" s="402">
        <f t="shared" ca="1" si="383"/>
        <v>1E-4</v>
      </c>
      <c r="B881" s="357">
        <f t="shared" ca="1" si="384"/>
        <v>15.654099999999836</v>
      </c>
      <c r="C881" s="342"/>
      <c r="D881" s="359">
        <f t="shared" ca="1" si="385"/>
        <v>-0.54924191619677043</v>
      </c>
      <c r="E881" s="360">
        <f t="shared" ca="1" si="386"/>
        <v>-5.9488242621329377</v>
      </c>
      <c r="F881" s="357">
        <f t="shared" ca="1" si="387"/>
        <v>5.9741256083421099</v>
      </c>
      <c r="G881" s="359">
        <f t="shared" ca="1" si="388"/>
        <v>9.5194334150566995</v>
      </c>
      <c r="H881" s="360">
        <f t="shared" ca="1" si="389"/>
        <v>-66.922685728904369</v>
      </c>
      <c r="I881" s="357">
        <f t="shared" ca="1" si="390"/>
        <v>67.596342191818323</v>
      </c>
      <c r="J881" s="359">
        <f t="shared" ca="1" si="391"/>
        <v>187.70931447689617</v>
      </c>
      <c r="K881" s="360">
        <f t="shared" ca="1" si="392"/>
        <v>-7.6695654332863219</v>
      </c>
      <c r="L881" s="357">
        <f t="shared" ca="1" si="377"/>
        <v>187.86593351462568</v>
      </c>
      <c r="M881" s="359">
        <f t="shared" ca="1" si="393"/>
        <v>-1.4294989894352446</v>
      </c>
      <c r="N881" s="357">
        <f t="shared" ca="1" si="394"/>
        <v>-81.904258912855767</v>
      </c>
      <c r="O881" s="343"/>
      <c r="P881" s="363">
        <f t="shared" ca="1" si="395"/>
        <v>23</v>
      </c>
      <c r="Q881" s="357">
        <f t="shared" ca="1" si="396"/>
        <v>0</v>
      </c>
      <c r="R881" s="359">
        <f t="shared" ca="1" si="397"/>
        <v>0</v>
      </c>
      <c r="S881" s="360">
        <f t="shared" ca="1" si="398"/>
        <v>1.5629999999999982</v>
      </c>
      <c r="T881" s="357">
        <f t="shared" ca="1" si="378"/>
        <v>15.333029999999983</v>
      </c>
      <c r="U881" s="364">
        <f t="shared" ca="1" si="379"/>
        <v>0</v>
      </c>
      <c r="V881" s="359">
        <f t="shared" ca="1" si="380"/>
        <v>1.2259398821899756</v>
      </c>
      <c r="W881" s="357">
        <f t="shared" ca="1" si="381"/>
        <v>6.0958779927642279</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5.8121877767016432</v>
      </c>
      <c r="AH881" s="357">
        <f t="shared" ca="1" si="405"/>
        <v>-3.9000441999034776</v>
      </c>
    </row>
    <row r="882" spans="1:34" x14ac:dyDescent="0.2">
      <c r="A882" s="402">
        <f t="shared" ca="1" si="383"/>
        <v>1E-4</v>
      </c>
      <c r="B882" s="357">
        <f t="shared" ca="1" si="384"/>
        <v>15.654199999999836</v>
      </c>
      <c r="C882" s="342"/>
      <c r="D882" s="359">
        <f t="shared" ca="1" si="385"/>
        <v>-0.54924383742891225</v>
      </c>
      <c r="E882" s="360">
        <f t="shared" ca="1" si="386"/>
        <v>-5.9487541549841687</v>
      </c>
      <c r="F882" s="357">
        <f t="shared" ca="1" si="387"/>
        <v>5.9740559747457205</v>
      </c>
      <c r="G882" s="359">
        <f t="shared" ca="1" si="388"/>
        <v>9.5193784906729562</v>
      </c>
      <c r="H882" s="360">
        <f t="shared" ca="1" si="389"/>
        <v>-66.923280604319871</v>
      </c>
      <c r="I882" s="357">
        <f t="shared" ca="1" si="390"/>
        <v>67.596923404051637</v>
      </c>
      <c r="J882" s="359">
        <f t="shared" ca="1" si="391"/>
        <v>187.70931447689617</v>
      </c>
      <c r="K882" s="360">
        <f t="shared" ca="1" si="392"/>
        <v>-7.6762577316029832</v>
      </c>
      <c r="L882" s="357">
        <f t="shared" ca="1" si="377"/>
        <v>187.86620684452086</v>
      </c>
      <c r="M882" s="359">
        <f t="shared" ca="1" si="393"/>
        <v>-1.4295010331956544</v>
      </c>
      <c r="N882" s="357">
        <f t="shared" ca="1" si="394"/>
        <v>-81.904376011701586</v>
      </c>
      <c r="O882" s="343"/>
      <c r="P882" s="363">
        <f t="shared" ca="1" si="395"/>
        <v>23</v>
      </c>
      <c r="Q882" s="357">
        <f t="shared" ca="1" si="396"/>
        <v>0</v>
      </c>
      <c r="R882" s="359">
        <f t="shared" ca="1" si="397"/>
        <v>0</v>
      </c>
      <c r="S882" s="360">
        <f t="shared" ca="1" si="398"/>
        <v>1.5629999999999982</v>
      </c>
      <c r="T882" s="357">
        <f t="shared" ca="1" si="378"/>
        <v>15.333029999999983</v>
      </c>
      <c r="U882" s="364">
        <f t="shared" ca="1" si="379"/>
        <v>0</v>
      </c>
      <c r="V882" s="359">
        <f t="shared" ca="1" si="380"/>
        <v>1.2259407026259117</v>
      </c>
      <c r="W882" s="357">
        <f t="shared" ca="1" si="381"/>
        <v>6.0959869009541716</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5.8121209212565601</v>
      </c>
      <c r="AH882" s="357">
        <f t="shared" ca="1" si="405"/>
        <v>-3.9001138789278533</v>
      </c>
    </row>
    <row r="883" spans="1:34" x14ac:dyDescent="0.2">
      <c r="A883" s="402">
        <f t="shared" ca="1" si="383"/>
        <v>1E-4</v>
      </c>
      <c r="B883" s="357">
        <f t="shared" ca="1" si="384"/>
        <v>15.654299999999836</v>
      </c>
      <c r="C883" s="342"/>
      <c r="D883" s="359">
        <f t="shared" ca="1" si="385"/>
        <v>-0.54924575854674429</v>
      </c>
      <c r="E883" s="360">
        <f t="shared" ca="1" si="386"/>
        <v>-5.9486840479164735</v>
      </c>
      <c r="F883" s="357">
        <f t="shared" ca="1" si="387"/>
        <v>5.9739863412312477</v>
      </c>
      <c r="G883" s="359">
        <f t="shared" ca="1" si="388"/>
        <v>9.5193235660971016</v>
      </c>
      <c r="H883" s="360">
        <f t="shared" ca="1" si="389"/>
        <v>-66.92387547272466</v>
      </c>
      <c r="I883" s="357">
        <f t="shared" ca="1" si="390"/>
        <v>67.597504609599383</v>
      </c>
      <c r="J883" s="359">
        <f t="shared" ca="1" si="391"/>
        <v>187.70931447689617</v>
      </c>
      <c r="K883" s="360">
        <f t="shared" ca="1" si="392"/>
        <v>-7.6829500894068357</v>
      </c>
      <c r="L883" s="357">
        <f t="shared" ca="1" si="377"/>
        <v>187.86648041484838</v>
      </c>
      <c r="M883" s="359">
        <f t="shared" ca="1" si="393"/>
        <v>-1.4295030769091277</v>
      </c>
      <c r="N883" s="357">
        <f t="shared" ca="1" si="394"/>
        <v>-81.904493107858144</v>
      </c>
      <c r="O883" s="343"/>
      <c r="P883" s="363">
        <f t="shared" ca="1" si="395"/>
        <v>23</v>
      </c>
      <c r="Q883" s="357">
        <f t="shared" ca="1" si="396"/>
        <v>0</v>
      </c>
      <c r="R883" s="359">
        <f t="shared" ca="1" si="397"/>
        <v>0</v>
      </c>
      <c r="S883" s="360">
        <f t="shared" ca="1" si="398"/>
        <v>1.5629999999999982</v>
      </c>
      <c r="T883" s="357">
        <f t="shared" ca="1" si="378"/>
        <v>15.333029999999983</v>
      </c>
      <c r="U883" s="364">
        <f t="shared" ca="1" si="379"/>
        <v>0</v>
      </c>
      <c r="V883" s="359">
        <f t="shared" ca="1" si="380"/>
        <v>1.22594152306969</v>
      </c>
      <c r="W883" s="357">
        <f t="shared" ca="1" si="381"/>
        <v>6.0960958090189239</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5.8120540657861355</v>
      </c>
      <c r="AH883" s="357">
        <f t="shared" ca="1" si="405"/>
        <v>-3.9001835578721553</v>
      </c>
    </row>
    <row r="884" spans="1:34" x14ac:dyDescent="0.2">
      <c r="A884" s="402">
        <f t="shared" ca="1" si="383"/>
        <v>1E-4</v>
      </c>
      <c r="B884" s="357">
        <f t="shared" ca="1" si="384"/>
        <v>15.654399999999836</v>
      </c>
      <c r="C884" s="342"/>
      <c r="D884" s="359">
        <f t="shared" ca="1" si="385"/>
        <v>-0.54924767955026654</v>
      </c>
      <c r="E884" s="360">
        <f t="shared" ca="1" si="386"/>
        <v>-5.9486139409298771</v>
      </c>
      <c r="F884" s="357">
        <f t="shared" ca="1" si="387"/>
        <v>5.9739167077987148</v>
      </c>
      <c r="G884" s="359">
        <f t="shared" ca="1" si="388"/>
        <v>9.5192686413291465</v>
      </c>
      <c r="H884" s="360">
        <f t="shared" ca="1" si="389"/>
        <v>-66.924470334118752</v>
      </c>
      <c r="I884" s="357">
        <f t="shared" ca="1" si="390"/>
        <v>67.598085808461562</v>
      </c>
      <c r="J884" s="359">
        <f t="shared" ca="1" si="391"/>
        <v>187.70931447689617</v>
      </c>
      <c r="K884" s="360">
        <f t="shared" ca="1" si="392"/>
        <v>-7.6896425066971776</v>
      </c>
      <c r="L884" s="357">
        <f t="shared" ca="1" si="377"/>
        <v>187.86675422561359</v>
      </c>
      <c r="M884" s="359">
        <f t="shared" ca="1" si="393"/>
        <v>-1.4295051205756659</v>
      </c>
      <c r="N884" s="357">
        <f t="shared" ca="1" si="394"/>
        <v>-81.904610201325511</v>
      </c>
      <c r="O884" s="343"/>
      <c r="P884" s="363">
        <f t="shared" ca="1" si="395"/>
        <v>23</v>
      </c>
      <c r="Q884" s="357">
        <f t="shared" ca="1" si="396"/>
        <v>0</v>
      </c>
      <c r="R884" s="359">
        <f t="shared" ca="1" si="397"/>
        <v>0</v>
      </c>
      <c r="S884" s="360">
        <f t="shared" ca="1" si="398"/>
        <v>1.5629999999999982</v>
      </c>
      <c r="T884" s="357">
        <f t="shared" ca="1" si="378"/>
        <v>15.333029999999983</v>
      </c>
      <c r="U884" s="364">
        <f t="shared" ca="1" si="379"/>
        <v>0</v>
      </c>
      <c r="V884" s="359">
        <f t="shared" ca="1" si="380"/>
        <v>1.2259423435213106</v>
      </c>
      <c r="W884" s="357">
        <f t="shared" ca="1" si="381"/>
        <v>6.0962047169584546</v>
      </c>
      <c r="X884" s="343"/>
      <c r="Y884" s="367" t="str">
        <f t="shared" ca="1" si="399"/>
        <v/>
      </c>
      <c r="Z884" s="368" t="str">
        <f t="shared" ca="1" si="400"/>
        <v/>
      </c>
      <c r="AA884" s="369" t="str">
        <f t="shared" ca="1" si="401"/>
        <v/>
      </c>
      <c r="AB884" s="344"/>
      <c r="AC884" s="363" t="e">
        <f t="shared" ca="1" si="402"/>
        <v>#N/A</v>
      </c>
      <c r="AD884" s="376" t="e">
        <f t="shared" ca="1" si="403"/>
        <v>#N/A</v>
      </c>
      <c r="AE884" s="377" t="e">
        <f t="shared" ca="1" si="382"/>
        <v>#N/A</v>
      </c>
      <c r="AF884" s="344"/>
      <c r="AG884" s="359">
        <f t="shared" ca="1" si="404"/>
        <v>5.8119872102904022</v>
      </c>
      <c r="AH884" s="357">
        <f t="shared" ca="1" si="405"/>
        <v>-3.90025323673636</v>
      </c>
    </row>
    <row r="885" spans="1:34" x14ac:dyDescent="0.2">
      <c r="A885" s="402">
        <f t="shared" ca="1" si="383"/>
        <v>1E-4</v>
      </c>
      <c r="B885" s="357">
        <f t="shared" ca="1" si="384"/>
        <v>15.654499999999835</v>
      </c>
      <c r="C885" s="342"/>
      <c r="D885" s="359">
        <f t="shared" ca="1" si="385"/>
        <v>-0.54924960043948134</v>
      </c>
      <c r="E885" s="360">
        <f t="shared" ca="1" si="386"/>
        <v>-5.948543834024397</v>
      </c>
      <c r="F885" s="357">
        <f t="shared" ca="1" si="387"/>
        <v>5.9738470744481402</v>
      </c>
      <c r="G885" s="359">
        <f t="shared" ca="1" si="388"/>
        <v>9.5192137163691033</v>
      </c>
      <c r="H885" s="360">
        <f t="shared" ca="1" si="389"/>
        <v>-66.92506518850216</v>
      </c>
      <c r="I885" s="357">
        <f t="shared" ca="1" si="390"/>
        <v>67.598667000638216</v>
      </c>
      <c r="J885" s="359">
        <f t="shared" ca="1" si="391"/>
        <v>187.70931447689617</v>
      </c>
      <c r="K885" s="360">
        <f t="shared" ca="1" si="392"/>
        <v>-7.6963349834733084</v>
      </c>
      <c r="L885" s="357">
        <f t="shared" ca="1" si="377"/>
        <v>187.86702827682174</v>
      </c>
      <c r="M885" s="359">
        <f t="shared" ca="1" si="393"/>
        <v>-1.4295071641952712</v>
      </c>
      <c r="N885" s="357">
        <f t="shared" ca="1" si="394"/>
        <v>-81.904727292103829</v>
      </c>
      <c r="O885" s="343"/>
      <c r="P885" s="363">
        <f t="shared" ca="1" si="395"/>
        <v>23</v>
      </c>
      <c r="Q885" s="357">
        <f t="shared" ca="1" si="396"/>
        <v>0</v>
      </c>
      <c r="R885" s="359">
        <f t="shared" ca="1" si="397"/>
        <v>0</v>
      </c>
      <c r="S885" s="360">
        <f t="shared" ca="1" si="398"/>
        <v>1.5629999999999982</v>
      </c>
      <c r="T885" s="357">
        <f t="shared" ca="1" si="378"/>
        <v>15.333029999999983</v>
      </c>
      <c r="U885" s="364">
        <f t="shared" ca="1" si="379"/>
        <v>0</v>
      </c>
      <c r="V885" s="359">
        <f t="shared" ca="1" si="380"/>
        <v>1.2259431639807725</v>
      </c>
      <c r="W885" s="357">
        <f t="shared" ca="1" si="381"/>
        <v>6.0963136247727379</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5.8119203547693763</v>
      </c>
      <c r="AH885" s="357">
        <f t="shared" ca="1" si="405"/>
        <v>-3.9003229155204489</v>
      </c>
    </row>
    <row r="886" spans="1:34" x14ac:dyDescent="0.2">
      <c r="A886" s="402">
        <f t="shared" ca="1" si="383"/>
        <v>1E-4</v>
      </c>
      <c r="B886" s="357">
        <f t="shared" ca="1" si="384"/>
        <v>15.654599999999835</v>
      </c>
      <c r="C886" s="342"/>
      <c r="D886" s="359">
        <f t="shared" ca="1" si="385"/>
        <v>-0.54925152121438836</v>
      </c>
      <c r="E886" s="360">
        <f t="shared" ca="1" si="386"/>
        <v>-5.9484737272000512</v>
      </c>
      <c r="F886" s="357">
        <f t="shared" ca="1" si="387"/>
        <v>5.973777441179541</v>
      </c>
      <c r="G886" s="359">
        <f t="shared" ca="1" si="388"/>
        <v>9.5191587912169826</v>
      </c>
      <c r="H886" s="360">
        <f t="shared" ca="1" si="389"/>
        <v>-66.925660035874884</v>
      </c>
      <c r="I886" s="357">
        <f t="shared" ca="1" si="390"/>
        <v>67.599248186129287</v>
      </c>
      <c r="J886" s="359">
        <f t="shared" ca="1" si="391"/>
        <v>187.70931447689617</v>
      </c>
      <c r="K886" s="360">
        <f t="shared" ca="1" si="392"/>
        <v>-7.703027519734527</v>
      </c>
      <c r="L886" s="357">
        <f t="shared" ca="1" si="377"/>
        <v>187.86730256847807</v>
      </c>
      <c r="M886" s="359">
        <f t="shared" ca="1" si="393"/>
        <v>-1.4295092077679448</v>
      </c>
      <c r="N886" s="357">
        <f t="shared" ca="1" si="394"/>
        <v>-81.904844380193154</v>
      </c>
      <c r="O886" s="343"/>
      <c r="P886" s="363">
        <f t="shared" ca="1" si="395"/>
        <v>23</v>
      </c>
      <c r="Q886" s="357">
        <f t="shared" ca="1" si="396"/>
        <v>0</v>
      </c>
      <c r="R886" s="359">
        <f t="shared" ca="1" si="397"/>
        <v>0</v>
      </c>
      <c r="S886" s="360">
        <f t="shared" ca="1" si="398"/>
        <v>1.5629999999999982</v>
      </c>
      <c r="T886" s="357">
        <f t="shared" ca="1" si="378"/>
        <v>15.333029999999983</v>
      </c>
      <c r="U886" s="364">
        <f t="shared" ca="1" si="379"/>
        <v>0</v>
      </c>
      <c r="V886" s="359">
        <f t="shared" ca="1" si="380"/>
        <v>1.2259439844480768</v>
      </c>
      <c r="W886" s="357">
        <f t="shared" ca="1" si="381"/>
        <v>6.0964225324617374</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5.8118534992230853</v>
      </c>
      <c r="AH886" s="357">
        <f t="shared" ca="1" si="405"/>
        <v>-3.9003925942244049</v>
      </c>
    </row>
    <row r="887" spans="1:34" x14ac:dyDescent="0.2">
      <c r="A887" s="402">
        <f t="shared" ca="1" si="383"/>
        <v>1E-4</v>
      </c>
      <c r="B887" s="357">
        <f t="shared" ca="1" si="384"/>
        <v>15.654699999999835</v>
      </c>
      <c r="C887" s="342"/>
      <c r="D887" s="359">
        <f t="shared" ca="1" si="385"/>
        <v>-0.54925344187499014</v>
      </c>
      <c r="E887" s="360">
        <f t="shared" ca="1" si="386"/>
        <v>-5.9484036204568635</v>
      </c>
      <c r="F887" s="357">
        <f t="shared" ca="1" si="387"/>
        <v>5.9737078079929429</v>
      </c>
      <c r="G887" s="359">
        <f t="shared" ca="1" si="388"/>
        <v>9.5191038658727951</v>
      </c>
      <c r="H887" s="360">
        <f t="shared" ca="1" si="389"/>
        <v>-66.926254876236925</v>
      </c>
      <c r="I887" s="357">
        <f t="shared" ca="1" si="390"/>
        <v>67.599829364934806</v>
      </c>
      <c r="J887" s="359">
        <f t="shared" ca="1" si="391"/>
        <v>187.70931447689617</v>
      </c>
      <c r="K887" s="360">
        <f t="shared" ca="1" si="392"/>
        <v>-7.7097201154801329</v>
      </c>
      <c r="L887" s="357">
        <f t="shared" ca="1" si="377"/>
        <v>187.86757710058791</v>
      </c>
      <c r="M887" s="359">
        <f t="shared" ca="1" si="393"/>
        <v>-1.4295112512936887</v>
      </c>
      <c r="N887" s="357">
        <f t="shared" ca="1" si="394"/>
        <v>-81.904961465593601</v>
      </c>
      <c r="O887" s="343"/>
      <c r="P887" s="363">
        <f t="shared" ca="1" si="395"/>
        <v>23</v>
      </c>
      <c r="Q887" s="357">
        <f t="shared" ca="1" si="396"/>
        <v>0</v>
      </c>
      <c r="R887" s="359">
        <f t="shared" ca="1" si="397"/>
        <v>0</v>
      </c>
      <c r="S887" s="360">
        <f t="shared" ca="1" si="398"/>
        <v>1.5629999999999982</v>
      </c>
      <c r="T887" s="357">
        <f t="shared" ca="1" si="378"/>
        <v>15.333029999999983</v>
      </c>
      <c r="U887" s="364">
        <f t="shared" ca="1" si="379"/>
        <v>0</v>
      </c>
      <c r="V887" s="359">
        <f t="shared" ca="1" si="380"/>
        <v>1.2259448049232224</v>
      </c>
      <c r="W887" s="357">
        <f t="shared" ca="1" si="381"/>
        <v>6.0965314400254274</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5.8117866436515566</v>
      </c>
      <c r="AH887" s="357">
        <f t="shared" ca="1" si="405"/>
        <v>-3.900462272848205</v>
      </c>
    </row>
    <row r="888" spans="1:34" x14ac:dyDescent="0.2">
      <c r="A888" s="402">
        <f t="shared" ca="1" si="383"/>
        <v>1E-4</v>
      </c>
      <c r="B888" s="357">
        <f t="shared" ca="1" si="384"/>
        <v>15.654799999999835</v>
      </c>
      <c r="C888" s="342"/>
      <c r="D888" s="359">
        <f t="shared" ca="1" si="385"/>
        <v>-0.54925536242128592</v>
      </c>
      <c r="E888" s="360">
        <f t="shared" ca="1" si="386"/>
        <v>-5.9483335137948483</v>
      </c>
      <c r="F888" s="357">
        <f t="shared" ca="1" si="387"/>
        <v>5.9736381748883574</v>
      </c>
      <c r="G888" s="359">
        <f t="shared" ca="1" si="388"/>
        <v>9.5190489403365532</v>
      </c>
      <c r="H888" s="360">
        <f t="shared" ca="1" si="389"/>
        <v>-66.926849709588311</v>
      </c>
      <c r="I888" s="357">
        <f t="shared" ca="1" si="390"/>
        <v>67.600410537054756</v>
      </c>
      <c r="J888" s="359">
        <f t="shared" ca="1" si="391"/>
        <v>187.70931447689617</v>
      </c>
      <c r="K888" s="360">
        <f t="shared" ca="1" si="392"/>
        <v>-7.7164127707094243</v>
      </c>
      <c r="L888" s="357">
        <f t="shared" ca="1" si="377"/>
        <v>187.8678518731565</v>
      </c>
      <c r="M888" s="359">
        <f t="shared" ca="1" si="393"/>
        <v>-1.4295132947725044</v>
      </c>
      <c r="N888" s="357">
        <f t="shared" ca="1" si="394"/>
        <v>-81.905078548305269</v>
      </c>
      <c r="O888" s="343"/>
      <c r="P888" s="363">
        <f t="shared" ca="1" si="395"/>
        <v>23</v>
      </c>
      <c r="Q888" s="357">
        <f t="shared" ca="1" si="396"/>
        <v>0</v>
      </c>
      <c r="R888" s="359">
        <f t="shared" ca="1" si="397"/>
        <v>0</v>
      </c>
      <c r="S888" s="360">
        <f t="shared" ca="1" si="398"/>
        <v>1.5629999999999982</v>
      </c>
      <c r="T888" s="357">
        <f t="shared" ca="1" si="378"/>
        <v>15.333029999999983</v>
      </c>
      <c r="U888" s="364">
        <f t="shared" ca="1" si="379"/>
        <v>0</v>
      </c>
      <c r="V888" s="359">
        <f t="shared" ca="1" si="380"/>
        <v>1.2259456254062102</v>
      </c>
      <c r="W888" s="357">
        <f t="shared" ca="1" si="381"/>
        <v>6.0966403474637758</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5.8117197880548099</v>
      </c>
      <c r="AH888" s="357">
        <f t="shared" ca="1" si="405"/>
        <v>-3.9005319513918328</v>
      </c>
    </row>
    <row r="889" spans="1:34" x14ac:dyDescent="0.2">
      <c r="A889" s="402">
        <f t="shared" ca="1" si="383"/>
        <v>1E-4</v>
      </c>
      <c r="B889" s="357">
        <f t="shared" ca="1" si="384"/>
        <v>15.654899999999834</v>
      </c>
      <c r="C889" s="342"/>
      <c r="D889" s="359">
        <f t="shared" ca="1" si="385"/>
        <v>-0.54925728285327813</v>
      </c>
      <c r="E889" s="360">
        <f t="shared" ca="1" si="386"/>
        <v>-5.9482634072140286</v>
      </c>
      <c r="F889" s="357">
        <f t="shared" ca="1" si="387"/>
        <v>5.9735685418658093</v>
      </c>
      <c r="G889" s="359">
        <f t="shared" ca="1" si="388"/>
        <v>9.5189940146082677</v>
      </c>
      <c r="H889" s="360">
        <f t="shared" ca="1" si="389"/>
        <v>-66.927444535929027</v>
      </c>
      <c r="I889" s="357">
        <f t="shared" ca="1" si="390"/>
        <v>67.600991702489125</v>
      </c>
      <c r="J889" s="359">
        <f t="shared" ca="1" si="391"/>
        <v>187.70931447689617</v>
      </c>
      <c r="K889" s="360">
        <f t="shared" ca="1" si="392"/>
        <v>-7.7231054854217005</v>
      </c>
      <c r="L889" s="357">
        <f t="shared" ca="1" si="377"/>
        <v>187.86812688618909</v>
      </c>
      <c r="M889" s="359">
        <f t="shared" ca="1" si="393"/>
        <v>-1.4295153382043935</v>
      </c>
      <c r="N889" s="357">
        <f t="shared" ca="1" si="394"/>
        <v>-81.905195628328229</v>
      </c>
      <c r="O889" s="343"/>
      <c r="P889" s="363">
        <f t="shared" ca="1" si="395"/>
        <v>23</v>
      </c>
      <c r="Q889" s="357">
        <f t="shared" ca="1" si="396"/>
        <v>0</v>
      </c>
      <c r="R889" s="359">
        <f t="shared" ca="1" si="397"/>
        <v>0</v>
      </c>
      <c r="S889" s="360">
        <f t="shared" ca="1" si="398"/>
        <v>1.5629999999999982</v>
      </c>
      <c r="T889" s="357">
        <f t="shared" ca="1" si="378"/>
        <v>15.333029999999983</v>
      </c>
      <c r="U889" s="364">
        <f t="shared" ca="1" si="379"/>
        <v>0</v>
      </c>
      <c r="V889" s="359">
        <f t="shared" ca="1" si="380"/>
        <v>1.225946445897039</v>
      </c>
      <c r="W889" s="357">
        <f t="shared" ca="1" si="381"/>
        <v>6.0967492547767455</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5.8116529324328736</v>
      </c>
      <c r="AH889" s="357">
        <f t="shared" ca="1" si="405"/>
        <v>-3.9006016298552675</v>
      </c>
    </row>
    <row r="890" spans="1:34" x14ac:dyDescent="0.2">
      <c r="A890" s="402">
        <f t="shared" ca="1" si="383"/>
        <v>1E-4</v>
      </c>
      <c r="B890" s="357">
        <f t="shared" ca="1" si="384"/>
        <v>15.654999999999834</v>
      </c>
      <c r="C890" s="342"/>
      <c r="D890" s="359">
        <f t="shared" ca="1" si="385"/>
        <v>-0.54925920317096755</v>
      </c>
      <c r="E890" s="360">
        <f t="shared" ca="1" si="386"/>
        <v>-5.9481933007144274</v>
      </c>
      <c r="F890" s="357">
        <f t="shared" ca="1" si="387"/>
        <v>5.973498908925321</v>
      </c>
      <c r="G890" s="359">
        <f t="shared" ca="1" si="388"/>
        <v>9.5189390886879508</v>
      </c>
      <c r="H890" s="360">
        <f t="shared" ca="1" si="389"/>
        <v>-66.928039355259102</v>
      </c>
      <c r="I890" s="357">
        <f t="shared" ca="1" si="390"/>
        <v>67.601572861237941</v>
      </c>
      <c r="J890" s="359">
        <f t="shared" ca="1" si="391"/>
        <v>187.70931447689617</v>
      </c>
      <c r="K890" s="360">
        <f t="shared" ca="1" si="392"/>
        <v>-7.7297982596162598</v>
      </c>
      <c r="L890" s="357">
        <f t="shared" ca="1" si="377"/>
        <v>187.86840213969103</v>
      </c>
      <c r="M890" s="359">
        <f t="shared" ca="1" si="393"/>
        <v>-1.429517381589358</v>
      </c>
      <c r="N890" s="357">
        <f t="shared" ca="1" si="394"/>
        <v>-81.905312705662624</v>
      </c>
      <c r="O890" s="343"/>
      <c r="P890" s="363">
        <f t="shared" ca="1" si="395"/>
        <v>23</v>
      </c>
      <c r="Q890" s="357">
        <f t="shared" ca="1" si="396"/>
        <v>0</v>
      </c>
      <c r="R890" s="359">
        <f t="shared" ca="1" si="397"/>
        <v>0</v>
      </c>
      <c r="S890" s="360">
        <f t="shared" ca="1" si="398"/>
        <v>1.5629999999999982</v>
      </c>
      <c r="T890" s="357">
        <f t="shared" ca="1" si="378"/>
        <v>15.333029999999983</v>
      </c>
      <c r="U890" s="364">
        <f t="shared" ca="1" si="379"/>
        <v>0</v>
      </c>
      <c r="V890" s="359">
        <f t="shared" ca="1" si="380"/>
        <v>1.2259472663957101</v>
      </c>
      <c r="W890" s="357">
        <f t="shared" ca="1" si="381"/>
        <v>6.0968581619643176</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5.8115860767857734</v>
      </c>
      <c r="AH890" s="357">
        <f t="shared" ca="1" si="405"/>
        <v>-3.9006713082384854</v>
      </c>
    </row>
    <row r="891" spans="1:34" x14ac:dyDescent="0.2">
      <c r="A891" s="402">
        <f t="shared" ca="1" si="383"/>
        <v>1E-4</v>
      </c>
      <c r="B891" s="357">
        <f t="shared" ca="1" si="384"/>
        <v>15.655099999999834</v>
      </c>
      <c r="C891" s="342"/>
      <c r="D891" s="359">
        <f t="shared" ca="1" si="385"/>
        <v>-0.54926112337435429</v>
      </c>
      <c r="E891" s="360">
        <f t="shared" ca="1" si="386"/>
        <v>-5.9481231942960564</v>
      </c>
      <c r="F891" s="357">
        <f t="shared" ca="1" si="387"/>
        <v>5.9734292760669039</v>
      </c>
      <c r="G891" s="359">
        <f t="shared" ca="1" si="388"/>
        <v>9.5188841625756133</v>
      </c>
      <c r="H891" s="360">
        <f t="shared" ca="1" si="389"/>
        <v>-66.928634167578537</v>
      </c>
      <c r="I891" s="357">
        <f t="shared" ca="1" si="390"/>
        <v>67.602154013301188</v>
      </c>
      <c r="J891" s="359">
        <f t="shared" ca="1" si="391"/>
        <v>187.70931447689617</v>
      </c>
      <c r="K891" s="360">
        <f t="shared" ca="1" si="392"/>
        <v>-7.7364910932924014</v>
      </c>
      <c r="L891" s="357">
        <f t="shared" ca="1" si="377"/>
        <v>187.86867763366755</v>
      </c>
      <c r="M891" s="359">
        <f t="shared" ca="1" si="393"/>
        <v>-1.4295194249273993</v>
      </c>
      <c r="N891" s="357">
        <f t="shared" ca="1" si="394"/>
        <v>-81.905429780308509</v>
      </c>
      <c r="O891" s="343"/>
      <c r="P891" s="363">
        <f t="shared" ca="1" si="395"/>
        <v>23</v>
      </c>
      <c r="Q891" s="357">
        <f t="shared" ca="1" si="396"/>
        <v>0</v>
      </c>
      <c r="R891" s="359">
        <f t="shared" ca="1" si="397"/>
        <v>0</v>
      </c>
      <c r="S891" s="360">
        <f t="shared" ca="1" si="398"/>
        <v>1.5629999999999982</v>
      </c>
      <c r="T891" s="357">
        <f t="shared" ca="1" si="378"/>
        <v>15.333029999999983</v>
      </c>
      <c r="U891" s="364">
        <f t="shared" ca="1" si="379"/>
        <v>0</v>
      </c>
      <c r="V891" s="359">
        <f t="shared" ca="1" si="380"/>
        <v>1.2259480869022221</v>
      </c>
      <c r="W891" s="357">
        <f t="shared" ca="1" si="381"/>
        <v>6.096967069026455</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5.8115192211135298</v>
      </c>
      <c r="AH891" s="357">
        <f t="shared" ca="1" si="405"/>
        <v>-3.9007409865414746</v>
      </c>
    </row>
    <row r="892" spans="1:34" x14ac:dyDescent="0.2">
      <c r="A892" s="402">
        <f t="shared" ca="1" si="383"/>
        <v>1E-4</v>
      </c>
      <c r="B892" s="357">
        <f t="shared" ca="1" si="384"/>
        <v>15.655199999999834</v>
      </c>
      <c r="C892" s="342"/>
      <c r="D892" s="359">
        <f t="shared" ca="1" si="385"/>
        <v>-0.5492630434634409</v>
      </c>
      <c r="E892" s="360">
        <f t="shared" ca="1" si="386"/>
        <v>-5.9480530879589395</v>
      </c>
      <c r="F892" s="357">
        <f t="shared" ca="1" si="387"/>
        <v>5.9733596432905829</v>
      </c>
      <c r="G892" s="359">
        <f t="shared" ca="1" si="388"/>
        <v>9.5188292362712676</v>
      </c>
      <c r="H892" s="360">
        <f t="shared" ca="1" si="389"/>
        <v>-66.92922897288733</v>
      </c>
      <c r="I892" s="357">
        <f t="shared" ca="1" si="390"/>
        <v>67.60273515867884</v>
      </c>
      <c r="J892" s="359">
        <f t="shared" ca="1" si="391"/>
        <v>187.70931447689617</v>
      </c>
      <c r="K892" s="360">
        <f t="shared" ca="1" si="392"/>
        <v>-7.7431839864494245</v>
      </c>
      <c r="L892" s="357">
        <f t="shared" ca="1" si="377"/>
        <v>187.86895336812387</v>
      </c>
      <c r="M892" s="359">
        <f t="shared" ca="1" si="393"/>
        <v>-1.4295214682185189</v>
      </c>
      <c r="N892" s="357">
        <f t="shared" ca="1" si="394"/>
        <v>-81.905546852265971</v>
      </c>
      <c r="O892" s="343"/>
      <c r="P892" s="363">
        <f t="shared" ca="1" si="395"/>
        <v>23</v>
      </c>
      <c r="Q892" s="357">
        <f t="shared" ca="1" si="396"/>
        <v>0</v>
      </c>
      <c r="R892" s="359">
        <f t="shared" ca="1" si="397"/>
        <v>0</v>
      </c>
      <c r="S892" s="360">
        <f t="shared" ca="1" si="398"/>
        <v>1.5629999999999982</v>
      </c>
      <c r="T892" s="357">
        <f t="shared" ca="1" si="378"/>
        <v>15.333029999999983</v>
      </c>
      <c r="U892" s="364">
        <f t="shared" ca="1" si="379"/>
        <v>0</v>
      </c>
      <c r="V892" s="359">
        <f t="shared" ca="1" si="380"/>
        <v>1.2259489074165759</v>
      </c>
      <c r="W892" s="357">
        <f t="shared" ca="1" si="381"/>
        <v>6.0970759759631266</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5.8114523654161694</v>
      </c>
      <c r="AH892" s="357">
        <f t="shared" ca="1" si="405"/>
        <v>-3.9008106647642111</v>
      </c>
    </row>
    <row r="893" spans="1:34" x14ac:dyDescent="0.2">
      <c r="A893" s="402">
        <f t="shared" ca="1" si="383"/>
        <v>1E-4</v>
      </c>
      <c r="B893" s="357">
        <f t="shared" ca="1" si="384"/>
        <v>15.655299999999833</v>
      </c>
      <c r="C893" s="342"/>
      <c r="D893" s="359">
        <f t="shared" ca="1" si="385"/>
        <v>-0.54926496343822795</v>
      </c>
      <c r="E893" s="360">
        <f t="shared" ca="1" si="386"/>
        <v>-5.9479829817030971</v>
      </c>
      <c r="F893" s="357">
        <f t="shared" ca="1" si="387"/>
        <v>5.9732900105963767</v>
      </c>
      <c r="G893" s="359">
        <f t="shared" ca="1" si="388"/>
        <v>9.5187743097749244</v>
      </c>
      <c r="H893" s="360">
        <f t="shared" ca="1" si="389"/>
        <v>-66.929823771185497</v>
      </c>
      <c r="I893" s="357">
        <f t="shared" ca="1" si="390"/>
        <v>67.603316297370924</v>
      </c>
      <c r="J893" s="359">
        <f t="shared" ca="1" si="391"/>
        <v>187.70931447689617</v>
      </c>
      <c r="K893" s="360">
        <f t="shared" ca="1" si="392"/>
        <v>-7.7498769390866284</v>
      </c>
      <c r="L893" s="357">
        <f t="shared" ca="1" si="377"/>
        <v>187.86922934306534</v>
      </c>
      <c r="M893" s="359">
        <f t="shared" ca="1" si="393"/>
        <v>-1.4295235114627187</v>
      </c>
      <c r="N893" s="357">
        <f t="shared" ca="1" si="394"/>
        <v>-81.905663921535137</v>
      </c>
      <c r="O893" s="343"/>
      <c r="P893" s="363">
        <f t="shared" ca="1" si="395"/>
        <v>23</v>
      </c>
      <c r="Q893" s="357">
        <f t="shared" ca="1" si="396"/>
        <v>0</v>
      </c>
      <c r="R893" s="359">
        <f t="shared" ca="1" si="397"/>
        <v>0</v>
      </c>
      <c r="S893" s="360">
        <f t="shared" ca="1" si="398"/>
        <v>1.5629999999999982</v>
      </c>
      <c r="T893" s="357">
        <f t="shared" ca="1" si="378"/>
        <v>15.333029999999983</v>
      </c>
      <c r="U893" s="364">
        <f t="shared" ca="1" si="379"/>
        <v>0</v>
      </c>
      <c r="V893" s="359">
        <f t="shared" ca="1" si="380"/>
        <v>1.225949727938771</v>
      </c>
      <c r="W893" s="357">
        <f t="shared" ca="1" si="381"/>
        <v>6.0971848827743056</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5.8113855096937206</v>
      </c>
      <c r="AH893" s="357">
        <f t="shared" ca="1" si="405"/>
        <v>-3.9008803429066754</v>
      </c>
    </row>
    <row r="894" spans="1:34" x14ac:dyDescent="0.2">
      <c r="A894" s="402">
        <f t="shared" ca="1" si="383"/>
        <v>1E-4</v>
      </c>
      <c r="B894" s="357">
        <f t="shared" ca="1" si="384"/>
        <v>15.655399999999833</v>
      </c>
      <c r="C894" s="342"/>
      <c r="D894" s="359">
        <f t="shared" ca="1" si="385"/>
        <v>-0.54926688329871665</v>
      </c>
      <c r="E894" s="360">
        <f t="shared" ca="1" si="386"/>
        <v>-5.9479128755285462</v>
      </c>
      <c r="F894" s="357">
        <f t="shared" ca="1" si="387"/>
        <v>5.9732203779843038</v>
      </c>
      <c r="G894" s="359">
        <f t="shared" ca="1" si="388"/>
        <v>9.5187193830865944</v>
      </c>
      <c r="H894" s="360">
        <f t="shared" ca="1" si="389"/>
        <v>-66.930418562473051</v>
      </c>
      <c r="I894" s="357">
        <f t="shared" ca="1" si="390"/>
        <v>67.60389742937744</v>
      </c>
      <c r="J894" s="359">
        <f t="shared" ca="1" si="391"/>
        <v>187.70931447689617</v>
      </c>
      <c r="K894" s="360">
        <f t="shared" ca="1" si="392"/>
        <v>-7.7565699512033115</v>
      </c>
      <c r="L894" s="357">
        <f t="shared" ca="1" si="377"/>
        <v>187.8695055584972</v>
      </c>
      <c r="M894" s="359">
        <f t="shared" ca="1" si="393"/>
        <v>-1.4295255546600005</v>
      </c>
      <c r="N894" s="357">
        <f t="shared" ca="1" si="394"/>
        <v>-81.905780988116106</v>
      </c>
      <c r="O894" s="343"/>
      <c r="P894" s="363">
        <f t="shared" ca="1" si="395"/>
        <v>23</v>
      </c>
      <c r="Q894" s="357">
        <f t="shared" ca="1" si="396"/>
        <v>0</v>
      </c>
      <c r="R894" s="359">
        <f t="shared" ca="1" si="397"/>
        <v>0</v>
      </c>
      <c r="S894" s="360">
        <f t="shared" ca="1" si="398"/>
        <v>1.5629999999999982</v>
      </c>
      <c r="T894" s="357">
        <f t="shared" ca="1" si="378"/>
        <v>15.333029999999983</v>
      </c>
      <c r="U894" s="364">
        <f t="shared" ca="1" si="379"/>
        <v>0</v>
      </c>
      <c r="V894" s="359">
        <f t="shared" ca="1" si="380"/>
        <v>1.2259505484688067</v>
      </c>
      <c r="W894" s="357">
        <f t="shared" ca="1" si="381"/>
        <v>6.0972937894599575</v>
      </c>
      <c r="X894" s="343"/>
      <c r="Y894" s="367" t="str">
        <f t="shared" ca="1" si="399"/>
        <v/>
      </c>
      <c r="Z894" s="368" t="str">
        <f t="shared" ca="1" si="400"/>
        <v/>
      </c>
      <c r="AA894" s="369" t="str">
        <f t="shared" ca="1" si="401"/>
        <v/>
      </c>
      <c r="AB894" s="344"/>
      <c r="AC894" s="363" t="e">
        <f t="shared" ca="1" si="402"/>
        <v>#N/A</v>
      </c>
      <c r="AD894" s="376" t="e">
        <f t="shared" ca="1" si="403"/>
        <v>#N/A</v>
      </c>
      <c r="AE894" s="377" t="e">
        <f t="shared" ca="1" si="382"/>
        <v>#N/A</v>
      </c>
      <c r="AF894" s="344"/>
      <c r="AG894" s="359">
        <f t="shared" ca="1" si="404"/>
        <v>5.8113186539462003</v>
      </c>
      <c r="AH894" s="357">
        <f t="shared" ca="1" si="405"/>
        <v>-3.9009500209688501</v>
      </c>
    </row>
    <row r="895" spans="1:34" x14ac:dyDescent="0.2">
      <c r="A895" s="402">
        <f t="shared" ca="1" si="383"/>
        <v>1E-4</v>
      </c>
      <c r="B895" s="357">
        <f t="shared" ca="1" si="384"/>
        <v>15.655499999999833</v>
      </c>
      <c r="C895" s="342"/>
      <c r="D895" s="359">
        <f t="shared" ca="1" si="385"/>
        <v>-0.54926880304490699</v>
      </c>
      <c r="E895" s="360">
        <f t="shared" ca="1" si="386"/>
        <v>-5.9478427694353089</v>
      </c>
      <c r="F895" s="357">
        <f t="shared" ca="1" si="387"/>
        <v>5.9731507454543848</v>
      </c>
      <c r="G895" s="359">
        <f t="shared" ca="1" si="388"/>
        <v>9.5186644562062899</v>
      </c>
      <c r="H895" s="360">
        <f t="shared" ca="1" si="389"/>
        <v>-66.931013346749992</v>
      </c>
      <c r="I895" s="357">
        <f t="shared" ca="1" si="390"/>
        <v>67.60447855469836</v>
      </c>
      <c r="J895" s="359">
        <f t="shared" ca="1" si="391"/>
        <v>187.70931447689617</v>
      </c>
      <c r="K895" s="360">
        <f t="shared" ca="1" si="392"/>
        <v>-7.7632630227987729</v>
      </c>
      <c r="L895" s="357">
        <f t="shared" ca="1" si="377"/>
        <v>187.86978201442469</v>
      </c>
      <c r="M895" s="359">
        <f t="shared" ca="1" si="393"/>
        <v>-1.4295275978103661</v>
      </c>
      <c r="N895" s="357">
        <f t="shared" ca="1" si="394"/>
        <v>-81.905898052008965</v>
      </c>
      <c r="O895" s="343"/>
      <c r="P895" s="363">
        <f t="shared" ca="1" si="395"/>
        <v>23</v>
      </c>
      <c r="Q895" s="357">
        <f t="shared" ca="1" si="396"/>
        <v>0</v>
      </c>
      <c r="R895" s="359">
        <f t="shared" ca="1" si="397"/>
        <v>0</v>
      </c>
      <c r="S895" s="360">
        <f t="shared" ca="1" si="398"/>
        <v>1.5629999999999982</v>
      </c>
      <c r="T895" s="357">
        <f t="shared" ca="1" si="378"/>
        <v>15.333029999999983</v>
      </c>
      <c r="U895" s="364">
        <f t="shared" ca="1" si="379"/>
        <v>0</v>
      </c>
      <c r="V895" s="359">
        <f t="shared" ca="1" si="380"/>
        <v>1.2259513690066846</v>
      </c>
      <c r="W895" s="357">
        <f t="shared" ca="1" si="381"/>
        <v>6.0974026960200565</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5.8112517981736369</v>
      </c>
      <c r="AH895" s="357">
        <f t="shared" ca="1" si="405"/>
        <v>-3.9010196989507131</v>
      </c>
    </row>
    <row r="896" spans="1:34" x14ac:dyDescent="0.2">
      <c r="A896" s="402">
        <f t="shared" ca="1" si="383"/>
        <v>1E-4</v>
      </c>
      <c r="B896" s="357">
        <f t="shared" ca="1" si="384"/>
        <v>15.655599999999833</v>
      </c>
      <c r="C896" s="342"/>
      <c r="D896" s="359">
        <f t="shared" ca="1" si="385"/>
        <v>-0.54927072267680022</v>
      </c>
      <c r="E896" s="360">
        <f t="shared" ca="1" si="386"/>
        <v>-5.9477726634234021</v>
      </c>
      <c r="F896" s="357">
        <f t="shared" ca="1" si="387"/>
        <v>5.9730811130066375</v>
      </c>
      <c r="G896" s="359">
        <f t="shared" ca="1" si="388"/>
        <v>9.5186095291340216</v>
      </c>
      <c r="H896" s="360">
        <f t="shared" ca="1" si="389"/>
        <v>-66.931608124016336</v>
      </c>
      <c r="I896" s="357">
        <f t="shared" ca="1" si="390"/>
        <v>67.605059673333699</v>
      </c>
      <c r="J896" s="359">
        <f t="shared" ca="1" si="391"/>
        <v>187.70931447689617</v>
      </c>
      <c r="K896" s="360">
        <f t="shared" ca="1" si="392"/>
        <v>-7.769956153872311</v>
      </c>
      <c r="L896" s="357">
        <f t="shared" ca="1" si="377"/>
        <v>187.87005871085313</v>
      </c>
      <c r="M896" s="359">
        <f t="shared" ca="1" si="393"/>
        <v>-1.4295296409138165</v>
      </c>
      <c r="N896" s="357">
        <f t="shared" ca="1" si="394"/>
        <v>-81.906015113213783</v>
      </c>
      <c r="O896" s="343"/>
      <c r="P896" s="363">
        <f t="shared" ca="1" si="395"/>
        <v>23</v>
      </c>
      <c r="Q896" s="357">
        <f t="shared" ca="1" si="396"/>
        <v>0</v>
      </c>
      <c r="R896" s="359">
        <f t="shared" ca="1" si="397"/>
        <v>0</v>
      </c>
      <c r="S896" s="360">
        <f t="shared" ca="1" si="398"/>
        <v>1.5629999999999982</v>
      </c>
      <c r="T896" s="357">
        <f t="shared" ca="1" si="378"/>
        <v>15.333029999999983</v>
      </c>
      <c r="U896" s="364">
        <f t="shared" ca="1" si="379"/>
        <v>0</v>
      </c>
      <c r="V896" s="359">
        <f t="shared" ca="1" si="380"/>
        <v>1.225952189552403</v>
      </c>
      <c r="W896" s="357">
        <f t="shared" ca="1" si="381"/>
        <v>6.097511602454567</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5.8111849423760553</v>
      </c>
      <c r="AH896" s="357">
        <f t="shared" ca="1" si="405"/>
        <v>-3.9010893768522479</v>
      </c>
    </row>
    <row r="897" spans="1:34" x14ac:dyDescent="0.2">
      <c r="A897" s="402">
        <f t="shared" ca="1" si="383"/>
        <v>1E-4</v>
      </c>
      <c r="B897" s="357">
        <f t="shared" ca="1" si="384"/>
        <v>15.655699999999833</v>
      </c>
      <c r="C897" s="342"/>
      <c r="D897" s="359">
        <f t="shared" ca="1" si="385"/>
        <v>-0.54927264219439909</v>
      </c>
      <c r="E897" s="360">
        <f t="shared" ca="1" si="386"/>
        <v>-5.9477025574928479</v>
      </c>
      <c r="F897" s="357">
        <f t="shared" ca="1" si="387"/>
        <v>5.973011480641083</v>
      </c>
      <c r="G897" s="359">
        <f t="shared" ca="1" si="388"/>
        <v>9.518554601869802</v>
      </c>
      <c r="H897" s="360">
        <f t="shared" ca="1" si="389"/>
        <v>-66.932202894272081</v>
      </c>
      <c r="I897" s="357">
        <f t="shared" ca="1" si="390"/>
        <v>67.605640785283455</v>
      </c>
      <c r="J897" s="359">
        <f t="shared" ca="1" si="391"/>
        <v>187.70931447689617</v>
      </c>
      <c r="K897" s="360">
        <f t="shared" ca="1" si="392"/>
        <v>-7.776649344423225</v>
      </c>
      <c r="L897" s="357">
        <f t="shared" ca="1" si="377"/>
        <v>187.87033564778773</v>
      </c>
      <c r="M897" s="359">
        <f t="shared" ca="1" si="393"/>
        <v>-1.429531683970354</v>
      </c>
      <c r="N897" s="357">
        <f t="shared" ca="1" si="394"/>
        <v>-81.90613217173069</v>
      </c>
      <c r="O897" s="343"/>
      <c r="P897" s="363">
        <f t="shared" ca="1" si="395"/>
        <v>23</v>
      </c>
      <c r="Q897" s="357">
        <f t="shared" ca="1" si="396"/>
        <v>0</v>
      </c>
      <c r="R897" s="359">
        <f t="shared" ca="1" si="397"/>
        <v>0</v>
      </c>
      <c r="S897" s="360">
        <f t="shared" ca="1" si="398"/>
        <v>1.5629999999999982</v>
      </c>
      <c r="T897" s="357">
        <f t="shared" ca="1" si="378"/>
        <v>15.333029999999983</v>
      </c>
      <c r="U897" s="364">
        <f t="shared" ca="1" si="379"/>
        <v>0</v>
      </c>
      <c r="V897" s="359">
        <f t="shared" ca="1" si="380"/>
        <v>1.2259530101059626</v>
      </c>
      <c r="W897" s="357">
        <f t="shared" ca="1" si="381"/>
        <v>6.0976205087634616</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5.8111180865534813</v>
      </c>
      <c r="AH897" s="357">
        <f t="shared" ca="1" si="405"/>
        <v>-3.9011590546734318</v>
      </c>
    </row>
    <row r="898" spans="1:34" x14ac:dyDescent="0.2">
      <c r="A898" s="402">
        <f t="shared" ca="1" si="383"/>
        <v>1E-4</v>
      </c>
      <c r="B898" s="357">
        <f t="shared" ca="1" si="384"/>
        <v>15.655799999999832</v>
      </c>
      <c r="C898" s="342"/>
      <c r="D898" s="359">
        <f t="shared" ca="1" si="385"/>
        <v>-0.54927456159770294</v>
      </c>
      <c r="E898" s="360">
        <f t="shared" ca="1" si="386"/>
        <v>-5.9476324516436652</v>
      </c>
      <c r="F898" s="357">
        <f t="shared" ca="1" si="387"/>
        <v>5.972941848357741</v>
      </c>
      <c r="G898" s="359">
        <f t="shared" ca="1" si="388"/>
        <v>9.5184996744136416</v>
      </c>
      <c r="H898" s="360">
        <f t="shared" ca="1" si="389"/>
        <v>-66.932797657517241</v>
      </c>
      <c r="I898" s="357">
        <f t="shared" ca="1" si="390"/>
        <v>67.606221890547602</v>
      </c>
      <c r="J898" s="359">
        <f t="shared" ca="1" si="391"/>
        <v>187.70931447689617</v>
      </c>
      <c r="K898" s="360">
        <f t="shared" ca="1" si="392"/>
        <v>-7.7833425944508141</v>
      </c>
      <c r="L898" s="357">
        <f t="shared" ca="1" si="377"/>
        <v>187.87061282523376</v>
      </c>
      <c r="M898" s="359">
        <f t="shared" ca="1" si="393"/>
        <v>-1.4295337269799802</v>
      </c>
      <c r="N898" s="357">
        <f t="shared" ca="1" si="394"/>
        <v>-81.906249227559769</v>
      </c>
      <c r="O898" s="343"/>
      <c r="P898" s="363">
        <f t="shared" ca="1" si="395"/>
        <v>23</v>
      </c>
      <c r="Q898" s="357">
        <f t="shared" ca="1" si="396"/>
        <v>0</v>
      </c>
      <c r="R898" s="359">
        <f t="shared" ca="1" si="397"/>
        <v>0</v>
      </c>
      <c r="S898" s="360">
        <f t="shared" ca="1" si="398"/>
        <v>1.5629999999999982</v>
      </c>
      <c r="T898" s="357">
        <f t="shared" ca="1" si="378"/>
        <v>15.333029999999983</v>
      </c>
      <c r="U898" s="364">
        <f t="shared" ca="1" si="379"/>
        <v>0</v>
      </c>
      <c r="V898" s="359">
        <f t="shared" ca="1" si="380"/>
        <v>1.2259538306673634</v>
      </c>
      <c r="W898" s="357">
        <f t="shared" ca="1" si="381"/>
        <v>6.0977294149467065</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5.811051230705937</v>
      </c>
      <c r="AH898" s="357">
        <f t="shared" ca="1" si="405"/>
        <v>-3.9012287324142476</v>
      </c>
    </row>
    <row r="899" spans="1:34" x14ac:dyDescent="0.2">
      <c r="A899" s="402">
        <f t="shared" ca="1" si="383"/>
        <v>1E-4</v>
      </c>
      <c r="B899" s="357">
        <f t="shared" ca="1" si="384"/>
        <v>15.655899999999832</v>
      </c>
      <c r="C899" s="342"/>
      <c r="D899" s="359">
        <f t="shared" ca="1" si="385"/>
        <v>-0.54927648088671277</v>
      </c>
      <c r="E899" s="360">
        <f t="shared" ca="1" si="386"/>
        <v>-5.9475623458758751</v>
      </c>
      <c r="F899" s="357">
        <f t="shared" ca="1" si="387"/>
        <v>5.9728722161566319</v>
      </c>
      <c r="G899" s="359">
        <f t="shared" ca="1" si="388"/>
        <v>9.5184447467655531</v>
      </c>
      <c r="H899" s="360">
        <f t="shared" ca="1" si="389"/>
        <v>-66.933392413751832</v>
      </c>
      <c r="I899" s="357">
        <f t="shared" ca="1" si="390"/>
        <v>67.60680298912618</v>
      </c>
      <c r="J899" s="359">
        <f t="shared" ca="1" si="391"/>
        <v>187.70931447689617</v>
      </c>
      <c r="K899" s="360">
        <f t="shared" ca="1" si="392"/>
        <v>-7.7900359039543776</v>
      </c>
      <c r="L899" s="357">
        <f t="shared" ca="1" si="377"/>
        <v>187.87089024319653</v>
      </c>
      <c r="M899" s="359">
        <f t="shared" ca="1" si="393"/>
        <v>-1.4295357699426965</v>
      </c>
      <c r="N899" s="357">
        <f t="shared" ca="1" si="394"/>
        <v>-81.906366280701107</v>
      </c>
      <c r="O899" s="343"/>
      <c r="P899" s="363">
        <f t="shared" ca="1" si="395"/>
        <v>23</v>
      </c>
      <c r="Q899" s="357">
        <f t="shared" ca="1" si="396"/>
        <v>0</v>
      </c>
      <c r="R899" s="359">
        <f t="shared" ca="1" si="397"/>
        <v>0</v>
      </c>
      <c r="S899" s="360">
        <f t="shared" ca="1" si="398"/>
        <v>1.5629999999999982</v>
      </c>
      <c r="T899" s="357">
        <f t="shared" ca="1" si="378"/>
        <v>15.333029999999983</v>
      </c>
      <c r="U899" s="364">
        <f t="shared" ca="1" si="379"/>
        <v>0</v>
      </c>
      <c r="V899" s="359">
        <f t="shared" ca="1" si="380"/>
        <v>1.2259546512366053</v>
      </c>
      <c r="W899" s="357">
        <f t="shared" ca="1" si="381"/>
        <v>6.0978383210042804</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5.8109843748334491</v>
      </c>
      <c r="AH899" s="357">
        <f t="shared" ca="1" si="405"/>
        <v>-3.901298410074673</v>
      </c>
    </row>
    <row r="900" spans="1:34" x14ac:dyDescent="0.2">
      <c r="A900" s="402">
        <f t="shared" ca="1" si="383"/>
        <v>1E-4</v>
      </c>
      <c r="B900" s="357">
        <f t="shared" ca="1" si="384"/>
        <v>15.655999999999832</v>
      </c>
      <c r="C900" s="342"/>
      <c r="D900" s="359">
        <f t="shared" ca="1" si="385"/>
        <v>-0.54927840006143103</v>
      </c>
      <c r="E900" s="360">
        <f t="shared" ca="1" si="386"/>
        <v>-5.947492240189491</v>
      </c>
      <c r="F900" s="357">
        <f t="shared" ca="1" si="387"/>
        <v>5.9728025840377699</v>
      </c>
      <c r="G900" s="359">
        <f t="shared" ca="1" si="388"/>
        <v>9.5183898189255469</v>
      </c>
      <c r="H900" s="360">
        <f t="shared" ca="1" si="389"/>
        <v>-66.933987162975853</v>
      </c>
      <c r="I900" s="357">
        <f t="shared" ca="1" si="390"/>
        <v>67.607384081019148</v>
      </c>
      <c r="J900" s="359">
        <f t="shared" ca="1" si="391"/>
        <v>187.70931447689617</v>
      </c>
      <c r="K900" s="360">
        <f t="shared" ca="1" si="392"/>
        <v>-7.7967292729332138</v>
      </c>
      <c r="L900" s="357">
        <f t="shared" ref="L900:L963" ca="1" si="406">SQRT(pos_x^2+pos_z^2)</f>
        <v>187.87116790168128</v>
      </c>
      <c r="M900" s="359">
        <f t="shared" ca="1" si="393"/>
        <v>-1.4295378128585048</v>
      </c>
      <c r="N900" s="357">
        <f t="shared" ca="1" si="394"/>
        <v>-81.906483331154831</v>
      </c>
      <c r="O900" s="343"/>
      <c r="P900" s="363">
        <f t="shared" ca="1" si="395"/>
        <v>23</v>
      </c>
      <c r="Q900" s="357">
        <f t="shared" ca="1" si="396"/>
        <v>0</v>
      </c>
      <c r="R900" s="359">
        <f t="shared" ca="1" si="397"/>
        <v>0</v>
      </c>
      <c r="S900" s="360">
        <f t="shared" ca="1" si="398"/>
        <v>1.5629999999999982</v>
      </c>
      <c r="T900" s="357">
        <f t="shared" ref="T900:T963" ca="1" si="407">m*g</f>
        <v>15.333029999999983</v>
      </c>
      <c r="U900" s="364">
        <f t="shared" ref="U900:U963" ca="1" si="408">IF(pos_xz&lt;L_rampe,Poids*COS(Beta),0)</f>
        <v>0</v>
      </c>
      <c r="V900" s="359">
        <f t="shared" ref="V900:V963" ca="1" si="409">Rho_moyen*(20000-Alt_rampe-pos_z)/(20000+Alt_rampe+pos_z)</f>
        <v>1.2259554718136874</v>
      </c>
      <c r="W900" s="357">
        <f t="shared" ref="W900:W963" ca="1" si="410">1/2*Rho*Sref*Cx*vit_xz^2</f>
        <v>6.0979472269361379</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5.8109175189360407</v>
      </c>
      <c r="AH900" s="357">
        <f t="shared" ca="1" si="405"/>
        <v>-3.9013680876546943</v>
      </c>
    </row>
    <row r="901" spans="1:34" x14ac:dyDescent="0.2">
      <c r="A901" s="402">
        <f t="shared" ref="A901:A964" ca="1" si="412">IF(B900+0.01&lt;=T_ini+ROUNDUP(Temps_fin_propu,0), 0.01, IF(K900&gt;0, 0.1, 0.0001))</f>
        <v>1E-4</v>
      </c>
      <c r="B901" s="357">
        <f t="shared" ref="B901:B964" ca="1" si="413">B900+pas</f>
        <v>15.656099999999832</v>
      </c>
      <c r="C901" s="342"/>
      <c r="D901" s="359">
        <f t="shared" ref="D901:D964" ca="1" si="414">IF(AND(L900&lt;L_rampe,Poussee&lt;Poids*SIN(M900)),0,(-W900+Poussee)/m*COS(M900)-U900/m*SIN(M900))</f>
        <v>-0.54928031912185693</v>
      </c>
      <c r="E901" s="360">
        <f t="shared" ref="E901:E964" ca="1" si="415">IF(AND(L900&lt;L_rampe,Poussee&lt;Poids*SIN(M900)),0,(-W900+Poussee)/m*SIN(M900)+U900/m*COS(M900)-Poids/m)</f>
        <v>-5.9474221345845422</v>
      </c>
      <c r="F901" s="357">
        <f t="shared" ref="F901:F964" ca="1" si="416">SQRT(acc_x^2+acc_z^2)</f>
        <v>5.9727329520011825</v>
      </c>
      <c r="G901" s="359">
        <f t="shared" ref="G901:G964" ca="1" si="417">G900+acc_x*pas</f>
        <v>9.5183348908936356</v>
      </c>
      <c r="H901" s="360">
        <f t="shared" ref="H901:H964" ca="1" si="418">H900+acc_z*pas</f>
        <v>-66.934581905189319</v>
      </c>
      <c r="I901" s="357">
        <f t="shared" ref="I901:I964" ca="1" si="419">SQRT(vit_x^2+vit_z^2)</f>
        <v>67.607965166226535</v>
      </c>
      <c r="J901" s="359">
        <f t="shared" ref="J901:J964" ca="1" si="420">J900+0.5*(vit_x+G900)*pas*(K900&gt;=0)</f>
        <v>187.70931447689617</v>
      </c>
      <c r="K901" s="360">
        <f t="shared" ref="K901:K964" ca="1" si="421">K900+0.5*(vit_z+H900)*pas</f>
        <v>-7.803422701386622</v>
      </c>
      <c r="L901" s="357">
        <f t="shared" ca="1" si="406"/>
        <v>187.87144580069324</v>
      </c>
      <c r="M901" s="359">
        <f t="shared" ref="M901:M964" ca="1" si="422">IF(AND(L900&gt;L_rampe,G901&gt;0),ATAN2(G901,H901),$M$4)</f>
        <v>-1.4295398557274066</v>
      </c>
      <c r="N901" s="357">
        <f t="shared" ref="N901:N964" ca="1" si="423">DEGREES(Beta)</f>
        <v>-81.906600378920999</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1.5629999999999982</v>
      </c>
      <c r="T901" s="357">
        <f t="shared" ca="1" si="407"/>
        <v>15.333029999999983</v>
      </c>
      <c r="U901" s="364">
        <f t="shared" ca="1" si="408"/>
        <v>0</v>
      </c>
      <c r="V901" s="359">
        <f t="shared" ca="1" si="409"/>
        <v>1.2259562923986105</v>
      </c>
      <c r="W901" s="357">
        <f t="shared" ca="1" si="410"/>
        <v>6.0980561327422613</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5.8108506630137375</v>
      </c>
      <c r="AH901" s="357">
        <f t="shared" ref="AH901:AH964" ca="1" si="434">IF(AND(L900&lt;L_rampe,Poussee&lt;Poids*SIN(M900)), g*SIN(M900), (-W900+Poussee)/m)</f>
        <v>-3.9014377651542835</v>
      </c>
    </row>
    <row r="902" spans="1:34" x14ac:dyDescent="0.2">
      <c r="A902" s="402">
        <f t="shared" ca="1" si="412"/>
        <v>1E-4</v>
      </c>
      <c r="B902" s="357">
        <f t="shared" ca="1" si="413"/>
        <v>15.656199999999831</v>
      </c>
      <c r="C902" s="342"/>
      <c r="D902" s="359">
        <f t="shared" ca="1" si="414"/>
        <v>-0.54928223806799337</v>
      </c>
      <c r="E902" s="360">
        <f t="shared" ca="1" si="415"/>
        <v>-5.9473520290610402</v>
      </c>
      <c r="F902" s="357">
        <f t="shared" ca="1" si="416"/>
        <v>5.9726633200468831</v>
      </c>
      <c r="G902" s="359">
        <f t="shared" ca="1" si="417"/>
        <v>9.518279962669828</v>
      </c>
      <c r="H902" s="360">
        <f t="shared" ca="1" si="418"/>
        <v>-66.935176640392228</v>
      </c>
      <c r="I902" s="357">
        <f t="shared" ca="1" si="419"/>
        <v>67.608546244748311</v>
      </c>
      <c r="J902" s="359">
        <f t="shared" ca="1" si="420"/>
        <v>187.70931447689617</v>
      </c>
      <c r="K902" s="360">
        <f t="shared" ca="1" si="421"/>
        <v>-7.8101161893139013</v>
      </c>
      <c r="L902" s="357">
        <f t="shared" ca="1" si="406"/>
        <v>187.8717239402377</v>
      </c>
      <c r="M902" s="359">
        <f t="shared" ca="1" si="422"/>
        <v>-1.4295418985494037</v>
      </c>
      <c r="N902" s="357">
        <f t="shared" ca="1" si="423"/>
        <v>-81.906717423999737</v>
      </c>
      <c r="O902" s="343"/>
      <c r="P902" s="363">
        <f t="shared" ca="1" si="424"/>
        <v>23</v>
      </c>
      <c r="Q902" s="357">
        <f t="shared" ca="1" si="425"/>
        <v>0</v>
      </c>
      <c r="R902" s="359">
        <f t="shared" ca="1" si="426"/>
        <v>0</v>
      </c>
      <c r="S902" s="360">
        <f t="shared" ca="1" si="427"/>
        <v>1.5629999999999982</v>
      </c>
      <c r="T902" s="357">
        <f t="shared" ca="1" si="407"/>
        <v>15.333029999999983</v>
      </c>
      <c r="U902" s="364">
        <f t="shared" ca="1" si="408"/>
        <v>0</v>
      </c>
      <c r="V902" s="359">
        <f t="shared" ca="1" si="409"/>
        <v>1.2259571129913744</v>
      </c>
      <c r="W902" s="357">
        <f t="shared" ca="1" si="410"/>
        <v>6.0981650384226151</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5.8107838070665627</v>
      </c>
      <c r="AH902" s="357">
        <f t="shared" ca="1" si="434"/>
        <v>-3.9015074425734282</v>
      </c>
    </row>
    <row r="903" spans="1:34" x14ac:dyDescent="0.2">
      <c r="A903" s="402">
        <f t="shared" ca="1" si="412"/>
        <v>1E-4</v>
      </c>
      <c r="B903" s="357">
        <f t="shared" ca="1" si="413"/>
        <v>15.656299999999831</v>
      </c>
      <c r="C903" s="342"/>
      <c r="D903" s="359">
        <f t="shared" ca="1" si="414"/>
        <v>-0.54928415689984034</v>
      </c>
      <c r="E903" s="360">
        <f t="shared" ca="1" si="415"/>
        <v>-5.9472819236190073</v>
      </c>
      <c r="F903" s="357">
        <f t="shared" ca="1" si="416"/>
        <v>5.9725936881748929</v>
      </c>
      <c r="G903" s="359">
        <f t="shared" ca="1" si="417"/>
        <v>9.5182250342541384</v>
      </c>
      <c r="H903" s="360">
        <f t="shared" ca="1" si="418"/>
        <v>-66.935771368584597</v>
      </c>
      <c r="I903" s="357">
        <f t="shared" ca="1" si="419"/>
        <v>67.609127316584491</v>
      </c>
      <c r="J903" s="359">
        <f t="shared" ca="1" si="420"/>
        <v>187.70931447689617</v>
      </c>
      <c r="K903" s="360">
        <f t="shared" ca="1" si="421"/>
        <v>-7.8168097367143501</v>
      </c>
      <c r="L903" s="357">
        <f t="shared" ca="1" si="406"/>
        <v>187.87200232031992</v>
      </c>
      <c r="M903" s="359">
        <f t="shared" ca="1" si="422"/>
        <v>-1.4295439413244977</v>
      </c>
      <c r="N903" s="357">
        <f t="shared" ca="1" si="423"/>
        <v>-81.906834466391118</v>
      </c>
      <c r="O903" s="343"/>
      <c r="P903" s="363">
        <f t="shared" ca="1" si="424"/>
        <v>23</v>
      </c>
      <c r="Q903" s="357">
        <f t="shared" ca="1" si="425"/>
        <v>0</v>
      </c>
      <c r="R903" s="359">
        <f t="shared" ca="1" si="426"/>
        <v>0</v>
      </c>
      <c r="S903" s="360">
        <f t="shared" ca="1" si="427"/>
        <v>1.5629999999999982</v>
      </c>
      <c r="T903" s="357">
        <f t="shared" ca="1" si="407"/>
        <v>15.333029999999983</v>
      </c>
      <c r="U903" s="364">
        <f t="shared" ca="1" si="408"/>
        <v>0</v>
      </c>
      <c r="V903" s="359">
        <f t="shared" ca="1" si="409"/>
        <v>1.2259579335919792</v>
      </c>
      <c r="W903" s="357">
        <f t="shared" ca="1" si="410"/>
        <v>6.0982739439771718</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5.8107169510945411</v>
      </c>
      <c r="AH903" s="357">
        <f t="shared" ca="1" si="434"/>
        <v>-3.9015771199121065</v>
      </c>
    </row>
    <row r="904" spans="1:34" x14ac:dyDescent="0.2">
      <c r="A904" s="402">
        <f t="shared" ca="1" si="412"/>
        <v>1E-4</v>
      </c>
      <c r="B904" s="357">
        <f t="shared" ca="1" si="413"/>
        <v>15.656399999999831</v>
      </c>
      <c r="C904" s="342"/>
      <c r="D904" s="359">
        <f t="shared" ca="1" si="414"/>
        <v>-0.54928607561739973</v>
      </c>
      <c r="E904" s="360">
        <f t="shared" ca="1" si="415"/>
        <v>-5.947211818258463</v>
      </c>
      <c r="F904" s="357">
        <f t="shared" ca="1" si="416"/>
        <v>5.9725240563852315</v>
      </c>
      <c r="G904" s="359">
        <f t="shared" ca="1" si="417"/>
        <v>9.5181701056465773</v>
      </c>
      <c r="H904" s="360">
        <f t="shared" ca="1" si="418"/>
        <v>-66.936366089766423</v>
      </c>
      <c r="I904" s="357">
        <f t="shared" ca="1" si="419"/>
        <v>67.609708381735061</v>
      </c>
      <c r="J904" s="359">
        <f t="shared" ca="1" si="420"/>
        <v>187.70931447689617</v>
      </c>
      <c r="K904" s="360">
        <f t="shared" ca="1" si="421"/>
        <v>-7.8235033435872676</v>
      </c>
      <c r="L904" s="357">
        <f t="shared" ca="1" si="406"/>
        <v>187.87228094094516</v>
      </c>
      <c r="M904" s="359">
        <f t="shared" ca="1" si="422"/>
        <v>-1.4295459840526903</v>
      </c>
      <c r="N904" s="357">
        <f t="shared" ca="1" si="423"/>
        <v>-81.90695150609524</v>
      </c>
      <c r="O904" s="343"/>
      <c r="P904" s="363">
        <f t="shared" ca="1" si="424"/>
        <v>23</v>
      </c>
      <c r="Q904" s="357">
        <f t="shared" ca="1" si="425"/>
        <v>0</v>
      </c>
      <c r="R904" s="359">
        <f t="shared" ca="1" si="426"/>
        <v>0</v>
      </c>
      <c r="S904" s="360">
        <f t="shared" ca="1" si="427"/>
        <v>1.5629999999999982</v>
      </c>
      <c r="T904" s="357">
        <f t="shared" ca="1" si="407"/>
        <v>15.333029999999983</v>
      </c>
      <c r="U904" s="364">
        <f t="shared" ca="1" si="408"/>
        <v>0</v>
      </c>
      <c r="V904" s="359">
        <f t="shared" ca="1" si="409"/>
        <v>1.2259587542004244</v>
      </c>
      <c r="W904" s="357">
        <f t="shared" ca="1" si="410"/>
        <v>6.0983828494058958</v>
      </c>
      <c r="X904" s="343"/>
      <c r="Y904" s="367" t="str">
        <f t="shared" ca="1" si="428"/>
        <v/>
      </c>
      <c r="Z904" s="368" t="str">
        <f t="shared" ca="1" si="429"/>
        <v/>
      </c>
      <c r="AA904" s="369" t="str">
        <f t="shared" ca="1" si="430"/>
        <v/>
      </c>
      <c r="AB904" s="344"/>
      <c r="AC904" s="363" t="e">
        <f t="shared" ca="1" si="431"/>
        <v>#N/A</v>
      </c>
      <c r="AD904" s="376" t="e">
        <f t="shared" ca="1" si="432"/>
        <v>#N/A</v>
      </c>
      <c r="AE904" s="377" t="e">
        <f t="shared" ca="1" si="411"/>
        <v>#N/A</v>
      </c>
      <c r="AF904" s="344"/>
      <c r="AG904" s="359">
        <f t="shared" ca="1" si="433"/>
        <v>5.8106500950976985</v>
      </c>
      <c r="AH904" s="357">
        <f t="shared" ca="1" si="434"/>
        <v>-3.9016467971702999</v>
      </c>
    </row>
    <row r="905" spans="1:34" x14ac:dyDescent="0.2">
      <c r="A905" s="402">
        <f t="shared" ca="1" si="412"/>
        <v>1E-4</v>
      </c>
      <c r="B905" s="357">
        <f t="shared" ca="1" si="413"/>
        <v>15.656499999999831</v>
      </c>
      <c r="C905" s="342"/>
      <c r="D905" s="359">
        <f t="shared" ca="1" si="414"/>
        <v>-0.54928799422067165</v>
      </c>
      <c r="E905" s="360">
        <f t="shared" ca="1" si="415"/>
        <v>-5.9471417129794277</v>
      </c>
      <c r="F905" s="357">
        <f t="shared" ca="1" si="416"/>
        <v>5.9724544246779185</v>
      </c>
      <c r="G905" s="359">
        <f t="shared" ca="1" si="417"/>
        <v>9.5181151768471555</v>
      </c>
      <c r="H905" s="360">
        <f t="shared" ca="1" si="418"/>
        <v>-66.936960803937723</v>
      </c>
      <c r="I905" s="357">
        <f t="shared" ca="1" si="419"/>
        <v>67.61028944020002</v>
      </c>
      <c r="J905" s="359">
        <f t="shared" ca="1" si="420"/>
        <v>187.70931447689617</v>
      </c>
      <c r="K905" s="360">
        <f t="shared" ca="1" si="421"/>
        <v>-7.8301970099319531</v>
      </c>
      <c r="L905" s="357">
        <f t="shared" ca="1" si="406"/>
        <v>187.87255980211864</v>
      </c>
      <c r="M905" s="359">
        <f t="shared" ca="1" si="422"/>
        <v>-1.4295480267339833</v>
      </c>
      <c r="N905" s="357">
        <f t="shared" ca="1" si="423"/>
        <v>-81.907068543112217</v>
      </c>
      <c r="O905" s="343"/>
      <c r="P905" s="363">
        <f t="shared" ca="1" si="424"/>
        <v>23</v>
      </c>
      <c r="Q905" s="357">
        <f t="shared" ca="1" si="425"/>
        <v>0</v>
      </c>
      <c r="R905" s="359">
        <f t="shared" ca="1" si="426"/>
        <v>0</v>
      </c>
      <c r="S905" s="360">
        <f t="shared" ca="1" si="427"/>
        <v>1.5629999999999982</v>
      </c>
      <c r="T905" s="357">
        <f t="shared" ca="1" si="407"/>
        <v>15.333029999999983</v>
      </c>
      <c r="U905" s="364">
        <f t="shared" ca="1" si="408"/>
        <v>0</v>
      </c>
      <c r="V905" s="359">
        <f t="shared" ca="1" si="409"/>
        <v>1.2259595748167098</v>
      </c>
      <c r="W905" s="357">
        <f t="shared" ca="1" si="410"/>
        <v>6.0984917547087569</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5.8105832390760561</v>
      </c>
      <c r="AH905" s="357">
        <f t="shared" ca="1" si="434"/>
        <v>-3.9017164743479866</v>
      </c>
    </row>
    <row r="906" spans="1:34" x14ac:dyDescent="0.2">
      <c r="A906" s="402">
        <f t="shared" ca="1" si="412"/>
        <v>1E-4</v>
      </c>
      <c r="B906" s="357">
        <f t="shared" ca="1" si="413"/>
        <v>15.65659999999983</v>
      </c>
      <c r="C906" s="342"/>
      <c r="D906" s="359">
        <f t="shared" ca="1" si="414"/>
        <v>-0.54928991270965688</v>
      </c>
      <c r="E906" s="360">
        <f t="shared" ca="1" si="415"/>
        <v>-5.9470716077819219</v>
      </c>
      <c r="F906" s="357">
        <f t="shared" ca="1" si="416"/>
        <v>5.9723847930529752</v>
      </c>
      <c r="G906" s="359">
        <f t="shared" ca="1" si="417"/>
        <v>9.5180602478558853</v>
      </c>
      <c r="H906" s="360">
        <f t="shared" ca="1" si="418"/>
        <v>-66.937555511098495</v>
      </c>
      <c r="I906" s="357">
        <f t="shared" ca="1" si="419"/>
        <v>67.610870491979369</v>
      </c>
      <c r="J906" s="359">
        <f t="shared" ca="1" si="420"/>
        <v>187.70931447689617</v>
      </c>
      <c r="K906" s="360">
        <f t="shared" ca="1" si="421"/>
        <v>-7.8368907357477049</v>
      </c>
      <c r="L906" s="357">
        <f t="shared" ca="1" si="406"/>
        <v>187.87283890384566</v>
      </c>
      <c r="M906" s="359">
        <f t="shared" ca="1" si="422"/>
        <v>-1.4295500693683783</v>
      </c>
      <c r="N906" s="357">
        <f t="shared" ca="1" si="423"/>
        <v>-81.907185577442135</v>
      </c>
      <c r="O906" s="343"/>
      <c r="P906" s="363">
        <f t="shared" ca="1" si="424"/>
        <v>23</v>
      </c>
      <c r="Q906" s="357">
        <f t="shared" ca="1" si="425"/>
        <v>0</v>
      </c>
      <c r="R906" s="359">
        <f t="shared" ca="1" si="426"/>
        <v>0</v>
      </c>
      <c r="S906" s="360">
        <f t="shared" ca="1" si="427"/>
        <v>1.5629999999999982</v>
      </c>
      <c r="T906" s="357">
        <f t="shared" ca="1" si="407"/>
        <v>15.333029999999983</v>
      </c>
      <c r="U906" s="364">
        <f t="shared" ca="1" si="408"/>
        <v>0</v>
      </c>
      <c r="V906" s="359">
        <f t="shared" ca="1" si="409"/>
        <v>1.2259603954408356</v>
      </c>
      <c r="W906" s="357">
        <f t="shared" ca="1" si="410"/>
        <v>6.0986006598857276</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5.8105163830296478</v>
      </c>
      <c r="AH906" s="357">
        <f t="shared" ca="1" si="434"/>
        <v>-3.9017861514451466</v>
      </c>
    </row>
    <row r="907" spans="1:34" x14ac:dyDescent="0.2">
      <c r="A907" s="402">
        <f t="shared" ca="1" si="412"/>
        <v>1E-4</v>
      </c>
      <c r="B907" s="357">
        <f t="shared" ca="1" si="413"/>
        <v>15.65669999999983</v>
      </c>
      <c r="C907" s="342"/>
      <c r="D907" s="359">
        <f t="shared" ca="1" si="414"/>
        <v>-0.5492918310843572</v>
      </c>
      <c r="E907" s="360">
        <f t="shared" ca="1" si="415"/>
        <v>-5.9470015026659642</v>
      </c>
      <c r="F907" s="357">
        <f t="shared" ca="1" si="416"/>
        <v>5.9723151615104211</v>
      </c>
      <c r="G907" s="359">
        <f t="shared" ca="1" si="417"/>
        <v>9.5180053186727775</v>
      </c>
      <c r="H907" s="360">
        <f t="shared" ca="1" si="418"/>
        <v>-66.938150211248768</v>
      </c>
      <c r="I907" s="357">
        <f t="shared" ca="1" si="419"/>
        <v>67.611451537073123</v>
      </c>
      <c r="J907" s="359">
        <f t="shared" ca="1" si="420"/>
        <v>187.70931447689617</v>
      </c>
      <c r="K907" s="360">
        <f t="shared" ca="1" si="421"/>
        <v>-7.8435845210338222</v>
      </c>
      <c r="L907" s="357">
        <f t="shared" ca="1" si="406"/>
        <v>187.87311824613147</v>
      </c>
      <c r="M907" s="359">
        <f t="shared" ca="1" si="422"/>
        <v>-1.4295521119558767</v>
      </c>
      <c r="N907" s="357">
        <f t="shared" ca="1" si="423"/>
        <v>-81.907302609085093</v>
      </c>
      <c r="O907" s="343"/>
      <c r="P907" s="363">
        <f t="shared" ca="1" si="424"/>
        <v>23</v>
      </c>
      <c r="Q907" s="357">
        <f t="shared" ca="1" si="425"/>
        <v>0</v>
      </c>
      <c r="R907" s="359">
        <f t="shared" ca="1" si="426"/>
        <v>0</v>
      </c>
      <c r="S907" s="360">
        <f t="shared" ca="1" si="427"/>
        <v>1.5629999999999982</v>
      </c>
      <c r="T907" s="357">
        <f t="shared" ca="1" si="407"/>
        <v>15.333029999999983</v>
      </c>
      <c r="U907" s="364">
        <f t="shared" ca="1" si="408"/>
        <v>0</v>
      </c>
      <c r="V907" s="359">
        <f t="shared" ca="1" si="409"/>
        <v>1.2259612160728022</v>
      </c>
      <c r="W907" s="357">
        <f t="shared" ca="1" si="410"/>
        <v>6.0987095649367795</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5.8104495269584895</v>
      </c>
      <c r="AH907" s="357">
        <f t="shared" ca="1" si="434"/>
        <v>-3.9018558284617626</v>
      </c>
    </row>
    <row r="908" spans="1:34" x14ac:dyDescent="0.2">
      <c r="A908" s="402">
        <f t="shared" ca="1" si="412"/>
        <v>1E-4</v>
      </c>
      <c r="B908" s="357">
        <f t="shared" ca="1" si="413"/>
        <v>15.65679999999983</v>
      </c>
      <c r="C908" s="342"/>
      <c r="D908" s="359">
        <f t="shared" ca="1" si="414"/>
        <v>-0.54929374934477415</v>
      </c>
      <c r="E908" s="360">
        <f t="shared" ca="1" si="415"/>
        <v>-5.9469313976315714</v>
      </c>
      <c r="F908" s="357">
        <f t="shared" ca="1" si="416"/>
        <v>5.9722455300502704</v>
      </c>
      <c r="G908" s="359">
        <f t="shared" ca="1" si="417"/>
        <v>9.5179503892978428</v>
      </c>
      <c r="H908" s="360">
        <f t="shared" ca="1" si="418"/>
        <v>-66.938744904388528</v>
      </c>
      <c r="I908" s="357">
        <f t="shared" ca="1" si="419"/>
        <v>67.612032575481237</v>
      </c>
      <c r="J908" s="359">
        <f t="shared" ca="1" si="420"/>
        <v>187.70931447689617</v>
      </c>
      <c r="K908" s="360">
        <f t="shared" ca="1" si="421"/>
        <v>-7.8502783657896043</v>
      </c>
      <c r="L908" s="357">
        <f t="shared" ca="1" si="406"/>
        <v>187.87339782898133</v>
      </c>
      <c r="M908" s="359">
        <f t="shared" ca="1" si="422"/>
        <v>-1.4295541544964805</v>
      </c>
      <c r="N908" s="357">
        <f t="shared" ca="1" si="423"/>
        <v>-81.907419638041162</v>
      </c>
      <c r="O908" s="343"/>
      <c r="P908" s="363">
        <f t="shared" ca="1" si="424"/>
        <v>23</v>
      </c>
      <c r="Q908" s="357">
        <f t="shared" ca="1" si="425"/>
        <v>0</v>
      </c>
      <c r="R908" s="359">
        <f t="shared" ca="1" si="426"/>
        <v>0</v>
      </c>
      <c r="S908" s="360">
        <f t="shared" ca="1" si="427"/>
        <v>1.5629999999999982</v>
      </c>
      <c r="T908" s="357">
        <f t="shared" ca="1" si="407"/>
        <v>15.333029999999983</v>
      </c>
      <c r="U908" s="364">
        <f t="shared" ca="1" si="408"/>
        <v>0</v>
      </c>
      <c r="V908" s="359">
        <f t="shared" ca="1" si="409"/>
        <v>1.2259620367126089</v>
      </c>
      <c r="W908" s="357">
        <f t="shared" ca="1" si="410"/>
        <v>6.098818469861877</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5.8103826708626052</v>
      </c>
      <c r="AH908" s="357">
        <f t="shared" ca="1" si="434"/>
        <v>-3.9019255053978164</v>
      </c>
    </row>
    <row r="909" spans="1:34" x14ac:dyDescent="0.2">
      <c r="A909" s="402">
        <f t="shared" ca="1" si="412"/>
        <v>1E-4</v>
      </c>
      <c r="B909" s="357">
        <f t="shared" ca="1" si="413"/>
        <v>15.65689999999983</v>
      </c>
      <c r="C909" s="342"/>
      <c r="D909" s="359">
        <f t="shared" ca="1" si="414"/>
        <v>-0.54929566749090797</v>
      </c>
      <c r="E909" s="360">
        <f t="shared" ca="1" si="415"/>
        <v>-5.9468612926787685</v>
      </c>
      <c r="F909" s="357">
        <f t="shared" ca="1" si="416"/>
        <v>5.9721758986725497</v>
      </c>
      <c r="G909" s="359">
        <f t="shared" ca="1" si="417"/>
        <v>9.5178954597310934</v>
      </c>
      <c r="H909" s="360">
        <f t="shared" ca="1" si="418"/>
        <v>-66.93933959051779</v>
      </c>
      <c r="I909" s="357">
        <f t="shared" ca="1" si="419"/>
        <v>67.612613607203741</v>
      </c>
      <c r="J909" s="359">
        <f t="shared" ca="1" si="420"/>
        <v>187.70931447689617</v>
      </c>
      <c r="K909" s="360">
        <f t="shared" ca="1" si="421"/>
        <v>-7.8569722700143494</v>
      </c>
      <c r="L909" s="357">
        <f t="shared" ca="1" si="406"/>
        <v>187.87367765240046</v>
      </c>
      <c r="M909" s="359">
        <f t="shared" ca="1" si="422"/>
        <v>-1.4295561969901913</v>
      </c>
      <c r="N909" s="357">
        <f t="shared" ca="1" si="423"/>
        <v>-81.907536664310484</v>
      </c>
      <c r="O909" s="343"/>
      <c r="P909" s="363">
        <f t="shared" ca="1" si="424"/>
        <v>23</v>
      </c>
      <c r="Q909" s="357">
        <f t="shared" ca="1" si="425"/>
        <v>0</v>
      </c>
      <c r="R909" s="359">
        <f t="shared" ca="1" si="426"/>
        <v>0</v>
      </c>
      <c r="S909" s="360">
        <f t="shared" ca="1" si="427"/>
        <v>1.5629999999999982</v>
      </c>
      <c r="T909" s="357">
        <f t="shared" ca="1" si="407"/>
        <v>15.333029999999983</v>
      </c>
      <c r="U909" s="364">
        <f t="shared" ca="1" si="408"/>
        <v>0</v>
      </c>
      <c r="V909" s="359">
        <f t="shared" ca="1" si="409"/>
        <v>1.2259628573602561</v>
      </c>
      <c r="W909" s="357">
        <f t="shared" ca="1" si="410"/>
        <v>6.0989273746609927</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5.8103158147420251</v>
      </c>
      <c r="AH909" s="357">
        <f t="shared" ca="1" si="434"/>
        <v>-3.9019951822532848</v>
      </c>
    </row>
    <row r="910" spans="1:34" x14ac:dyDescent="0.2">
      <c r="A910" s="402">
        <f t="shared" ca="1" si="412"/>
        <v>1E-4</v>
      </c>
      <c r="B910" s="357">
        <f t="shared" ca="1" si="413"/>
        <v>15.656999999999829</v>
      </c>
      <c r="C910" s="342"/>
      <c r="D910" s="359">
        <f t="shared" ca="1" si="414"/>
        <v>-0.54929758552275976</v>
      </c>
      <c r="E910" s="360">
        <f t="shared" ca="1" si="415"/>
        <v>-5.9467911878075697</v>
      </c>
      <c r="F910" s="357">
        <f t="shared" ca="1" si="416"/>
        <v>5.9721062673772725</v>
      </c>
      <c r="G910" s="359">
        <f t="shared" ca="1" si="417"/>
        <v>9.5178405299725419</v>
      </c>
      <c r="H910" s="360">
        <f t="shared" ca="1" si="418"/>
        <v>-66.939934269636566</v>
      </c>
      <c r="I910" s="357">
        <f t="shared" ca="1" si="419"/>
        <v>67.613194632240621</v>
      </c>
      <c r="J910" s="359">
        <f t="shared" ca="1" si="420"/>
        <v>187.70931447689617</v>
      </c>
      <c r="K910" s="360">
        <f t="shared" ca="1" si="421"/>
        <v>-7.8636662337073568</v>
      </c>
      <c r="L910" s="357">
        <f t="shared" ca="1" si="406"/>
        <v>187.87395771639413</v>
      </c>
      <c r="M910" s="359">
        <f t="shared" ca="1" si="422"/>
        <v>-1.4295582394370108</v>
      </c>
      <c r="N910" s="357">
        <f t="shared" ca="1" si="423"/>
        <v>-81.907653687893117</v>
      </c>
      <c r="O910" s="343"/>
      <c r="P910" s="363">
        <f t="shared" ca="1" si="424"/>
        <v>23</v>
      </c>
      <c r="Q910" s="357">
        <f t="shared" ca="1" si="425"/>
        <v>0</v>
      </c>
      <c r="R910" s="359">
        <f t="shared" ca="1" si="426"/>
        <v>0</v>
      </c>
      <c r="S910" s="360">
        <f t="shared" ca="1" si="427"/>
        <v>1.5629999999999982</v>
      </c>
      <c r="T910" s="357">
        <f t="shared" ca="1" si="407"/>
        <v>15.333029999999983</v>
      </c>
      <c r="U910" s="364">
        <f t="shared" ca="1" si="408"/>
        <v>0</v>
      </c>
      <c r="V910" s="359">
        <f t="shared" ca="1" si="409"/>
        <v>1.225963678015743</v>
      </c>
      <c r="W910" s="357">
        <f t="shared" ca="1" si="410"/>
        <v>6.0990362793340918</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5.8102489585967696</v>
      </c>
      <c r="AH910" s="357">
        <f t="shared" ca="1" si="434"/>
        <v>-3.902064859028151</v>
      </c>
    </row>
    <row r="911" spans="1:34" x14ac:dyDescent="0.2">
      <c r="A911" s="402">
        <f t="shared" ca="1" si="412"/>
        <v>1E-4</v>
      </c>
      <c r="B911" s="357">
        <f t="shared" ca="1" si="413"/>
        <v>15.657099999999829</v>
      </c>
      <c r="C911" s="342"/>
      <c r="D911" s="359">
        <f t="shared" ca="1" si="414"/>
        <v>-0.54929950344033052</v>
      </c>
      <c r="E911" s="360">
        <f t="shared" ca="1" si="415"/>
        <v>-5.9467210830180006</v>
      </c>
      <c r="F911" s="357">
        <f t="shared" ca="1" si="416"/>
        <v>5.9720366361644652</v>
      </c>
      <c r="G911" s="359">
        <f t="shared" ca="1" si="417"/>
        <v>9.5177856000221972</v>
      </c>
      <c r="H911" s="360">
        <f t="shared" ca="1" si="418"/>
        <v>-66.940528941744873</v>
      </c>
      <c r="I911" s="357">
        <f t="shared" ca="1" si="419"/>
        <v>67.61377565059189</v>
      </c>
      <c r="J911" s="359">
        <f t="shared" ca="1" si="420"/>
        <v>187.70931447689617</v>
      </c>
      <c r="K911" s="360">
        <f t="shared" ca="1" si="421"/>
        <v>-7.8703602568679258</v>
      </c>
      <c r="L911" s="357">
        <f t="shared" ca="1" si="406"/>
        <v>187.8742380209676</v>
      </c>
      <c r="M911" s="359">
        <f t="shared" ca="1" si="422"/>
        <v>-1.4295602818369406</v>
      </c>
      <c r="N911" s="357">
        <f t="shared" ca="1" si="423"/>
        <v>-81.907770708789172</v>
      </c>
      <c r="O911" s="343"/>
      <c r="P911" s="363">
        <f t="shared" ca="1" si="424"/>
        <v>23</v>
      </c>
      <c r="Q911" s="357">
        <f t="shared" ca="1" si="425"/>
        <v>0</v>
      </c>
      <c r="R911" s="359">
        <f t="shared" ca="1" si="426"/>
        <v>0</v>
      </c>
      <c r="S911" s="360">
        <f t="shared" ca="1" si="427"/>
        <v>1.5629999999999982</v>
      </c>
      <c r="T911" s="357">
        <f t="shared" ca="1" si="407"/>
        <v>15.333029999999983</v>
      </c>
      <c r="U911" s="364">
        <f t="shared" ca="1" si="408"/>
        <v>0</v>
      </c>
      <c r="V911" s="359">
        <f t="shared" ca="1" si="409"/>
        <v>1.2259644986790701</v>
      </c>
      <c r="W911" s="357">
        <f t="shared" ca="1" si="410"/>
        <v>6.0991451838811495</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5.8101821024268672</v>
      </c>
      <c r="AH911" s="357">
        <f t="shared" ca="1" si="434"/>
        <v>-3.902134535722392</v>
      </c>
    </row>
    <row r="912" spans="1:34" x14ac:dyDescent="0.2">
      <c r="A912" s="402">
        <f t="shared" ca="1" si="412"/>
        <v>1E-4</v>
      </c>
      <c r="B912" s="357">
        <f t="shared" ca="1" si="413"/>
        <v>15.657199999999829</v>
      </c>
      <c r="C912" s="342"/>
      <c r="D912" s="359">
        <f t="shared" ca="1" si="414"/>
        <v>-0.54930142124362147</v>
      </c>
      <c r="E912" s="360">
        <f t="shared" ca="1" si="415"/>
        <v>-5.9466509783100747</v>
      </c>
      <c r="F912" s="357">
        <f t="shared" ca="1" si="416"/>
        <v>5.9719670050341396</v>
      </c>
      <c r="G912" s="359">
        <f t="shared" ca="1" si="417"/>
        <v>9.5177306698800734</v>
      </c>
      <c r="H912" s="360">
        <f t="shared" ca="1" si="418"/>
        <v>-66.941123606842709</v>
      </c>
      <c r="I912" s="357">
        <f t="shared" ca="1" si="419"/>
        <v>67.614356662257535</v>
      </c>
      <c r="J912" s="359">
        <f t="shared" ca="1" si="420"/>
        <v>187.70931447689617</v>
      </c>
      <c r="K912" s="360">
        <f t="shared" ca="1" si="421"/>
        <v>-7.8770543394953556</v>
      </c>
      <c r="L912" s="357">
        <f t="shared" ca="1" si="406"/>
        <v>187.87451856612611</v>
      </c>
      <c r="M912" s="359">
        <f t="shared" ca="1" si="422"/>
        <v>-1.4295623241899824</v>
      </c>
      <c r="N912" s="357">
        <f t="shared" ca="1" si="423"/>
        <v>-81.907887726998737</v>
      </c>
      <c r="O912" s="343"/>
      <c r="P912" s="363">
        <f t="shared" ca="1" si="424"/>
        <v>23</v>
      </c>
      <c r="Q912" s="357">
        <f t="shared" ca="1" si="425"/>
        <v>0</v>
      </c>
      <c r="R912" s="359">
        <f t="shared" ca="1" si="426"/>
        <v>0</v>
      </c>
      <c r="S912" s="360">
        <f t="shared" ca="1" si="427"/>
        <v>1.5629999999999982</v>
      </c>
      <c r="T912" s="357">
        <f t="shared" ca="1" si="407"/>
        <v>15.333029999999983</v>
      </c>
      <c r="U912" s="364">
        <f t="shared" ca="1" si="408"/>
        <v>0</v>
      </c>
      <c r="V912" s="359">
        <f t="shared" ca="1" si="409"/>
        <v>1.2259653193502373</v>
      </c>
      <c r="W912" s="357">
        <f t="shared" ca="1" si="410"/>
        <v>6.0992540883021364</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5.8101152462323382</v>
      </c>
      <c r="AH912" s="357">
        <f t="shared" ca="1" si="434"/>
        <v>-3.9022042123359926</v>
      </c>
    </row>
    <row r="913" spans="1:34" x14ac:dyDescent="0.2">
      <c r="A913" s="402">
        <f t="shared" ca="1" si="412"/>
        <v>1E-4</v>
      </c>
      <c r="B913" s="357">
        <f t="shared" ca="1" si="413"/>
        <v>15.657299999999829</v>
      </c>
      <c r="C913" s="342"/>
      <c r="D913" s="359">
        <f t="shared" ca="1" si="414"/>
        <v>-0.54930333893263417</v>
      </c>
      <c r="E913" s="360">
        <f t="shared" ca="1" si="415"/>
        <v>-5.9465808736838142</v>
      </c>
      <c r="F913" s="357">
        <f t="shared" ca="1" si="416"/>
        <v>5.9718973739863195</v>
      </c>
      <c r="G913" s="359">
        <f t="shared" ca="1" si="417"/>
        <v>9.5176757395461795</v>
      </c>
      <c r="H913" s="360">
        <f t="shared" ca="1" si="418"/>
        <v>-66.941718264930074</v>
      </c>
      <c r="I913" s="357">
        <f t="shared" ca="1" si="419"/>
        <v>67.614937667237541</v>
      </c>
      <c r="J913" s="359">
        <f t="shared" ca="1" si="420"/>
        <v>187.70931447689617</v>
      </c>
      <c r="K913" s="360">
        <f t="shared" ca="1" si="421"/>
        <v>-7.8837484815889445</v>
      </c>
      <c r="L913" s="357">
        <f t="shared" ca="1" si="406"/>
        <v>187.87479935187488</v>
      </c>
      <c r="M913" s="359">
        <f t="shared" ca="1" si="422"/>
        <v>-1.4295643664961379</v>
      </c>
      <c r="N913" s="357">
        <f t="shared" ca="1" si="423"/>
        <v>-81.908004742521925</v>
      </c>
      <c r="O913" s="343"/>
      <c r="P913" s="363">
        <f t="shared" ca="1" si="424"/>
        <v>23</v>
      </c>
      <c r="Q913" s="357">
        <f t="shared" ca="1" si="425"/>
        <v>0</v>
      </c>
      <c r="R913" s="359">
        <f t="shared" ca="1" si="426"/>
        <v>0</v>
      </c>
      <c r="S913" s="360">
        <f t="shared" ca="1" si="427"/>
        <v>1.5629999999999982</v>
      </c>
      <c r="T913" s="357">
        <f t="shared" ca="1" si="407"/>
        <v>15.333029999999983</v>
      </c>
      <c r="U913" s="364">
        <f t="shared" ca="1" si="408"/>
        <v>0</v>
      </c>
      <c r="V913" s="359">
        <f t="shared" ca="1" si="409"/>
        <v>1.2259661400292441</v>
      </c>
      <c r="W913" s="357">
        <f t="shared" ca="1" si="410"/>
        <v>6.0993629925970119</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5.8100483900132076</v>
      </c>
      <c r="AH913" s="357">
        <f t="shared" ca="1" si="434"/>
        <v>-3.9022738888689337</v>
      </c>
    </row>
    <row r="914" spans="1:34" x14ac:dyDescent="0.2">
      <c r="A914" s="402">
        <f t="shared" ca="1" si="412"/>
        <v>1E-4</v>
      </c>
      <c r="B914" s="357">
        <f t="shared" ca="1" si="413"/>
        <v>15.657399999999829</v>
      </c>
      <c r="C914" s="342"/>
      <c r="D914" s="359">
        <f t="shared" ca="1" si="414"/>
        <v>-0.54930525650736839</v>
      </c>
      <c r="E914" s="360">
        <f t="shared" ca="1" si="415"/>
        <v>-5.9465107691392403</v>
      </c>
      <c r="F914" s="357">
        <f t="shared" ca="1" si="416"/>
        <v>5.9718277430210245</v>
      </c>
      <c r="G914" s="359">
        <f t="shared" ca="1" si="417"/>
        <v>9.5176208090205296</v>
      </c>
      <c r="H914" s="360">
        <f t="shared" ca="1" si="418"/>
        <v>-66.942312916006983</v>
      </c>
      <c r="I914" s="357">
        <f t="shared" ca="1" si="419"/>
        <v>67.615518665531923</v>
      </c>
      <c r="J914" s="359">
        <f t="shared" ca="1" si="420"/>
        <v>187.70931447689617</v>
      </c>
      <c r="K914" s="360">
        <f t="shared" ca="1" si="421"/>
        <v>-7.8904426831479917</v>
      </c>
      <c r="L914" s="357">
        <f t="shared" ca="1" si="406"/>
        <v>187.87508037821925</v>
      </c>
      <c r="M914" s="359">
        <f t="shared" ca="1" si="422"/>
        <v>-1.4295664087554087</v>
      </c>
      <c r="N914" s="357">
        <f t="shared" ca="1" si="423"/>
        <v>-81.90812175535882</v>
      </c>
      <c r="O914" s="343"/>
      <c r="P914" s="363">
        <f t="shared" ca="1" si="424"/>
        <v>23</v>
      </c>
      <c r="Q914" s="357">
        <f t="shared" ca="1" si="425"/>
        <v>0</v>
      </c>
      <c r="R914" s="359">
        <f t="shared" ca="1" si="426"/>
        <v>0</v>
      </c>
      <c r="S914" s="360">
        <f t="shared" ca="1" si="427"/>
        <v>1.5629999999999982</v>
      </c>
      <c r="T914" s="357">
        <f t="shared" ca="1" si="407"/>
        <v>15.333029999999983</v>
      </c>
      <c r="U914" s="364">
        <f t="shared" ca="1" si="408"/>
        <v>0</v>
      </c>
      <c r="V914" s="359">
        <f t="shared" ca="1" si="409"/>
        <v>1.225966960716091</v>
      </c>
      <c r="W914" s="357">
        <f t="shared" ca="1" si="410"/>
        <v>6.0994718967657553</v>
      </c>
      <c r="X914" s="343"/>
      <c r="Y914" s="367" t="str">
        <f t="shared" ca="1" si="428"/>
        <v/>
      </c>
      <c r="Z914" s="368" t="str">
        <f t="shared" ca="1" si="429"/>
        <v/>
      </c>
      <c r="AA914" s="369" t="str">
        <f t="shared" ca="1" si="430"/>
        <v/>
      </c>
      <c r="AB914" s="344"/>
      <c r="AC914" s="363" t="e">
        <f t="shared" ca="1" si="431"/>
        <v>#N/A</v>
      </c>
      <c r="AD914" s="376" t="e">
        <f t="shared" ca="1" si="432"/>
        <v>#N/A</v>
      </c>
      <c r="AE914" s="377" t="e">
        <f t="shared" ca="1" si="411"/>
        <v>#N/A</v>
      </c>
      <c r="AF914" s="344"/>
      <c r="AG914" s="359">
        <f t="shared" ca="1" si="433"/>
        <v>5.8099815337695055</v>
      </c>
      <c r="AH914" s="357">
        <f t="shared" ca="1" si="434"/>
        <v>-3.9023435653211895</v>
      </c>
    </row>
    <row r="915" spans="1:34" x14ac:dyDescent="0.2">
      <c r="A915" s="402">
        <f t="shared" ca="1" si="412"/>
        <v>1E-4</v>
      </c>
      <c r="B915" s="357">
        <f t="shared" ca="1" si="413"/>
        <v>15.657499999999828</v>
      </c>
      <c r="C915" s="342"/>
      <c r="D915" s="359">
        <f t="shared" ca="1" si="414"/>
        <v>-0.54930717396782647</v>
      </c>
      <c r="E915" s="360">
        <f t="shared" ca="1" si="415"/>
        <v>-5.9464406646763708</v>
      </c>
      <c r="F915" s="357">
        <f t="shared" ca="1" si="416"/>
        <v>5.9717581121382741</v>
      </c>
      <c r="G915" s="359">
        <f t="shared" ca="1" si="417"/>
        <v>9.5175658783031327</v>
      </c>
      <c r="H915" s="360">
        <f t="shared" ca="1" si="418"/>
        <v>-66.942907560073451</v>
      </c>
      <c r="I915" s="357">
        <f t="shared" ca="1" si="419"/>
        <v>67.61609965714068</v>
      </c>
      <c r="J915" s="359">
        <f t="shared" ca="1" si="420"/>
        <v>187.70931447689617</v>
      </c>
      <c r="K915" s="360">
        <f t="shared" ca="1" si="421"/>
        <v>-7.8971369441717956</v>
      </c>
      <c r="L915" s="357">
        <f t="shared" ca="1" si="406"/>
        <v>187.87536164516439</v>
      </c>
      <c r="M915" s="359">
        <f t="shared" ca="1" si="422"/>
        <v>-1.4295684509677966</v>
      </c>
      <c r="N915" s="357">
        <f t="shared" ca="1" si="423"/>
        <v>-81.908238765509509</v>
      </c>
      <c r="O915" s="343"/>
      <c r="P915" s="363">
        <f t="shared" ca="1" si="424"/>
        <v>23</v>
      </c>
      <c r="Q915" s="357">
        <f t="shared" ca="1" si="425"/>
        <v>0</v>
      </c>
      <c r="R915" s="359">
        <f t="shared" ca="1" si="426"/>
        <v>0</v>
      </c>
      <c r="S915" s="360">
        <f t="shared" ca="1" si="427"/>
        <v>1.5629999999999982</v>
      </c>
      <c r="T915" s="357">
        <f t="shared" ca="1" si="407"/>
        <v>15.333029999999983</v>
      </c>
      <c r="U915" s="364">
        <f t="shared" ca="1" si="408"/>
        <v>0</v>
      </c>
      <c r="V915" s="359">
        <f t="shared" ca="1" si="409"/>
        <v>1.2259677814107777</v>
      </c>
      <c r="W915" s="357">
        <f t="shared" ca="1" si="410"/>
        <v>6.0995808008083348</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5.8099146775012507</v>
      </c>
      <c r="AH915" s="357">
        <f t="shared" ca="1" si="434"/>
        <v>-3.9024132416927464</v>
      </c>
    </row>
    <row r="916" spans="1:34" x14ac:dyDescent="0.2">
      <c r="A916" s="402">
        <f t="shared" ca="1" si="412"/>
        <v>1E-4</v>
      </c>
      <c r="B916" s="357">
        <f t="shared" ca="1" si="413"/>
        <v>15.657599999999828</v>
      </c>
      <c r="C916" s="342"/>
      <c r="D916" s="359">
        <f t="shared" ca="1" si="414"/>
        <v>-0.54930909131400907</v>
      </c>
      <c r="E916" s="360">
        <f t="shared" ca="1" si="415"/>
        <v>-5.9463705602952235</v>
      </c>
      <c r="F916" s="357">
        <f t="shared" ca="1" si="416"/>
        <v>5.9716884813380844</v>
      </c>
      <c r="G916" s="359">
        <f t="shared" ca="1" si="417"/>
        <v>9.5175109473940012</v>
      </c>
      <c r="H916" s="360">
        <f t="shared" ca="1" si="418"/>
        <v>-66.943502197129476</v>
      </c>
      <c r="I916" s="357">
        <f t="shared" ca="1" si="419"/>
        <v>67.616680642063798</v>
      </c>
      <c r="J916" s="359">
        <f t="shared" ca="1" si="420"/>
        <v>187.70931447689617</v>
      </c>
      <c r="K916" s="360">
        <f t="shared" ca="1" si="421"/>
        <v>-7.9038312646596554</v>
      </c>
      <c r="L916" s="357">
        <f t="shared" ca="1" si="406"/>
        <v>187.87564315271553</v>
      </c>
      <c r="M916" s="359">
        <f t="shared" ca="1" si="422"/>
        <v>-1.4295704931333031</v>
      </c>
      <c r="N916" s="357">
        <f t="shared" ca="1" si="423"/>
        <v>-81.908355772974105</v>
      </c>
      <c r="O916" s="343"/>
      <c r="P916" s="363">
        <f t="shared" ca="1" si="424"/>
        <v>23</v>
      </c>
      <c r="Q916" s="357">
        <f t="shared" ca="1" si="425"/>
        <v>0</v>
      </c>
      <c r="R916" s="359">
        <f t="shared" ca="1" si="426"/>
        <v>0</v>
      </c>
      <c r="S916" s="360">
        <f t="shared" ca="1" si="427"/>
        <v>1.5629999999999982</v>
      </c>
      <c r="T916" s="357">
        <f t="shared" ca="1" si="407"/>
        <v>15.333029999999983</v>
      </c>
      <c r="U916" s="364">
        <f t="shared" ca="1" si="408"/>
        <v>0</v>
      </c>
      <c r="V916" s="359">
        <f t="shared" ca="1" si="409"/>
        <v>1.2259686021133041</v>
      </c>
      <c r="W916" s="357">
        <f t="shared" ca="1" si="410"/>
        <v>6.0996897047247174</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5.8098478212084688</v>
      </c>
      <c r="AH916" s="357">
        <f t="shared" ca="1" si="434"/>
        <v>-3.9024829179835843</v>
      </c>
    </row>
    <row r="917" spans="1:34" x14ac:dyDescent="0.2">
      <c r="A917" s="402">
        <f t="shared" ca="1" si="412"/>
        <v>1E-4</v>
      </c>
      <c r="B917" s="357">
        <f t="shared" ca="1" si="413"/>
        <v>15.657699999999828</v>
      </c>
      <c r="C917" s="342"/>
      <c r="D917" s="359">
        <f t="shared" ca="1" si="414"/>
        <v>-0.54931100854591719</v>
      </c>
      <c r="E917" s="360">
        <f t="shared" ca="1" si="415"/>
        <v>-5.9463004559958215</v>
      </c>
      <c r="F917" s="357">
        <f t="shared" ca="1" si="416"/>
        <v>5.9716188506204784</v>
      </c>
      <c r="G917" s="359">
        <f t="shared" ca="1" si="417"/>
        <v>9.5174560162931474</v>
      </c>
      <c r="H917" s="360">
        <f t="shared" ca="1" si="418"/>
        <v>-66.944096827175073</v>
      </c>
      <c r="I917" s="357">
        <f t="shared" ca="1" si="419"/>
        <v>67.617261620301264</v>
      </c>
      <c r="J917" s="359">
        <f t="shared" ca="1" si="420"/>
        <v>187.70931447689617</v>
      </c>
      <c r="K917" s="360">
        <f t="shared" ca="1" si="421"/>
        <v>-7.9105256446108703</v>
      </c>
      <c r="L917" s="357">
        <f t="shared" ca="1" si="406"/>
        <v>187.87592490087798</v>
      </c>
      <c r="M917" s="359">
        <f t="shared" ca="1" si="422"/>
        <v>-1.4295725352519302</v>
      </c>
      <c r="N917" s="357">
        <f t="shared" ca="1" si="423"/>
        <v>-81.908472777752692</v>
      </c>
      <c r="O917" s="343"/>
      <c r="P917" s="363">
        <f t="shared" ca="1" si="424"/>
        <v>23</v>
      </c>
      <c r="Q917" s="357">
        <f t="shared" ca="1" si="425"/>
        <v>0</v>
      </c>
      <c r="R917" s="359">
        <f t="shared" ca="1" si="426"/>
        <v>0</v>
      </c>
      <c r="S917" s="360">
        <f t="shared" ca="1" si="427"/>
        <v>1.5629999999999982</v>
      </c>
      <c r="T917" s="357">
        <f t="shared" ca="1" si="407"/>
        <v>15.333029999999983</v>
      </c>
      <c r="U917" s="364">
        <f t="shared" ca="1" si="408"/>
        <v>0</v>
      </c>
      <c r="V917" s="359">
        <f t="shared" ca="1" si="409"/>
        <v>1.2259694228236699</v>
      </c>
      <c r="W917" s="357">
        <f t="shared" ca="1" si="410"/>
        <v>6.0997986085148694</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5.8097809648911847</v>
      </c>
      <c r="AH917" s="357">
        <f t="shared" ca="1" si="434"/>
        <v>-3.9025525941936818</v>
      </c>
    </row>
    <row r="918" spans="1:34" x14ac:dyDescent="0.2">
      <c r="A918" s="402">
        <f t="shared" ca="1" si="412"/>
        <v>1E-4</v>
      </c>
      <c r="B918" s="357">
        <f t="shared" ca="1" si="413"/>
        <v>15.657799999999828</v>
      </c>
      <c r="C918" s="342"/>
      <c r="D918" s="359">
        <f t="shared" ca="1" si="414"/>
        <v>-0.54931292566355061</v>
      </c>
      <c r="E918" s="360">
        <f t="shared" ca="1" si="415"/>
        <v>-5.9462303517781843</v>
      </c>
      <c r="F918" s="357">
        <f t="shared" ca="1" si="416"/>
        <v>5.9715492199854765</v>
      </c>
      <c r="G918" s="359">
        <f t="shared" ca="1" si="417"/>
        <v>9.5174010850005804</v>
      </c>
      <c r="H918" s="360">
        <f t="shared" ca="1" si="418"/>
        <v>-66.944691450210257</v>
      </c>
      <c r="I918" s="357">
        <f t="shared" ca="1" si="419"/>
        <v>67.617842591853105</v>
      </c>
      <c r="J918" s="359">
        <f t="shared" ca="1" si="420"/>
        <v>187.70931447689617</v>
      </c>
      <c r="K918" s="360">
        <f t="shared" ca="1" si="421"/>
        <v>-7.9172200840247395</v>
      </c>
      <c r="L918" s="357">
        <f t="shared" ca="1" si="406"/>
        <v>187.87620688965697</v>
      </c>
      <c r="M918" s="359">
        <f t="shared" ca="1" si="422"/>
        <v>-1.429574577323679</v>
      </c>
      <c r="N918" s="357">
        <f t="shared" ca="1" si="423"/>
        <v>-81.908589779845371</v>
      </c>
      <c r="O918" s="343"/>
      <c r="P918" s="363">
        <f t="shared" ca="1" si="424"/>
        <v>23</v>
      </c>
      <c r="Q918" s="357">
        <f t="shared" ca="1" si="425"/>
        <v>0</v>
      </c>
      <c r="R918" s="359">
        <f t="shared" ca="1" si="426"/>
        <v>0</v>
      </c>
      <c r="S918" s="360">
        <f t="shared" ca="1" si="427"/>
        <v>1.5629999999999982</v>
      </c>
      <c r="T918" s="357">
        <f t="shared" ca="1" si="407"/>
        <v>15.333029999999983</v>
      </c>
      <c r="U918" s="364">
        <f t="shared" ca="1" si="408"/>
        <v>0</v>
      </c>
      <c r="V918" s="359">
        <f t="shared" ca="1" si="409"/>
        <v>1.225970243541876</v>
      </c>
      <c r="W918" s="357">
        <f t="shared" ca="1" si="410"/>
        <v>6.0999075121787723</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5.8097141085494268</v>
      </c>
      <c r="AH918" s="357">
        <f t="shared" ca="1" si="434"/>
        <v>-3.9026222703230178</v>
      </c>
    </row>
    <row r="919" spans="1:34" x14ac:dyDescent="0.2">
      <c r="A919" s="402">
        <f t="shared" ca="1" si="412"/>
        <v>1E-4</v>
      </c>
      <c r="B919" s="357">
        <f t="shared" ca="1" si="413"/>
        <v>15.657899999999827</v>
      </c>
      <c r="C919" s="342"/>
      <c r="D919" s="359">
        <f t="shared" ca="1" si="414"/>
        <v>-0.54931484266691355</v>
      </c>
      <c r="E919" s="360">
        <f t="shared" ca="1" si="415"/>
        <v>-5.9461602476423252</v>
      </c>
      <c r="F919" s="357">
        <f t="shared" ca="1" si="416"/>
        <v>5.9714795894330921</v>
      </c>
      <c r="G919" s="359">
        <f t="shared" ca="1" si="417"/>
        <v>9.5173461535163142</v>
      </c>
      <c r="H919" s="360">
        <f t="shared" ca="1" si="418"/>
        <v>-66.945286066235028</v>
      </c>
      <c r="I919" s="357">
        <f t="shared" ca="1" si="419"/>
        <v>67.618423556719307</v>
      </c>
      <c r="J919" s="359">
        <f t="shared" ca="1" si="420"/>
        <v>187.70931447689617</v>
      </c>
      <c r="K919" s="360">
        <f t="shared" ca="1" si="421"/>
        <v>-7.9239145829005615</v>
      </c>
      <c r="L919" s="357">
        <f t="shared" ca="1" si="406"/>
        <v>187.87648911905771</v>
      </c>
      <c r="M919" s="359">
        <f t="shared" ca="1" si="422"/>
        <v>-1.4295766193485517</v>
      </c>
      <c r="N919" s="357">
        <f t="shared" ca="1" si="423"/>
        <v>-81.908706779252242</v>
      </c>
      <c r="O919" s="343"/>
      <c r="P919" s="363">
        <f t="shared" ca="1" si="424"/>
        <v>23</v>
      </c>
      <c r="Q919" s="357">
        <f t="shared" ca="1" si="425"/>
        <v>0</v>
      </c>
      <c r="R919" s="359">
        <f t="shared" ca="1" si="426"/>
        <v>0</v>
      </c>
      <c r="S919" s="360">
        <f t="shared" ca="1" si="427"/>
        <v>1.5629999999999982</v>
      </c>
      <c r="T919" s="357">
        <f t="shared" ca="1" si="407"/>
        <v>15.333029999999983</v>
      </c>
      <c r="U919" s="364">
        <f t="shared" ca="1" si="408"/>
        <v>0</v>
      </c>
      <c r="V919" s="359">
        <f t="shared" ca="1" si="409"/>
        <v>1.2259710642679211</v>
      </c>
      <c r="W919" s="357">
        <f t="shared" ca="1" si="410"/>
        <v>6.1000164157163832</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5.8096472521832103</v>
      </c>
      <c r="AH919" s="357">
        <f t="shared" ca="1" si="434"/>
        <v>-3.9026919463715801</v>
      </c>
    </row>
    <row r="920" spans="1:34" x14ac:dyDescent="0.2">
      <c r="A920" s="402">
        <f t="shared" ca="1" si="412"/>
        <v>1E-4</v>
      </c>
      <c r="B920" s="357">
        <f t="shared" ca="1" si="413"/>
        <v>15.657999999999827</v>
      </c>
      <c r="C920" s="342"/>
      <c r="D920" s="359">
        <f t="shared" ca="1" si="414"/>
        <v>-0.5493167595560039</v>
      </c>
      <c r="E920" s="360">
        <f t="shared" ca="1" si="415"/>
        <v>-5.9460901435882727</v>
      </c>
      <c r="F920" s="357">
        <f t="shared" ca="1" si="416"/>
        <v>5.9714099589633536</v>
      </c>
      <c r="G920" s="359">
        <f t="shared" ca="1" si="417"/>
        <v>9.5172912218403578</v>
      </c>
      <c r="H920" s="360">
        <f t="shared" ca="1" si="418"/>
        <v>-66.945880675249384</v>
      </c>
      <c r="I920" s="357">
        <f t="shared" ca="1" si="419"/>
        <v>67.619004514899856</v>
      </c>
      <c r="J920" s="359">
        <f t="shared" ca="1" si="420"/>
        <v>187.70931447689617</v>
      </c>
      <c r="K920" s="360">
        <f t="shared" ca="1" si="421"/>
        <v>-7.9306091412376354</v>
      </c>
      <c r="L920" s="357">
        <f t="shared" ca="1" si="406"/>
        <v>187.87677158908542</v>
      </c>
      <c r="M920" s="359">
        <f t="shared" ca="1" si="422"/>
        <v>-1.4295786613265498</v>
      </c>
      <c r="N920" s="357">
        <f t="shared" ca="1" si="423"/>
        <v>-81.908823775973389</v>
      </c>
      <c r="O920" s="343"/>
      <c r="P920" s="363">
        <f t="shared" ca="1" si="424"/>
        <v>23</v>
      </c>
      <c r="Q920" s="357">
        <f t="shared" ca="1" si="425"/>
        <v>0</v>
      </c>
      <c r="R920" s="359">
        <f t="shared" ca="1" si="426"/>
        <v>0</v>
      </c>
      <c r="S920" s="360">
        <f t="shared" ca="1" si="427"/>
        <v>1.5629999999999982</v>
      </c>
      <c r="T920" s="357">
        <f t="shared" ca="1" si="407"/>
        <v>15.333029999999983</v>
      </c>
      <c r="U920" s="364">
        <f t="shared" ca="1" si="408"/>
        <v>0</v>
      </c>
      <c r="V920" s="359">
        <f t="shared" ca="1" si="409"/>
        <v>1.2259718850018055</v>
      </c>
      <c r="W920" s="357">
        <f t="shared" ca="1" si="410"/>
        <v>6.1001253191276748</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5.8095803957925707</v>
      </c>
      <c r="AH920" s="357">
        <f t="shared" ca="1" si="434"/>
        <v>-3.9027616223393413</v>
      </c>
    </row>
    <row r="921" spans="1:34" x14ac:dyDescent="0.2">
      <c r="A921" s="402">
        <f t="shared" ca="1" si="412"/>
        <v>1E-4</v>
      </c>
      <c r="B921" s="357">
        <f t="shared" ca="1" si="413"/>
        <v>15.658099999999827</v>
      </c>
      <c r="C921" s="342"/>
      <c r="D921" s="359">
        <f t="shared" ca="1" si="414"/>
        <v>-0.5493186763308241</v>
      </c>
      <c r="E921" s="360">
        <f t="shared" ca="1" si="415"/>
        <v>-5.9460200396160428</v>
      </c>
      <c r="F921" s="357">
        <f t="shared" ca="1" si="416"/>
        <v>5.9713403285762752</v>
      </c>
      <c r="G921" s="359">
        <f t="shared" ca="1" si="417"/>
        <v>9.5172362899727254</v>
      </c>
      <c r="H921" s="360">
        <f t="shared" ca="1" si="418"/>
        <v>-66.946475277253342</v>
      </c>
      <c r="I921" s="357">
        <f t="shared" ca="1" si="419"/>
        <v>67.619585466394767</v>
      </c>
      <c r="J921" s="359">
        <f t="shared" ca="1" si="420"/>
        <v>187.70931447689617</v>
      </c>
      <c r="K921" s="360">
        <f t="shared" ca="1" si="421"/>
        <v>-7.9373037590352604</v>
      </c>
      <c r="L921" s="357">
        <f t="shared" ca="1" si="406"/>
        <v>187.87705429974542</v>
      </c>
      <c r="M921" s="359">
        <f t="shared" ca="1" si="422"/>
        <v>-1.4295807032576748</v>
      </c>
      <c r="N921" s="357">
        <f t="shared" ca="1" si="423"/>
        <v>-81.908940770008911</v>
      </c>
      <c r="O921" s="343"/>
      <c r="P921" s="363">
        <f t="shared" ca="1" si="424"/>
        <v>23</v>
      </c>
      <c r="Q921" s="357">
        <f t="shared" ca="1" si="425"/>
        <v>0</v>
      </c>
      <c r="R921" s="359">
        <f t="shared" ca="1" si="426"/>
        <v>0</v>
      </c>
      <c r="S921" s="360">
        <f t="shared" ca="1" si="427"/>
        <v>1.5629999999999982</v>
      </c>
      <c r="T921" s="357">
        <f t="shared" ca="1" si="407"/>
        <v>15.333029999999983</v>
      </c>
      <c r="U921" s="364">
        <f t="shared" ca="1" si="408"/>
        <v>0</v>
      </c>
      <c r="V921" s="359">
        <f t="shared" ca="1" si="409"/>
        <v>1.2259727057435295</v>
      </c>
      <c r="W921" s="357">
        <f t="shared" ca="1" si="410"/>
        <v>6.1002342224126194</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5.8095135393775283</v>
      </c>
      <c r="AH921" s="357">
        <f t="shared" ca="1" si="434"/>
        <v>-3.9028312982262841</v>
      </c>
    </row>
    <row r="922" spans="1:34" x14ac:dyDescent="0.2">
      <c r="A922" s="402">
        <f t="shared" ca="1" si="412"/>
        <v>1E-4</v>
      </c>
      <c r="B922" s="357">
        <f t="shared" ca="1" si="413"/>
        <v>15.658199999999827</v>
      </c>
      <c r="C922" s="342"/>
      <c r="D922" s="359">
        <f t="shared" ca="1" si="414"/>
        <v>-0.54932059299137515</v>
      </c>
      <c r="E922" s="360">
        <f t="shared" ca="1" si="415"/>
        <v>-5.945949935725654</v>
      </c>
      <c r="F922" s="357">
        <f t="shared" ca="1" si="416"/>
        <v>5.9712706982718764</v>
      </c>
      <c r="G922" s="359">
        <f t="shared" ca="1" si="417"/>
        <v>9.5171813579134259</v>
      </c>
      <c r="H922" s="360">
        <f t="shared" ca="1" si="418"/>
        <v>-66.947069872246914</v>
      </c>
      <c r="I922" s="357">
        <f t="shared" ca="1" si="419"/>
        <v>67.620166411204025</v>
      </c>
      <c r="J922" s="359">
        <f t="shared" ca="1" si="420"/>
        <v>187.70931447689617</v>
      </c>
      <c r="K922" s="360">
        <f t="shared" ca="1" si="421"/>
        <v>-7.9439984362927358</v>
      </c>
      <c r="L922" s="357">
        <f t="shared" ca="1" si="406"/>
        <v>187.87733725104292</v>
      </c>
      <c r="M922" s="359">
        <f t="shared" ca="1" si="422"/>
        <v>-1.4295827451419285</v>
      </c>
      <c r="N922" s="357">
        <f t="shared" ca="1" si="423"/>
        <v>-81.909057761358895</v>
      </c>
      <c r="O922" s="343"/>
      <c r="P922" s="363">
        <f t="shared" ca="1" si="424"/>
        <v>23</v>
      </c>
      <c r="Q922" s="357">
        <f t="shared" ca="1" si="425"/>
        <v>0</v>
      </c>
      <c r="R922" s="359">
        <f t="shared" ca="1" si="426"/>
        <v>0</v>
      </c>
      <c r="S922" s="360">
        <f t="shared" ca="1" si="427"/>
        <v>1.5629999999999982</v>
      </c>
      <c r="T922" s="357">
        <f t="shared" ca="1" si="407"/>
        <v>15.333029999999983</v>
      </c>
      <c r="U922" s="364">
        <f t="shared" ca="1" si="408"/>
        <v>0</v>
      </c>
      <c r="V922" s="359">
        <f t="shared" ca="1" si="409"/>
        <v>1.2259735264930931</v>
      </c>
      <c r="W922" s="357">
        <f t="shared" ca="1" si="410"/>
        <v>6.1003431255711869</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5.8094466829381028</v>
      </c>
      <c r="AH922" s="357">
        <f t="shared" ca="1" si="434"/>
        <v>-3.9029009740323906</v>
      </c>
    </row>
    <row r="923" spans="1:34" x14ac:dyDescent="0.2">
      <c r="A923" s="402">
        <f t="shared" ca="1" si="412"/>
        <v>1E-4</v>
      </c>
      <c r="B923" s="357">
        <f t="shared" ca="1" si="413"/>
        <v>15.658299999999826</v>
      </c>
      <c r="C923" s="342"/>
      <c r="D923" s="359">
        <f t="shared" ca="1" si="414"/>
        <v>-0.54932250953765871</v>
      </c>
      <c r="E923" s="360">
        <f t="shared" ca="1" si="415"/>
        <v>-5.9458798319171242</v>
      </c>
      <c r="F923" s="357">
        <f t="shared" ca="1" si="416"/>
        <v>5.9712010680501759</v>
      </c>
      <c r="G923" s="359">
        <f t="shared" ca="1" si="417"/>
        <v>9.5171264256624717</v>
      </c>
      <c r="H923" s="360">
        <f t="shared" ca="1" si="418"/>
        <v>-66.947664460230101</v>
      </c>
      <c r="I923" s="357">
        <f t="shared" ca="1" si="419"/>
        <v>67.62074734932763</v>
      </c>
      <c r="J923" s="359">
        <f t="shared" ca="1" si="420"/>
        <v>187.70931447689617</v>
      </c>
      <c r="K923" s="360">
        <f t="shared" ca="1" si="421"/>
        <v>-7.95069317300936</v>
      </c>
      <c r="L923" s="357">
        <f t="shared" ca="1" si="406"/>
        <v>187.87762044298313</v>
      </c>
      <c r="M923" s="359">
        <f t="shared" ca="1" si="422"/>
        <v>-1.4295847869793128</v>
      </c>
      <c r="N923" s="357">
        <f t="shared" ca="1" si="423"/>
        <v>-81.909174750023467</v>
      </c>
      <c r="O923" s="343"/>
      <c r="P923" s="363">
        <f t="shared" ca="1" si="424"/>
        <v>23</v>
      </c>
      <c r="Q923" s="357">
        <f t="shared" ca="1" si="425"/>
        <v>0</v>
      </c>
      <c r="R923" s="359">
        <f t="shared" ca="1" si="426"/>
        <v>0</v>
      </c>
      <c r="S923" s="360">
        <f t="shared" ca="1" si="427"/>
        <v>1.5629999999999982</v>
      </c>
      <c r="T923" s="357">
        <f t="shared" ca="1" si="407"/>
        <v>15.333029999999983</v>
      </c>
      <c r="U923" s="364">
        <f t="shared" ca="1" si="408"/>
        <v>0</v>
      </c>
      <c r="V923" s="359">
        <f t="shared" ca="1" si="409"/>
        <v>1.2259743472504954</v>
      </c>
      <c r="W923" s="357">
        <f t="shared" ca="1" si="410"/>
        <v>6.1004520286033426</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5.8093798264743253</v>
      </c>
      <c r="AH923" s="357">
        <f t="shared" ca="1" si="434"/>
        <v>-3.9029706497576417</v>
      </c>
    </row>
    <row r="924" spans="1:34" x14ac:dyDescent="0.2">
      <c r="A924" s="402">
        <f t="shared" ca="1" si="412"/>
        <v>1E-4</v>
      </c>
      <c r="B924" s="357">
        <f t="shared" ca="1" si="413"/>
        <v>15.658399999999826</v>
      </c>
      <c r="C924" s="342"/>
      <c r="D924" s="359">
        <f t="shared" ca="1" si="414"/>
        <v>-0.54932442596967412</v>
      </c>
      <c r="E924" s="360">
        <f t="shared" ca="1" si="415"/>
        <v>-5.9458097281904774</v>
      </c>
      <c r="F924" s="357">
        <f t="shared" ca="1" si="416"/>
        <v>5.9711314379111968</v>
      </c>
      <c r="G924" s="359">
        <f t="shared" ca="1" si="417"/>
        <v>9.5170714932198752</v>
      </c>
      <c r="H924" s="360">
        <f t="shared" ca="1" si="418"/>
        <v>-66.948259041202917</v>
      </c>
      <c r="I924" s="357">
        <f t="shared" ca="1" si="419"/>
        <v>67.621328280765582</v>
      </c>
      <c r="J924" s="359">
        <f t="shared" ca="1" si="420"/>
        <v>187.70931447689617</v>
      </c>
      <c r="K924" s="360">
        <f t="shared" ca="1" si="421"/>
        <v>-7.957387969184432</v>
      </c>
      <c r="L924" s="357">
        <f t="shared" ca="1" si="406"/>
        <v>187.87790387557132</v>
      </c>
      <c r="M924" s="359">
        <f t="shared" ca="1" si="422"/>
        <v>-1.429586828769829</v>
      </c>
      <c r="N924" s="357">
        <f t="shared" ca="1" si="423"/>
        <v>-81.9092917360027</v>
      </c>
      <c r="O924" s="343"/>
      <c r="P924" s="363">
        <f t="shared" ca="1" si="424"/>
        <v>23</v>
      </c>
      <c r="Q924" s="357">
        <f t="shared" ca="1" si="425"/>
        <v>0</v>
      </c>
      <c r="R924" s="359">
        <f t="shared" ca="1" si="426"/>
        <v>0</v>
      </c>
      <c r="S924" s="360">
        <f t="shared" ca="1" si="427"/>
        <v>1.5629999999999982</v>
      </c>
      <c r="T924" s="357">
        <f t="shared" ca="1" si="407"/>
        <v>15.333029999999983</v>
      </c>
      <c r="U924" s="364">
        <f t="shared" ca="1" si="408"/>
        <v>0</v>
      </c>
      <c r="V924" s="359">
        <f t="shared" ca="1" si="409"/>
        <v>1.2259751680157369</v>
      </c>
      <c r="W924" s="357">
        <f t="shared" ca="1" si="410"/>
        <v>6.1005609315090572</v>
      </c>
      <c r="X924" s="343"/>
      <c r="Y924" s="367" t="str">
        <f t="shared" ca="1" si="428"/>
        <v/>
      </c>
      <c r="Z924" s="368" t="str">
        <f t="shared" ca="1" si="429"/>
        <v/>
      </c>
      <c r="AA924" s="369" t="str">
        <f t="shared" ca="1" si="430"/>
        <v/>
      </c>
      <c r="AB924" s="344"/>
      <c r="AC924" s="363" t="e">
        <f t="shared" ca="1" si="431"/>
        <v>#N/A</v>
      </c>
      <c r="AD924" s="376" t="e">
        <f t="shared" ca="1" si="432"/>
        <v>#N/A</v>
      </c>
      <c r="AE924" s="377" t="e">
        <f t="shared" ca="1" si="411"/>
        <v>#N/A</v>
      </c>
      <c r="AF924" s="344"/>
      <c r="AG924" s="359">
        <f t="shared" ca="1" si="433"/>
        <v>5.8093129699862178</v>
      </c>
      <c r="AH924" s="357">
        <f t="shared" ca="1" si="434"/>
        <v>-3.903040325402015</v>
      </c>
    </row>
    <row r="925" spans="1:34" x14ac:dyDescent="0.2">
      <c r="A925" s="402">
        <f t="shared" ca="1" si="412"/>
        <v>1E-4</v>
      </c>
      <c r="B925" s="357">
        <f t="shared" ca="1" si="413"/>
        <v>15.658499999999826</v>
      </c>
      <c r="C925" s="342"/>
      <c r="D925" s="359">
        <f t="shared" ca="1" si="414"/>
        <v>-0.54932634228742383</v>
      </c>
      <c r="E925" s="360">
        <f t="shared" ca="1" si="415"/>
        <v>-5.9457396245457321</v>
      </c>
      <c r="F925" s="357">
        <f t="shared" ca="1" si="416"/>
        <v>5.9710618078549569</v>
      </c>
      <c r="G925" s="359">
        <f t="shared" ca="1" si="417"/>
        <v>9.5170165605856472</v>
      </c>
      <c r="H925" s="360">
        <f t="shared" ca="1" si="418"/>
        <v>-66.948853615165376</v>
      </c>
      <c r="I925" s="357">
        <f t="shared" ca="1" si="419"/>
        <v>67.621909205517881</v>
      </c>
      <c r="J925" s="359">
        <f t="shared" ca="1" si="420"/>
        <v>187.70931447689617</v>
      </c>
      <c r="K925" s="360">
        <f t="shared" ca="1" si="421"/>
        <v>-7.9640828248172504</v>
      </c>
      <c r="L925" s="357">
        <f t="shared" ca="1" si="406"/>
        <v>187.87818754881272</v>
      </c>
      <c r="M925" s="359">
        <f t="shared" ca="1" si="422"/>
        <v>-1.4295888705134789</v>
      </c>
      <c r="N925" s="357">
        <f t="shared" ca="1" si="423"/>
        <v>-81.909408719296678</v>
      </c>
      <c r="O925" s="343"/>
      <c r="P925" s="363">
        <f t="shared" ca="1" si="424"/>
        <v>23</v>
      </c>
      <c r="Q925" s="357">
        <f t="shared" ca="1" si="425"/>
        <v>0</v>
      </c>
      <c r="R925" s="359">
        <f t="shared" ca="1" si="426"/>
        <v>0</v>
      </c>
      <c r="S925" s="360">
        <f t="shared" ca="1" si="427"/>
        <v>1.5629999999999982</v>
      </c>
      <c r="T925" s="357">
        <f t="shared" ca="1" si="407"/>
        <v>15.333029999999983</v>
      </c>
      <c r="U925" s="364">
        <f t="shared" ca="1" si="408"/>
        <v>0</v>
      </c>
      <c r="V925" s="359">
        <f t="shared" ca="1" si="409"/>
        <v>1.2259759887888175</v>
      </c>
      <c r="W925" s="357">
        <f t="shared" ca="1" si="410"/>
        <v>6.1006698342883023</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5.8092461134738063</v>
      </c>
      <c r="AH925" s="357">
        <f t="shared" ca="1" si="434"/>
        <v>-3.9031100009654924</v>
      </c>
    </row>
    <row r="926" spans="1:34" x14ac:dyDescent="0.2">
      <c r="A926" s="402">
        <f t="shared" ca="1" si="412"/>
        <v>1E-4</v>
      </c>
      <c r="B926" s="357">
        <f t="shared" ca="1" si="413"/>
        <v>15.658599999999826</v>
      </c>
      <c r="C926" s="342"/>
      <c r="D926" s="359">
        <f t="shared" ca="1" si="414"/>
        <v>-0.54932825849090872</v>
      </c>
      <c r="E926" s="360">
        <f t="shared" ca="1" si="415"/>
        <v>-5.9456695209829054</v>
      </c>
      <c r="F926" s="357">
        <f t="shared" ca="1" si="416"/>
        <v>5.9709921778814739</v>
      </c>
      <c r="G926" s="359">
        <f t="shared" ca="1" si="417"/>
        <v>9.5169616277597981</v>
      </c>
      <c r="H926" s="360">
        <f t="shared" ca="1" si="418"/>
        <v>-66.949448182117479</v>
      </c>
      <c r="I926" s="357">
        <f t="shared" ca="1" si="419"/>
        <v>67.622490123584527</v>
      </c>
      <c r="J926" s="359">
        <f t="shared" ca="1" si="420"/>
        <v>187.70931447689617</v>
      </c>
      <c r="K926" s="360">
        <f t="shared" ca="1" si="421"/>
        <v>-7.9707777399071142</v>
      </c>
      <c r="L926" s="357">
        <f t="shared" ca="1" si="406"/>
        <v>187.87847146271258</v>
      </c>
      <c r="M926" s="359">
        <f t="shared" ca="1" si="422"/>
        <v>-1.4295909122102644</v>
      </c>
      <c r="N926" s="357">
        <f t="shared" ca="1" si="423"/>
        <v>-81.909525699905529</v>
      </c>
      <c r="O926" s="343"/>
      <c r="P926" s="363">
        <f t="shared" ca="1" si="424"/>
        <v>23</v>
      </c>
      <c r="Q926" s="357">
        <f t="shared" ca="1" si="425"/>
        <v>0</v>
      </c>
      <c r="R926" s="359">
        <f t="shared" ca="1" si="426"/>
        <v>0</v>
      </c>
      <c r="S926" s="360">
        <f t="shared" ca="1" si="427"/>
        <v>1.5629999999999982</v>
      </c>
      <c r="T926" s="357">
        <f t="shared" ca="1" si="407"/>
        <v>15.333029999999983</v>
      </c>
      <c r="U926" s="364">
        <f t="shared" ca="1" si="408"/>
        <v>0</v>
      </c>
      <c r="V926" s="359">
        <f t="shared" ca="1" si="409"/>
        <v>1.2259768095697372</v>
      </c>
      <c r="W926" s="357">
        <f t="shared" ca="1" si="410"/>
        <v>6.1007787369410487</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5.8091792569371155</v>
      </c>
      <c r="AH926" s="357">
        <f t="shared" ca="1" si="434"/>
        <v>-3.9031796764480546</v>
      </c>
    </row>
    <row r="927" spans="1:34" x14ac:dyDescent="0.2">
      <c r="A927" s="402">
        <f t="shared" ca="1" si="412"/>
        <v>1E-4</v>
      </c>
      <c r="B927" s="357">
        <f t="shared" ca="1" si="413"/>
        <v>15.658699999999826</v>
      </c>
      <c r="C927" s="342"/>
      <c r="D927" s="359">
        <f t="shared" ca="1" si="414"/>
        <v>-0.54933017458012956</v>
      </c>
      <c r="E927" s="360">
        <f t="shared" ca="1" si="415"/>
        <v>-5.9455994175020184</v>
      </c>
      <c r="F927" s="357">
        <f t="shared" ca="1" si="416"/>
        <v>5.970922547990769</v>
      </c>
      <c r="G927" s="359">
        <f t="shared" ca="1" si="417"/>
        <v>9.5169066947423406</v>
      </c>
      <c r="H927" s="360">
        <f t="shared" ca="1" si="418"/>
        <v>-66.950042742059225</v>
      </c>
      <c r="I927" s="357">
        <f t="shared" ca="1" si="419"/>
        <v>67.623071034965491</v>
      </c>
      <c r="J927" s="359">
        <f t="shared" ca="1" si="420"/>
        <v>187.70931447689617</v>
      </c>
      <c r="K927" s="360">
        <f t="shared" ca="1" si="421"/>
        <v>-7.9774727144533228</v>
      </c>
      <c r="L927" s="357">
        <f t="shared" ca="1" si="406"/>
        <v>187.87875561727606</v>
      </c>
      <c r="M927" s="359">
        <f t="shared" ca="1" si="422"/>
        <v>-1.429592953860187</v>
      </c>
      <c r="N927" s="357">
        <f t="shared" ca="1" si="423"/>
        <v>-81.909642677829353</v>
      </c>
      <c r="O927" s="343"/>
      <c r="P927" s="363">
        <f t="shared" ca="1" si="424"/>
        <v>23</v>
      </c>
      <c r="Q927" s="357">
        <f t="shared" ca="1" si="425"/>
        <v>0</v>
      </c>
      <c r="R927" s="359">
        <f t="shared" ca="1" si="426"/>
        <v>0</v>
      </c>
      <c r="S927" s="360">
        <f t="shared" ca="1" si="427"/>
        <v>1.5629999999999982</v>
      </c>
      <c r="T927" s="357">
        <f t="shared" ca="1" si="407"/>
        <v>15.333029999999983</v>
      </c>
      <c r="U927" s="364">
        <f t="shared" ca="1" si="408"/>
        <v>0</v>
      </c>
      <c r="V927" s="359">
        <f t="shared" ca="1" si="409"/>
        <v>1.2259776303584962</v>
      </c>
      <c r="W927" s="357">
        <f t="shared" ca="1" si="410"/>
        <v>6.1008876394672598</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5.8091124003761649</v>
      </c>
      <c r="AH927" s="357">
        <f t="shared" ca="1" si="434"/>
        <v>-3.9032493518496838</v>
      </c>
    </row>
    <row r="928" spans="1:34" x14ac:dyDescent="0.2">
      <c r="A928" s="402">
        <f t="shared" ca="1" si="412"/>
        <v>1E-4</v>
      </c>
      <c r="B928" s="357">
        <f t="shared" ca="1" si="413"/>
        <v>15.658799999999825</v>
      </c>
      <c r="C928" s="342"/>
      <c r="D928" s="359">
        <f t="shared" ca="1" si="414"/>
        <v>-0.54933209055508636</v>
      </c>
      <c r="E928" s="360">
        <f t="shared" ca="1" si="415"/>
        <v>-5.9455293141030925</v>
      </c>
      <c r="F928" s="357">
        <f t="shared" ca="1" si="416"/>
        <v>5.9708529181828629</v>
      </c>
      <c r="G928" s="359">
        <f t="shared" ca="1" si="417"/>
        <v>9.5168517615332853</v>
      </c>
      <c r="H928" s="360">
        <f t="shared" ca="1" si="418"/>
        <v>-66.950637294990628</v>
      </c>
      <c r="I928" s="357">
        <f t="shared" ca="1" si="419"/>
        <v>67.623651939660789</v>
      </c>
      <c r="J928" s="359">
        <f t="shared" ca="1" si="420"/>
        <v>187.70931447689617</v>
      </c>
      <c r="K928" s="360">
        <f t="shared" ca="1" si="421"/>
        <v>-7.9841677484551754</v>
      </c>
      <c r="L928" s="357">
        <f t="shared" ca="1" si="406"/>
        <v>187.87904001250848</v>
      </c>
      <c r="M928" s="359">
        <f t="shared" ca="1" si="422"/>
        <v>-1.4295949954632481</v>
      </c>
      <c r="N928" s="357">
        <f t="shared" ca="1" si="423"/>
        <v>-81.909759653068193</v>
      </c>
      <c r="O928" s="343"/>
      <c r="P928" s="363">
        <f t="shared" ca="1" si="424"/>
        <v>23</v>
      </c>
      <c r="Q928" s="357">
        <f t="shared" ca="1" si="425"/>
        <v>0</v>
      </c>
      <c r="R928" s="359">
        <f t="shared" ca="1" si="426"/>
        <v>0</v>
      </c>
      <c r="S928" s="360">
        <f t="shared" ca="1" si="427"/>
        <v>1.5629999999999982</v>
      </c>
      <c r="T928" s="357">
        <f t="shared" ca="1" si="407"/>
        <v>15.333029999999983</v>
      </c>
      <c r="U928" s="364">
        <f t="shared" ca="1" si="408"/>
        <v>0</v>
      </c>
      <c r="V928" s="359">
        <f t="shared" ca="1" si="409"/>
        <v>1.2259784511550935</v>
      </c>
      <c r="W928" s="357">
        <f t="shared" ca="1" si="410"/>
        <v>6.1009965418669072</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5.8090455437909867</v>
      </c>
      <c r="AH928" s="357">
        <f t="shared" ca="1" si="434"/>
        <v>-3.9033190271703564</v>
      </c>
    </row>
    <row r="929" spans="1:34" x14ac:dyDescent="0.2">
      <c r="A929" s="402">
        <f t="shared" ca="1" si="412"/>
        <v>1E-4</v>
      </c>
      <c r="B929" s="357">
        <f t="shared" ca="1" si="413"/>
        <v>15.658899999999825</v>
      </c>
      <c r="C929" s="342"/>
      <c r="D929" s="359">
        <f t="shared" ca="1" si="414"/>
        <v>-0.54933400641578245</v>
      </c>
      <c r="E929" s="360">
        <f t="shared" ca="1" si="415"/>
        <v>-5.9454592107861473</v>
      </c>
      <c r="F929" s="357">
        <f t="shared" ca="1" si="416"/>
        <v>5.970783288457775</v>
      </c>
      <c r="G929" s="359">
        <f t="shared" ca="1" si="417"/>
        <v>9.5167968281326445</v>
      </c>
      <c r="H929" s="360">
        <f t="shared" ca="1" si="418"/>
        <v>-66.951231840911703</v>
      </c>
      <c r="I929" s="357">
        <f t="shared" ca="1" si="419"/>
        <v>67.624232837670434</v>
      </c>
      <c r="J929" s="359">
        <f t="shared" ca="1" si="420"/>
        <v>187.70931447689617</v>
      </c>
      <c r="K929" s="360">
        <f t="shared" ca="1" si="421"/>
        <v>-7.9908628419119703</v>
      </c>
      <c r="L929" s="357">
        <f t="shared" ca="1" si="406"/>
        <v>187.87932464841506</v>
      </c>
      <c r="M929" s="359">
        <f t="shared" ca="1" si="422"/>
        <v>-1.4295970370194497</v>
      </c>
      <c r="N929" s="357">
        <f t="shared" ca="1" si="423"/>
        <v>-81.909876625622175</v>
      </c>
      <c r="O929" s="343"/>
      <c r="P929" s="363">
        <f t="shared" ca="1" si="424"/>
        <v>23</v>
      </c>
      <c r="Q929" s="357">
        <f t="shared" ca="1" si="425"/>
        <v>0</v>
      </c>
      <c r="R929" s="359">
        <f t="shared" ca="1" si="426"/>
        <v>0</v>
      </c>
      <c r="S929" s="360">
        <f t="shared" ca="1" si="427"/>
        <v>1.5629999999999982</v>
      </c>
      <c r="T929" s="357">
        <f t="shared" ca="1" si="407"/>
        <v>15.333029999999983</v>
      </c>
      <c r="U929" s="364">
        <f t="shared" ca="1" si="408"/>
        <v>0</v>
      </c>
      <c r="V929" s="359">
        <f t="shared" ca="1" si="409"/>
        <v>1.2259792719595297</v>
      </c>
      <c r="W929" s="357">
        <f t="shared" ca="1" si="410"/>
        <v>6.1011054441399653</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5.8089786871816038</v>
      </c>
      <c r="AH929" s="357">
        <f t="shared" ca="1" si="434"/>
        <v>-3.9033887024100538</v>
      </c>
    </row>
    <row r="930" spans="1:34" x14ac:dyDescent="0.2">
      <c r="A930" s="402">
        <f t="shared" ca="1" si="412"/>
        <v>1E-4</v>
      </c>
      <c r="B930" s="357">
        <f t="shared" ca="1" si="413"/>
        <v>15.658999999999825</v>
      </c>
      <c r="C930" s="342"/>
      <c r="D930" s="359">
        <f t="shared" ca="1" si="414"/>
        <v>-0.54933592216221738</v>
      </c>
      <c r="E930" s="360">
        <f t="shared" ca="1" si="415"/>
        <v>-5.9453891075511986</v>
      </c>
      <c r="F930" s="357">
        <f t="shared" ca="1" si="416"/>
        <v>5.970713658815523</v>
      </c>
      <c r="G930" s="359">
        <f t="shared" ca="1" si="417"/>
        <v>9.516741894540429</v>
      </c>
      <c r="H930" s="360">
        <f t="shared" ca="1" si="418"/>
        <v>-66.951826379822464</v>
      </c>
      <c r="I930" s="357">
        <f t="shared" ca="1" si="419"/>
        <v>67.624813728994425</v>
      </c>
      <c r="J930" s="359">
        <f t="shared" ca="1" si="420"/>
        <v>187.70931447689617</v>
      </c>
      <c r="K930" s="360">
        <f t="shared" ca="1" si="421"/>
        <v>-7.9975579948230067</v>
      </c>
      <c r="L930" s="357">
        <f t="shared" ca="1" si="406"/>
        <v>187.87960952500103</v>
      </c>
      <c r="M930" s="359">
        <f t="shared" ca="1" si="422"/>
        <v>-1.4295990785287935</v>
      </c>
      <c r="N930" s="357">
        <f t="shared" ca="1" si="423"/>
        <v>-81.909993595491414</v>
      </c>
      <c r="O930" s="343"/>
      <c r="P930" s="363">
        <f t="shared" ca="1" si="424"/>
        <v>23</v>
      </c>
      <c r="Q930" s="357">
        <f t="shared" ca="1" si="425"/>
        <v>0</v>
      </c>
      <c r="R930" s="359">
        <f t="shared" ca="1" si="426"/>
        <v>0</v>
      </c>
      <c r="S930" s="360">
        <f t="shared" ca="1" si="427"/>
        <v>1.5629999999999982</v>
      </c>
      <c r="T930" s="357">
        <f t="shared" ca="1" si="407"/>
        <v>15.333029999999983</v>
      </c>
      <c r="U930" s="364">
        <f t="shared" ca="1" si="408"/>
        <v>0</v>
      </c>
      <c r="V930" s="359">
        <f t="shared" ca="1" si="409"/>
        <v>1.225980092771805</v>
      </c>
      <c r="W930" s="357">
        <f t="shared" ca="1" si="410"/>
        <v>6.1012143462864046</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5.8089118305480341</v>
      </c>
      <c r="AH930" s="357">
        <f t="shared" ca="1" si="434"/>
        <v>-3.9034583775687604</v>
      </c>
    </row>
    <row r="931" spans="1:34" x14ac:dyDescent="0.2">
      <c r="A931" s="402">
        <f t="shared" ca="1" si="412"/>
        <v>1E-4</v>
      </c>
      <c r="B931" s="357">
        <f t="shared" ca="1" si="413"/>
        <v>15.659099999999825</v>
      </c>
      <c r="C931" s="342"/>
      <c r="D931" s="359">
        <f t="shared" ca="1" si="414"/>
        <v>-0.54933783779439282</v>
      </c>
      <c r="E931" s="360">
        <f t="shared" ca="1" si="415"/>
        <v>-5.9453190043982653</v>
      </c>
      <c r="F931" s="357">
        <f t="shared" ca="1" si="416"/>
        <v>5.9706440292561238</v>
      </c>
      <c r="G931" s="359">
        <f t="shared" ca="1" si="417"/>
        <v>9.5166869607566493</v>
      </c>
      <c r="H931" s="360">
        <f t="shared" ca="1" si="418"/>
        <v>-66.952420911722911</v>
      </c>
      <c r="I931" s="357">
        <f t="shared" ca="1" si="419"/>
        <v>67.625394613632736</v>
      </c>
      <c r="J931" s="359">
        <f t="shared" ca="1" si="420"/>
        <v>187.70931447689617</v>
      </c>
      <c r="K931" s="360">
        <f t="shared" ca="1" si="421"/>
        <v>-8.0042532071875847</v>
      </c>
      <c r="L931" s="357">
        <f t="shared" ca="1" si="406"/>
        <v>187.87989464227158</v>
      </c>
      <c r="M931" s="359">
        <f t="shared" ca="1" si="422"/>
        <v>-1.4296011199912813</v>
      </c>
      <c r="N931" s="357">
        <f t="shared" ca="1" si="423"/>
        <v>-81.910110562675996</v>
      </c>
      <c r="O931" s="343"/>
      <c r="P931" s="363">
        <f t="shared" ca="1" si="424"/>
        <v>23</v>
      </c>
      <c r="Q931" s="357">
        <f t="shared" ca="1" si="425"/>
        <v>0</v>
      </c>
      <c r="R931" s="359">
        <f t="shared" ca="1" si="426"/>
        <v>0</v>
      </c>
      <c r="S931" s="360">
        <f t="shared" ca="1" si="427"/>
        <v>1.5629999999999982</v>
      </c>
      <c r="T931" s="357">
        <f t="shared" ca="1" si="407"/>
        <v>15.333029999999983</v>
      </c>
      <c r="U931" s="364">
        <f t="shared" ca="1" si="408"/>
        <v>0</v>
      </c>
      <c r="V931" s="359">
        <f t="shared" ca="1" si="409"/>
        <v>1.2259809135919191</v>
      </c>
      <c r="W931" s="357">
        <f t="shared" ca="1" si="410"/>
        <v>6.1013232483061897</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5.8088449738903067</v>
      </c>
      <c r="AH931" s="357">
        <f t="shared" ca="1" si="434"/>
        <v>-3.9035280526464566</v>
      </c>
    </row>
    <row r="932" spans="1:34" x14ac:dyDescent="0.2">
      <c r="A932" s="402">
        <f t="shared" ca="1" si="412"/>
        <v>1E-4</v>
      </c>
      <c r="B932" s="357">
        <f t="shared" ca="1" si="413"/>
        <v>15.659199999999824</v>
      </c>
      <c r="C932" s="342"/>
      <c r="D932" s="359">
        <f t="shared" ca="1" si="414"/>
        <v>-0.54933975331230867</v>
      </c>
      <c r="E932" s="360">
        <f t="shared" ca="1" si="415"/>
        <v>-5.9452489013273704</v>
      </c>
      <c r="F932" s="357">
        <f t="shared" ca="1" si="416"/>
        <v>5.9705743997796006</v>
      </c>
      <c r="G932" s="359">
        <f t="shared" ca="1" si="417"/>
        <v>9.516632026781318</v>
      </c>
      <c r="H932" s="360">
        <f t="shared" ca="1" si="418"/>
        <v>-66.953015436613043</v>
      </c>
      <c r="I932" s="357">
        <f t="shared" ca="1" si="419"/>
        <v>67.625975491585365</v>
      </c>
      <c r="J932" s="359">
        <f t="shared" ca="1" si="420"/>
        <v>187.70931447689617</v>
      </c>
      <c r="K932" s="360">
        <f t="shared" ca="1" si="421"/>
        <v>-8.0109484790050018</v>
      </c>
      <c r="L932" s="357">
        <f t="shared" ca="1" si="406"/>
        <v>187.88018000023197</v>
      </c>
      <c r="M932" s="359">
        <f t="shared" ca="1" si="422"/>
        <v>-1.4296031614069142</v>
      </c>
      <c r="N932" s="357">
        <f t="shared" ca="1" si="423"/>
        <v>-81.910227527176005</v>
      </c>
      <c r="O932" s="343"/>
      <c r="P932" s="363">
        <f t="shared" ca="1" si="424"/>
        <v>23</v>
      </c>
      <c r="Q932" s="357">
        <f t="shared" ca="1" si="425"/>
        <v>0</v>
      </c>
      <c r="R932" s="359">
        <f t="shared" ca="1" si="426"/>
        <v>0</v>
      </c>
      <c r="S932" s="360">
        <f t="shared" ca="1" si="427"/>
        <v>1.5629999999999982</v>
      </c>
      <c r="T932" s="357">
        <f t="shared" ca="1" si="407"/>
        <v>15.333029999999983</v>
      </c>
      <c r="U932" s="364">
        <f t="shared" ca="1" si="408"/>
        <v>0</v>
      </c>
      <c r="V932" s="359">
        <f t="shared" ca="1" si="409"/>
        <v>1.2259817344198709</v>
      </c>
      <c r="W932" s="357">
        <f t="shared" ca="1" si="410"/>
        <v>6.1014321501992832</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5.8087781172084458</v>
      </c>
      <c r="AH932" s="357">
        <f t="shared" ca="1" si="434"/>
        <v>-3.90359772764312</v>
      </c>
    </row>
    <row r="933" spans="1:34" x14ac:dyDescent="0.2">
      <c r="A933" s="402">
        <f t="shared" ca="1" si="412"/>
        <v>1E-4</v>
      </c>
      <c r="B933" s="357">
        <f t="shared" ca="1" si="413"/>
        <v>15.659299999999824</v>
      </c>
      <c r="C933" s="342"/>
      <c r="D933" s="359">
        <f t="shared" ca="1" si="414"/>
        <v>-0.54934166871596712</v>
      </c>
      <c r="E933" s="360">
        <f t="shared" ca="1" si="415"/>
        <v>-5.9451787983385369</v>
      </c>
      <c r="F933" s="357">
        <f t="shared" ca="1" si="416"/>
        <v>5.9705047703859755</v>
      </c>
      <c r="G933" s="359">
        <f t="shared" ca="1" si="417"/>
        <v>9.5165770926144457</v>
      </c>
      <c r="H933" s="360">
        <f t="shared" ca="1" si="418"/>
        <v>-66.953609954492876</v>
      </c>
      <c r="I933" s="357">
        <f t="shared" ca="1" si="419"/>
        <v>67.626556362852327</v>
      </c>
      <c r="J933" s="359">
        <f t="shared" ca="1" si="420"/>
        <v>187.70931447689617</v>
      </c>
      <c r="K933" s="360">
        <f t="shared" ca="1" si="421"/>
        <v>-8.0176438102745564</v>
      </c>
      <c r="L933" s="357">
        <f t="shared" ca="1" si="406"/>
        <v>187.88046559888747</v>
      </c>
      <c r="M933" s="359">
        <f t="shared" ca="1" si="422"/>
        <v>-1.4296052027756943</v>
      </c>
      <c r="N933" s="357">
        <f t="shared" ca="1" si="423"/>
        <v>-81.910344488991527</v>
      </c>
      <c r="O933" s="343"/>
      <c r="P933" s="363">
        <f t="shared" ca="1" si="424"/>
        <v>23</v>
      </c>
      <c r="Q933" s="357">
        <f t="shared" ca="1" si="425"/>
        <v>0</v>
      </c>
      <c r="R933" s="359">
        <f t="shared" ca="1" si="426"/>
        <v>0</v>
      </c>
      <c r="S933" s="360">
        <f t="shared" ca="1" si="427"/>
        <v>1.5629999999999982</v>
      </c>
      <c r="T933" s="357">
        <f t="shared" ca="1" si="407"/>
        <v>15.333029999999983</v>
      </c>
      <c r="U933" s="364">
        <f t="shared" ca="1" si="408"/>
        <v>0</v>
      </c>
      <c r="V933" s="359">
        <f t="shared" ca="1" si="409"/>
        <v>1.225982555255662</v>
      </c>
      <c r="W933" s="357">
        <f t="shared" ca="1" si="410"/>
        <v>6.1015410519656701</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5.8087112605024833</v>
      </c>
      <c r="AH933" s="357">
        <f t="shared" ca="1" si="434"/>
        <v>-3.9036674025587272</v>
      </c>
    </row>
    <row r="934" spans="1:34" x14ac:dyDescent="0.2">
      <c r="A934" s="402">
        <f t="shared" ca="1" si="412"/>
        <v>1E-4</v>
      </c>
      <c r="B934" s="357">
        <f t="shared" ca="1" si="413"/>
        <v>15.659399999999824</v>
      </c>
      <c r="C934" s="342"/>
      <c r="D934" s="359">
        <f t="shared" ca="1" si="414"/>
        <v>-0.54934358400536965</v>
      </c>
      <c r="E934" s="360">
        <f t="shared" ca="1" si="415"/>
        <v>-5.9451086954317764</v>
      </c>
      <c r="F934" s="357">
        <f t="shared" ca="1" si="416"/>
        <v>5.9704351410752619</v>
      </c>
      <c r="G934" s="359">
        <f t="shared" ca="1" si="417"/>
        <v>9.5165221582560449</v>
      </c>
      <c r="H934" s="360">
        <f t="shared" ca="1" si="418"/>
        <v>-66.954204465362423</v>
      </c>
      <c r="I934" s="357">
        <f t="shared" ca="1" si="419"/>
        <v>67.627137227433593</v>
      </c>
      <c r="J934" s="359">
        <f t="shared" ca="1" si="420"/>
        <v>187.70931447689617</v>
      </c>
      <c r="K934" s="360">
        <f t="shared" ca="1" si="421"/>
        <v>-8.0243392009955485</v>
      </c>
      <c r="L934" s="357">
        <f t="shared" ca="1" si="406"/>
        <v>187.88075143824321</v>
      </c>
      <c r="M934" s="359">
        <f t="shared" ca="1" si="422"/>
        <v>-1.4296072440976231</v>
      </c>
      <c r="N934" s="357">
        <f t="shared" ca="1" si="423"/>
        <v>-81.910461448122675</v>
      </c>
      <c r="O934" s="343"/>
      <c r="P934" s="363">
        <f t="shared" ca="1" si="424"/>
        <v>23</v>
      </c>
      <c r="Q934" s="357">
        <f t="shared" ca="1" si="425"/>
        <v>0</v>
      </c>
      <c r="R934" s="359">
        <f t="shared" ca="1" si="426"/>
        <v>0</v>
      </c>
      <c r="S934" s="360">
        <f t="shared" ca="1" si="427"/>
        <v>1.5629999999999982</v>
      </c>
      <c r="T934" s="357">
        <f t="shared" ca="1" si="407"/>
        <v>15.333029999999983</v>
      </c>
      <c r="U934" s="364">
        <f t="shared" ca="1" si="408"/>
        <v>0</v>
      </c>
      <c r="V934" s="359">
        <f t="shared" ca="1" si="409"/>
        <v>1.2259833760992911</v>
      </c>
      <c r="W934" s="357">
        <f t="shared" ca="1" si="410"/>
        <v>6.1016499536053059</v>
      </c>
      <c r="X934" s="343"/>
      <c r="Y934" s="367" t="str">
        <f t="shared" ca="1" si="428"/>
        <v/>
      </c>
      <c r="Z934" s="368" t="str">
        <f t="shared" ca="1" si="429"/>
        <v/>
      </c>
      <c r="AA934" s="369" t="str">
        <f t="shared" ca="1" si="430"/>
        <v/>
      </c>
      <c r="AB934" s="344"/>
      <c r="AC934" s="363" t="e">
        <f t="shared" ca="1" si="431"/>
        <v>#N/A</v>
      </c>
      <c r="AD934" s="376" t="e">
        <f t="shared" ca="1" si="432"/>
        <v>#N/A</v>
      </c>
      <c r="AE934" s="377" t="e">
        <f t="shared" ca="1" si="411"/>
        <v>#N/A</v>
      </c>
      <c r="AF934" s="344"/>
      <c r="AG934" s="359">
        <f t="shared" ca="1" si="433"/>
        <v>5.8086444037724299</v>
      </c>
      <c r="AH934" s="357">
        <f t="shared" ca="1" si="434"/>
        <v>-3.9037370773932678</v>
      </c>
    </row>
    <row r="935" spans="1:34" x14ac:dyDescent="0.2">
      <c r="A935" s="402">
        <f t="shared" ca="1" si="412"/>
        <v>1E-4</v>
      </c>
      <c r="B935" s="357">
        <f t="shared" ca="1" si="413"/>
        <v>15.659499999999824</v>
      </c>
      <c r="C935" s="342"/>
      <c r="D935" s="359">
        <f t="shared" ca="1" si="414"/>
        <v>-0.54934549918051612</v>
      </c>
      <c r="E935" s="360">
        <f t="shared" ca="1" si="415"/>
        <v>-5.9450385926071174</v>
      </c>
      <c r="F935" s="357">
        <f t="shared" ca="1" si="416"/>
        <v>5.9703655118474872</v>
      </c>
      <c r="G935" s="359">
        <f t="shared" ca="1" si="417"/>
        <v>9.5164672237061261</v>
      </c>
      <c r="H935" s="360">
        <f t="shared" ca="1" si="418"/>
        <v>-66.954798969221685</v>
      </c>
      <c r="I935" s="357">
        <f t="shared" ca="1" si="419"/>
        <v>67.627718085329207</v>
      </c>
      <c r="J935" s="359">
        <f t="shared" ca="1" si="420"/>
        <v>187.70931447689617</v>
      </c>
      <c r="K935" s="360">
        <f t="shared" ca="1" si="421"/>
        <v>-8.0310346511672783</v>
      </c>
      <c r="L935" s="357">
        <f t="shared" ca="1" si="406"/>
        <v>187.88103751830451</v>
      </c>
      <c r="M935" s="359">
        <f t="shared" ca="1" si="422"/>
        <v>-1.4296092853727025</v>
      </c>
      <c r="N935" s="357">
        <f t="shared" ca="1" si="423"/>
        <v>-81.910578404569549</v>
      </c>
      <c r="O935" s="343"/>
      <c r="P935" s="363">
        <f t="shared" ca="1" si="424"/>
        <v>23</v>
      </c>
      <c r="Q935" s="357">
        <f t="shared" ca="1" si="425"/>
        <v>0</v>
      </c>
      <c r="R935" s="359">
        <f t="shared" ca="1" si="426"/>
        <v>0</v>
      </c>
      <c r="S935" s="360">
        <f t="shared" ca="1" si="427"/>
        <v>1.5629999999999982</v>
      </c>
      <c r="T935" s="357">
        <f t="shared" ca="1" si="407"/>
        <v>15.333029999999983</v>
      </c>
      <c r="U935" s="364">
        <f t="shared" ca="1" si="408"/>
        <v>0</v>
      </c>
      <c r="V935" s="359">
        <f t="shared" ca="1" si="409"/>
        <v>1.225984196950759</v>
      </c>
      <c r="W935" s="357">
        <f t="shared" ca="1" si="410"/>
        <v>6.1017588551181738</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5.8085775470183227</v>
      </c>
      <c r="AH935" s="357">
        <f t="shared" ca="1" si="434"/>
        <v>-3.9038067521467132</v>
      </c>
    </row>
    <row r="936" spans="1:34" x14ac:dyDescent="0.2">
      <c r="A936" s="402">
        <f t="shared" ca="1" si="412"/>
        <v>1E-4</v>
      </c>
      <c r="B936" s="357">
        <f t="shared" ca="1" si="413"/>
        <v>15.659599999999823</v>
      </c>
      <c r="C936" s="342"/>
      <c r="D936" s="359">
        <f t="shared" ca="1" si="414"/>
        <v>-0.54934741424140809</v>
      </c>
      <c r="E936" s="360">
        <f t="shared" ca="1" si="415"/>
        <v>-5.9449684898645678</v>
      </c>
      <c r="F936" s="357">
        <f t="shared" ca="1" si="416"/>
        <v>5.9702958827026595</v>
      </c>
      <c r="G936" s="359">
        <f t="shared" ca="1" si="417"/>
        <v>9.5164122889647018</v>
      </c>
      <c r="H936" s="360">
        <f t="shared" ca="1" si="418"/>
        <v>-66.955393466070674</v>
      </c>
      <c r="I936" s="357">
        <f t="shared" ca="1" si="419"/>
        <v>67.628298936539124</v>
      </c>
      <c r="J936" s="359">
        <f t="shared" ca="1" si="420"/>
        <v>187.70931447689617</v>
      </c>
      <c r="K936" s="360">
        <f t="shared" ca="1" si="421"/>
        <v>-8.0377301607890423</v>
      </c>
      <c r="L936" s="357">
        <f t="shared" ca="1" si="406"/>
        <v>187.88132383907654</v>
      </c>
      <c r="M936" s="359">
        <f t="shared" ca="1" si="422"/>
        <v>-1.4296113266009338</v>
      </c>
      <c r="N936" s="357">
        <f t="shared" ca="1" si="423"/>
        <v>-81.910695358332219</v>
      </c>
      <c r="O936" s="343"/>
      <c r="P936" s="363">
        <f t="shared" ca="1" si="424"/>
        <v>23</v>
      </c>
      <c r="Q936" s="357">
        <f t="shared" ca="1" si="425"/>
        <v>0</v>
      </c>
      <c r="R936" s="359">
        <f t="shared" ca="1" si="426"/>
        <v>0</v>
      </c>
      <c r="S936" s="360">
        <f t="shared" ca="1" si="427"/>
        <v>1.5629999999999982</v>
      </c>
      <c r="T936" s="357">
        <f t="shared" ca="1" si="407"/>
        <v>15.333029999999983</v>
      </c>
      <c r="U936" s="364">
        <f t="shared" ca="1" si="408"/>
        <v>0</v>
      </c>
      <c r="V936" s="359">
        <f t="shared" ca="1" si="409"/>
        <v>1.2259850178100646</v>
      </c>
      <c r="W936" s="357">
        <f t="shared" ca="1" si="410"/>
        <v>6.1018677565042312</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5.8085106902401762</v>
      </c>
      <c r="AH936" s="357">
        <f t="shared" ca="1" si="434"/>
        <v>-3.9038764268190538</v>
      </c>
    </row>
    <row r="937" spans="1:34" x14ac:dyDescent="0.2">
      <c r="A937" s="402">
        <f t="shared" ca="1" si="412"/>
        <v>1E-4</v>
      </c>
      <c r="B937" s="357">
        <f t="shared" ca="1" si="413"/>
        <v>15.659699999999823</v>
      </c>
      <c r="C937" s="342"/>
      <c r="D937" s="359">
        <f t="shared" ca="1" si="414"/>
        <v>-0.54934932918804702</v>
      </c>
      <c r="E937" s="360">
        <f t="shared" ca="1" si="415"/>
        <v>-5.9448983872041588</v>
      </c>
      <c r="F937" s="357">
        <f t="shared" ca="1" si="416"/>
        <v>5.9702262536408082</v>
      </c>
      <c r="G937" s="359">
        <f t="shared" ca="1" si="417"/>
        <v>9.5163573540317827</v>
      </c>
      <c r="H937" s="360">
        <f t="shared" ca="1" si="418"/>
        <v>-66.955987955909393</v>
      </c>
      <c r="I937" s="357">
        <f t="shared" ca="1" si="419"/>
        <v>67.628879781063347</v>
      </c>
      <c r="J937" s="359">
        <f t="shared" ca="1" si="420"/>
        <v>187.70931447689617</v>
      </c>
      <c r="K937" s="360">
        <f t="shared" ca="1" si="421"/>
        <v>-8.0444257298601407</v>
      </c>
      <c r="L937" s="357">
        <f t="shared" ca="1" si="406"/>
        <v>187.88161040056457</v>
      </c>
      <c r="M937" s="359">
        <f t="shared" ca="1" si="422"/>
        <v>-1.4296133677823191</v>
      </c>
      <c r="N937" s="357">
        <f t="shared" ca="1" si="423"/>
        <v>-81.910812309410815</v>
      </c>
      <c r="O937" s="343"/>
      <c r="P937" s="363">
        <f t="shared" ca="1" si="424"/>
        <v>23</v>
      </c>
      <c r="Q937" s="357">
        <f t="shared" ca="1" si="425"/>
        <v>0</v>
      </c>
      <c r="R937" s="359">
        <f t="shared" ca="1" si="426"/>
        <v>0</v>
      </c>
      <c r="S937" s="360">
        <f t="shared" ca="1" si="427"/>
        <v>1.5629999999999982</v>
      </c>
      <c r="T937" s="357">
        <f t="shared" ca="1" si="407"/>
        <v>15.333029999999983</v>
      </c>
      <c r="U937" s="364">
        <f t="shared" ca="1" si="408"/>
        <v>0</v>
      </c>
      <c r="V937" s="359">
        <f t="shared" ca="1" si="409"/>
        <v>1.2259858386772087</v>
      </c>
      <c r="W937" s="357">
        <f t="shared" ca="1" si="410"/>
        <v>6.1019766577634513</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5.8084438334380213</v>
      </c>
      <c r="AH937" s="357">
        <f t="shared" ca="1" si="434"/>
        <v>-3.9039461014102614</v>
      </c>
    </row>
    <row r="938" spans="1:34" x14ac:dyDescent="0.2">
      <c r="A938" s="402">
        <f t="shared" ca="1" si="412"/>
        <v>1E-4</v>
      </c>
      <c r="B938" s="357">
        <f t="shared" ca="1" si="413"/>
        <v>15.659799999999823</v>
      </c>
      <c r="C938" s="342"/>
      <c r="D938" s="359">
        <f t="shared" ca="1" si="414"/>
        <v>-0.54935124402043289</v>
      </c>
      <c r="E938" s="360">
        <f t="shared" ca="1" si="415"/>
        <v>-5.9448282846259044</v>
      </c>
      <c r="F938" s="357">
        <f t="shared" ca="1" si="416"/>
        <v>5.97015662466195</v>
      </c>
      <c r="G938" s="359">
        <f t="shared" ca="1" si="417"/>
        <v>9.5163024189073813</v>
      </c>
      <c r="H938" s="360">
        <f t="shared" ca="1" si="418"/>
        <v>-66.956582438737854</v>
      </c>
      <c r="I938" s="357">
        <f t="shared" ca="1" si="419"/>
        <v>67.629460618901888</v>
      </c>
      <c r="J938" s="359">
        <f t="shared" ca="1" si="420"/>
        <v>187.70931447689617</v>
      </c>
      <c r="K938" s="360">
        <f t="shared" ca="1" si="421"/>
        <v>-8.0511213583798735</v>
      </c>
      <c r="L938" s="357">
        <f t="shared" ca="1" si="406"/>
        <v>187.88189720277381</v>
      </c>
      <c r="M938" s="359">
        <f t="shared" ca="1" si="422"/>
        <v>-1.4296154089168598</v>
      </c>
      <c r="N938" s="357">
        <f t="shared" ca="1" si="423"/>
        <v>-81.910929257805421</v>
      </c>
      <c r="O938" s="343"/>
      <c r="P938" s="363">
        <f t="shared" ca="1" si="424"/>
        <v>23</v>
      </c>
      <c r="Q938" s="357">
        <f t="shared" ca="1" si="425"/>
        <v>0</v>
      </c>
      <c r="R938" s="359">
        <f t="shared" ca="1" si="426"/>
        <v>0</v>
      </c>
      <c r="S938" s="360">
        <f t="shared" ca="1" si="427"/>
        <v>1.5629999999999982</v>
      </c>
      <c r="T938" s="357">
        <f t="shared" ca="1" si="407"/>
        <v>15.333029999999983</v>
      </c>
      <c r="U938" s="364">
        <f t="shared" ca="1" si="408"/>
        <v>0</v>
      </c>
      <c r="V938" s="359">
        <f t="shared" ca="1" si="409"/>
        <v>1.2259866595521915</v>
      </c>
      <c r="W938" s="357">
        <f t="shared" ca="1" si="410"/>
        <v>6.1020855588958076</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5.808376976611882</v>
      </c>
      <c r="AH938" s="357">
        <f t="shared" ca="1" si="434"/>
        <v>-3.9040157759203189</v>
      </c>
    </row>
    <row r="939" spans="1:34" x14ac:dyDescent="0.2">
      <c r="A939" s="402">
        <f t="shared" ca="1" si="412"/>
        <v>1E-4</v>
      </c>
      <c r="B939" s="357">
        <f t="shared" ca="1" si="413"/>
        <v>15.659899999999823</v>
      </c>
      <c r="C939" s="342"/>
      <c r="D939" s="359">
        <f t="shared" ca="1" si="414"/>
        <v>-0.5493531587385676</v>
      </c>
      <c r="E939" s="360">
        <f t="shared" ca="1" si="415"/>
        <v>-5.9447581821298243</v>
      </c>
      <c r="F939" s="357">
        <f t="shared" ca="1" si="416"/>
        <v>5.9700869957661036</v>
      </c>
      <c r="G939" s="359">
        <f t="shared" ca="1" si="417"/>
        <v>9.5162474835915081</v>
      </c>
      <c r="H939" s="360">
        <f t="shared" ca="1" si="418"/>
        <v>-66.957176914556072</v>
      </c>
      <c r="I939" s="357">
        <f t="shared" ca="1" si="419"/>
        <v>67.630041450054733</v>
      </c>
      <c r="J939" s="359">
        <f t="shared" ca="1" si="420"/>
        <v>187.70931447689617</v>
      </c>
      <c r="K939" s="360">
        <f t="shared" ca="1" si="421"/>
        <v>-8.0578170463475374</v>
      </c>
      <c r="L939" s="357">
        <f t="shared" ca="1" si="406"/>
        <v>187.88218424570942</v>
      </c>
      <c r="M939" s="359">
        <f t="shared" ca="1" si="422"/>
        <v>-1.4296174500045578</v>
      </c>
      <c r="N939" s="357">
        <f t="shared" ca="1" si="423"/>
        <v>-81.911046203516136</v>
      </c>
      <c r="O939" s="343"/>
      <c r="P939" s="363">
        <f t="shared" ca="1" si="424"/>
        <v>23</v>
      </c>
      <c r="Q939" s="357">
        <f t="shared" ca="1" si="425"/>
        <v>0</v>
      </c>
      <c r="R939" s="359">
        <f t="shared" ca="1" si="426"/>
        <v>0</v>
      </c>
      <c r="S939" s="360">
        <f t="shared" ca="1" si="427"/>
        <v>1.5629999999999982</v>
      </c>
      <c r="T939" s="357">
        <f t="shared" ca="1" si="407"/>
        <v>15.333029999999983</v>
      </c>
      <c r="U939" s="364">
        <f t="shared" ca="1" si="408"/>
        <v>0</v>
      </c>
      <c r="V939" s="359">
        <f t="shared" ca="1" si="409"/>
        <v>1.2259874804350119</v>
      </c>
      <c r="W939" s="357">
        <f t="shared" ca="1" si="410"/>
        <v>6.1021944599012645</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5.8083101197617806</v>
      </c>
      <c r="AH939" s="357">
        <f t="shared" ca="1" si="434"/>
        <v>-3.9040854503492097</v>
      </c>
    </row>
    <row r="940" spans="1:34" x14ac:dyDescent="0.2">
      <c r="A940" s="402">
        <f t="shared" ca="1" si="412"/>
        <v>1E-4</v>
      </c>
      <c r="B940" s="357">
        <f t="shared" ca="1" si="413"/>
        <v>15.659999999999823</v>
      </c>
      <c r="C940" s="342"/>
      <c r="D940" s="359">
        <f t="shared" ca="1" si="414"/>
        <v>-0.54935507334245137</v>
      </c>
      <c r="E940" s="360">
        <f t="shared" ca="1" si="415"/>
        <v>-5.9446880797159389</v>
      </c>
      <c r="F940" s="357">
        <f t="shared" ca="1" si="416"/>
        <v>5.9700173669532877</v>
      </c>
      <c r="G940" s="359">
        <f t="shared" ca="1" si="417"/>
        <v>9.5161925480841738</v>
      </c>
      <c r="H940" s="360">
        <f t="shared" ca="1" si="418"/>
        <v>-66.957771383364047</v>
      </c>
      <c r="I940" s="357">
        <f t="shared" ca="1" si="419"/>
        <v>67.630622274521912</v>
      </c>
      <c r="J940" s="359">
        <f t="shared" ca="1" si="420"/>
        <v>187.70931447689617</v>
      </c>
      <c r="K940" s="360">
        <f t="shared" ca="1" si="421"/>
        <v>-8.0645127937624341</v>
      </c>
      <c r="L940" s="357">
        <f t="shared" ca="1" si="406"/>
        <v>187.88247152937674</v>
      </c>
      <c r="M940" s="359">
        <f t="shared" ca="1" si="422"/>
        <v>-1.4296194910454143</v>
      </c>
      <c r="N940" s="357">
        <f t="shared" ca="1" si="423"/>
        <v>-81.911163146543032</v>
      </c>
      <c r="O940" s="343"/>
      <c r="P940" s="363">
        <f t="shared" ca="1" si="424"/>
        <v>23</v>
      </c>
      <c r="Q940" s="357">
        <f t="shared" ca="1" si="425"/>
        <v>0</v>
      </c>
      <c r="R940" s="359">
        <f t="shared" ca="1" si="426"/>
        <v>0</v>
      </c>
      <c r="S940" s="360">
        <f t="shared" ca="1" si="427"/>
        <v>1.5629999999999982</v>
      </c>
      <c r="T940" s="357">
        <f t="shared" ca="1" si="407"/>
        <v>15.333029999999983</v>
      </c>
      <c r="U940" s="364">
        <f t="shared" ca="1" si="408"/>
        <v>0</v>
      </c>
      <c r="V940" s="359">
        <f t="shared" ca="1" si="409"/>
        <v>1.2259883013256705</v>
      </c>
      <c r="W940" s="357">
        <f t="shared" ca="1" si="410"/>
        <v>6.102303360779799</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5.8082432628877454</v>
      </c>
      <c r="AH940" s="357">
        <f t="shared" ca="1" si="434"/>
        <v>-3.9041551246969108</v>
      </c>
    </row>
    <row r="941" spans="1:34" x14ac:dyDescent="0.2">
      <c r="A941" s="402">
        <f t="shared" ca="1" si="412"/>
        <v>1E-4</v>
      </c>
      <c r="B941" s="357">
        <f t="shared" ca="1" si="413"/>
        <v>15.660099999999822</v>
      </c>
      <c r="C941" s="342"/>
      <c r="D941" s="359">
        <f t="shared" ca="1" si="414"/>
        <v>-0.54935698783208742</v>
      </c>
      <c r="E941" s="360">
        <f t="shared" ca="1" si="415"/>
        <v>-5.9446179773842651</v>
      </c>
      <c r="F941" s="357">
        <f t="shared" ca="1" si="416"/>
        <v>5.9699477382235209</v>
      </c>
      <c r="G941" s="359">
        <f t="shared" ca="1" si="417"/>
        <v>9.5161376123853909</v>
      </c>
      <c r="H941" s="360">
        <f t="shared" ca="1" si="418"/>
        <v>-66.958365845161779</v>
      </c>
      <c r="I941" s="357">
        <f t="shared" ca="1" si="419"/>
        <v>67.631203092303366</v>
      </c>
      <c r="J941" s="359">
        <f t="shared" ca="1" si="420"/>
        <v>187.70931447689617</v>
      </c>
      <c r="K941" s="360">
        <f t="shared" ca="1" si="421"/>
        <v>-8.0712086006238604</v>
      </c>
      <c r="L941" s="357">
        <f t="shared" ca="1" si="406"/>
        <v>187.88275905378089</v>
      </c>
      <c r="M941" s="359">
        <f t="shared" ca="1" si="422"/>
        <v>-1.4296215320394314</v>
      </c>
      <c r="N941" s="357">
        <f t="shared" ca="1" si="423"/>
        <v>-81.911280086886222</v>
      </c>
      <c r="O941" s="343"/>
      <c r="P941" s="363">
        <f t="shared" ca="1" si="424"/>
        <v>23</v>
      </c>
      <c r="Q941" s="357">
        <f t="shared" ca="1" si="425"/>
        <v>0</v>
      </c>
      <c r="R941" s="359">
        <f t="shared" ca="1" si="426"/>
        <v>0</v>
      </c>
      <c r="S941" s="360">
        <f t="shared" ca="1" si="427"/>
        <v>1.5629999999999982</v>
      </c>
      <c r="T941" s="357">
        <f t="shared" ca="1" si="407"/>
        <v>15.333029999999983</v>
      </c>
      <c r="U941" s="364">
        <f t="shared" ca="1" si="408"/>
        <v>0</v>
      </c>
      <c r="V941" s="359">
        <f t="shared" ca="1" si="409"/>
        <v>1.2259891222241666</v>
      </c>
      <c r="W941" s="357">
        <f t="shared" ca="1" si="410"/>
        <v>6.1024122615313683</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5.8081764059897951</v>
      </c>
      <c r="AH941" s="357">
        <f t="shared" ca="1" si="434"/>
        <v>-3.9042247989634076</v>
      </c>
    </row>
    <row r="942" spans="1:34" x14ac:dyDescent="0.2">
      <c r="A942" s="402">
        <f t="shared" ca="1" si="412"/>
        <v>1E-4</v>
      </c>
      <c r="B942" s="357">
        <f t="shared" ca="1" si="413"/>
        <v>15.660199999999822</v>
      </c>
      <c r="C942" s="342"/>
      <c r="D942" s="359">
        <f t="shared" ca="1" si="414"/>
        <v>-0.54935890220747408</v>
      </c>
      <c r="E942" s="360">
        <f t="shared" ca="1" si="415"/>
        <v>-5.9445478751348286</v>
      </c>
      <c r="F942" s="357">
        <f t="shared" ca="1" si="416"/>
        <v>5.9698781095768281</v>
      </c>
      <c r="G942" s="359">
        <f t="shared" ca="1" si="417"/>
        <v>9.51608267649517</v>
      </c>
      <c r="H942" s="360">
        <f t="shared" ca="1" si="418"/>
        <v>-66.958960299949297</v>
      </c>
      <c r="I942" s="357">
        <f t="shared" ca="1" si="419"/>
        <v>67.631783903399139</v>
      </c>
      <c r="J942" s="359">
        <f t="shared" ca="1" si="420"/>
        <v>187.70931447689617</v>
      </c>
      <c r="K942" s="360">
        <f t="shared" ca="1" si="421"/>
        <v>-8.0779044669311162</v>
      </c>
      <c r="L942" s="357">
        <f t="shared" ca="1" si="406"/>
        <v>187.88304681892714</v>
      </c>
      <c r="M942" s="359">
        <f t="shared" ca="1" si="422"/>
        <v>-1.4296235729866107</v>
      </c>
      <c r="N942" s="357">
        <f t="shared" ca="1" si="423"/>
        <v>-81.911397024545806</v>
      </c>
      <c r="O942" s="343"/>
      <c r="P942" s="363">
        <f t="shared" ca="1" si="424"/>
        <v>23</v>
      </c>
      <c r="Q942" s="357">
        <f t="shared" ca="1" si="425"/>
        <v>0</v>
      </c>
      <c r="R942" s="359">
        <f t="shared" ca="1" si="426"/>
        <v>0</v>
      </c>
      <c r="S942" s="360">
        <f t="shared" ca="1" si="427"/>
        <v>1.5629999999999982</v>
      </c>
      <c r="T942" s="357">
        <f t="shared" ca="1" si="407"/>
        <v>15.333029999999983</v>
      </c>
      <c r="U942" s="364">
        <f t="shared" ca="1" si="408"/>
        <v>0</v>
      </c>
      <c r="V942" s="359">
        <f t="shared" ca="1" si="409"/>
        <v>1.225989943130501</v>
      </c>
      <c r="W942" s="357">
        <f t="shared" ca="1" si="410"/>
        <v>6.102521162155953</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5.8081095490679591</v>
      </c>
      <c r="AH942" s="357">
        <f t="shared" ca="1" si="434"/>
        <v>-3.9042944731486728</v>
      </c>
    </row>
    <row r="943" spans="1:34" x14ac:dyDescent="0.2">
      <c r="A943" s="402">
        <f t="shared" ca="1" si="412"/>
        <v>1E-4</v>
      </c>
      <c r="B943" s="357">
        <f t="shared" ca="1" si="413"/>
        <v>15.660299999999822</v>
      </c>
      <c r="C943" s="342"/>
      <c r="D943" s="359">
        <f t="shared" ca="1" si="414"/>
        <v>-0.54936081646861401</v>
      </c>
      <c r="E943" s="360">
        <f t="shared" ca="1" si="415"/>
        <v>-5.9444777729676428</v>
      </c>
      <c r="F943" s="357">
        <f t="shared" ca="1" si="416"/>
        <v>5.9698084810132235</v>
      </c>
      <c r="G943" s="359">
        <f t="shared" ca="1" si="417"/>
        <v>9.5160277404135236</v>
      </c>
      <c r="H943" s="360">
        <f t="shared" ca="1" si="418"/>
        <v>-66.9595547477266</v>
      </c>
      <c r="I943" s="357">
        <f t="shared" ca="1" si="419"/>
        <v>67.632364707809202</v>
      </c>
      <c r="J943" s="359">
        <f t="shared" ca="1" si="420"/>
        <v>187.70931447689617</v>
      </c>
      <c r="K943" s="360">
        <f t="shared" ca="1" si="421"/>
        <v>-8.0846003926834999</v>
      </c>
      <c r="L943" s="357">
        <f t="shared" ca="1" si="406"/>
        <v>187.88333482482068</v>
      </c>
      <c r="M943" s="359">
        <f t="shared" ca="1" si="422"/>
        <v>-1.4296256138869539</v>
      </c>
      <c r="N943" s="357">
        <f t="shared" ca="1" si="423"/>
        <v>-81.911513959521869</v>
      </c>
      <c r="O943" s="343"/>
      <c r="P943" s="363">
        <f t="shared" ca="1" si="424"/>
        <v>23</v>
      </c>
      <c r="Q943" s="357">
        <f t="shared" ca="1" si="425"/>
        <v>0</v>
      </c>
      <c r="R943" s="359">
        <f t="shared" ca="1" si="426"/>
        <v>0</v>
      </c>
      <c r="S943" s="360">
        <f t="shared" ca="1" si="427"/>
        <v>1.5629999999999982</v>
      </c>
      <c r="T943" s="357">
        <f t="shared" ca="1" si="407"/>
        <v>15.333029999999983</v>
      </c>
      <c r="U943" s="364">
        <f t="shared" ca="1" si="408"/>
        <v>0</v>
      </c>
      <c r="V943" s="359">
        <f t="shared" ca="1" si="409"/>
        <v>1.2259907640446728</v>
      </c>
      <c r="W943" s="357">
        <f t="shared" ca="1" si="410"/>
        <v>6.1026300626535148</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5.8080426921222612</v>
      </c>
      <c r="AH943" s="357">
        <f t="shared" ca="1" si="434"/>
        <v>-3.9043641472526938</v>
      </c>
    </row>
    <row r="944" spans="1:34" x14ac:dyDescent="0.2">
      <c r="A944" s="402">
        <f t="shared" ca="1" si="412"/>
        <v>1E-4</v>
      </c>
      <c r="B944" s="357">
        <f t="shared" ca="1" si="413"/>
        <v>15.660399999999822</v>
      </c>
      <c r="C944" s="342"/>
      <c r="D944" s="359">
        <f t="shared" ca="1" si="414"/>
        <v>-0.54936273061550711</v>
      </c>
      <c r="E944" s="360">
        <f t="shared" ca="1" si="415"/>
        <v>-5.9444076708827343</v>
      </c>
      <c r="F944" s="357">
        <f t="shared" ca="1" si="416"/>
        <v>5.969738852532732</v>
      </c>
      <c r="G944" s="359">
        <f t="shared" ca="1" si="417"/>
        <v>9.5159728041404623</v>
      </c>
      <c r="H944" s="360">
        <f t="shared" ca="1" si="418"/>
        <v>-66.960149188493688</v>
      </c>
      <c r="I944" s="357">
        <f t="shared" ca="1" si="419"/>
        <v>67.63294550553357</v>
      </c>
      <c r="J944" s="359">
        <f t="shared" ca="1" si="420"/>
        <v>187.70931447689617</v>
      </c>
      <c r="K944" s="360">
        <f t="shared" ca="1" si="421"/>
        <v>-8.0912963778803118</v>
      </c>
      <c r="L944" s="357">
        <f t="shared" ca="1" si="406"/>
        <v>187.88362307146676</v>
      </c>
      <c r="M944" s="359">
        <f t="shared" ca="1" si="422"/>
        <v>-1.4296276547404625</v>
      </c>
      <c r="N944" s="357">
        <f t="shared" ca="1" si="423"/>
        <v>-81.911630891814525</v>
      </c>
      <c r="O944" s="343"/>
      <c r="P944" s="363">
        <f t="shared" ca="1" si="424"/>
        <v>23</v>
      </c>
      <c r="Q944" s="357">
        <f t="shared" ca="1" si="425"/>
        <v>0</v>
      </c>
      <c r="R944" s="359">
        <f t="shared" ca="1" si="426"/>
        <v>0</v>
      </c>
      <c r="S944" s="360">
        <f t="shared" ca="1" si="427"/>
        <v>1.5629999999999982</v>
      </c>
      <c r="T944" s="357">
        <f t="shared" ca="1" si="407"/>
        <v>15.333029999999983</v>
      </c>
      <c r="U944" s="364">
        <f t="shared" ca="1" si="408"/>
        <v>0</v>
      </c>
      <c r="V944" s="359">
        <f t="shared" ca="1" si="409"/>
        <v>1.2259915849666827</v>
      </c>
      <c r="W944" s="357">
        <f t="shared" ca="1" si="410"/>
        <v>6.1027389630240307</v>
      </c>
      <c r="X944" s="343"/>
      <c r="Y944" s="367" t="str">
        <f t="shared" ca="1" si="428"/>
        <v/>
      </c>
      <c r="Z944" s="368" t="str">
        <f t="shared" ca="1" si="429"/>
        <v/>
      </c>
      <c r="AA944" s="369" t="str">
        <f t="shared" ca="1" si="430"/>
        <v/>
      </c>
      <c r="AB944" s="344"/>
      <c r="AC944" s="363" t="e">
        <f t="shared" ca="1" si="431"/>
        <v>#N/A</v>
      </c>
      <c r="AD944" s="376" t="e">
        <f t="shared" ca="1" si="432"/>
        <v>#N/A</v>
      </c>
      <c r="AE944" s="377" t="e">
        <f t="shared" ca="1" si="411"/>
        <v>#N/A</v>
      </c>
      <c r="AF944" s="344"/>
      <c r="AG944" s="359">
        <f t="shared" ca="1" si="433"/>
        <v>5.8079758351527273</v>
      </c>
      <c r="AH944" s="357">
        <f t="shared" ca="1" si="434"/>
        <v>-3.9044338212754459</v>
      </c>
    </row>
    <row r="945" spans="1:34" x14ac:dyDescent="0.2">
      <c r="A945" s="402">
        <f t="shared" ca="1" si="412"/>
        <v>1E-4</v>
      </c>
      <c r="B945" s="357">
        <f t="shared" ca="1" si="413"/>
        <v>15.660499999999821</v>
      </c>
      <c r="C945" s="342"/>
      <c r="D945" s="359">
        <f t="shared" ca="1" si="414"/>
        <v>-0.5493646446481556</v>
      </c>
      <c r="E945" s="360">
        <f t="shared" ca="1" si="415"/>
        <v>-5.9443375688801146</v>
      </c>
      <c r="F945" s="357">
        <f t="shared" ca="1" si="416"/>
        <v>5.9696692241353659</v>
      </c>
      <c r="G945" s="359">
        <f t="shared" ca="1" si="417"/>
        <v>9.5159178676759968</v>
      </c>
      <c r="H945" s="360">
        <f t="shared" ca="1" si="418"/>
        <v>-66.960743622250575</v>
      </c>
      <c r="I945" s="357">
        <f t="shared" ca="1" si="419"/>
        <v>67.633526296572228</v>
      </c>
      <c r="J945" s="359">
        <f t="shared" ca="1" si="420"/>
        <v>187.70931447689617</v>
      </c>
      <c r="K945" s="360">
        <f t="shared" ca="1" si="421"/>
        <v>-8.0979924225208482</v>
      </c>
      <c r="L945" s="357">
        <f t="shared" ca="1" si="406"/>
        <v>187.88391155887058</v>
      </c>
      <c r="M945" s="359">
        <f t="shared" ca="1" si="422"/>
        <v>-1.4296296955471381</v>
      </c>
      <c r="N945" s="357">
        <f t="shared" ca="1" si="423"/>
        <v>-81.91174782142383</v>
      </c>
      <c r="O945" s="343"/>
      <c r="P945" s="363">
        <f t="shared" ca="1" si="424"/>
        <v>23</v>
      </c>
      <c r="Q945" s="357">
        <f t="shared" ca="1" si="425"/>
        <v>0</v>
      </c>
      <c r="R945" s="359">
        <f t="shared" ca="1" si="426"/>
        <v>0</v>
      </c>
      <c r="S945" s="360">
        <f t="shared" ca="1" si="427"/>
        <v>1.5629999999999982</v>
      </c>
      <c r="T945" s="357">
        <f t="shared" ca="1" si="407"/>
        <v>15.333029999999983</v>
      </c>
      <c r="U945" s="364">
        <f t="shared" ca="1" si="408"/>
        <v>0</v>
      </c>
      <c r="V945" s="359">
        <f t="shared" ca="1" si="409"/>
        <v>1.2259924058965304</v>
      </c>
      <c r="W945" s="357">
        <f t="shared" ca="1" si="410"/>
        <v>6.1028478632674661</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5.8079089781593751</v>
      </c>
      <c r="AH945" s="357">
        <f t="shared" ca="1" si="434"/>
        <v>-3.9045034952169146</v>
      </c>
    </row>
    <row r="946" spans="1:34" x14ac:dyDescent="0.2">
      <c r="A946" s="402">
        <f t="shared" ca="1" si="412"/>
        <v>1E-4</v>
      </c>
      <c r="B946" s="357">
        <f t="shared" ca="1" si="413"/>
        <v>15.660599999999821</v>
      </c>
      <c r="C946" s="342"/>
      <c r="D946" s="359">
        <f t="shared" ca="1" si="414"/>
        <v>-0.54936655856656069</v>
      </c>
      <c r="E946" s="360">
        <f t="shared" ca="1" si="415"/>
        <v>-5.9442674669598077</v>
      </c>
      <c r="F946" s="357">
        <f t="shared" ca="1" si="416"/>
        <v>5.9695995958211503</v>
      </c>
      <c r="G946" s="359">
        <f t="shared" ca="1" si="417"/>
        <v>9.5158629310201395</v>
      </c>
      <c r="H946" s="360">
        <f t="shared" ca="1" si="418"/>
        <v>-66.961338048997277</v>
      </c>
      <c r="I946" s="357">
        <f t="shared" ca="1" si="419"/>
        <v>67.634107080925176</v>
      </c>
      <c r="J946" s="359">
        <f t="shared" ca="1" si="420"/>
        <v>187.70931447689617</v>
      </c>
      <c r="K946" s="360">
        <f t="shared" ca="1" si="421"/>
        <v>-8.1046885266044111</v>
      </c>
      <c r="L946" s="357">
        <f t="shared" ca="1" si="406"/>
        <v>187.88420028703737</v>
      </c>
      <c r="M946" s="359">
        <f t="shared" ca="1" si="422"/>
        <v>-1.4296317363069828</v>
      </c>
      <c r="N946" s="357">
        <f t="shared" ca="1" si="423"/>
        <v>-81.911864748349942</v>
      </c>
      <c r="O946" s="343"/>
      <c r="P946" s="363">
        <f t="shared" ca="1" si="424"/>
        <v>23</v>
      </c>
      <c r="Q946" s="357">
        <f t="shared" ca="1" si="425"/>
        <v>0</v>
      </c>
      <c r="R946" s="359">
        <f t="shared" ca="1" si="426"/>
        <v>0</v>
      </c>
      <c r="S946" s="360">
        <f t="shared" ca="1" si="427"/>
        <v>1.5629999999999982</v>
      </c>
      <c r="T946" s="357">
        <f t="shared" ca="1" si="407"/>
        <v>15.333029999999983</v>
      </c>
      <c r="U946" s="364">
        <f t="shared" ca="1" si="408"/>
        <v>0</v>
      </c>
      <c r="V946" s="359">
        <f t="shared" ca="1" si="409"/>
        <v>1.2259932268342155</v>
      </c>
      <c r="W946" s="357">
        <f t="shared" ca="1" si="410"/>
        <v>6.1029567633837889</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5.8078421211422366</v>
      </c>
      <c r="AH946" s="357">
        <f t="shared" ca="1" si="434"/>
        <v>-3.9045731690770782</v>
      </c>
    </row>
    <row r="947" spans="1:34" x14ac:dyDescent="0.2">
      <c r="A947" s="402">
        <f t="shared" ca="1" si="412"/>
        <v>1E-4</v>
      </c>
      <c r="B947" s="357">
        <f t="shared" ca="1" si="413"/>
        <v>15.660699999999821</v>
      </c>
      <c r="C947" s="342"/>
      <c r="D947" s="359">
        <f t="shared" ca="1" si="414"/>
        <v>-0.54936847237072184</v>
      </c>
      <c r="E947" s="360">
        <f t="shared" ca="1" si="415"/>
        <v>-5.9441973651218323</v>
      </c>
      <c r="F947" s="357">
        <f t="shared" ca="1" si="416"/>
        <v>5.969529967590101</v>
      </c>
      <c r="G947" s="359">
        <f t="shared" ca="1" si="417"/>
        <v>9.5158079941729028</v>
      </c>
      <c r="H947" s="360">
        <f t="shared" ca="1" si="418"/>
        <v>-66.961932468733792</v>
      </c>
      <c r="I947" s="357">
        <f t="shared" ca="1" si="419"/>
        <v>67.634687858592429</v>
      </c>
      <c r="J947" s="359">
        <f t="shared" ca="1" si="420"/>
        <v>187.70931447689617</v>
      </c>
      <c r="K947" s="360">
        <f t="shared" ca="1" si="421"/>
        <v>-8.1113846901302971</v>
      </c>
      <c r="L947" s="357">
        <f t="shared" ca="1" si="406"/>
        <v>187.88448925597234</v>
      </c>
      <c r="M947" s="359">
        <f t="shared" ca="1" si="422"/>
        <v>-1.4296337770199978</v>
      </c>
      <c r="N947" s="357">
        <f t="shared" ca="1" si="423"/>
        <v>-81.911981672592887</v>
      </c>
      <c r="O947" s="343"/>
      <c r="P947" s="363">
        <f t="shared" ca="1" si="424"/>
        <v>23</v>
      </c>
      <c r="Q947" s="357">
        <f t="shared" ca="1" si="425"/>
        <v>0</v>
      </c>
      <c r="R947" s="359">
        <f t="shared" ca="1" si="426"/>
        <v>0</v>
      </c>
      <c r="S947" s="360">
        <f t="shared" ca="1" si="427"/>
        <v>1.5629999999999982</v>
      </c>
      <c r="T947" s="357">
        <f t="shared" ca="1" si="407"/>
        <v>15.333029999999983</v>
      </c>
      <c r="U947" s="364">
        <f t="shared" ca="1" si="408"/>
        <v>0</v>
      </c>
      <c r="V947" s="359">
        <f t="shared" ca="1" si="409"/>
        <v>1.2259940477797384</v>
      </c>
      <c r="W947" s="357">
        <f t="shared" ca="1" si="410"/>
        <v>6.1030656633729761</v>
      </c>
      <c r="X947" s="343"/>
      <c r="Y947" s="367" t="str">
        <f t="shared" ca="1" si="428"/>
        <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5.8077752641013358</v>
      </c>
      <c r="AH947" s="357">
        <f t="shared" ca="1" si="434"/>
        <v>-3.9046428428559157</v>
      </c>
    </row>
    <row r="948" spans="1:34" x14ac:dyDescent="0.2">
      <c r="A948" s="402">
        <f t="shared" ca="1" si="412"/>
        <v>1E-4</v>
      </c>
      <c r="B948" s="357">
        <f t="shared" ca="1" si="413"/>
        <v>15.660799999999821</v>
      </c>
      <c r="C948" s="342"/>
      <c r="D948" s="359">
        <f t="shared" ca="1" si="414"/>
        <v>-0.54937038606064226</v>
      </c>
      <c r="E948" s="360">
        <f t="shared" ca="1" si="415"/>
        <v>-5.944127263366207</v>
      </c>
      <c r="F948" s="357">
        <f t="shared" ca="1" si="416"/>
        <v>5.9694603394422385</v>
      </c>
      <c r="G948" s="359">
        <f t="shared" ca="1" si="417"/>
        <v>9.5157530571342974</v>
      </c>
      <c r="H948" s="360">
        <f t="shared" ca="1" si="418"/>
        <v>-66.962526881460136</v>
      </c>
      <c r="I948" s="357">
        <f t="shared" ca="1" si="419"/>
        <v>67.635268629573972</v>
      </c>
      <c r="J948" s="359">
        <f t="shared" ca="1" si="420"/>
        <v>187.70931447689617</v>
      </c>
      <c r="K948" s="360">
        <f t="shared" ca="1" si="421"/>
        <v>-8.1180809130978062</v>
      </c>
      <c r="L948" s="357">
        <f t="shared" ca="1" si="406"/>
        <v>187.88477846568065</v>
      </c>
      <c r="M948" s="359">
        <f t="shared" ca="1" si="422"/>
        <v>-1.429635817686185</v>
      </c>
      <c r="N948" s="357">
        <f t="shared" ca="1" si="423"/>
        <v>-81.912098594152809</v>
      </c>
      <c r="O948" s="343"/>
      <c r="P948" s="363">
        <f t="shared" ca="1" si="424"/>
        <v>23</v>
      </c>
      <c r="Q948" s="357">
        <f t="shared" ca="1" si="425"/>
        <v>0</v>
      </c>
      <c r="R948" s="359">
        <f t="shared" ca="1" si="426"/>
        <v>0</v>
      </c>
      <c r="S948" s="360">
        <f t="shared" ca="1" si="427"/>
        <v>1.5629999999999982</v>
      </c>
      <c r="T948" s="357">
        <f t="shared" ca="1" si="407"/>
        <v>15.333029999999983</v>
      </c>
      <c r="U948" s="364">
        <f t="shared" ca="1" si="408"/>
        <v>0</v>
      </c>
      <c r="V948" s="359">
        <f t="shared" ca="1" si="409"/>
        <v>1.2259948687330982</v>
      </c>
      <c r="W948" s="357">
        <f t="shared" ca="1" si="410"/>
        <v>6.1031745632349859</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5.8077084070366904</v>
      </c>
      <c r="AH948" s="357">
        <f t="shared" ca="1" si="434"/>
        <v>-3.904712516553412</v>
      </c>
    </row>
    <row r="949" spans="1:34" x14ac:dyDescent="0.2">
      <c r="A949" s="402">
        <f t="shared" ca="1" si="412"/>
        <v>1E-4</v>
      </c>
      <c r="B949" s="357">
        <f t="shared" ca="1" si="413"/>
        <v>15.66089999999982</v>
      </c>
      <c r="C949" s="342"/>
      <c r="D949" s="359">
        <f t="shared" ca="1" si="414"/>
        <v>-0.54937229963632139</v>
      </c>
      <c r="E949" s="360">
        <f t="shared" ca="1" si="415"/>
        <v>-5.9440571616929541</v>
      </c>
      <c r="F949" s="357">
        <f t="shared" ca="1" si="416"/>
        <v>5.9693907113775859</v>
      </c>
      <c r="G949" s="359">
        <f t="shared" ca="1" si="417"/>
        <v>9.515698119904334</v>
      </c>
      <c r="H949" s="360">
        <f t="shared" ca="1" si="418"/>
        <v>-66.963121287176307</v>
      </c>
      <c r="I949" s="357">
        <f t="shared" ca="1" si="419"/>
        <v>67.63584939386979</v>
      </c>
      <c r="J949" s="359">
        <f t="shared" ca="1" si="420"/>
        <v>187.70931447689617</v>
      </c>
      <c r="K949" s="360">
        <f t="shared" ca="1" si="421"/>
        <v>-8.1247771955062387</v>
      </c>
      <c r="L949" s="357">
        <f t="shared" ca="1" si="406"/>
        <v>187.8850679161676</v>
      </c>
      <c r="M949" s="359">
        <f t="shared" ca="1" si="422"/>
        <v>-1.4296378583055462</v>
      </c>
      <c r="N949" s="357">
        <f t="shared" ca="1" si="423"/>
        <v>-81.912215513029807</v>
      </c>
      <c r="O949" s="343"/>
      <c r="P949" s="363">
        <f t="shared" ca="1" si="424"/>
        <v>23</v>
      </c>
      <c r="Q949" s="357">
        <f t="shared" ca="1" si="425"/>
        <v>0</v>
      </c>
      <c r="R949" s="359">
        <f t="shared" ca="1" si="426"/>
        <v>0</v>
      </c>
      <c r="S949" s="360">
        <f t="shared" ca="1" si="427"/>
        <v>1.5629999999999982</v>
      </c>
      <c r="T949" s="357">
        <f t="shared" ca="1" si="407"/>
        <v>15.333029999999983</v>
      </c>
      <c r="U949" s="364">
        <f t="shared" ca="1" si="408"/>
        <v>0</v>
      </c>
      <c r="V949" s="359">
        <f t="shared" ca="1" si="409"/>
        <v>1.2259956896942956</v>
      </c>
      <c r="W949" s="357">
        <f t="shared" ca="1" si="410"/>
        <v>6.103283462969797</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5.8076415499483343</v>
      </c>
      <c r="AH949" s="357">
        <f t="shared" ca="1" si="434"/>
        <v>-3.9047821901695414</v>
      </c>
    </row>
    <row r="950" spans="1:34" x14ac:dyDescent="0.2">
      <c r="A950" s="402">
        <f t="shared" ca="1" si="412"/>
        <v>1E-4</v>
      </c>
      <c r="B950" s="357">
        <f t="shared" ca="1" si="413"/>
        <v>15.66099999999982</v>
      </c>
      <c r="C950" s="342"/>
      <c r="D950" s="359">
        <f t="shared" ca="1" si="414"/>
        <v>-0.54937421309775991</v>
      </c>
      <c r="E950" s="360">
        <f t="shared" ca="1" si="415"/>
        <v>-5.9439870601020903</v>
      </c>
      <c r="F950" s="357">
        <f t="shared" ca="1" si="416"/>
        <v>5.9693210833961574</v>
      </c>
      <c r="G950" s="359">
        <f t="shared" ca="1" si="417"/>
        <v>9.515643182483025</v>
      </c>
      <c r="H950" s="360">
        <f t="shared" ca="1" si="418"/>
        <v>-66.96371568588232</v>
      </c>
      <c r="I950" s="357">
        <f t="shared" ca="1" si="419"/>
        <v>67.636430151479885</v>
      </c>
      <c r="J950" s="359">
        <f t="shared" ca="1" si="420"/>
        <v>187.70931447689617</v>
      </c>
      <c r="K950" s="360">
        <f t="shared" ca="1" si="421"/>
        <v>-8.131473537354891</v>
      </c>
      <c r="L950" s="357">
        <f t="shared" ca="1" si="406"/>
        <v>187.88535760743838</v>
      </c>
      <c r="M950" s="359">
        <f t="shared" ca="1" si="422"/>
        <v>-1.4296398988780827</v>
      </c>
      <c r="N950" s="357">
        <f t="shared" ca="1" si="423"/>
        <v>-81.912332429223937</v>
      </c>
      <c r="O950" s="343"/>
      <c r="P950" s="363">
        <f t="shared" ca="1" si="424"/>
        <v>23</v>
      </c>
      <c r="Q950" s="357">
        <f t="shared" ca="1" si="425"/>
        <v>0</v>
      </c>
      <c r="R950" s="359">
        <f t="shared" ca="1" si="426"/>
        <v>0</v>
      </c>
      <c r="S950" s="360">
        <f t="shared" ca="1" si="427"/>
        <v>1.5629999999999982</v>
      </c>
      <c r="T950" s="357">
        <f t="shared" ca="1" si="407"/>
        <v>15.333029999999983</v>
      </c>
      <c r="U950" s="364">
        <f t="shared" ca="1" si="408"/>
        <v>0</v>
      </c>
      <c r="V950" s="359">
        <f t="shared" ca="1" si="409"/>
        <v>1.2259965106633306</v>
      </c>
      <c r="W950" s="357">
        <f t="shared" ca="1" si="410"/>
        <v>6.1033923625773747</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5.807574692836285</v>
      </c>
      <c r="AH950" s="357">
        <f t="shared" ca="1" si="434"/>
        <v>-3.9048518637042893</v>
      </c>
    </row>
    <row r="951" spans="1:34" x14ac:dyDescent="0.2">
      <c r="A951" s="402">
        <f t="shared" ca="1" si="412"/>
        <v>1E-4</v>
      </c>
      <c r="B951" s="357">
        <f t="shared" ca="1" si="413"/>
        <v>15.66109999999982</v>
      </c>
      <c r="C951" s="342"/>
      <c r="D951" s="359">
        <f t="shared" ca="1" si="414"/>
        <v>-0.5493761264449607</v>
      </c>
      <c r="E951" s="360">
        <f t="shared" ca="1" si="415"/>
        <v>-5.943916958593638</v>
      </c>
      <c r="F951" s="357">
        <f t="shared" ca="1" si="416"/>
        <v>5.969251455497977</v>
      </c>
      <c r="G951" s="359">
        <f t="shared" ca="1" si="417"/>
        <v>9.515588244870381</v>
      </c>
      <c r="H951" s="360">
        <f t="shared" ca="1" si="418"/>
        <v>-66.964310077578176</v>
      </c>
      <c r="I951" s="357">
        <f t="shared" ca="1" si="419"/>
        <v>67.637010902404256</v>
      </c>
      <c r="J951" s="359">
        <f t="shared" ca="1" si="420"/>
        <v>187.70931447689617</v>
      </c>
      <c r="K951" s="360">
        <f t="shared" ca="1" si="421"/>
        <v>-8.1381699386430633</v>
      </c>
      <c r="L951" s="357">
        <f t="shared" ca="1" si="406"/>
        <v>187.88564753949817</v>
      </c>
      <c r="M951" s="359">
        <f t="shared" ca="1" si="422"/>
        <v>-1.4296419394037965</v>
      </c>
      <c r="N951" s="357">
        <f t="shared" ca="1" si="423"/>
        <v>-81.912449342735314</v>
      </c>
      <c r="O951" s="343"/>
      <c r="P951" s="363">
        <f t="shared" ca="1" si="424"/>
        <v>23</v>
      </c>
      <c r="Q951" s="357">
        <f t="shared" ca="1" si="425"/>
        <v>0</v>
      </c>
      <c r="R951" s="359">
        <f t="shared" ca="1" si="426"/>
        <v>0</v>
      </c>
      <c r="S951" s="360">
        <f t="shared" ca="1" si="427"/>
        <v>1.5629999999999982</v>
      </c>
      <c r="T951" s="357">
        <f t="shared" ca="1" si="407"/>
        <v>15.333029999999983</v>
      </c>
      <c r="U951" s="364">
        <f t="shared" ca="1" si="408"/>
        <v>0</v>
      </c>
      <c r="V951" s="359">
        <f t="shared" ca="1" si="409"/>
        <v>1.2259973316402026</v>
      </c>
      <c r="W951" s="357">
        <f t="shared" ca="1" si="410"/>
        <v>6.1035012620576863</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5.8075078357005712</v>
      </c>
      <c r="AH951" s="357">
        <f t="shared" ca="1" si="434"/>
        <v>-3.9049215371576338</v>
      </c>
    </row>
    <row r="952" spans="1:34" x14ac:dyDescent="0.2">
      <c r="A952" s="402">
        <f t="shared" ca="1" si="412"/>
        <v>1E-4</v>
      </c>
      <c r="B952" s="357">
        <f t="shared" ca="1" si="413"/>
        <v>15.66119999999982</v>
      </c>
      <c r="C952" s="342"/>
      <c r="D952" s="359">
        <f t="shared" ca="1" si="414"/>
        <v>-0.54937803967792342</v>
      </c>
      <c r="E952" s="360">
        <f t="shared" ca="1" si="415"/>
        <v>-5.9438468571676175</v>
      </c>
      <c r="F952" s="357">
        <f t="shared" ca="1" si="416"/>
        <v>5.9691818276830633</v>
      </c>
      <c r="G952" s="359">
        <f t="shared" ca="1" si="417"/>
        <v>9.5155333070664128</v>
      </c>
      <c r="H952" s="360">
        <f t="shared" ca="1" si="418"/>
        <v>-66.964904462263888</v>
      </c>
      <c r="I952" s="357">
        <f t="shared" ca="1" si="419"/>
        <v>67.637591646642917</v>
      </c>
      <c r="J952" s="359">
        <f t="shared" ca="1" si="420"/>
        <v>187.70931447689617</v>
      </c>
      <c r="K952" s="360">
        <f t="shared" ca="1" si="421"/>
        <v>-8.1448663993700556</v>
      </c>
      <c r="L952" s="357">
        <f t="shared" ca="1" si="406"/>
        <v>187.88593771235219</v>
      </c>
      <c r="M952" s="359">
        <f t="shared" ca="1" si="422"/>
        <v>-1.429643979882689</v>
      </c>
      <c r="N952" s="357">
        <f t="shared" ca="1" si="423"/>
        <v>-81.912566253564052</v>
      </c>
      <c r="O952" s="343"/>
      <c r="P952" s="363">
        <f t="shared" ca="1" si="424"/>
        <v>23</v>
      </c>
      <c r="Q952" s="357">
        <f t="shared" ca="1" si="425"/>
        <v>0</v>
      </c>
      <c r="R952" s="359">
        <f t="shared" ca="1" si="426"/>
        <v>0</v>
      </c>
      <c r="S952" s="360">
        <f t="shared" ca="1" si="427"/>
        <v>1.5629999999999982</v>
      </c>
      <c r="T952" s="357">
        <f t="shared" ca="1" si="407"/>
        <v>15.333029999999983</v>
      </c>
      <c r="U952" s="364">
        <f t="shared" ca="1" si="408"/>
        <v>0</v>
      </c>
      <c r="V952" s="359">
        <f t="shared" ca="1" si="409"/>
        <v>1.2259981526249115</v>
      </c>
      <c r="W952" s="357">
        <f t="shared" ca="1" si="410"/>
        <v>6.1036101614107059</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5.8074409785412167</v>
      </c>
      <c r="AH952" s="357">
        <f t="shared" ca="1" si="434"/>
        <v>-3.9049912105295546</v>
      </c>
    </row>
    <row r="953" spans="1:34" x14ac:dyDescent="0.2">
      <c r="A953" s="402">
        <f t="shared" ca="1" si="412"/>
        <v>1E-4</v>
      </c>
      <c r="B953" s="357">
        <f t="shared" ca="1" si="413"/>
        <v>15.661299999999819</v>
      </c>
      <c r="C953" s="342"/>
      <c r="D953" s="359">
        <f t="shared" ca="1" si="414"/>
        <v>-0.54937995279664964</v>
      </c>
      <c r="E953" s="360">
        <f t="shared" ca="1" si="415"/>
        <v>-5.9437767558240449</v>
      </c>
      <c r="F953" s="357">
        <f t="shared" ca="1" si="416"/>
        <v>5.9691121999514349</v>
      </c>
      <c r="G953" s="359">
        <f t="shared" ca="1" si="417"/>
        <v>9.5154783690711326</v>
      </c>
      <c r="H953" s="360">
        <f t="shared" ca="1" si="418"/>
        <v>-66.965498839939471</v>
      </c>
      <c r="I953" s="357">
        <f t="shared" ca="1" si="419"/>
        <v>67.638172384195855</v>
      </c>
      <c r="J953" s="359">
        <f t="shared" ca="1" si="420"/>
        <v>187.70931447689617</v>
      </c>
      <c r="K953" s="360">
        <f t="shared" ca="1" si="421"/>
        <v>-8.1515629195351664</v>
      </c>
      <c r="L953" s="357">
        <f t="shared" ca="1" si="406"/>
        <v>187.88622812600565</v>
      </c>
      <c r="M953" s="359">
        <f t="shared" ca="1" si="422"/>
        <v>-1.4296460203147623</v>
      </c>
      <c r="N953" s="357">
        <f t="shared" ca="1" si="423"/>
        <v>-81.912683161710234</v>
      </c>
      <c r="O953" s="343"/>
      <c r="P953" s="363">
        <f t="shared" ca="1" si="424"/>
        <v>23</v>
      </c>
      <c r="Q953" s="357">
        <f t="shared" ca="1" si="425"/>
        <v>0</v>
      </c>
      <c r="R953" s="359">
        <f t="shared" ca="1" si="426"/>
        <v>0</v>
      </c>
      <c r="S953" s="360">
        <f t="shared" ca="1" si="427"/>
        <v>1.5629999999999982</v>
      </c>
      <c r="T953" s="357">
        <f t="shared" ca="1" si="407"/>
        <v>15.333029999999983</v>
      </c>
      <c r="U953" s="364">
        <f t="shared" ca="1" si="408"/>
        <v>0</v>
      </c>
      <c r="V953" s="359">
        <f t="shared" ca="1" si="409"/>
        <v>1.2259989736174579</v>
      </c>
      <c r="W953" s="357">
        <f t="shared" ca="1" si="410"/>
        <v>6.1037190606364033</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5.8073741213582464</v>
      </c>
      <c r="AH953" s="357">
        <f t="shared" ca="1" si="434"/>
        <v>-3.9050608838200338</v>
      </c>
    </row>
    <row r="954" spans="1:34" x14ac:dyDescent="0.2">
      <c r="A954" s="402">
        <f t="shared" ca="1" si="412"/>
        <v>1E-4</v>
      </c>
      <c r="B954" s="357">
        <f t="shared" ca="1" si="413"/>
        <v>15.661399999999819</v>
      </c>
      <c r="C954" s="342"/>
      <c r="D954" s="359">
        <f t="shared" ca="1" si="414"/>
        <v>-0.54938186580113946</v>
      </c>
      <c r="E954" s="360">
        <f t="shared" ca="1" si="415"/>
        <v>-5.9437066545629396</v>
      </c>
      <c r="F954" s="357">
        <f t="shared" ca="1" si="416"/>
        <v>5.969042572303108</v>
      </c>
      <c r="G954" s="359">
        <f t="shared" ca="1" si="417"/>
        <v>9.5154234308845531</v>
      </c>
      <c r="H954" s="360">
        <f t="shared" ca="1" si="418"/>
        <v>-66.966093210604924</v>
      </c>
      <c r="I954" s="357">
        <f t="shared" ca="1" si="419"/>
        <v>67.638753115063068</v>
      </c>
      <c r="J954" s="359">
        <f t="shared" ca="1" si="420"/>
        <v>187.70931447689617</v>
      </c>
      <c r="K954" s="360">
        <f t="shared" ca="1" si="421"/>
        <v>-8.158259499137694</v>
      </c>
      <c r="L954" s="357">
        <f t="shared" ca="1" si="406"/>
        <v>187.88651878046377</v>
      </c>
      <c r="M954" s="359">
        <f t="shared" ca="1" si="422"/>
        <v>-1.4296480607000175</v>
      </c>
      <c r="N954" s="357">
        <f t="shared" ca="1" si="423"/>
        <v>-81.912800067173933</v>
      </c>
      <c r="O954" s="343"/>
      <c r="P954" s="363">
        <f t="shared" ca="1" si="424"/>
        <v>23</v>
      </c>
      <c r="Q954" s="357">
        <f t="shared" ca="1" si="425"/>
        <v>0</v>
      </c>
      <c r="R954" s="359">
        <f t="shared" ca="1" si="426"/>
        <v>0</v>
      </c>
      <c r="S954" s="360">
        <f t="shared" ca="1" si="427"/>
        <v>1.5629999999999982</v>
      </c>
      <c r="T954" s="357">
        <f t="shared" ca="1" si="407"/>
        <v>15.333029999999983</v>
      </c>
      <c r="U954" s="364">
        <f t="shared" ca="1" si="408"/>
        <v>0</v>
      </c>
      <c r="V954" s="359">
        <f t="shared" ca="1" si="409"/>
        <v>1.2259997946178414</v>
      </c>
      <c r="W954" s="357">
        <f t="shared" ca="1" si="410"/>
        <v>6.1038279597347476</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5.8073072641516816</v>
      </c>
      <c r="AH954" s="357">
        <f t="shared" ca="1" si="434"/>
        <v>-3.9051305570290533</v>
      </c>
    </row>
    <row r="955" spans="1:34" x14ac:dyDescent="0.2">
      <c r="A955" s="402">
        <f t="shared" ca="1" si="412"/>
        <v>1E-4</v>
      </c>
      <c r="B955" s="357">
        <f t="shared" ca="1" si="413"/>
        <v>15.661499999999819</v>
      </c>
      <c r="C955" s="342"/>
      <c r="D955" s="359">
        <f t="shared" ca="1" si="414"/>
        <v>-0.5493837786913961</v>
      </c>
      <c r="E955" s="360">
        <f t="shared" ca="1" si="415"/>
        <v>-5.9436365533843212</v>
      </c>
      <c r="F955" s="357">
        <f t="shared" ca="1" si="416"/>
        <v>5.9689729447381055</v>
      </c>
      <c r="G955" s="359">
        <f t="shared" ca="1" si="417"/>
        <v>9.5153684925066848</v>
      </c>
      <c r="H955" s="360">
        <f t="shared" ca="1" si="418"/>
        <v>-66.966687574260263</v>
      </c>
      <c r="I955" s="357">
        <f t="shared" ca="1" si="419"/>
        <v>67.639333839244543</v>
      </c>
      <c r="J955" s="359">
        <f t="shared" ca="1" si="420"/>
        <v>187.70931447689617</v>
      </c>
      <c r="K955" s="360">
        <f t="shared" ca="1" si="421"/>
        <v>-8.1649561381769367</v>
      </c>
      <c r="L955" s="357">
        <f t="shared" ca="1" si="406"/>
        <v>187.88680967573177</v>
      </c>
      <c r="M955" s="359">
        <f t="shared" ca="1" si="422"/>
        <v>-1.4296501010384566</v>
      </c>
      <c r="N955" s="357">
        <f t="shared" ca="1" si="423"/>
        <v>-81.912916969955276</v>
      </c>
      <c r="O955" s="343"/>
      <c r="P955" s="363">
        <f t="shared" ca="1" si="424"/>
        <v>23</v>
      </c>
      <c r="Q955" s="357">
        <f t="shared" ca="1" si="425"/>
        <v>0</v>
      </c>
      <c r="R955" s="359">
        <f t="shared" ca="1" si="426"/>
        <v>0</v>
      </c>
      <c r="S955" s="360">
        <f t="shared" ca="1" si="427"/>
        <v>1.5629999999999982</v>
      </c>
      <c r="T955" s="357">
        <f t="shared" ca="1" si="407"/>
        <v>15.333029999999983</v>
      </c>
      <c r="U955" s="364">
        <f t="shared" ca="1" si="408"/>
        <v>0</v>
      </c>
      <c r="V955" s="359">
        <f t="shared" ca="1" si="409"/>
        <v>1.2260006156260619</v>
      </c>
      <c r="W955" s="357">
        <f t="shared" ca="1" si="410"/>
        <v>6.1039368587057048</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5.8072404069215491</v>
      </c>
      <c r="AH955" s="357">
        <f t="shared" ca="1" si="434"/>
        <v>-3.9052002301565931</v>
      </c>
    </row>
    <row r="956" spans="1:34" x14ac:dyDescent="0.2">
      <c r="A956" s="402">
        <f t="shared" ca="1" si="412"/>
        <v>1E-4</v>
      </c>
      <c r="B956" s="357">
        <f t="shared" ca="1" si="413"/>
        <v>15.661599999999819</v>
      </c>
      <c r="C956" s="342"/>
      <c r="D956" s="359">
        <f t="shared" ca="1" si="414"/>
        <v>-0.54938569146741889</v>
      </c>
      <c r="E956" s="360">
        <f t="shared" ca="1" si="415"/>
        <v>-5.9435664522882146</v>
      </c>
      <c r="F956" s="357">
        <f t="shared" ca="1" si="416"/>
        <v>5.9689033172564496</v>
      </c>
      <c r="G956" s="359">
        <f t="shared" ca="1" si="417"/>
        <v>9.5153135539375384</v>
      </c>
      <c r="H956" s="360">
        <f t="shared" ca="1" si="418"/>
        <v>-66.967281930905486</v>
      </c>
      <c r="I956" s="357">
        <f t="shared" ca="1" si="419"/>
        <v>67.639914556740294</v>
      </c>
      <c r="J956" s="359">
        <f t="shared" ca="1" si="420"/>
        <v>187.70931447689617</v>
      </c>
      <c r="K956" s="360">
        <f t="shared" ca="1" si="421"/>
        <v>-8.1716528366521946</v>
      </c>
      <c r="L956" s="357">
        <f t="shared" ca="1" si="406"/>
        <v>187.88710081181483</v>
      </c>
      <c r="M956" s="359">
        <f t="shared" ca="1" si="422"/>
        <v>-1.4296521413300813</v>
      </c>
      <c r="N956" s="357">
        <f t="shared" ca="1" si="423"/>
        <v>-81.913033870054349</v>
      </c>
      <c r="O956" s="343"/>
      <c r="P956" s="363">
        <f t="shared" ca="1" si="424"/>
        <v>23</v>
      </c>
      <c r="Q956" s="357">
        <f t="shared" ca="1" si="425"/>
        <v>0</v>
      </c>
      <c r="R956" s="359">
        <f t="shared" ca="1" si="426"/>
        <v>0</v>
      </c>
      <c r="S956" s="360">
        <f t="shared" ca="1" si="427"/>
        <v>1.5629999999999982</v>
      </c>
      <c r="T956" s="357">
        <f t="shared" ca="1" si="407"/>
        <v>15.333029999999983</v>
      </c>
      <c r="U956" s="364">
        <f t="shared" ca="1" si="408"/>
        <v>0</v>
      </c>
      <c r="V956" s="359">
        <f t="shared" ca="1" si="409"/>
        <v>1.2260014366421188</v>
      </c>
      <c r="W956" s="357">
        <f t="shared" ca="1" si="410"/>
        <v>6.1040457575492475</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5.8071735496678745</v>
      </c>
      <c r="AH956" s="357">
        <f t="shared" ca="1" si="434"/>
        <v>-3.905269903202631</v>
      </c>
    </row>
    <row r="957" spans="1:34" x14ac:dyDescent="0.2">
      <c r="A957" s="402">
        <f t="shared" ca="1" si="412"/>
        <v>1E-4</v>
      </c>
      <c r="B957" s="357">
        <f t="shared" ca="1" si="413"/>
        <v>15.661699999999819</v>
      </c>
      <c r="C957" s="342"/>
      <c r="D957" s="359">
        <f t="shared" ca="1" si="414"/>
        <v>-0.54938760412920884</v>
      </c>
      <c r="E957" s="360">
        <f t="shared" ca="1" si="415"/>
        <v>-5.943496351274633</v>
      </c>
      <c r="F957" s="357">
        <f t="shared" ca="1" si="416"/>
        <v>5.9688336898581547</v>
      </c>
      <c r="G957" s="359">
        <f t="shared" ca="1" si="417"/>
        <v>9.5152586151771263</v>
      </c>
      <c r="H957" s="360">
        <f t="shared" ca="1" si="418"/>
        <v>-66.967876280540608</v>
      </c>
      <c r="I957" s="357">
        <f t="shared" ca="1" si="419"/>
        <v>67.640495267550307</v>
      </c>
      <c r="J957" s="359">
        <f t="shared" ca="1" si="420"/>
        <v>187.70931447689617</v>
      </c>
      <c r="K957" s="360">
        <f t="shared" ca="1" si="421"/>
        <v>-8.178349594562766</v>
      </c>
      <c r="L957" s="357">
        <f t="shared" ca="1" si="406"/>
        <v>187.88739218871814</v>
      </c>
      <c r="M957" s="359">
        <f t="shared" ca="1" si="422"/>
        <v>-1.4296541815748931</v>
      </c>
      <c r="N957" s="357">
        <f t="shared" ca="1" si="423"/>
        <v>-81.913150767471237</v>
      </c>
      <c r="O957" s="343"/>
      <c r="P957" s="363">
        <f t="shared" ca="1" si="424"/>
        <v>23</v>
      </c>
      <c r="Q957" s="357">
        <f t="shared" ca="1" si="425"/>
        <v>0</v>
      </c>
      <c r="R957" s="359">
        <f t="shared" ca="1" si="426"/>
        <v>0</v>
      </c>
      <c r="S957" s="360">
        <f t="shared" ca="1" si="427"/>
        <v>1.5629999999999982</v>
      </c>
      <c r="T957" s="357">
        <f t="shared" ca="1" si="407"/>
        <v>15.333029999999983</v>
      </c>
      <c r="U957" s="364">
        <f t="shared" ca="1" si="408"/>
        <v>0</v>
      </c>
      <c r="V957" s="359">
        <f t="shared" ca="1" si="409"/>
        <v>1.226002257666013</v>
      </c>
      <c r="W957" s="357">
        <f t="shared" ca="1" si="410"/>
        <v>6.1041546562653455</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5.8071066923906827</v>
      </c>
      <c r="AH957" s="357">
        <f t="shared" ca="1" si="434"/>
        <v>-3.9053395761671497</v>
      </c>
    </row>
    <row r="958" spans="1:34" x14ac:dyDescent="0.2">
      <c r="A958" s="402">
        <f t="shared" ca="1" si="412"/>
        <v>1E-4</v>
      </c>
      <c r="B958" s="357">
        <f t="shared" ca="1" si="413"/>
        <v>15.661799999999818</v>
      </c>
      <c r="C958" s="342"/>
      <c r="D958" s="359">
        <f t="shared" ca="1" si="414"/>
        <v>-0.54938951667676816</v>
      </c>
      <c r="E958" s="360">
        <f t="shared" ca="1" si="415"/>
        <v>-5.9434262503435988</v>
      </c>
      <c r="F958" s="357">
        <f t="shared" ca="1" si="416"/>
        <v>5.9687640625432419</v>
      </c>
      <c r="G958" s="359">
        <f t="shared" ca="1" si="417"/>
        <v>9.5152036762254593</v>
      </c>
      <c r="H958" s="360">
        <f t="shared" ca="1" si="418"/>
        <v>-66.968470623165643</v>
      </c>
      <c r="I958" s="357">
        <f t="shared" ca="1" si="419"/>
        <v>67.641075971674596</v>
      </c>
      <c r="J958" s="359">
        <f t="shared" ca="1" si="420"/>
        <v>187.70931447689617</v>
      </c>
      <c r="K958" s="360">
        <f t="shared" ca="1" si="421"/>
        <v>-8.1850464119079511</v>
      </c>
      <c r="L958" s="357">
        <f t="shared" ca="1" si="406"/>
        <v>187.88768380644694</v>
      </c>
      <c r="M958" s="359">
        <f t="shared" ca="1" si="422"/>
        <v>-1.4296562217728939</v>
      </c>
      <c r="N958" s="357">
        <f t="shared" ca="1" si="423"/>
        <v>-81.913267662206053</v>
      </c>
      <c r="O958" s="343"/>
      <c r="P958" s="363">
        <f t="shared" ca="1" si="424"/>
        <v>23</v>
      </c>
      <c r="Q958" s="357">
        <f t="shared" ca="1" si="425"/>
        <v>0</v>
      </c>
      <c r="R958" s="359">
        <f t="shared" ca="1" si="426"/>
        <v>0</v>
      </c>
      <c r="S958" s="360">
        <f t="shared" ca="1" si="427"/>
        <v>1.5629999999999982</v>
      </c>
      <c r="T958" s="357">
        <f t="shared" ca="1" si="407"/>
        <v>15.333029999999983</v>
      </c>
      <c r="U958" s="364">
        <f t="shared" ca="1" si="408"/>
        <v>0</v>
      </c>
      <c r="V958" s="359">
        <f t="shared" ca="1" si="409"/>
        <v>1.2260030786977436</v>
      </c>
      <c r="W958" s="357">
        <f t="shared" ca="1" si="410"/>
        <v>6.1042635548539668</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5.8070398350899941</v>
      </c>
      <c r="AH958" s="357">
        <f t="shared" ca="1" si="434"/>
        <v>-3.9054092490501295</v>
      </c>
    </row>
    <row r="959" spans="1:34" x14ac:dyDescent="0.2">
      <c r="A959" s="402">
        <f t="shared" ca="1" si="412"/>
        <v>1E-4</v>
      </c>
      <c r="B959" s="357">
        <f t="shared" ca="1" si="413"/>
        <v>15.661899999999818</v>
      </c>
      <c r="C959" s="342"/>
      <c r="D959" s="359">
        <f t="shared" ca="1" si="414"/>
        <v>-0.54939142911009664</v>
      </c>
      <c r="E959" s="360">
        <f t="shared" ca="1" si="415"/>
        <v>-5.9433561494951324</v>
      </c>
      <c r="F959" s="357">
        <f t="shared" ca="1" si="416"/>
        <v>5.9686944353117326</v>
      </c>
      <c r="G959" s="359">
        <f t="shared" ca="1" si="417"/>
        <v>9.5151487370825478</v>
      </c>
      <c r="H959" s="360">
        <f t="shared" ca="1" si="418"/>
        <v>-66.969064958780592</v>
      </c>
      <c r="I959" s="357">
        <f t="shared" ca="1" si="419"/>
        <v>67.641656669113132</v>
      </c>
      <c r="J959" s="359">
        <f t="shared" ca="1" si="420"/>
        <v>187.70931447689617</v>
      </c>
      <c r="K959" s="360">
        <f t="shared" ca="1" si="421"/>
        <v>-8.1917432886870483</v>
      </c>
      <c r="L959" s="357">
        <f t="shared" ca="1" si="406"/>
        <v>187.88797566500642</v>
      </c>
      <c r="M959" s="359">
        <f t="shared" ca="1" si="422"/>
        <v>-1.4296582619240852</v>
      </c>
      <c r="N959" s="357">
        <f t="shared" ca="1" si="423"/>
        <v>-81.913384554258883</v>
      </c>
      <c r="O959" s="343"/>
      <c r="P959" s="363">
        <f t="shared" ca="1" si="424"/>
        <v>23</v>
      </c>
      <c r="Q959" s="357">
        <f t="shared" ca="1" si="425"/>
        <v>0</v>
      </c>
      <c r="R959" s="359">
        <f t="shared" ca="1" si="426"/>
        <v>0</v>
      </c>
      <c r="S959" s="360">
        <f t="shared" ca="1" si="427"/>
        <v>1.5629999999999982</v>
      </c>
      <c r="T959" s="357">
        <f t="shared" ca="1" si="407"/>
        <v>15.333029999999983</v>
      </c>
      <c r="U959" s="364">
        <f t="shared" ca="1" si="408"/>
        <v>0</v>
      </c>
      <c r="V959" s="359">
        <f t="shared" ca="1" si="409"/>
        <v>1.2260038997373111</v>
      </c>
      <c r="W959" s="357">
        <f t="shared" ca="1" si="410"/>
        <v>6.1043724533150794</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5.8069729777658381</v>
      </c>
      <c r="AH959" s="357">
        <f t="shared" ca="1" si="434"/>
        <v>-3.9054789218515507</v>
      </c>
    </row>
    <row r="960" spans="1:34" x14ac:dyDescent="0.2">
      <c r="A960" s="402">
        <f t="shared" ca="1" si="412"/>
        <v>1E-4</v>
      </c>
      <c r="B960" s="357">
        <f t="shared" ca="1" si="413"/>
        <v>15.661999999999818</v>
      </c>
      <c r="C960" s="342"/>
      <c r="D960" s="359">
        <f t="shared" ca="1" si="414"/>
        <v>-0.54939334142919549</v>
      </c>
      <c r="E960" s="360">
        <f t="shared" ca="1" si="415"/>
        <v>-5.9432860487292523</v>
      </c>
      <c r="F960" s="357">
        <f t="shared" ca="1" si="416"/>
        <v>5.9686248081636446</v>
      </c>
      <c r="G960" s="359">
        <f t="shared" ca="1" si="417"/>
        <v>9.5150937977484045</v>
      </c>
      <c r="H960" s="360">
        <f t="shared" ca="1" si="418"/>
        <v>-66.969659287385468</v>
      </c>
      <c r="I960" s="357">
        <f t="shared" ca="1" si="419"/>
        <v>67.642237359865959</v>
      </c>
      <c r="J960" s="359">
        <f t="shared" ca="1" si="420"/>
        <v>187.70931447689617</v>
      </c>
      <c r="K960" s="360">
        <f t="shared" ca="1" si="421"/>
        <v>-8.1984402248993558</v>
      </c>
      <c r="L960" s="357">
        <f t="shared" ca="1" si="406"/>
        <v>187.8882677644018</v>
      </c>
      <c r="M960" s="359">
        <f t="shared" ca="1" si="422"/>
        <v>-1.4296603020284686</v>
      </c>
      <c r="N960" s="357">
        <f t="shared" ca="1" si="423"/>
        <v>-81.913501443629812</v>
      </c>
      <c r="O960" s="343"/>
      <c r="P960" s="363">
        <f t="shared" ca="1" si="424"/>
        <v>23</v>
      </c>
      <c r="Q960" s="357">
        <f t="shared" ca="1" si="425"/>
        <v>0</v>
      </c>
      <c r="R960" s="359">
        <f t="shared" ca="1" si="426"/>
        <v>0</v>
      </c>
      <c r="S960" s="360">
        <f t="shared" ca="1" si="427"/>
        <v>1.5629999999999982</v>
      </c>
      <c r="T960" s="357">
        <f t="shared" ca="1" si="407"/>
        <v>15.333029999999983</v>
      </c>
      <c r="U960" s="364">
        <f t="shared" ca="1" si="408"/>
        <v>0</v>
      </c>
      <c r="V960" s="359">
        <f t="shared" ca="1" si="409"/>
        <v>1.2260047207847151</v>
      </c>
      <c r="W960" s="357">
        <f t="shared" ca="1" si="410"/>
        <v>6.1044813516486593</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5.8069061204182368</v>
      </c>
      <c r="AH960" s="357">
        <f t="shared" ca="1" si="434"/>
        <v>-3.9055485945713926</v>
      </c>
    </row>
    <row r="961" spans="1:34" x14ac:dyDescent="0.2">
      <c r="A961" s="402">
        <f t="shared" ca="1" si="412"/>
        <v>1E-4</v>
      </c>
      <c r="B961" s="357">
        <f t="shared" ca="1" si="413"/>
        <v>15.662099999999818</v>
      </c>
      <c r="C961" s="342"/>
      <c r="D961" s="359">
        <f t="shared" ca="1" si="414"/>
        <v>-0.54939525363406716</v>
      </c>
      <c r="E961" s="360">
        <f t="shared" ca="1" si="415"/>
        <v>-5.9432159480459763</v>
      </c>
      <c r="F961" s="357">
        <f t="shared" ca="1" si="416"/>
        <v>5.9685551810989965</v>
      </c>
      <c r="G961" s="359">
        <f t="shared" ca="1" si="417"/>
        <v>9.5150388582230416</v>
      </c>
      <c r="H961" s="360">
        <f t="shared" ca="1" si="418"/>
        <v>-66.970253608980272</v>
      </c>
      <c r="I961" s="357">
        <f t="shared" ca="1" si="419"/>
        <v>67.642818043933019</v>
      </c>
      <c r="J961" s="359">
        <f t="shared" ca="1" si="420"/>
        <v>187.70931447689617</v>
      </c>
      <c r="K961" s="360">
        <f t="shared" ca="1" si="421"/>
        <v>-8.2051372205441737</v>
      </c>
      <c r="L961" s="357">
        <f t="shared" ca="1" si="406"/>
        <v>187.88856010463823</v>
      </c>
      <c r="M961" s="359">
        <f t="shared" ca="1" si="422"/>
        <v>-1.4296623420860459</v>
      </c>
      <c r="N961" s="357">
        <f t="shared" ca="1" si="423"/>
        <v>-81.913618330318968</v>
      </c>
      <c r="O961" s="343"/>
      <c r="P961" s="363">
        <f t="shared" ca="1" si="424"/>
        <v>23</v>
      </c>
      <c r="Q961" s="357">
        <f t="shared" ca="1" si="425"/>
        <v>0</v>
      </c>
      <c r="R961" s="359">
        <f t="shared" ca="1" si="426"/>
        <v>0</v>
      </c>
      <c r="S961" s="360">
        <f t="shared" ca="1" si="427"/>
        <v>1.5629999999999982</v>
      </c>
      <c r="T961" s="357">
        <f t="shared" ca="1" si="407"/>
        <v>15.333029999999983</v>
      </c>
      <c r="U961" s="364">
        <f t="shared" ca="1" si="408"/>
        <v>0</v>
      </c>
      <c r="V961" s="359">
        <f t="shared" ca="1" si="409"/>
        <v>1.2260055418399554</v>
      </c>
      <c r="W961" s="357">
        <f t="shared" ca="1" si="410"/>
        <v>6.1045902498546676</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5.8068392630472125</v>
      </c>
      <c r="AH961" s="357">
        <f t="shared" ca="1" si="434"/>
        <v>-3.9056182672096393</v>
      </c>
    </row>
    <row r="962" spans="1:34" x14ac:dyDescent="0.2">
      <c r="A962" s="402">
        <f t="shared" ca="1" si="412"/>
        <v>1E-4</v>
      </c>
      <c r="B962" s="357">
        <f t="shared" ca="1" si="413"/>
        <v>15.662199999999817</v>
      </c>
      <c r="C962" s="342"/>
      <c r="D962" s="359">
        <f t="shared" ca="1" si="414"/>
        <v>-0.54939716572471098</v>
      </c>
      <c r="E962" s="360">
        <f t="shared" ca="1" si="415"/>
        <v>-5.9431458474453276</v>
      </c>
      <c r="F962" s="357">
        <f t="shared" ca="1" si="416"/>
        <v>5.9684855541178106</v>
      </c>
      <c r="G962" s="359">
        <f t="shared" ca="1" si="417"/>
        <v>9.51498391850647</v>
      </c>
      <c r="H962" s="360">
        <f t="shared" ca="1" si="418"/>
        <v>-66.970847923565017</v>
      </c>
      <c r="I962" s="357">
        <f t="shared" ca="1" si="419"/>
        <v>67.643398721314341</v>
      </c>
      <c r="J962" s="359">
        <f t="shared" ca="1" si="420"/>
        <v>187.70931447689617</v>
      </c>
      <c r="K962" s="360">
        <f t="shared" ca="1" si="421"/>
        <v>-8.2118342756208005</v>
      </c>
      <c r="L962" s="357">
        <f t="shared" ca="1" si="406"/>
        <v>187.88885268572099</v>
      </c>
      <c r="M962" s="359">
        <f t="shared" ca="1" si="422"/>
        <v>-1.4296643820968189</v>
      </c>
      <c r="N962" s="357">
        <f t="shared" ca="1" si="423"/>
        <v>-81.913735214326408</v>
      </c>
      <c r="O962" s="343"/>
      <c r="P962" s="363">
        <f t="shared" ca="1" si="424"/>
        <v>23</v>
      </c>
      <c r="Q962" s="357">
        <f t="shared" ca="1" si="425"/>
        <v>0</v>
      </c>
      <c r="R962" s="359">
        <f t="shared" ca="1" si="426"/>
        <v>0</v>
      </c>
      <c r="S962" s="360">
        <f t="shared" ca="1" si="427"/>
        <v>1.5629999999999982</v>
      </c>
      <c r="T962" s="357">
        <f t="shared" ca="1" si="407"/>
        <v>15.333029999999983</v>
      </c>
      <c r="U962" s="364">
        <f t="shared" ca="1" si="408"/>
        <v>0</v>
      </c>
      <c r="V962" s="359">
        <f t="shared" ca="1" si="409"/>
        <v>1.2260063629030329</v>
      </c>
      <c r="W962" s="357">
        <f t="shared" ca="1" si="410"/>
        <v>6.1046991479330828</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5.8067724056527972</v>
      </c>
      <c r="AH962" s="357">
        <f t="shared" ca="1" si="434"/>
        <v>-3.9056879397662665</v>
      </c>
    </row>
    <row r="963" spans="1:34" x14ac:dyDescent="0.2">
      <c r="A963" s="402">
        <f t="shared" ca="1" si="412"/>
        <v>1E-4</v>
      </c>
      <c r="B963" s="357">
        <f t="shared" ca="1" si="413"/>
        <v>15.662299999999817</v>
      </c>
      <c r="C963" s="342"/>
      <c r="D963" s="359">
        <f t="shared" ca="1" si="414"/>
        <v>-0.54939907770112884</v>
      </c>
      <c r="E963" s="360">
        <f t="shared" ca="1" si="415"/>
        <v>-5.9430757469273212</v>
      </c>
      <c r="F963" s="357">
        <f t="shared" ca="1" si="416"/>
        <v>5.9684159272201018</v>
      </c>
      <c r="G963" s="359">
        <f t="shared" ca="1" si="417"/>
        <v>9.5149289785987001</v>
      </c>
      <c r="H963" s="360">
        <f t="shared" ca="1" si="418"/>
        <v>-66.971442231139704</v>
      </c>
      <c r="I963" s="357">
        <f t="shared" ca="1" si="419"/>
        <v>67.643979392009896</v>
      </c>
      <c r="J963" s="359">
        <f t="shared" ca="1" si="420"/>
        <v>187.70931447689617</v>
      </c>
      <c r="K963" s="360">
        <f t="shared" ca="1" si="421"/>
        <v>-8.2185313901285362</v>
      </c>
      <c r="L963" s="357">
        <f t="shared" ca="1" si="406"/>
        <v>187.8891455076552</v>
      </c>
      <c r="M963" s="359">
        <f t="shared" ca="1" si="422"/>
        <v>-1.4296664220607889</v>
      </c>
      <c r="N963" s="357">
        <f t="shared" ca="1" si="423"/>
        <v>-81.913852095652246</v>
      </c>
      <c r="O963" s="343"/>
      <c r="P963" s="363">
        <f t="shared" ca="1" si="424"/>
        <v>23</v>
      </c>
      <c r="Q963" s="357">
        <f t="shared" ca="1" si="425"/>
        <v>0</v>
      </c>
      <c r="R963" s="359">
        <f t="shared" ca="1" si="426"/>
        <v>0</v>
      </c>
      <c r="S963" s="360">
        <f t="shared" ca="1" si="427"/>
        <v>1.5629999999999982</v>
      </c>
      <c r="T963" s="357">
        <f t="shared" ca="1" si="407"/>
        <v>15.333029999999983</v>
      </c>
      <c r="U963" s="364">
        <f t="shared" ca="1" si="408"/>
        <v>0</v>
      </c>
      <c r="V963" s="359">
        <f t="shared" ca="1" si="409"/>
        <v>1.2260071839739461</v>
      </c>
      <c r="W963" s="357">
        <f t="shared" ca="1" si="410"/>
        <v>6.1048080458838623</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5.8067055482350067</v>
      </c>
      <c r="AH963" s="357">
        <f t="shared" ca="1" si="434"/>
        <v>-3.9057576122412603</v>
      </c>
    </row>
    <row r="964" spans="1:34" x14ac:dyDescent="0.2">
      <c r="A964" s="402">
        <f t="shared" ca="1" si="412"/>
        <v>1E-4</v>
      </c>
      <c r="B964" s="357">
        <f t="shared" ca="1" si="413"/>
        <v>15.662399999999817</v>
      </c>
      <c r="C964" s="342"/>
      <c r="D964" s="359">
        <f t="shared" ca="1" si="414"/>
        <v>-0.54940098956332173</v>
      </c>
      <c r="E964" s="360">
        <f t="shared" ca="1" si="415"/>
        <v>-5.9430056464919847</v>
      </c>
      <c r="F964" s="357">
        <f t="shared" ca="1" si="416"/>
        <v>5.9683463004058979</v>
      </c>
      <c r="G964" s="359">
        <f t="shared" ca="1" si="417"/>
        <v>9.5148740384997446</v>
      </c>
      <c r="H964" s="360">
        <f t="shared" ca="1" si="418"/>
        <v>-66.972036531704347</v>
      </c>
      <c r="I964" s="357">
        <f t="shared" ca="1" si="419"/>
        <v>67.644560056019714</v>
      </c>
      <c r="J964" s="359">
        <f t="shared" ca="1" si="420"/>
        <v>187.70931447689617</v>
      </c>
      <c r="K964" s="360">
        <f t="shared" ca="1" si="421"/>
        <v>-8.2252285640666791</v>
      </c>
      <c r="L964" s="357">
        <f t="shared" ref="L964:L1004" ca="1" si="435">SQRT(pos_x^2+pos_z^2)</f>
        <v>187.88943857044612</v>
      </c>
      <c r="M964" s="359">
        <f t="shared" ca="1" si="422"/>
        <v>-1.4296684619779578</v>
      </c>
      <c r="N964" s="357">
        <f t="shared" ca="1" si="423"/>
        <v>-81.913968974296594</v>
      </c>
      <c r="O964" s="343"/>
      <c r="P964" s="363">
        <f t="shared" ca="1" si="424"/>
        <v>23</v>
      </c>
      <c r="Q964" s="357">
        <f t="shared" ca="1" si="425"/>
        <v>0</v>
      </c>
      <c r="R964" s="359">
        <f t="shared" ca="1" si="426"/>
        <v>0</v>
      </c>
      <c r="S964" s="360">
        <f t="shared" ca="1" si="427"/>
        <v>1.5629999999999982</v>
      </c>
      <c r="T964" s="357">
        <f t="shared" ref="T964:T1004" ca="1" si="436">m*g</f>
        <v>15.333029999999983</v>
      </c>
      <c r="U964" s="364">
        <f t="shared" ref="U964:U1004" ca="1" si="437">IF(pos_xz&lt;L_rampe,Poids*COS(Beta),0)</f>
        <v>0</v>
      </c>
      <c r="V964" s="359">
        <f t="shared" ref="V964:V1004" ca="1" si="438">Rho_moyen*(20000-Alt_rampe-pos_z)/(20000+Alt_rampe+pos_z)</f>
        <v>1.226008005052696</v>
      </c>
      <c r="W964" s="357">
        <f t="shared" ref="W964:W1003" ca="1" si="439">1/2*Rho*Sref*Cx*vit_xz^2</f>
        <v>6.1049169437069875</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5.8066386907938732</v>
      </c>
      <c r="AH964" s="357">
        <f t="shared" ca="1" si="434"/>
        <v>-3.9058272846345932</v>
      </c>
    </row>
    <row r="965" spans="1:34" x14ac:dyDescent="0.2">
      <c r="A965" s="402">
        <f t="shared" ref="A965:A1004" ca="1" si="441">IF(B964+0.01&lt;=T_ini+ROUNDUP(Temps_fin_propu,0), 0.01, IF(K964&gt;0, 0.1, 0.0001))</f>
        <v>1E-4</v>
      </c>
      <c r="B965" s="357">
        <f t="shared" ref="B965:B1004" ca="1" si="442">B964+pas</f>
        <v>15.662499999999817</v>
      </c>
      <c r="C965" s="342"/>
      <c r="D965" s="359">
        <f t="shared" ref="D965:D1004" ca="1" si="443">IF(AND(L964&lt;L_rampe,Poussee&lt;Poids*SIN(M964)),0,(-W964+Poussee)/m*COS(M964)-U964/m*SIN(M964))</f>
        <v>-0.54940290131129077</v>
      </c>
      <c r="E965" s="360">
        <f t="shared" ref="E965:E1004" ca="1" si="444">IF(AND(L964&lt;L_rampe,Poussee&lt;Poids*SIN(M964)),0,(-W964+Poussee)/m*SIN(M964)+U964/m*COS(M964)-Poids/m)</f>
        <v>-5.9429355461393278</v>
      </c>
      <c r="F965" s="357">
        <f t="shared" ref="F965:F1004" ca="1" si="445">SQRT(acc_x^2+acc_z^2)</f>
        <v>5.9682766736752084</v>
      </c>
      <c r="G965" s="359">
        <f t="shared" ref="G965:G1004" ca="1" si="446">G964+acc_x*pas</f>
        <v>9.5148190982096139</v>
      </c>
      <c r="H965" s="360">
        <f t="shared" ref="H965:H1004" ca="1" si="447">H964+acc_z*pas</f>
        <v>-66.97263082525896</v>
      </c>
      <c r="I965" s="357">
        <f t="shared" ref="I965:I1004" ca="1" si="448">SQRT(vit_x^2+vit_z^2)</f>
        <v>67.645140713343778</v>
      </c>
      <c r="J965" s="359">
        <f t="shared" ref="J965:J1004" ca="1" si="449">J964+0.5*(vit_x+G964)*pas*(K964&gt;=0)</f>
        <v>187.70931447689617</v>
      </c>
      <c r="K965" s="360">
        <f t="shared" ref="K965:K1004" ca="1" si="450">K964+0.5*(vit_z+H964)*pas</f>
        <v>-8.2319257974345277</v>
      </c>
      <c r="L965" s="357">
        <f t="shared" ca="1" si="435"/>
        <v>187.88973187409889</v>
      </c>
      <c r="M965" s="359">
        <f t="shared" ref="M965:M1004" ca="1" si="451">IF(AND(L964&gt;L_rampe,G965&gt;0),ATAN2(G965,H965),$M$4)</f>
        <v>-1.4296705018483273</v>
      </c>
      <c r="N965" s="357">
        <f t="shared" ref="N965:N1004" ca="1" si="452">DEGREES(Beta)</f>
        <v>-81.914085850259511</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1.5629999999999982</v>
      </c>
      <c r="T965" s="357">
        <f t="shared" ca="1" si="436"/>
        <v>15.333029999999983</v>
      </c>
      <c r="U965" s="364">
        <f t="shared" ca="1" si="437"/>
        <v>0</v>
      </c>
      <c r="V965" s="359">
        <f t="shared" ca="1" si="438"/>
        <v>1.2260088261392819</v>
      </c>
      <c r="W965" s="357">
        <f t="shared" ca="1" si="439"/>
        <v>6.105025841402421</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5.8065718333294161</v>
      </c>
      <c r="AH965" s="357">
        <f t="shared" ref="AH965:AH1004" ca="1" si="463">IF(AND(L964&lt;L_rampe,Poussee&lt;Poids*SIN(M964)), g*SIN(M964), (-W964+Poussee)/m)</f>
        <v>-3.9058969569462536</v>
      </c>
    </row>
    <row r="966" spans="1:34" x14ac:dyDescent="0.2">
      <c r="A966" s="402">
        <f t="shared" ca="1" si="441"/>
        <v>1E-4</v>
      </c>
      <c r="B966" s="357">
        <f t="shared" ca="1" si="442"/>
        <v>15.662599999999816</v>
      </c>
      <c r="C966" s="342"/>
      <c r="D966" s="359">
        <f t="shared" ca="1" si="443"/>
        <v>-0.54940481294503651</v>
      </c>
      <c r="E966" s="360">
        <f t="shared" ca="1" si="444"/>
        <v>-5.9428654458693773</v>
      </c>
      <c r="F966" s="357">
        <f t="shared" ca="1" si="445"/>
        <v>5.968207047028061</v>
      </c>
      <c r="G966" s="359">
        <f t="shared" ca="1" si="446"/>
        <v>9.5147641577283188</v>
      </c>
      <c r="H966" s="360">
        <f t="shared" ca="1" si="447"/>
        <v>-66.973225111803544</v>
      </c>
      <c r="I966" s="357">
        <f t="shared" ca="1" si="448"/>
        <v>67.645721363982105</v>
      </c>
      <c r="J966" s="359">
        <f t="shared" ca="1" si="449"/>
        <v>187.70931447689617</v>
      </c>
      <c r="K966" s="360">
        <f t="shared" ca="1" si="450"/>
        <v>-8.2386230902313802</v>
      </c>
      <c r="L966" s="357">
        <f t="shared" ca="1" si="435"/>
        <v>187.89002541861873</v>
      </c>
      <c r="M966" s="359">
        <f t="shared" ca="1" si="451"/>
        <v>-1.4296725416718992</v>
      </c>
      <c r="N966" s="357">
        <f t="shared" ca="1" si="452"/>
        <v>-81.914202723541138</v>
      </c>
      <c r="O966" s="343"/>
      <c r="P966" s="363">
        <f t="shared" ca="1" si="453"/>
        <v>23</v>
      </c>
      <c r="Q966" s="357">
        <f t="shared" ca="1" si="454"/>
        <v>0</v>
      </c>
      <c r="R966" s="359">
        <f t="shared" ca="1" si="455"/>
        <v>0</v>
      </c>
      <c r="S966" s="360">
        <f t="shared" ca="1" si="456"/>
        <v>1.5629999999999982</v>
      </c>
      <c r="T966" s="357">
        <f t="shared" ca="1" si="436"/>
        <v>15.333029999999983</v>
      </c>
      <c r="U966" s="364">
        <f t="shared" ca="1" si="437"/>
        <v>0</v>
      </c>
      <c r="V966" s="359">
        <f t="shared" ca="1" si="438"/>
        <v>1.2260096472337041</v>
      </c>
      <c r="W966" s="357">
        <f t="shared" ca="1" si="439"/>
        <v>6.105134738970138</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5.806504975841662</v>
      </c>
      <c r="AH966" s="357">
        <f t="shared" ca="1" si="463"/>
        <v>-3.9059666291762176</v>
      </c>
    </row>
    <row r="967" spans="1:34" x14ac:dyDescent="0.2">
      <c r="A967" s="402">
        <f t="shared" ca="1" si="441"/>
        <v>1E-4</v>
      </c>
      <c r="B967" s="357">
        <f t="shared" ca="1" si="442"/>
        <v>15.662699999999816</v>
      </c>
      <c r="C967" s="342"/>
      <c r="D967" s="359">
        <f t="shared" ca="1" si="443"/>
        <v>-0.54940672446456029</v>
      </c>
      <c r="E967" s="360">
        <f t="shared" ca="1" si="444"/>
        <v>-5.9427953456821481</v>
      </c>
      <c r="F967" s="357">
        <f t="shared" ca="1" si="445"/>
        <v>5.968137420464469</v>
      </c>
      <c r="G967" s="359">
        <f t="shared" ca="1" si="446"/>
        <v>9.5147092170558718</v>
      </c>
      <c r="H967" s="360">
        <f t="shared" ca="1" si="447"/>
        <v>-66.973819391338111</v>
      </c>
      <c r="I967" s="357">
        <f t="shared" ca="1" si="448"/>
        <v>67.646302007934665</v>
      </c>
      <c r="J967" s="359">
        <f t="shared" ca="1" si="449"/>
        <v>187.70931447689617</v>
      </c>
      <c r="K967" s="360">
        <f t="shared" ca="1" si="450"/>
        <v>-8.2453204424565367</v>
      </c>
      <c r="L967" s="357">
        <f t="shared" ca="1" si="435"/>
        <v>187.89031920401084</v>
      </c>
      <c r="M967" s="359">
        <f t="shared" ca="1" si="451"/>
        <v>-1.4296745814486747</v>
      </c>
      <c r="N967" s="357">
        <f t="shared" ca="1" si="452"/>
        <v>-81.914319594141517</v>
      </c>
      <c r="O967" s="343"/>
      <c r="P967" s="363">
        <f t="shared" ca="1" si="453"/>
        <v>23</v>
      </c>
      <c r="Q967" s="357">
        <f t="shared" ca="1" si="454"/>
        <v>0</v>
      </c>
      <c r="R967" s="359">
        <f t="shared" ca="1" si="455"/>
        <v>0</v>
      </c>
      <c r="S967" s="360">
        <f t="shared" ca="1" si="456"/>
        <v>1.5629999999999982</v>
      </c>
      <c r="T967" s="357">
        <f t="shared" ca="1" si="436"/>
        <v>15.333029999999983</v>
      </c>
      <c r="U967" s="364">
        <f t="shared" ca="1" si="437"/>
        <v>0</v>
      </c>
      <c r="V967" s="359">
        <f t="shared" ca="1" si="438"/>
        <v>1.2260104683359623</v>
      </c>
      <c r="W967" s="357">
        <f t="shared" ca="1" si="439"/>
        <v>6.1052436364101039</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5.8064381183306324</v>
      </c>
      <c r="AH967" s="357">
        <f t="shared" ca="1" si="463"/>
        <v>-3.9060363013244692</v>
      </c>
    </row>
    <row r="968" spans="1:34" x14ac:dyDescent="0.2">
      <c r="A968" s="402">
        <f t="shared" ca="1" si="441"/>
        <v>1E-4</v>
      </c>
      <c r="B968" s="357">
        <f t="shared" ca="1" si="442"/>
        <v>15.662799999999816</v>
      </c>
      <c r="C968" s="342"/>
      <c r="D968" s="359">
        <f t="shared" ca="1" si="443"/>
        <v>-0.5494086358698641</v>
      </c>
      <c r="E968" s="360">
        <f t="shared" ca="1" si="444"/>
        <v>-5.9427252455776625</v>
      </c>
      <c r="F968" s="357">
        <f t="shared" ca="1" si="445"/>
        <v>5.9680677939844546</v>
      </c>
      <c r="G968" s="359">
        <f t="shared" ca="1" si="446"/>
        <v>9.5146542761922852</v>
      </c>
      <c r="H968" s="360">
        <f t="shared" ca="1" si="447"/>
        <v>-66.974413663862663</v>
      </c>
      <c r="I968" s="357">
        <f t="shared" ca="1" si="448"/>
        <v>67.646882645201458</v>
      </c>
      <c r="J968" s="359">
        <f t="shared" ca="1" si="449"/>
        <v>187.70931447689617</v>
      </c>
      <c r="K968" s="360">
        <f t="shared" ca="1" si="450"/>
        <v>-8.2520178541092974</v>
      </c>
      <c r="L968" s="357">
        <f t="shared" ca="1" si="435"/>
        <v>187.89061323028045</v>
      </c>
      <c r="M968" s="359">
        <f t="shared" ca="1" si="451"/>
        <v>-1.4296766211786558</v>
      </c>
      <c r="N968" s="357">
        <f t="shared" ca="1" si="452"/>
        <v>-81.914436462060777</v>
      </c>
      <c r="O968" s="343"/>
      <c r="P968" s="363">
        <f t="shared" ca="1" si="453"/>
        <v>23</v>
      </c>
      <c r="Q968" s="357">
        <f t="shared" ca="1" si="454"/>
        <v>0</v>
      </c>
      <c r="R968" s="359">
        <f t="shared" ca="1" si="455"/>
        <v>0</v>
      </c>
      <c r="S968" s="360">
        <f t="shared" ca="1" si="456"/>
        <v>1.5629999999999982</v>
      </c>
      <c r="T968" s="357">
        <f t="shared" ca="1" si="436"/>
        <v>15.333029999999983</v>
      </c>
      <c r="U968" s="364">
        <f t="shared" ca="1" si="437"/>
        <v>0</v>
      </c>
      <c r="V968" s="359">
        <f t="shared" ca="1" si="438"/>
        <v>1.2260112894460566</v>
      </c>
      <c r="W968" s="357">
        <f t="shared" ca="1" si="439"/>
        <v>6.1053525337222867</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5.8063712607963573</v>
      </c>
      <c r="AH968" s="357">
        <f t="shared" ca="1" si="463"/>
        <v>-3.9061059733909858</v>
      </c>
    </row>
    <row r="969" spans="1:34" x14ac:dyDescent="0.2">
      <c r="A969" s="402">
        <f t="shared" ca="1" si="441"/>
        <v>1E-4</v>
      </c>
      <c r="B969" s="357">
        <f t="shared" ca="1" si="442"/>
        <v>15.662899999999816</v>
      </c>
      <c r="C969" s="342"/>
      <c r="D969" s="359">
        <f t="shared" ca="1" si="443"/>
        <v>-0.5494105471609475</v>
      </c>
      <c r="E969" s="360">
        <f t="shared" ca="1" si="444"/>
        <v>-5.9426551455559409</v>
      </c>
      <c r="F969" s="357">
        <f t="shared" ca="1" si="445"/>
        <v>5.9679981675880391</v>
      </c>
      <c r="G969" s="359">
        <f t="shared" ca="1" si="446"/>
        <v>9.5145993351375697</v>
      </c>
      <c r="H969" s="360">
        <f t="shared" ca="1" si="447"/>
        <v>-66.975007929377213</v>
      </c>
      <c r="I969" s="357">
        <f t="shared" ca="1" si="448"/>
        <v>67.647463275782499</v>
      </c>
      <c r="J969" s="359">
        <f t="shared" ca="1" si="449"/>
        <v>187.70931447689617</v>
      </c>
      <c r="K969" s="360">
        <f t="shared" ca="1" si="450"/>
        <v>-8.2587153251889589</v>
      </c>
      <c r="L969" s="357">
        <f t="shared" ca="1" si="435"/>
        <v>187.89090749743269</v>
      </c>
      <c r="M969" s="359">
        <f t="shared" ca="1" si="451"/>
        <v>-1.4296786608618441</v>
      </c>
      <c r="N969" s="357">
        <f t="shared" ca="1" si="452"/>
        <v>-81.914553327299018</v>
      </c>
      <c r="O969" s="343"/>
      <c r="P969" s="363">
        <f t="shared" ca="1" si="453"/>
        <v>23</v>
      </c>
      <c r="Q969" s="357">
        <f t="shared" ca="1" si="454"/>
        <v>0</v>
      </c>
      <c r="R969" s="359">
        <f t="shared" ca="1" si="455"/>
        <v>0</v>
      </c>
      <c r="S969" s="360">
        <f t="shared" ca="1" si="456"/>
        <v>1.5629999999999982</v>
      </c>
      <c r="T969" s="357">
        <f t="shared" ca="1" si="436"/>
        <v>15.333029999999983</v>
      </c>
      <c r="U969" s="364">
        <f t="shared" ca="1" si="437"/>
        <v>0</v>
      </c>
      <c r="V969" s="359">
        <f t="shared" ca="1" si="438"/>
        <v>1.226012110563987</v>
      </c>
      <c r="W969" s="357">
        <f t="shared" ca="1" si="439"/>
        <v>6.1054614309066606</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5.8063044032388573</v>
      </c>
      <c r="AH969" s="357">
        <f t="shared" ca="1" si="463"/>
        <v>-3.9061756453757477</v>
      </c>
    </row>
    <row r="970" spans="1:34" x14ac:dyDescent="0.2">
      <c r="A970" s="402">
        <f t="shared" ca="1" si="441"/>
        <v>1E-4</v>
      </c>
      <c r="B970" s="357">
        <f t="shared" ca="1" si="442"/>
        <v>15.662999999999816</v>
      </c>
      <c r="C970" s="342"/>
      <c r="D970" s="359">
        <f t="shared" ca="1" si="443"/>
        <v>-0.54941245833781249</v>
      </c>
      <c r="E970" s="360">
        <f t="shared" ca="1" si="444"/>
        <v>-5.9425850456169993</v>
      </c>
      <c r="F970" s="357">
        <f t="shared" ca="1" si="445"/>
        <v>5.9679285412752385</v>
      </c>
      <c r="G970" s="359">
        <f t="shared" ca="1" si="446"/>
        <v>9.514544393891736</v>
      </c>
      <c r="H970" s="360">
        <f t="shared" ca="1" si="447"/>
        <v>-66.975602187881776</v>
      </c>
      <c r="I970" s="357">
        <f t="shared" ca="1" si="448"/>
        <v>67.648043899677774</v>
      </c>
      <c r="J970" s="359">
        <f t="shared" ca="1" si="449"/>
        <v>187.70931447689617</v>
      </c>
      <c r="K970" s="360">
        <f t="shared" ca="1" si="450"/>
        <v>-8.2654128556948212</v>
      </c>
      <c r="L970" s="357">
        <f t="shared" ca="1" si="435"/>
        <v>187.89120200547279</v>
      </c>
      <c r="M970" s="359">
        <f t="shared" ca="1" si="451"/>
        <v>-1.4296807004982415</v>
      </c>
      <c r="N970" s="357">
        <f t="shared" ca="1" si="452"/>
        <v>-81.914670189856324</v>
      </c>
      <c r="O970" s="343"/>
      <c r="P970" s="363">
        <f t="shared" ca="1" si="453"/>
        <v>23</v>
      </c>
      <c r="Q970" s="357">
        <f t="shared" ca="1" si="454"/>
        <v>0</v>
      </c>
      <c r="R970" s="359">
        <f t="shared" ca="1" si="455"/>
        <v>0</v>
      </c>
      <c r="S970" s="360">
        <f t="shared" ca="1" si="456"/>
        <v>1.5629999999999982</v>
      </c>
      <c r="T970" s="357">
        <f t="shared" ca="1" si="436"/>
        <v>15.333029999999983</v>
      </c>
      <c r="U970" s="364">
        <f t="shared" ca="1" si="437"/>
        <v>0</v>
      </c>
      <c r="V970" s="359">
        <f t="shared" ca="1" si="438"/>
        <v>1.226012931689753</v>
      </c>
      <c r="W970" s="357">
        <f t="shared" ca="1" si="439"/>
        <v>6.105570327963191</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5.8062375456581581</v>
      </c>
      <c r="AH970" s="357">
        <f t="shared" ca="1" si="463"/>
        <v>-3.9062453172787381</v>
      </c>
    </row>
    <row r="971" spans="1:34" x14ac:dyDescent="0.2">
      <c r="A971" s="402">
        <f t="shared" ca="1" si="441"/>
        <v>1E-4</v>
      </c>
      <c r="B971" s="357">
        <f t="shared" ca="1" si="442"/>
        <v>15.663099999999815</v>
      </c>
      <c r="C971" s="342"/>
      <c r="D971" s="359">
        <f t="shared" ca="1" si="443"/>
        <v>-0.54941436940045929</v>
      </c>
      <c r="E971" s="360">
        <f t="shared" ca="1" si="444"/>
        <v>-5.9425149457608608</v>
      </c>
      <c r="F971" s="357">
        <f t="shared" ca="1" si="445"/>
        <v>5.9678589150460741</v>
      </c>
      <c r="G971" s="359">
        <f t="shared" ca="1" si="446"/>
        <v>9.5144894524547965</v>
      </c>
      <c r="H971" s="360">
        <f t="shared" ca="1" si="447"/>
        <v>-66.976196439376352</v>
      </c>
      <c r="I971" s="357">
        <f t="shared" ca="1" si="448"/>
        <v>67.648624516887281</v>
      </c>
      <c r="J971" s="359">
        <f t="shared" ca="1" si="449"/>
        <v>187.70931447689617</v>
      </c>
      <c r="K971" s="360">
        <f t="shared" ca="1" si="450"/>
        <v>-8.2721104456261845</v>
      </c>
      <c r="L971" s="357">
        <f t="shared" ca="1" si="435"/>
        <v>187.89149675440595</v>
      </c>
      <c r="M971" s="359">
        <f t="shared" ca="1" si="451"/>
        <v>-1.4296827400878493</v>
      </c>
      <c r="N971" s="357">
        <f t="shared" ca="1" si="452"/>
        <v>-81.914787049732794</v>
      </c>
      <c r="O971" s="343"/>
      <c r="P971" s="363">
        <f t="shared" ca="1" si="453"/>
        <v>23</v>
      </c>
      <c r="Q971" s="357">
        <f t="shared" ca="1" si="454"/>
        <v>0</v>
      </c>
      <c r="R971" s="359">
        <f t="shared" ca="1" si="455"/>
        <v>0</v>
      </c>
      <c r="S971" s="360">
        <f t="shared" ca="1" si="456"/>
        <v>1.5629999999999982</v>
      </c>
      <c r="T971" s="357">
        <f t="shared" ca="1" si="436"/>
        <v>15.333029999999983</v>
      </c>
      <c r="U971" s="364">
        <f t="shared" ca="1" si="437"/>
        <v>0</v>
      </c>
      <c r="V971" s="359">
        <f t="shared" ca="1" si="438"/>
        <v>1.2260137528233552</v>
      </c>
      <c r="W971" s="357">
        <f t="shared" ca="1" si="439"/>
        <v>6.1056792248918512</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5.8061706880542854</v>
      </c>
      <c r="AH971" s="357">
        <f t="shared" ca="1" si="463"/>
        <v>-3.9063149890999349</v>
      </c>
    </row>
    <row r="972" spans="1:34" x14ac:dyDescent="0.2">
      <c r="A972" s="402">
        <f t="shared" ca="1" si="441"/>
        <v>1E-4</v>
      </c>
      <c r="B972" s="357">
        <f t="shared" ca="1" si="442"/>
        <v>15.663199999999815</v>
      </c>
      <c r="C972" s="342"/>
      <c r="D972" s="359">
        <f t="shared" ca="1" si="443"/>
        <v>-0.54941628034888956</v>
      </c>
      <c r="E972" s="360">
        <f t="shared" ca="1" si="444"/>
        <v>-5.9424448459875432</v>
      </c>
      <c r="F972" s="357">
        <f t="shared" ca="1" si="445"/>
        <v>5.9677892889005664</v>
      </c>
      <c r="G972" s="359">
        <f t="shared" ca="1" si="446"/>
        <v>9.5144345108267618</v>
      </c>
      <c r="H972" s="360">
        <f t="shared" ca="1" si="447"/>
        <v>-66.976790683860955</v>
      </c>
      <c r="I972" s="357">
        <f t="shared" ca="1" si="448"/>
        <v>67.649205127411037</v>
      </c>
      <c r="J972" s="359">
        <f t="shared" ca="1" si="449"/>
        <v>187.70931447689617</v>
      </c>
      <c r="K972" s="360">
        <f t="shared" ca="1" si="450"/>
        <v>-8.278808094982347</v>
      </c>
      <c r="L972" s="357">
        <f t="shared" ca="1" si="435"/>
        <v>187.89179174423731</v>
      </c>
      <c r="M972" s="359">
        <f t="shared" ca="1" si="451"/>
        <v>-1.4296847796306693</v>
      </c>
      <c r="N972" s="357">
        <f t="shared" ca="1" si="452"/>
        <v>-81.914903906928515</v>
      </c>
      <c r="O972" s="343"/>
      <c r="P972" s="363">
        <f t="shared" ca="1" si="453"/>
        <v>23</v>
      </c>
      <c r="Q972" s="357">
        <f t="shared" ca="1" si="454"/>
        <v>0</v>
      </c>
      <c r="R972" s="359">
        <f t="shared" ca="1" si="455"/>
        <v>0</v>
      </c>
      <c r="S972" s="360">
        <f t="shared" ca="1" si="456"/>
        <v>1.5629999999999982</v>
      </c>
      <c r="T972" s="357">
        <f t="shared" ca="1" si="436"/>
        <v>15.333029999999983</v>
      </c>
      <c r="U972" s="364">
        <f t="shared" ca="1" si="437"/>
        <v>0</v>
      </c>
      <c r="V972" s="359">
        <f t="shared" ca="1" si="438"/>
        <v>1.2260145739647932</v>
      </c>
      <c r="W972" s="357">
        <f t="shared" ca="1" si="439"/>
        <v>6.1057881216926111</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5.8061038304272614</v>
      </c>
      <c r="AH972" s="357">
        <f t="shared" ca="1" si="463"/>
        <v>-3.9063846608393207</v>
      </c>
    </row>
    <row r="973" spans="1:34" x14ac:dyDescent="0.2">
      <c r="A973" s="402">
        <f t="shared" ca="1" si="441"/>
        <v>1E-4</v>
      </c>
      <c r="B973" s="357">
        <f t="shared" ca="1" si="442"/>
        <v>15.663299999999815</v>
      </c>
      <c r="C973" s="342"/>
      <c r="D973" s="359">
        <f t="shared" ca="1" si="443"/>
        <v>-0.5494181911831052</v>
      </c>
      <c r="E973" s="360">
        <f t="shared" ca="1" si="444"/>
        <v>-5.9423747462970642</v>
      </c>
      <c r="F973" s="357">
        <f t="shared" ca="1" si="445"/>
        <v>5.9677196628387312</v>
      </c>
      <c r="G973" s="359">
        <f t="shared" ca="1" si="446"/>
        <v>9.5143795690076427</v>
      </c>
      <c r="H973" s="360">
        <f t="shared" ca="1" si="447"/>
        <v>-66.977384921335585</v>
      </c>
      <c r="I973" s="357">
        <f t="shared" ca="1" si="448"/>
        <v>67.649785731249011</v>
      </c>
      <c r="J973" s="359">
        <f t="shared" ca="1" si="449"/>
        <v>187.70931447689617</v>
      </c>
      <c r="K973" s="360">
        <f t="shared" ca="1" si="450"/>
        <v>-8.2855058037626073</v>
      </c>
      <c r="L973" s="357">
        <f t="shared" ca="1" si="435"/>
        <v>187.8920869749721</v>
      </c>
      <c r="M973" s="359">
        <f t="shared" ca="1" si="451"/>
        <v>-1.4296868191267034</v>
      </c>
      <c r="N973" s="357">
        <f t="shared" ca="1" si="452"/>
        <v>-81.9150207614436</v>
      </c>
      <c r="O973" s="343"/>
      <c r="P973" s="363">
        <f t="shared" ca="1" si="453"/>
        <v>23</v>
      </c>
      <c r="Q973" s="357">
        <f t="shared" ca="1" si="454"/>
        <v>0</v>
      </c>
      <c r="R973" s="359">
        <f t="shared" ca="1" si="455"/>
        <v>0</v>
      </c>
      <c r="S973" s="360">
        <f t="shared" ca="1" si="456"/>
        <v>1.5629999999999982</v>
      </c>
      <c r="T973" s="357">
        <f t="shared" ca="1" si="436"/>
        <v>15.333029999999983</v>
      </c>
      <c r="U973" s="364">
        <f t="shared" ca="1" si="437"/>
        <v>0</v>
      </c>
      <c r="V973" s="359">
        <f t="shared" ca="1" si="438"/>
        <v>1.2260153951140667</v>
      </c>
      <c r="W973" s="357">
        <f t="shared" ca="1" si="439"/>
        <v>6.1058970183654369</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5.8060369727771093</v>
      </c>
      <c r="AH973" s="357">
        <f t="shared" ca="1" si="463"/>
        <v>-3.9064543324968768</v>
      </c>
    </row>
    <row r="974" spans="1:34" x14ac:dyDescent="0.2">
      <c r="A974" s="402">
        <f t="shared" ca="1" si="441"/>
        <v>1E-4</v>
      </c>
      <c r="B974" s="357">
        <f t="shared" ca="1" si="442"/>
        <v>15.663399999999815</v>
      </c>
      <c r="C974" s="342"/>
      <c r="D974" s="359">
        <f t="shared" ca="1" si="443"/>
        <v>-0.54942010190310542</v>
      </c>
      <c r="E974" s="360">
        <f t="shared" ca="1" si="444"/>
        <v>-5.9423046466894469</v>
      </c>
      <c r="F974" s="357">
        <f t="shared" ca="1" si="445"/>
        <v>5.9676500368605909</v>
      </c>
      <c r="G974" s="359">
        <f t="shared" ca="1" si="446"/>
        <v>9.5143246269974515</v>
      </c>
      <c r="H974" s="360">
        <f t="shared" ca="1" si="447"/>
        <v>-66.977979151800255</v>
      </c>
      <c r="I974" s="357">
        <f t="shared" ca="1" si="448"/>
        <v>67.650366328401205</v>
      </c>
      <c r="J974" s="359">
        <f t="shared" ca="1" si="449"/>
        <v>187.70931447689617</v>
      </c>
      <c r="K974" s="360">
        <f t="shared" ca="1" si="450"/>
        <v>-8.2922035719662635</v>
      </c>
      <c r="L974" s="357">
        <f t="shared" ca="1" si="435"/>
        <v>187.8923824466155</v>
      </c>
      <c r="M974" s="359">
        <f t="shared" ca="1" si="451"/>
        <v>-1.4296888585759528</v>
      </c>
      <c r="N974" s="357">
        <f t="shared" ca="1" si="452"/>
        <v>-81.915137613278134</v>
      </c>
      <c r="O974" s="343"/>
      <c r="P974" s="363">
        <f t="shared" ca="1" si="453"/>
        <v>23</v>
      </c>
      <c r="Q974" s="357">
        <f t="shared" ca="1" si="454"/>
        <v>0</v>
      </c>
      <c r="R974" s="359">
        <f t="shared" ca="1" si="455"/>
        <v>0</v>
      </c>
      <c r="S974" s="360">
        <f t="shared" ca="1" si="456"/>
        <v>1.5629999999999982</v>
      </c>
      <c r="T974" s="357">
        <f t="shared" ca="1" si="436"/>
        <v>15.333029999999983</v>
      </c>
      <c r="U974" s="364">
        <f t="shared" ca="1" si="437"/>
        <v>0</v>
      </c>
      <c r="V974" s="359">
        <f t="shared" ca="1" si="438"/>
        <v>1.2260162162711759</v>
      </c>
      <c r="W974" s="357">
        <f t="shared" ca="1" si="439"/>
        <v>6.1060059149102965</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5.8059701151038574</v>
      </c>
      <c r="AH974" s="357">
        <f t="shared" ca="1" si="463"/>
        <v>-3.906524004072581</v>
      </c>
    </row>
    <row r="975" spans="1:34" x14ac:dyDescent="0.2">
      <c r="A975" s="402">
        <f t="shared" ca="1" si="441"/>
        <v>1E-4</v>
      </c>
      <c r="B975" s="357">
        <f t="shared" ca="1" si="442"/>
        <v>15.663499999999814</v>
      </c>
      <c r="C975" s="342"/>
      <c r="D975" s="359">
        <f t="shared" ca="1" si="443"/>
        <v>-0.54942201250889233</v>
      </c>
      <c r="E975" s="360">
        <f t="shared" ca="1" si="444"/>
        <v>-5.9422345471647109</v>
      </c>
      <c r="F975" s="357">
        <f t="shared" ca="1" si="445"/>
        <v>5.9675804109661659</v>
      </c>
      <c r="G975" s="359">
        <f t="shared" ca="1" si="446"/>
        <v>9.5142696847962007</v>
      </c>
      <c r="H975" s="360">
        <f t="shared" ca="1" si="447"/>
        <v>-66.978573375254967</v>
      </c>
      <c r="I975" s="357">
        <f t="shared" ca="1" si="448"/>
        <v>67.650946918867632</v>
      </c>
      <c r="J975" s="359">
        <f t="shared" ca="1" si="449"/>
        <v>187.70931447689617</v>
      </c>
      <c r="K975" s="360">
        <f t="shared" ca="1" si="450"/>
        <v>-8.2989013995926157</v>
      </c>
      <c r="L975" s="357">
        <f t="shared" ca="1" si="435"/>
        <v>187.89267815917273</v>
      </c>
      <c r="M975" s="359">
        <f t="shared" ca="1" si="451"/>
        <v>-1.4296908979784195</v>
      </c>
      <c r="N975" s="357">
        <f t="shared" ca="1" si="452"/>
        <v>-81.915254462432202</v>
      </c>
      <c r="O975" s="343"/>
      <c r="P975" s="363">
        <f t="shared" ca="1" si="453"/>
        <v>23</v>
      </c>
      <c r="Q975" s="357">
        <f t="shared" ca="1" si="454"/>
        <v>0</v>
      </c>
      <c r="R975" s="359">
        <f t="shared" ca="1" si="455"/>
        <v>0</v>
      </c>
      <c r="S975" s="360">
        <f t="shared" ca="1" si="456"/>
        <v>1.5629999999999982</v>
      </c>
      <c r="T975" s="357">
        <f t="shared" ca="1" si="436"/>
        <v>15.333029999999983</v>
      </c>
      <c r="U975" s="364">
        <f t="shared" ca="1" si="437"/>
        <v>0</v>
      </c>
      <c r="V975" s="359">
        <f t="shared" ca="1" si="438"/>
        <v>1.2260170374361206</v>
      </c>
      <c r="W975" s="357">
        <f t="shared" ca="1" si="439"/>
        <v>6.1061148113271644</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5.8059032574075324</v>
      </c>
      <c r="AH975" s="357">
        <f t="shared" ca="1" si="463"/>
        <v>-3.906593675566413</v>
      </c>
    </row>
    <row r="976" spans="1:34" x14ac:dyDescent="0.2">
      <c r="A976" s="402">
        <f t="shared" ca="1" si="441"/>
        <v>1E-4</v>
      </c>
      <c r="B976" s="357">
        <f t="shared" ca="1" si="442"/>
        <v>15.663599999999814</v>
      </c>
      <c r="C976" s="342"/>
      <c r="D976" s="359">
        <f t="shared" ca="1" si="443"/>
        <v>-0.54942392300046727</v>
      </c>
      <c r="E976" s="360">
        <f t="shared" ca="1" si="444"/>
        <v>-5.942164447722873</v>
      </c>
      <c r="F976" s="357">
        <f t="shared" ca="1" si="445"/>
        <v>5.9675107851554738</v>
      </c>
      <c r="G976" s="359">
        <f t="shared" ca="1" si="446"/>
        <v>9.514214742403901</v>
      </c>
      <c r="H976" s="360">
        <f t="shared" ca="1" si="447"/>
        <v>-66.979167591699735</v>
      </c>
      <c r="I976" s="357">
        <f t="shared" ca="1" si="448"/>
        <v>67.651527502648278</v>
      </c>
      <c r="J976" s="359">
        <f t="shared" ca="1" si="449"/>
        <v>187.70931447689617</v>
      </c>
      <c r="K976" s="360">
        <f t="shared" ca="1" si="450"/>
        <v>-8.3055992866409643</v>
      </c>
      <c r="L976" s="357">
        <f t="shared" ca="1" si="435"/>
        <v>187.89297411264889</v>
      </c>
      <c r="M976" s="359">
        <f t="shared" ca="1" si="451"/>
        <v>-1.4296929373341052</v>
      </c>
      <c r="N976" s="357">
        <f t="shared" ca="1" si="452"/>
        <v>-81.915371308905918</v>
      </c>
      <c r="O976" s="343"/>
      <c r="P976" s="363">
        <f t="shared" ca="1" si="453"/>
        <v>23</v>
      </c>
      <c r="Q976" s="357">
        <f t="shared" ca="1" si="454"/>
        <v>0</v>
      </c>
      <c r="R976" s="359">
        <f t="shared" ca="1" si="455"/>
        <v>0</v>
      </c>
      <c r="S976" s="360">
        <f t="shared" ca="1" si="456"/>
        <v>1.5629999999999982</v>
      </c>
      <c r="T976" s="357">
        <f t="shared" ca="1" si="436"/>
        <v>15.333029999999983</v>
      </c>
      <c r="U976" s="364">
        <f t="shared" ca="1" si="437"/>
        <v>0</v>
      </c>
      <c r="V976" s="359">
        <f t="shared" ca="1" si="438"/>
        <v>1.2260178586089003</v>
      </c>
      <c r="W976" s="357">
        <f t="shared" ca="1" si="439"/>
        <v>6.1062237076160057</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5.8058363996881521</v>
      </c>
      <c r="AH976" s="357">
        <f t="shared" ca="1" si="463"/>
        <v>-3.9066633469783567</v>
      </c>
    </row>
    <row r="977" spans="1:34" x14ac:dyDescent="0.2">
      <c r="A977" s="402">
        <f t="shared" ca="1" si="441"/>
        <v>1E-4</v>
      </c>
      <c r="B977" s="357">
        <f t="shared" ca="1" si="442"/>
        <v>15.663699999999814</v>
      </c>
      <c r="C977" s="342"/>
      <c r="D977" s="359">
        <f t="shared" ca="1" si="443"/>
        <v>-0.54942583337783035</v>
      </c>
      <c r="E977" s="360">
        <f t="shared" ca="1" si="444"/>
        <v>-5.9420943483639554</v>
      </c>
      <c r="F977" s="357">
        <f t="shared" ca="1" si="445"/>
        <v>5.9674411594285353</v>
      </c>
      <c r="G977" s="359">
        <f t="shared" ca="1" si="446"/>
        <v>9.5141597998205629</v>
      </c>
      <c r="H977" s="360">
        <f t="shared" ca="1" si="447"/>
        <v>-66.979761801134572</v>
      </c>
      <c r="I977" s="357">
        <f t="shared" ca="1" si="448"/>
        <v>67.652108079743144</v>
      </c>
      <c r="J977" s="359">
        <f t="shared" ca="1" si="449"/>
        <v>187.70931447689617</v>
      </c>
      <c r="K977" s="360">
        <f t="shared" ca="1" si="450"/>
        <v>-8.3122972331106055</v>
      </c>
      <c r="L977" s="357">
        <f t="shared" ca="1" si="435"/>
        <v>187.89327030704925</v>
      </c>
      <c r="M977" s="359">
        <f t="shared" ca="1" si="451"/>
        <v>-1.4296949766430112</v>
      </c>
      <c r="N977" s="357">
        <f t="shared" ca="1" si="452"/>
        <v>-81.915488152699353</v>
      </c>
      <c r="O977" s="343"/>
      <c r="P977" s="363">
        <f t="shared" ca="1" si="453"/>
        <v>23</v>
      </c>
      <c r="Q977" s="357">
        <f t="shared" ca="1" si="454"/>
        <v>0</v>
      </c>
      <c r="R977" s="359">
        <f t="shared" ca="1" si="455"/>
        <v>0</v>
      </c>
      <c r="S977" s="360">
        <f t="shared" ca="1" si="456"/>
        <v>1.5629999999999982</v>
      </c>
      <c r="T977" s="357">
        <f t="shared" ca="1" si="436"/>
        <v>15.333029999999983</v>
      </c>
      <c r="U977" s="364">
        <f t="shared" ca="1" si="437"/>
        <v>0</v>
      </c>
      <c r="V977" s="359">
        <f t="shared" ca="1" si="438"/>
        <v>1.2260186797895161</v>
      </c>
      <c r="W977" s="357">
        <f t="shared" ca="1" si="439"/>
        <v>6.1063326037767949</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5.8057695419457458</v>
      </c>
      <c r="AH977" s="357">
        <f t="shared" ca="1" si="463"/>
        <v>-3.9067330183083895</v>
      </c>
    </row>
    <row r="978" spans="1:34" x14ac:dyDescent="0.2">
      <c r="A978" s="402">
        <f t="shared" ca="1" si="441"/>
        <v>1E-4</v>
      </c>
      <c r="B978" s="357">
        <f t="shared" ca="1" si="442"/>
        <v>15.663799999999814</v>
      </c>
      <c r="C978" s="342"/>
      <c r="D978" s="359">
        <f t="shared" ca="1" si="443"/>
        <v>-0.54942774364098446</v>
      </c>
      <c r="E978" s="360">
        <f t="shared" ca="1" si="444"/>
        <v>-5.9420242490879751</v>
      </c>
      <c r="F978" s="357">
        <f t="shared" ca="1" si="445"/>
        <v>5.9673715337853688</v>
      </c>
      <c r="G978" s="359">
        <f t="shared" ca="1" si="446"/>
        <v>9.514104857046199</v>
      </c>
      <c r="H978" s="360">
        <f t="shared" ca="1" si="447"/>
        <v>-66.980356003559478</v>
      </c>
      <c r="I978" s="357">
        <f t="shared" ca="1" si="448"/>
        <v>67.652688650152228</v>
      </c>
      <c r="J978" s="359">
        <f t="shared" ca="1" si="449"/>
        <v>187.70931447689617</v>
      </c>
      <c r="K978" s="360">
        <f t="shared" ca="1" si="450"/>
        <v>-8.3189952390008397</v>
      </c>
      <c r="L978" s="357">
        <f t="shared" ca="1" si="435"/>
        <v>187.89356674237897</v>
      </c>
      <c r="M978" s="359">
        <f t="shared" ca="1" si="451"/>
        <v>-1.4296970159051396</v>
      </c>
      <c r="N978" s="357">
        <f t="shared" ca="1" si="452"/>
        <v>-81.915604993812636</v>
      </c>
      <c r="O978" s="343"/>
      <c r="P978" s="363">
        <f t="shared" ca="1" si="453"/>
        <v>23</v>
      </c>
      <c r="Q978" s="357">
        <f t="shared" ca="1" si="454"/>
        <v>0</v>
      </c>
      <c r="R978" s="359">
        <f t="shared" ca="1" si="455"/>
        <v>0</v>
      </c>
      <c r="S978" s="360">
        <f t="shared" ca="1" si="456"/>
        <v>1.5629999999999982</v>
      </c>
      <c r="T978" s="357">
        <f t="shared" ca="1" si="436"/>
        <v>15.333029999999983</v>
      </c>
      <c r="U978" s="364">
        <f t="shared" ca="1" si="437"/>
        <v>0</v>
      </c>
      <c r="V978" s="359">
        <f t="shared" ca="1" si="438"/>
        <v>1.2260195009779671</v>
      </c>
      <c r="W978" s="357">
        <f t="shared" ca="1" si="439"/>
        <v>6.1064414998094962</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5.8057026841803365</v>
      </c>
      <c r="AH978" s="357">
        <f t="shared" ca="1" si="463"/>
        <v>-3.9068026895564953</v>
      </c>
    </row>
    <row r="979" spans="1:34" x14ac:dyDescent="0.2">
      <c r="A979" s="402">
        <f t="shared" ca="1" si="441"/>
        <v>1E-4</v>
      </c>
      <c r="B979" s="357">
        <f t="shared" ca="1" si="442"/>
        <v>15.663899999999813</v>
      </c>
      <c r="C979" s="342"/>
      <c r="D979" s="359">
        <f t="shared" ca="1" si="443"/>
        <v>-0.5494296537899277</v>
      </c>
      <c r="E979" s="360">
        <f t="shared" ca="1" si="444"/>
        <v>-5.941954149894956</v>
      </c>
      <c r="F979" s="357">
        <f t="shared" ca="1" si="445"/>
        <v>5.9673019082259957</v>
      </c>
      <c r="G979" s="359">
        <f t="shared" ca="1" si="446"/>
        <v>9.5140499140808199</v>
      </c>
      <c r="H979" s="360">
        <f t="shared" ca="1" si="447"/>
        <v>-66.980950198974469</v>
      </c>
      <c r="I979" s="357">
        <f t="shared" ca="1" si="448"/>
        <v>67.653269213875532</v>
      </c>
      <c r="J979" s="359">
        <f t="shared" ca="1" si="449"/>
        <v>187.70931447689617</v>
      </c>
      <c r="K979" s="360">
        <f t="shared" ca="1" si="450"/>
        <v>-8.3256933043109669</v>
      </c>
      <c r="L979" s="357">
        <f t="shared" ca="1" si="435"/>
        <v>187.89386341864321</v>
      </c>
      <c r="M979" s="359">
        <f t="shared" ca="1" si="451"/>
        <v>-1.429699055120492</v>
      </c>
      <c r="N979" s="357">
        <f t="shared" ca="1" si="452"/>
        <v>-81.915721832245836</v>
      </c>
      <c r="O979" s="343"/>
      <c r="P979" s="363">
        <f t="shared" ca="1" si="453"/>
        <v>23</v>
      </c>
      <c r="Q979" s="357">
        <f t="shared" ca="1" si="454"/>
        <v>0</v>
      </c>
      <c r="R979" s="359">
        <f t="shared" ca="1" si="455"/>
        <v>0</v>
      </c>
      <c r="S979" s="360">
        <f t="shared" ca="1" si="456"/>
        <v>1.5629999999999982</v>
      </c>
      <c r="T979" s="357">
        <f t="shared" ca="1" si="436"/>
        <v>15.333029999999983</v>
      </c>
      <c r="U979" s="364">
        <f t="shared" ca="1" si="437"/>
        <v>0</v>
      </c>
      <c r="V979" s="359">
        <f t="shared" ca="1" si="438"/>
        <v>1.2260203221742532</v>
      </c>
      <c r="W979" s="357">
        <f t="shared" ca="1" si="439"/>
        <v>6.1065503957140832</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5.8056358263919501</v>
      </c>
      <c r="AH979" s="357">
        <f t="shared" ca="1" si="463"/>
        <v>-3.9068723607226508</v>
      </c>
    </row>
    <row r="980" spans="1:34" x14ac:dyDescent="0.2">
      <c r="A980" s="402">
        <f t="shared" ca="1" si="441"/>
        <v>1E-4</v>
      </c>
      <c r="B980" s="357">
        <f t="shared" ca="1" si="442"/>
        <v>15.663999999999813</v>
      </c>
      <c r="C980" s="342"/>
      <c r="D980" s="359">
        <f t="shared" ca="1" si="443"/>
        <v>-0.5494315638246634</v>
      </c>
      <c r="E980" s="360">
        <f t="shared" ca="1" si="444"/>
        <v>-5.9418840507849122</v>
      </c>
      <c r="F980" s="357">
        <f t="shared" ca="1" si="445"/>
        <v>5.967232282750432</v>
      </c>
      <c r="G980" s="359">
        <f t="shared" ca="1" si="446"/>
        <v>9.513994970924438</v>
      </c>
      <c r="H980" s="360">
        <f t="shared" ca="1" si="447"/>
        <v>-66.981544387379543</v>
      </c>
      <c r="I980" s="357">
        <f t="shared" ca="1" si="448"/>
        <v>67.653849770913041</v>
      </c>
      <c r="J980" s="359">
        <f t="shared" ca="1" si="449"/>
        <v>187.70931447689617</v>
      </c>
      <c r="K980" s="360">
        <f t="shared" ca="1" si="450"/>
        <v>-8.3323914290402854</v>
      </c>
      <c r="L980" s="357">
        <f t="shared" ca="1" si="435"/>
        <v>187.89416033584718</v>
      </c>
      <c r="M980" s="359">
        <f t="shared" ca="1" si="451"/>
        <v>-1.4297010942890698</v>
      </c>
      <c r="N980" s="357">
        <f t="shared" ca="1" si="452"/>
        <v>-81.915838667999068</v>
      </c>
      <c r="O980" s="343"/>
      <c r="P980" s="363">
        <f t="shared" ca="1" si="453"/>
        <v>23</v>
      </c>
      <c r="Q980" s="357">
        <f t="shared" ca="1" si="454"/>
        <v>0</v>
      </c>
      <c r="R980" s="359">
        <f t="shared" ca="1" si="455"/>
        <v>0</v>
      </c>
      <c r="S980" s="360">
        <f t="shared" ca="1" si="456"/>
        <v>1.5629999999999982</v>
      </c>
      <c r="T980" s="357">
        <f t="shared" ca="1" si="436"/>
        <v>15.333029999999983</v>
      </c>
      <c r="U980" s="364">
        <f t="shared" ca="1" si="437"/>
        <v>0</v>
      </c>
      <c r="V980" s="359">
        <f t="shared" ca="1" si="438"/>
        <v>1.2260211433783743</v>
      </c>
      <c r="W980" s="357">
        <f t="shared" ca="1" si="439"/>
        <v>6.1066592914905238</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5.8055689685806078</v>
      </c>
      <c r="AH980" s="357">
        <f t="shared" ca="1" si="463"/>
        <v>-3.9069420318068397</v>
      </c>
    </row>
    <row r="981" spans="1:34" x14ac:dyDescent="0.2">
      <c r="A981" s="402">
        <f t="shared" ca="1" si="441"/>
        <v>1E-4</v>
      </c>
      <c r="B981" s="357">
        <f t="shared" ca="1" si="442"/>
        <v>15.664099999999813</v>
      </c>
      <c r="C981" s="342"/>
      <c r="D981" s="359">
        <f t="shared" ca="1" si="443"/>
        <v>-0.54943347374519225</v>
      </c>
      <c r="E981" s="360">
        <f t="shared" ca="1" si="444"/>
        <v>-5.941813951757867</v>
      </c>
      <c r="F981" s="357">
        <f t="shared" ca="1" si="445"/>
        <v>5.9671626573587009</v>
      </c>
      <c r="G981" s="359">
        <f t="shared" ca="1" si="446"/>
        <v>9.513940027577064</v>
      </c>
      <c r="H981" s="360">
        <f t="shared" ca="1" si="447"/>
        <v>-66.982138568774715</v>
      </c>
      <c r="I981" s="357">
        <f t="shared" ca="1" si="448"/>
        <v>67.654430321264783</v>
      </c>
      <c r="J981" s="359">
        <f t="shared" ca="1" si="449"/>
        <v>187.70931447689617</v>
      </c>
      <c r="K981" s="360">
        <f t="shared" ca="1" si="450"/>
        <v>-8.3390896131880936</v>
      </c>
      <c r="L981" s="357">
        <f t="shared" ca="1" si="435"/>
        <v>187.89445749399604</v>
      </c>
      <c r="M981" s="359">
        <f t="shared" ca="1" si="451"/>
        <v>-1.4297031334108747</v>
      </c>
      <c r="N981" s="357">
        <f t="shared" ca="1" si="452"/>
        <v>-81.915955501072403</v>
      </c>
      <c r="O981" s="343"/>
      <c r="P981" s="363">
        <f t="shared" ca="1" si="453"/>
        <v>23</v>
      </c>
      <c r="Q981" s="357">
        <f t="shared" ca="1" si="454"/>
        <v>0</v>
      </c>
      <c r="R981" s="359">
        <f t="shared" ca="1" si="455"/>
        <v>0</v>
      </c>
      <c r="S981" s="360">
        <f t="shared" ca="1" si="456"/>
        <v>1.5629999999999982</v>
      </c>
      <c r="T981" s="357">
        <f t="shared" ca="1" si="436"/>
        <v>15.333029999999983</v>
      </c>
      <c r="U981" s="364">
        <f t="shared" ca="1" si="437"/>
        <v>0</v>
      </c>
      <c r="V981" s="359">
        <f t="shared" ca="1" si="438"/>
        <v>1.2260219645903307</v>
      </c>
      <c r="W981" s="357">
        <f t="shared" ca="1" si="439"/>
        <v>6.1067681871387904</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5.805502110746338</v>
      </c>
      <c r="AH981" s="357">
        <f t="shared" ca="1" si="463"/>
        <v>-3.907011702809041</v>
      </c>
    </row>
    <row r="982" spans="1:34" x14ac:dyDescent="0.2">
      <c r="A982" s="402">
        <f t="shared" ca="1" si="441"/>
        <v>1E-4</v>
      </c>
      <c r="B982" s="357">
        <f t="shared" ca="1" si="442"/>
        <v>15.664199999999813</v>
      </c>
      <c r="C982" s="342"/>
      <c r="D982" s="359">
        <f t="shared" ca="1" si="443"/>
        <v>-0.54943538355151555</v>
      </c>
      <c r="E982" s="360">
        <f t="shared" ca="1" si="444"/>
        <v>-5.9417438528138371</v>
      </c>
      <c r="F982" s="357">
        <f t="shared" ca="1" si="445"/>
        <v>5.9670930320508173</v>
      </c>
      <c r="G982" s="359">
        <f t="shared" ca="1" si="446"/>
        <v>9.5138850840387086</v>
      </c>
      <c r="H982" s="360">
        <f t="shared" ca="1" si="447"/>
        <v>-66.98273274316</v>
      </c>
      <c r="I982" s="357">
        <f t="shared" ca="1" si="448"/>
        <v>67.655010864930716</v>
      </c>
      <c r="J982" s="359">
        <f t="shared" ca="1" si="449"/>
        <v>187.70931447689617</v>
      </c>
      <c r="K982" s="360">
        <f t="shared" ca="1" si="450"/>
        <v>-8.3457878567536898</v>
      </c>
      <c r="L982" s="357">
        <f t="shared" ca="1" si="435"/>
        <v>187.89475489309496</v>
      </c>
      <c r="M982" s="359">
        <f t="shared" ca="1" si="451"/>
        <v>-1.4297051724859089</v>
      </c>
      <c r="N982" s="357">
        <f t="shared" ca="1" si="452"/>
        <v>-81.916072331465969</v>
      </c>
      <c r="O982" s="343"/>
      <c r="P982" s="363">
        <f t="shared" ca="1" si="453"/>
        <v>23</v>
      </c>
      <c r="Q982" s="357">
        <f t="shared" ca="1" si="454"/>
        <v>0</v>
      </c>
      <c r="R982" s="359">
        <f t="shared" ca="1" si="455"/>
        <v>0</v>
      </c>
      <c r="S982" s="360">
        <f t="shared" ca="1" si="456"/>
        <v>1.5629999999999982</v>
      </c>
      <c r="T982" s="357">
        <f t="shared" ca="1" si="436"/>
        <v>15.333029999999983</v>
      </c>
      <c r="U982" s="364">
        <f t="shared" ca="1" si="437"/>
        <v>0</v>
      </c>
      <c r="V982" s="359">
        <f t="shared" ca="1" si="438"/>
        <v>1.226022785810122</v>
      </c>
      <c r="W982" s="357">
        <f t="shared" ca="1" si="439"/>
        <v>6.1068770826588459</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5.8054352528891613</v>
      </c>
      <c r="AH982" s="357">
        <f t="shared" ca="1" si="463"/>
        <v>-3.9070813737292371</v>
      </c>
    </row>
    <row r="983" spans="1:34" x14ac:dyDescent="0.2">
      <c r="A983" s="402">
        <f t="shared" ca="1" si="441"/>
        <v>1E-4</v>
      </c>
      <c r="B983" s="357">
        <f t="shared" ca="1" si="442"/>
        <v>15.664299999999812</v>
      </c>
      <c r="C983" s="342"/>
      <c r="D983" s="359">
        <f t="shared" ca="1" si="443"/>
        <v>-0.54943729324363244</v>
      </c>
      <c r="E983" s="360">
        <f t="shared" ca="1" si="444"/>
        <v>-5.9416737539528466</v>
      </c>
      <c r="F983" s="357">
        <f t="shared" ca="1" si="445"/>
        <v>5.9670234068268071</v>
      </c>
      <c r="G983" s="359">
        <f t="shared" ca="1" si="446"/>
        <v>9.5138301403093841</v>
      </c>
      <c r="H983" s="360">
        <f t="shared" ca="1" si="447"/>
        <v>-66.983326910535396</v>
      </c>
      <c r="I983" s="357">
        <f t="shared" ca="1" si="448"/>
        <v>67.655591401910854</v>
      </c>
      <c r="J983" s="359">
        <f t="shared" ca="1" si="449"/>
        <v>187.70931447689617</v>
      </c>
      <c r="K983" s="360">
        <f t="shared" ca="1" si="450"/>
        <v>-8.3524861597363742</v>
      </c>
      <c r="L983" s="357">
        <f t="shared" ca="1" si="435"/>
        <v>187.89505253314917</v>
      </c>
      <c r="M983" s="359">
        <f t="shared" ca="1" si="451"/>
        <v>-1.4297072115141733</v>
      </c>
      <c r="N983" s="357">
        <f t="shared" ca="1" si="452"/>
        <v>-81.916189159179822</v>
      </c>
      <c r="O983" s="343"/>
      <c r="P983" s="363">
        <f t="shared" ca="1" si="453"/>
        <v>23</v>
      </c>
      <c r="Q983" s="357">
        <f t="shared" ca="1" si="454"/>
        <v>0</v>
      </c>
      <c r="R983" s="359">
        <f t="shared" ca="1" si="455"/>
        <v>0</v>
      </c>
      <c r="S983" s="360">
        <f t="shared" ca="1" si="456"/>
        <v>1.5629999999999982</v>
      </c>
      <c r="T983" s="357">
        <f t="shared" ca="1" si="436"/>
        <v>15.333029999999983</v>
      </c>
      <c r="U983" s="364">
        <f t="shared" ca="1" si="437"/>
        <v>0</v>
      </c>
      <c r="V983" s="359">
        <f t="shared" ca="1" si="438"/>
        <v>1.2260236070377486</v>
      </c>
      <c r="W983" s="357">
        <f t="shared" ca="1" si="439"/>
        <v>6.1069859780506643</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5.8053683950091077</v>
      </c>
      <c r="AH983" s="357">
        <f t="shared" ca="1" si="463"/>
        <v>-3.9071510445674043</v>
      </c>
    </row>
    <row r="984" spans="1:34" x14ac:dyDescent="0.2">
      <c r="A984" s="402">
        <f t="shared" ca="1" si="441"/>
        <v>1E-4</v>
      </c>
      <c r="B984" s="357">
        <f t="shared" ca="1" si="442"/>
        <v>15.664399999999812</v>
      </c>
      <c r="C984" s="342"/>
      <c r="D984" s="359">
        <f t="shared" ca="1" si="443"/>
        <v>-0.54943920282154635</v>
      </c>
      <c r="E984" s="360">
        <f t="shared" ca="1" si="444"/>
        <v>-5.9416036551749105</v>
      </c>
      <c r="F984" s="357">
        <f t="shared" ca="1" si="445"/>
        <v>5.9669537816866853</v>
      </c>
      <c r="G984" s="359">
        <f t="shared" ca="1" si="446"/>
        <v>9.5137751963891013</v>
      </c>
      <c r="H984" s="360">
        <f t="shared" ca="1" si="447"/>
        <v>-66.983921070900919</v>
      </c>
      <c r="I984" s="357">
        <f t="shared" ca="1" si="448"/>
        <v>67.656171932205211</v>
      </c>
      <c r="J984" s="359">
        <f t="shared" ca="1" si="449"/>
        <v>187.70931447689617</v>
      </c>
      <c r="K984" s="360">
        <f t="shared" ca="1" si="450"/>
        <v>-8.3591845221354468</v>
      </c>
      <c r="L984" s="357">
        <f t="shared" ca="1" si="435"/>
        <v>187.8953504141638</v>
      </c>
      <c r="M984" s="359">
        <f t="shared" ca="1" si="451"/>
        <v>-1.4297092504956701</v>
      </c>
      <c r="N984" s="357">
        <f t="shared" ca="1" si="452"/>
        <v>-81.916305984214091</v>
      </c>
      <c r="O984" s="343"/>
      <c r="P984" s="363">
        <f t="shared" ca="1" si="453"/>
        <v>23</v>
      </c>
      <c r="Q984" s="357">
        <f t="shared" ca="1" si="454"/>
        <v>0</v>
      </c>
      <c r="R984" s="359">
        <f t="shared" ca="1" si="455"/>
        <v>0</v>
      </c>
      <c r="S984" s="360">
        <f t="shared" ca="1" si="456"/>
        <v>1.5629999999999982</v>
      </c>
      <c r="T984" s="357">
        <f t="shared" ca="1" si="436"/>
        <v>15.333029999999983</v>
      </c>
      <c r="U984" s="364">
        <f t="shared" ca="1" si="437"/>
        <v>0</v>
      </c>
      <c r="V984" s="359">
        <f t="shared" ca="1" si="438"/>
        <v>1.2260244282732098</v>
      </c>
      <c r="W984" s="357">
        <f t="shared" ca="1" si="439"/>
        <v>6.1070948733142165</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5.8053015371061969</v>
      </c>
      <c r="AH984" s="357">
        <f t="shared" ca="1" si="463"/>
        <v>-3.9072207153235263</v>
      </c>
    </row>
    <row r="985" spans="1:34" x14ac:dyDescent="0.2">
      <c r="A985" s="402">
        <f t="shared" ca="1" si="441"/>
        <v>1E-4</v>
      </c>
      <c r="B985" s="357">
        <f t="shared" ca="1" si="442"/>
        <v>15.664499999999812</v>
      </c>
      <c r="C985" s="342"/>
      <c r="D985" s="359">
        <f t="shared" ca="1" si="443"/>
        <v>-0.54944111228525727</v>
      </c>
      <c r="E985" s="360">
        <f t="shared" ca="1" si="444"/>
        <v>-5.9415335564800511</v>
      </c>
      <c r="F985" s="357">
        <f t="shared" ca="1" si="445"/>
        <v>5.9668841566304724</v>
      </c>
      <c r="G985" s="359">
        <f t="shared" ca="1" si="446"/>
        <v>9.5137202522778725</v>
      </c>
      <c r="H985" s="360">
        <f t="shared" ca="1" si="447"/>
        <v>-66.984515224256569</v>
      </c>
      <c r="I985" s="357">
        <f t="shared" ca="1" si="448"/>
        <v>67.656752455813759</v>
      </c>
      <c r="J985" s="359">
        <f t="shared" ca="1" si="449"/>
        <v>187.70931447689617</v>
      </c>
      <c r="K985" s="360">
        <f t="shared" ca="1" si="450"/>
        <v>-8.3658829439502043</v>
      </c>
      <c r="L985" s="357">
        <f t="shared" ca="1" si="435"/>
        <v>187.89564853614405</v>
      </c>
      <c r="M985" s="359">
        <f t="shared" ca="1" si="451"/>
        <v>-1.4297112894304009</v>
      </c>
      <c r="N985" s="357">
        <f t="shared" ca="1" si="452"/>
        <v>-81.916422806568875</v>
      </c>
      <c r="O985" s="343"/>
      <c r="P985" s="363">
        <f t="shared" ca="1" si="453"/>
        <v>23</v>
      </c>
      <c r="Q985" s="357">
        <f t="shared" ca="1" si="454"/>
        <v>0</v>
      </c>
      <c r="R985" s="359">
        <f t="shared" ca="1" si="455"/>
        <v>0</v>
      </c>
      <c r="S985" s="360">
        <f t="shared" ca="1" si="456"/>
        <v>1.5629999999999982</v>
      </c>
      <c r="T985" s="357">
        <f t="shared" ca="1" si="436"/>
        <v>15.333029999999983</v>
      </c>
      <c r="U985" s="364">
        <f t="shared" ca="1" si="437"/>
        <v>0</v>
      </c>
      <c r="V985" s="359">
        <f t="shared" ca="1" si="438"/>
        <v>1.2260252495165063</v>
      </c>
      <c r="W985" s="357">
        <f t="shared" ca="1" si="439"/>
        <v>6.1072037684494722</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5.8052346791804563</v>
      </c>
      <c r="AH985" s="357">
        <f t="shared" ca="1" si="463"/>
        <v>-3.9072903859975838</v>
      </c>
    </row>
    <row r="986" spans="1:34" x14ac:dyDescent="0.2">
      <c r="A986" s="402">
        <f t="shared" ca="1" si="441"/>
        <v>1E-4</v>
      </c>
      <c r="B986" s="357">
        <f t="shared" ca="1" si="442"/>
        <v>15.664599999999812</v>
      </c>
      <c r="C986" s="342"/>
      <c r="D986" s="359">
        <f t="shared" ca="1" si="443"/>
        <v>-0.54944302163476588</v>
      </c>
      <c r="E986" s="360">
        <f t="shared" ca="1" si="444"/>
        <v>-5.9414634578682843</v>
      </c>
      <c r="F986" s="357">
        <f t="shared" ca="1" si="445"/>
        <v>5.9668145316581853</v>
      </c>
      <c r="G986" s="359">
        <f t="shared" ca="1" si="446"/>
        <v>9.5136653079757085</v>
      </c>
      <c r="H986" s="360">
        <f t="shared" ca="1" si="447"/>
        <v>-66.985109370602359</v>
      </c>
      <c r="I986" s="357">
        <f t="shared" ca="1" si="448"/>
        <v>67.657332972736526</v>
      </c>
      <c r="J986" s="359">
        <f t="shared" ca="1" si="449"/>
        <v>187.70931447689617</v>
      </c>
      <c r="K986" s="360">
        <f t="shared" ca="1" si="450"/>
        <v>-8.3725814251799466</v>
      </c>
      <c r="L986" s="357">
        <f t="shared" ca="1" si="435"/>
        <v>187.89594689909509</v>
      </c>
      <c r="M986" s="359">
        <f t="shared" ca="1" si="451"/>
        <v>-1.4297133283183672</v>
      </c>
      <c r="N986" s="357">
        <f t="shared" ca="1" si="452"/>
        <v>-81.916539626244244</v>
      </c>
      <c r="O986" s="343"/>
      <c r="P986" s="363">
        <f t="shared" ca="1" si="453"/>
        <v>23</v>
      </c>
      <c r="Q986" s="357">
        <f t="shared" ca="1" si="454"/>
        <v>0</v>
      </c>
      <c r="R986" s="359">
        <f t="shared" ca="1" si="455"/>
        <v>0</v>
      </c>
      <c r="S986" s="360">
        <f t="shared" ca="1" si="456"/>
        <v>1.5629999999999982</v>
      </c>
      <c r="T986" s="357">
        <f t="shared" ca="1" si="436"/>
        <v>15.333029999999983</v>
      </c>
      <c r="U986" s="364">
        <f t="shared" ca="1" si="437"/>
        <v>0</v>
      </c>
      <c r="V986" s="359">
        <f t="shared" ca="1" si="438"/>
        <v>1.2260260707676374</v>
      </c>
      <c r="W986" s="357">
        <f t="shared" ca="1" si="439"/>
        <v>6.1073126634564021</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5.8051678212319047</v>
      </c>
      <c r="AH986" s="357">
        <f t="shared" ca="1" si="463"/>
        <v>-3.9073600565895581</v>
      </c>
    </row>
    <row r="987" spans="1:34" x14ac:dyDescent="0.2">
      <c r="A987" s="402">
        <f t="shared" ca="1" si="441"/>
        <v>1E-4</v>
      </c>
      <c r="B987" s="357">
        <f t="shared" ca="1" si="442"/>
        <v>15.664699999999812</v>
      </c>
      <c r="C987" s="342"/>
      <c r="D987" s="359">
        <f t="shared" ca="1" si="443"/>
        <v>-0.54944493087007451</v>
      </c>
      <c r="E987" s="360">
        <f t="shared" ca="1" si="444"/>
        <v>-5.9413933593396315</v>
      </c>
      <c r="F987" s="357">
        <f t="shared" ca="1" si="445"/>
        <v>5.9667449067698453</v>
      </c>
      <c r="G987" s="359">
        <f t="shared" ca="1" si="446"/>
        <v>9.5136103634826217</v>
      </c>
      <c r="H987" s="360">
        <f t="shared" ca="1" si="447"/>
        <v>-66.98570350993829</v>
      </c>
      <c r="I987" s="357">
        <f t="shared" ca="1" si="448"/>
        <v>67.65791348297347</v>
      </c>
      <c r="J987" s="359">
        <f t="shared" ca="1" si="449"/>
        <v>187.70931447689617</v>
      </c>
      <c r="K987" s="360">
        <f t="shared" ca="1" si="450"/>
        <v>-8.3792799658239741</v>
      </c>
      <c r="L987" s="357">
        <f t="shared" ca="1" si="435"/>
        <v>187.8962455030221</v>
      </c>
      <c r="M987" s="359">
        <f t="shared" ca="1" si="451"/>
        <v>-1.4297153671595706</v>
      </c>
      <c r="N987" s="357">
        <f t="shared" ca="1" si="452"/>
        <v>-81.916656443240299</v>
      </c>
      <c r="O987" s="343"/>
      <c r="P987" s="363">
        <f t="shared" ca="1" si="453"/>
        <v>23</v>
      </c>
      <c r="Q987" s="357">
        <f t="shared" ca="1" si="454"/>
        <v>0</v>
      </c>
      <c r="R987" s="359">
        <f t="shared" ca="1" si="455"/>
        <v>0</v>
      </c>
      <c r="S987" s="360">
        <f t="shared" ca="1" si="456"/>
        <v>1.5629999999999982</v>
      </c>
      <c r="T987" s="357">
        <f t="shared" ca="1" si="436"/>
        <v>15.333029999999983</v>
      </c>
      <c r="U987" s="364">
        <f t="shared" ca="1" si="437"/>
        <v>0</v>
      </c>
      <c r="V987" s="359">
        <f t="shared" ca="1" si="438"/>
        <v>1.2260268920266026</v>
      </c>
      <c r="W987" s="357">
        <f t="shared" ca="1" si="439"/>
        <v>6.1074215583349645</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5.8051009632605712</v>
      </c>
      <c r="AH987" s="357">
        <f t="shared" ca="1" si="463"/>
        <v>-3.90742972709943</v>
      </c>
    </row>
    <row r="988" spans="1:34" x14ac:dyDescent="0.2">
      <c r="A988" s="402">
        <f t="shared" ca="1" si="441"/>
        <v>1E-4</v>
      </c>
      <c r="B988" s="357">
        <f t="shared" ca="1" si="442"/>
        <v>15.664799999999811</v>
      </c>
      <c r="C988" s="342"/>
      <c r="D988" s="359">
        <f t="shared" ca="1" si="443"/>
        <v>-0.54944683999118293</v>
      </c>
      <c r="E988" s="360">
        <f t="shared" ca="1" si="444"/>
        <v>-5.9413232608941176</v>
      </c>
      <c r="F988" s="357">
        <f t="shared" ca="1" si="445"/>
        <v>5.966675281965478</v>
      </c>
      <c r="G988" s="359">
        <f t="shared" ca="1" si="446"/>
        <v>9.5135554187986227</v>
      </c>
      <c r="H988" s="360">
        <f t="shared" ca="1" si="447"/>
        <v>-66.986297642264375</v>
      </c>
      <c r="I988" s="357">
        <f t="shared" ca="1" si="448"/>
        <v>67.658493986524604</v>
      </c>
      <c r="J988" s="359">
        <f t="shared" ca="1" si="449"/>
        <v>187.70931447689617</v>
      </c>
      <c r="K988" s="360">
        <f t="shared" ca="1" si="450"/>
        <v>-8.3859785658815849</v>
      </c>
      <c r="L988" s="357">
        <f t="shared" ca="1" si="435"/>
        <v>187.89654434793025</v>
      </c>
      <c r="M988" s="359">
        <f t="shared" ca="1" si="451"/>
        <v>-1.429717405954013</v>
      </c>
      <c r="N988" s="357">
        <f t="shared" ca="1" si="452"/>
        <v>-81.916773257557139</v>
      </c>
      <c r="O988" s="343"/>
      <c r="P988" s="363">
        <f t="shared" ca="1" si="453"/>
        <v>23</v>
      </c>
      <c r="Q988" s="357">
        <f t="shared" ca="1" si="454"/>
        <v>0</v>
      </c>
      <c r="R988" s="359">
        <f t="shared" ca="1" si="455"/>
        <v>0</v>
      </c>
      <c r="S988" s="360">
        <f t="shared" ca="1" si="456"/>
        <v>1.5629999999999982</v>
      </c>
      <c r="T988" s="357">
        <f t="shared" ca="1" si="436"/>
        <v>15.333029999999983</v>
      </c>
      <c r="U988" s="364">
        <f t="shared" ca="1" si="437"/>
        <v>0</v>
      </c>
      <c r="V988" s="359">
        <f t="shared" ca="1" si="438"/>
        <v>1.2260277132934032</v>
      </c>
      <c r="W988" s="357">
        <f t="shared" ca="1" si="439"/>
        <v>6.1075304530851389</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5.8050341052664862</v>
      </c>
      <c r="AH988" s="357">
        <f t="shared" ca="1" si="463"/>
        <v>-3.907499397527173</v>
      </c>
    </row>
    <row r="989" spans="1:34" x14ac:dyDescent="0.2">
      <c r="A989" s="402">
        <f t="shared" ca="1" si="441"/>
        <v>1E-4</v>
      </c>
      <c r="B989" s="357">
        <f t="shared" ca="1" si="442"/>
        <v>15.664899999999811</v>
      </c>
      <c r="C989" s="342"/>
      <c r="D989" s="359">
        <f t="shared" ca="1" si="443"/>
        <v>-0.5494487489980926</v>
      </c>
      <c r="E989" s="360">
        <f t="shared" ca="1" si="444"/>
        <v>-5.9412531625317575</v>
      </c>
      <c r="F989" s="357">
        <f t="shared" ca="1" si="445"/>
        <v>5.9666056572450952</v>
      </c>
      <c r="G989" s="359">
        <f t="shared" ca="1" si="446"/>
        <v>9.5135004739237221</v>
      </c>
      <c r="H989" s="360">
        <f t="shared" ca="1" si="447"/>
        <v>-66.98689176758063</v>
      </c>
      <c r="I989" s="357">
        <f t="shared" ca="1" si="448"/>
        <v>67.659074483389944</v>
      </c>
      <c r="J989" s="359">
        <f t="shared" ca="1" si="449"/>
        <v>187.70931447689617</v>
      </c>
      <c r="K989" s="360">
        <f t="shared" ca="1" si="450"/>
        <v>-8.3926772253520774</v>
      </c>
      <c r="L989" s="357">
        <f t="shared" ca="1" si="435"/>
        <v>187.89684343382473</v>
      </c>
      <c r="M989" s="359">
        <f t="shared" ca="1" si="451"/>
        <v>-1.4297194447016959</v>
      </c>
      <c r="N989" s="357">
        <f t="shared" ca="1" si="452"/>
        <v>-81.916890069194864</v>
      </c>
      <c r="O989" s="343"/>
      <c r="P989" s="363">
        <f t="shared" ca="1" si="453"/>
        <v>23</v>
      </c>
      <c r="Q989" s="357">
        <f t="shared" ca="1" si="454"/>
        <v>0</v>
      </c>
      <c r="R989" s="359">
        <f t="shared" ca="1" si="455"/>
        <v>0</v>
      </c>
      <c r="S989" s="360">
        <f t="shared" ca="1" si="456"/>
        <v>1.5629999999999982</v>
      </c>
      <c r="T989" s="357">
        <f t="shared" ca="1" si="436"/>
        <v>15.333029999999983</v>
      </c>
      <c r="U989" s="364">
        <f t="shared" ca="1" si="437"/>
        <v>0</v>
      </c>
      <c r="V989" s="359">
        <f t="shared" ca="1" si="438"/>
        <v>1.226028534568038</v>
      </c>
      <c r="W989" s="357">
        <f t="shared" ca="1" si="439"/>
        <v>6.1076393477068969</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5.8049672472496674</v>
      </c>
      <c r="AH989" s="357">
        <f t="shared" ca="1" si="463"/>
        <v>-3.9075690678727741</v>
      </c>
    </row>
    <row r="990" spans="1:34" x14ac:dyDescent="0.2">
      <c r="A990" s="402">
        <f t="shared" ca="1" si="441"/>
        <v>1E-4</v>
      </c>
      <c r="B990" s="357">
        <f t="shared" ca="1" si="442"/>
        <v>15.664999999999811</v>
      </c>
      <c r="C990" s="342"/>
      <c r="D990" s="359">
        <f t="shared" ca="1" si="443"/>
        <v>-0.54945065789080527</v>
      </c>
      <c r="E990" s="360">
        <f t="shared" ca="1" si="444"/>
        <v>-5.9411830642525683</v>
      </c>
      <c r="F990" s="357">
        <f t="shared" ca="1" si="445"/>
        <v>5.966536032608718</v>
      </c>
      <c r="G990" s="359">
        <f t="shared" ca="1" si="446"/>
        <v>9.5134455288579325</v>
      </c>
      <c r="H990" s="360">
        <f t="shared" ca="1" si="447"/>
        <v>-66.987485885887054</v>
      </c>
      <c r="I990" s="357">
        <f t="shared" ca="1" si="448"/>
        <v>67.659654973569474</v>
      </c>
      <c r="J990" s="359">
        <f t="shared" ca="1" si="449"/>
        <v>187.70931447689617</v>
      </c>
      <c r="K990" s="360">
        <f t="shared" ca="1" si="450"/>
        <v>-8.39937594423475</v>
      </c>
      <c r="L990" s="357">
        <f t="shared" ca="1" si="435"/>
        <v>187.89714276071069</v>
      </c>
      <c r="M990" s="359">
        <f t="shared" ca="1" si="451"/>
        <v>-1.4297214834026211</v>
      </c>
      <c r="N990" s="357">
        <f t="shared" ca="1" si="452"/>
        <v>-81.917006878153558</v>
      </c>
      <c r="O990" s="343"/>
      <c r="P990" s="363">
        <f t="shared" ca="1" si="453"/>
        <v>23</v>
      </c>
      <c r="Q990" s="357">
        <f t="shared" ca="1" si="454"/>
        <v>0</v>
      </c>
      <c r="R990" s="359">
        <f t="shared" ca="1" si="455"/>
        <v>0</v>
      </c>
      <c r="S990" s="360">
        <f t="shared" ca="1" si="456"/>
        <v>1.5629999999999982</v>
      </c>
      <c r="T990" s="357">
        <f t="shared" ca="1" si="436"/>
        <v>15.333029999999983</v>
      </c>
      <c r="U990" s="364">
        <f t="shared" ca="1" si="437"/>
        <v>0</v>
      </c>
      <c r="V990" s="359">
        <f t="shared" ca="1" si="438"/>
        <v>1.2260293558505073</v>
      </c>
      <c r="W990" s="357">
        <f t="shared" ca="1" si="439"/>
        <v>6.107748242200203</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5.8049003892101361</v>
      </c>
      <c r="AH990" s="357">
        <f t="shared" ca="1" si="463"/>
        <v>-3.9076387381362152</v>
      </c>
    </row>
    <row r="991" spans="1:34" x14ac:dyDescent="0.2">
      <c r="A991" s="402">
        <f t="shared" ca="1" si="441"/>
        <v>1E-4</v>
      </c>
      <c r="B991" s="357">
        <f t="shared" ca="1" si="442"/>
        <v>15.665099999999811</v>
      </c>
      <c r="C991" s="342"/>
      <c r="D991" s="359">
        <f t="shared" ca="1" si="443"/>
        <v>-0.54945256666932096</v>
      </c>
      <c r="E991" s="360">
        <f t="shared" ca="1" si="444"/>
        <v>-5.9411129660565738</v>
      </c>
      <c r="F991" s="357">
        <f t="shared" ca="1" si="445"/>
        <v>5.966466408056367</v>
      </c>
      <c r="G991" s="359">
        <f t="shared" ca="1" si="446"/>
        <v>9.5133905836012662</v>
      </c>
      <c r="H991" s="360">
        <f t="shared" ca="1" si="447"/>
        <v>-66.988079997183661</v>
      </c>
      <c r="I991" s="357">
        <f t="shared" ca="1" si="448"/>
        <v>67.660235457063195</v>
      </c>
      <c r="J991" s="359">
        <f t="shared" ca="1" si="449"/>
        <v>187.70931447689617</v>
      </c>
      <c r="K991" s="360">
        <f t="shared" ca="1" si="450"/>
        <v>-8.4060747225289028</v>
      </c>
      <c r="L991" s="357">
        <f t="shared" ca="1" si="435"/>
        <v>187.89744232859329</v>
      </c>
      <c r="M991" s="359">
        <f t="shared" ca="1" si="451"/>
        <v>-1.4297235220567903</v>
      </c>
      <c r="N991" s="357">
        <f t="shared" ca="1" si="452"/>
        <v>-81.917123684433349</v>
      </c>
      <c r="O991" s="343"/>
      <c r="P991" s="363">
        <f t="shared" ca="1" si="453"/>
        <v>23</v>
      </c>
      <c r="Q991" s="357">
        <f t="shared" ca="1" si="454"/>
        <v>0</v>
      </c>
      <c r="R991" s="359">
        <f t="shared" ca="1" si="455"/>
        <v>0</v>
      </c>
      <c r="S991" s="360">
        <f t="shared" ca="1" si="456"/>
        <v>1.5629999999999982</v>
      </c>
      <c r="T991" s="357">
        <f t="shared" ca="1" si="436"/>
        <v>15.333029999999983</v>
      </c>
      <c r="U991" s="364">
        <f t="shared" ca="1" si="437"/>
        <v>0</v>
      </c>
      <c r="V991" s="359">
        <f t="shared" ca="1" si="438"/>
        <v>1.2260301771408113</v>
      </c>
      <c r="W991" s="357">
        <f t="shared" ca="1" si="439"/>
        <v>6.1078571365650296</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5.8048335311479233</v>
      </c>
      <c r="AH991" s="357">
        <f t="shared" ca="1" si="463"/>
        <v>-3.9077084083174727</v>
      </c>
    </row>
    <row r="992" spans="1:34" x14ac:dyDescent="0.2">
      <c r="A992" s="402">
        <f t="shared" ca="1" si="441"/>
        <v>1E-4</v>
      </c>
      <c r="B992" s="357">
        <f t="shared" ca="1" si="442"/>
        <v>15.66519999999981</v>
      </c>
      <c r="C992" s="342"/>
      <c r="D992" s="359">
        <f t="shared" ca="1" si="443"/>
        <v>-0.54945447533364056</v>
      </c>
      <c r="E992" s="360">
        <f t="shared" ca="1" si="444"/>
        <v>-5.9410428679437892</v>
      </c>
      <c r="F992" s="357">
        <f t="shared" ca="1" si="445"/>
        <v>5.9663967835880589</v>
      </c>
      <c r="G992" s="359">
        <f t="shared" ca="1" si="446"/>
        <v>9.5133356381537322</v>
      </c>
      <c r="H992" s="360">
        <f t="shared" ca="1" si="447"/>
        <v>-66.988674101470451</v>
      </c>
      <c r="I992" s="357">
        <f t="shared" ca="1" si="448"/>
        <v>67.660815933871092</v>
      </c>
      <c r="J992" s="359">
        <f t="shared" ca="1" si="449"/>
        <v>187.70931447689617</v>
      </c>
      <c r="K992" s="360">
        <f t="shared" ca="1" si="450"/>
        <v>-8.4127735602338358</v>
      </c>
      <c r="L992" s="357">
        <f t="shared" ca="1" si="435"/>
        <v>187.89774213747771</v>
      </c>
      <c r="M992" s="359">
        <f t="shared" ca="1" si="451"/>
        <v>-1.429725560664205</v>
      </c>
      <c r="N992" s="357">
        <f t="shared" ca="1" si="452"/>
        <v>-81.917240488034295</v>
      </c>
      <c r="O992" s="343"/>
      <c r="P992" s="363">
        <f t="shared" ca="1" si="453"/>
        <v>23</v>
      </c>
      <c r="Q992" s="357">
        <f t="shared" ca="1" si="454"/>
        <v>0</v>
      </c>
      <c r="R992" s="359">
        <f t="shared" ca="1" si="455"/>
        <v>0</v>
      </c>
      <c r="S992" s="360">
        <f t="shared" ca="1" si="456"/>
        <v>1.5629999999999982</v>
      </c>
      <c r="T992" s="357">
        <f t="shared" ca="1" si="436"/>
        <v>15.333029999999983</v>
      </c>
      <c r="U992" s="364">
        <f t="shared" ca="1" si="437"/>
        <v>0</v>
      </c>
      <c r="V992" s="359">
        <f t="shared" ca="1" si="438"/>
        <v>1.226030998438949</v>
      </c>
      <c r="W992" s="357">
        <f t="shared" ca="1" si="439"/>
        <v>6.1079660308013386</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5.8047666730630514</v>
      </c>
      <c r="AH992" s="357">
        <f t="shared" ca="1" si="463"/>
        <v>-3.9077780784165301</v>
      </c>
    </row>
    <row r="993" spans="1:34" x14ac:dyDescent="0.2">
      <c r="A993" s="402">
        <f t="shared" ca="1" si="441"/>
        <v>1E-4</v>
      </c>
      <c r="B993" s="357">
        <f t="shared" ca="1" si="442"/>
        <v>15.66529999999981</v>
      </c>
      <c r="C993" s="342"/>
      <c r="D993" s="359">
        <f t="shared" ca="1" si="443"/>
        <v>-0.54945638388376594</v>
      </c>
      <c r="E993" s="360">
        <f t="shared" ca="1" si="444"/>
        <v>-5.9409727699142421</v>
      </c>
      <c r="F993" s="357">
        <f t="shared" ca="1" si="445"/>
        <v>5.9663271592038205</v>
      </c>
      <c r="G993" s="359">
        <f t="shared" ca="1" si="446"/>
        <v>9.5132806925153446</v>
      </c>
      <c r="H993" s="360">
        <f t="shared" ca="1" si="447"/>
        <v>-66.989268198747439</v>
      </c>
      <c r="I993" s="357">
        <f t="shared" ca="1" si="448"/>
        <v>67.661396403993166</v>
      </c>
      <c r="J993" s="359">
        <f t="shared" ca="1" si="449"/>
        <v>187.70931447689617</v>
      </c>
      <c r="K993" s="360">
        <f t="shared" ca="1" si="450"/>
        <v>-8.4194724573488475</v>
      </c>
      <c r="L993" s="357">
        <f t="shared" ca="1" si="435"/>
        <v>187.89804218736913</v>
      </c>
      <c r="M993" s="359">
        <f t="shared" ca="1" si="451"/>
        <v>-1.4297275992248668</v>
      </c>
      <c r="N993" s="357">
        <f t="shared" ca="1" si="452"/>
        <v>-81.917357288956495</v>
      </c>
      <c r="O993" s="343"/>
      <c r="P993" s="363">
        <f t="shared" ca="1" si="453"/>
        <v>23</v>
      </c>
      <c r="Q993" s="357">
        <f t="shared" ca="1" si="454"/>
        <v>0</v>
      </c>
      <c r="R993" s="359">
        <f t="shared" ca="1" si="455"/>
        <v>0</v>
      </c>
      <c r="S993" s="360">
        <f t="shared" ca="1" si="456"/>
        <v>1.5629999999999982</v>
      </c>
      <c r="T993" s="357">
        <f t="shared" ca="1" si="436"/>
        <v>15.333029999999983</v>
      </c>
      <c r="U993" s="364">
        <f t="shared" ca="1" si="437"/>
        <v>0</v>
      </c>
      <c r="V993" s="359">
        <f t="shared" ca="1" si="438"/>
        <v>1.2260318197449218</v>
      </c>
      <c r="W993" s="357">
        <f t="shared" ca="1" si="439"/>
        <v>6.1080749249091104</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5.8046998149555469</v>
      </c>
      <c r="AH993" s="357">
        <f t="shared" ca="1" si="463"/>
        <v>-3.9078477484333627</v>
      </c>
    </row>
    <row r="994" spans="1:34" x14ac:dyDescent="0.2">
      <c r="A994" s="402">
        <f t="shared" ca="1" si="441"/>
        <v>1E-4</v>
      </c>
      <c r="B994" s="357">
        <f t="shared" ca="1" si="442"/>
        <v>15.66539999999981</v>
      </c>
      <c r="C994" s="342"/>
      <c r="D994" s="359">
        <f t="shared" ca="1" si="443"/>
        <v>-0.54945829231969845</v>
      </c>
      <c r="E994" s="360">
        <f t="shared" ca="1" si="444"/>
        <v>-5.9409026719679439</v>
      </c>
      <c r="F994" s="357">
        <f t="shared" ca="1" si="445"/>
        <v>5.9662575349036633</v>
      </c>
      <c r="G994" s="359">
        <f t="shared" ca="1" si="446"/>
        <v>9.5132257466861123</v>
      </c>
      <c r="H994" s="360">
        <f t="shared" ca="1" si="447"/>
        <v>-66.989862289014638</v>
      </c>
      <c r="I994" s="357">
        <f t="shared" ca="1" si="448"/>
        <v>67.661976867429445</v>
      </c>
      <c r="J994" s="359">
        <f t="shared" ca="1" si="449"/>
        <v>187.70931447689617</v>
      </c>
      <c r="K994" s="360">
        <f t="shared" ca="1" si="450"/>
        <v>-8.4261714138732362</v>
      </c>
      <c r="L994" s="357">
        <f t="shared" ca="1" si="435"/>
        <v>187.89834247827272</v>
      </c>
      <c r="M994" s="359">
        <f t="shared" ca="1" si="451"/>
        <v>-1.4297296377387776</v>
      </c>
      <c r="N994" s="357">
        <f t="shared" ca="1" si="452"/>
        <v>-81.917474087200063</v>
      </c>
      <c r="O994" s="343"/>
      <c r="P994" s="363">
        <f t="shared" ca="1" si="453"/>
        <v>23</v>
      </c>
      <c r="Q994" s="357">
        <f t="shared" ca="1" si="454"/>
        <v>0</v>
      </c>
      <c r="R994" s="359">
        <f t="shared" ca="1" si="455"/>
        <v>0</v>
      </c>
      <c r="S994" s="360">
        <f t="shared" ca="1" si="456"/>
        <v>1.5629999999999982</v>
      </c>
      <c r="T994" s="357">
        <f t="shared" ca="1" si="436"/>
        <v>15.333029999999983</v>
      </c>
      <c r="U994" s="364">
        <f t="shared" ca="1" si="437"/>
        <v>0</v>
      </c>
      <c r="V994" s="359">
        <f t="shared" ca="1" si="438"/>
        <v>1.2260326410587281</v>
      </c>
      <c r="W994" s="357">
        <f t="shared" ca="1" si="439"/>
        <v>6.1081838188883104</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5.8046329568254302</v>
      </c>
      <c r="AH994" s="357">
        <f t="shared" ca="1" si="463"/>
        <v>-3.9079174183679575</v>
      </c>
    </row>
    <row r="995" spans="1:34" x14ac:dyDescent="0.2">
      <c r="A995" s="402">
        <f t="shared" ca="1" si="441"/>
        <v>1E-4</v>
      </c>
      <c r="B995" s="357">
        <f t="shared" ca="1" si="442"/>
        <v>15.66549999999981</v>
      </c>
      <c r="C995" s="342"/>
      <c r="D995" s="359">
        <f t="shared" ca="1" si="443"/>
        <v>-0.54946020064143852</v>
      </c>
      <c r="E995" s="360">
        <f t="shared" ca="1" si="444"/>
        <v>-5.9408325741049168</v>
      </c>
      <c r="F995" s="357">
        <f t="shared" ca="1" si="445"/>
        <v>5.9661879106876086</v>
      </c>
      <c r="G995" s="359">
        <f t="shared" ca="1" si="446"/>
        <v>9.5131708006660478</v>
      </c>
      <c r="H995" s="360">
        <f t="shared" ca="1" si="447"/>
        <v>-66.99045637227205</v>
      </c>
      <c r="I995" s="357">
        <f t="shared" ca="1" si="448"/>
        <v>67.6625573241799</v>
      </c>
      <c r="J995" s="359">
        <f t="shared" ca="1" si="449"/>
        <v>187.70931447689617</v>
      </c>
      <c r="K995" s="360">
        <f t="shared" ca="1" si="450"/>
        <v>-8.4328704298063002</v>
      </c>
      <c r="L995" s="357">
        <f t="shared" ca="1" si="435"/>
        <v>187.89864301019367</v>
      </c>
      <c r="M995" s="359">
        <f t="shared" ca="1" si="451"/>
        <v>-1.4297316762059389</v>
      </c>
      <c r="N995" s="357">
        <f t="shared" ca="1" si="452"/>
        <v>-81.917590882765083</v>
      </c>
      <c r="O995" s="343"/>
      <c r="P995" s="363">
        <f t="shared" ca="1" si="453"/>
        <v>23</v>
      </c>
      <c r="Q995" s="357">
        <f t="shared" ca="1" si="454"/>
        <v>0</v>
      </c>
      <c r="R995" s="359">
        <f t="shared" ca="1" si="455"/>
        <v>0</v>
      </c>
      <c r="S995" s="360">
        <f t="shared" ca="1" si="456"/>
        <v>1.5629999999999982</v>
      </c>
      <c r="T995" s="357">
        <f t="shared" ca="1" si="436"/>
        <v>15.333029999999983</v>
      </c>
      <c r="U995" s="364">
        <f t="shared" ca="1" si="437"/>
        <v>0</v>
      </c>
      <c r="V995" s="359">
        <f t="shared" ca="1" si="438"/>
        <v>1.2260334623803686</v>
      </c>
      <c r="W995" s="357">
        <f t="shared" ca="1" si="439"/>
        <v>6.1082927127389057</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5.8045660986727272</v>
      </c>
      <c r="AH995" s="357">
        <f t="shared" ca="1" si="463"/>
        <v>-3.9079870882202927</v>
      </c>
    </row>
    <row r="996" spans="1:34" x14ac:dyDescent="0.2">
      <c r="A996" s="402">
        <f t="shared" ca="1" si="441"/>
        <v>1E-4</v>
      </c>
      <c r="B996" s="357">
        <f t="shared" ca="1" si="442"/>
        <v>15.665599999999809</v>
      </c>
      <c r="C996" s="342"/>
      <c r="D996" s="359">
        <f t="shared" ca="1" si="443"/>
        <v>-0.54946210884898739</v>
      </c>
      <c r="E996" s="360">
        <f t="shared" ca="1" si="444"/>
        <v>-5.9407624763251814</v>
      </c>
      <c r="F996" s="357">
        <f t="shared" ca="1" si="445"/>
        <v>5.9661182865556794</v>
      </c>
      <c r="G996" s="359">
        <f t="shared" ca="1" si="446"/>
        <v>9.5131158544551635</v>
      </c>
      <c r="H996" s="360">
        <f t="shared" ca="1" si="447"/>
        <v>-66.991050448519687</v>
      </c>
      <c r="I996" s="357">
        <f t="shared" ca="1" si="448"/>
        <v>67.663137774244518</v>
      </c>
      <c r="J996" s="359">
        <f t="shared" ca="1" si="449"/>
        <v>187.70931447689617</v>
      </c>
      <c r="K996" s="360">
        <f t="shared" ca="1" si="450"/>
        <v>-8.4395695051473396</v>
      </c>
      <c r="L996" s="357">
        <f t="shared" ca="1" si="435"/>
        <v>187.8989437831371</v>
      </c>
      <c r="M996" s="359">
        <f t="shared" ca="1" si="451"/>
        <v>-1.4297337146263525</v>
      </c>
      <c r="N996" s="357">
        <f t="shared" ca="1" si="452"/>
        <v>-81.917707675651656</v>
      </c>
      <c r="O996" s="343"/>
      <c r="P996" s="363">
        <f t="shared" ca="1" si="453"/>
        <v>23</v>
      </c>
      <c r="Q996" s="357">
        <f t="shared" ca="1" si="454"/>
        <v>0</v>
      </c>
      <c r="R996" s="359">
        <f t="shared" ca="1" si="455"/>
        <v>0</v>
      </c>
      <c r="S996" s="360">
        <f t="shared" ca="1" si="456"/>
        <v>1.5629999999999982</v>
      </c>
      <c r="T996" s="357">
        <f t="shared" ca="1" si="436"/>
        <v>15.333029999999983</v>
      </c>
      <c r="U996" s="364">
        <f t="shared" ca="1" si="437"/>
        <v>0</v>
      </c>
      <c r="V996" s="359">
        <f t="shared" ca="1" si="438"/>
        <v>1.2260342837098432</v>
      </c>
      <c r="W996" s="357">
        <f t="shared" ca="1" si="439"/>
        <v>6.1084016064608679</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5.8044992404974645</v>
      </c>
      <c r="AH996" s="357">
        <f t="shared" ca="1" si="463"/>
        <v>-3.9080567579903471</v>
      </c>
    </row>
    <row r="997" spans="1:34" x14ac:dyDescent="0.2">
      <c r="A997" s="402">
        <f t="shared" ca="1" si="441"/>
        <v>1E-4</v>
      </c>
      <c r="B997" s="357">
        <f t="shared" ca="1" si="442"/>
        <v>15.665699999999809</v>
      </c>
      <c r="C997" s="342"/>
      <c r="D997" s="359">
        <f t="shared" ca="1" si="443"/>
        <v>-0.54946401694234581</v>
      </c>
      <c r="E997" s="360">
        <f t="shared" ca="1" si="444"/>
        <v>-5.9406923786287571</v>
      </c>
      <c r="F997" s="357">
        <f t="shared" ca="1" si="445"/>
        <v>5.9660486625078928</v>
      </c>
      <c r="G997" s="359">
        <f t="shared" ca="1" si="446"/>
        <v>9.51306090805347</v>
      </c>
      <c r="H997" s="360">
        <f t="shared" ca="1" si="447"/>
        <v>-66.99164451775755</v>
      </c>
      <c r="I997" s="357">
        <f t="shared" ca="1" si="448"/>
        <v>67.663718217623327</v>
      </c>
      <c r="J997" s="359">
        <f t="shared" ca="1" si="449"/>
        <v>187.70931447689617</v>
      </c>
      <c r="K997" s="360">
        <f t="shared" ca="1" si="450"/>
        <v>-8.4462686398956528</v>
      </c>
      <c r="L997" s="357">
        <f t="shared" ca="1" si="435"/>
        <v>187.89924479710817</v>
      </c>
      <c r="M997" s="359">
        <f t="shared" ca="1" si="451"/>
        <v>-1.4297357530000199</v>
      </c>
      <c r="N997" s="357">
        <f t="shared" ca="1" si="452"/>
        <v>-81.917824465859866</v>
      </c>
      <c r="O997" s="343"/>
      <c r="P997" s="363">
        <f t="shared" ca="1" si="453"/>
        <v>23</v>
      </c>
      <c r="Q997" s="357">
        <f t="shared" ca="1" si="454"/>
        <v>0</v>
      </c>
      <c r="R997" s="359">
        <f t="shared" ca="1" si="455"/>
        <v>0</v>
      </c>
      <c r="S997" s="360">
        <f t="shared" ca="1" si="456"/>
        <v>1.5629999999999982</v>
      </c>
      <c r="T997" s="357">
        <f t="shared" ca="1" si="436"/>
        <v>15.333029999999983</v>
      </c>
      <c r="U997" s="364">
        <f t="shared" ca="1" si="437"/>
        <v>0</v>
      </c>
      <c r="V997" s="359">
        <f t="shared" ca="1" si="438"/>
        <v>1.2260351050471521</v>
      </c>
      <c r="W997" s="357">
        <f t="shared" ca="1" si="439"/>
        <v>6.1085105000541704</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5.8044323822996651</v>
      </c>
      <c r="AH997" s="357">
        <f t="shared" ca="1" si="463"/>
        <v>-3.9081264276781029</v>
      </c>
    </row>
    <row r="998" spans="1:34" x14ac:dyDescent="0.2">
      <c r="A998" s="402">
        <f t="shared" ca="1" si="441"/>
        <v>1E-4</v>
      </c>
      <c r="B998" s="357">
        <f t="shared" ca="1" si="442"/>
        <v>15.665799999999809</v>
      </c>
      <c r="C998" s="342"/>
      <c r="D998" s="359">
        <f t="shared" ca="1" si="443"/>
        <v>-0.54946592492151569</v>
      </c>
      <c r="E998" s="360">
        <f t="shared" ca="1" si="444"/>
        <v>-5.9406222810156599</v>
      </c>
      <c r="F998" s="357">
        <f t="shared" ca="1" si="445"/>
        <v>5.9659790385442655</v>
      </c>
      <c r="G998" s="359">
        <f t="shared" ca="1" si="446"/>
        <v>9.5130059614609781</v>
      </c>
      <c r="H998" s="360">
        <f t="shared" ca="1" si="447"/>
        <v>-66.992238579985653</v>
      </c>
      <c r="I998" s="357">
        <f t="shared" ca="1" si="448"/>
        <v>67.664298654316298</v>
      </c>
      <c r="J998" s="359">
        <f t="shared" ca="1" si="449"/>
        <v>187.70931447689617</v>
      </c>
      <c r="K998" s="360">
        <f t="shared" ca="1" si="450"/>
        <v>-8.4529678340505399</v>
      </c>
      <c r="L998" s="357">
        <f t="shared" ca="1" si="435"/>
        <v>187.89954605211207</v>
      </c>
      <c r="M998" s="359">
        <f t="shared" ca="1" si="451"/>
        <v>-1.4297377913269429</v>
      </c>
      <c r="N998" s="357">
        <f t="shared" ca="1" si="452"/>
        <v>-81.917941253389827</v>
      </c>
      <c r="O998" s="343"/>
      <c r="P998" s="363">
        <f t="shared" ca="1" si="453"/>
        <v>23</v>
      </c>
      <c r="Q998" s="357">
        <f t="shared" ca="1" si="454"/>
        <v>0</v>
      </c>
      <c r="R998" s="359">
        <f t="shared" ca="1" si="455"/>
        <v>0</v>
      </c>
      <c r="S998" s="360">
        <f t="shared" ca="1" si="456"/>
        <v>1.5629999999999982</v>
      </c>
      <c r="T998" s="357">
        <f t="shared" ca="1" si="436"/>
        <v>15.333029999999983</v>
      </c>
      <c r="U998" s="364">
        <f t="shared" ca="1" si="437"/>
        <v>0</v>
      </c>
      <c r="V998" s="359">
        <f t="shared" ca="1" si="438"/>
        <v>1.2260359263922951</v>
      </c>
      <c r="W998" s="357">
        <f t="shared" ca="1" si="439"/>
        <v>6.1086193935187767</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5.8043655240793512</v>
      </c>
      <c r="AH998" s="357">
        <f t="shared" ca="1" si="463"/>
        <v>-3.9081960972835428</v>
      </c>
    </row>
    <row r="999" spans="1:34" x14ac:dyDescent="0.2">
      <c r="A999" s="402">
        <f t="shared" ca="1" si="441"/>
        <v>1E-4</v>
      </c>
      <c r="B999" s="357">
        <f t="shared" ca="1" si="442"/>
        <v>15.665899999999809</v>
      </c>
      <c r="C999" s="342"/>
      <c r="D999" s="359">
        <f t="shared" ca="1" si="443"/>
        <v>-0.54946783278649702</v>
      </c>
      <c r="E999" s="360">
        <f t="shared" ca="1" si="444"/>
        <v>-5.9405521834859139</v>
      </c>
      <c r="F999" s="357">
        <f t="shared" ca="1" si="445"/>
        <v>5.9659094146648215</v>
      </c>
      <c r="G999" s="359">
        <f t="shared" ca="1" si="446"/>
        <v>9.5129510146777001</v>
      </c>
      <c r="H999" s="360">
        <f t="shared" ca="1" si="447"/>
        <v>-66.992832635203996</v>
      </c>
      <c r="I999" s="357">
        <f t="shared" ca="1" si="448"/>
        <v>67.664879084323431</v>
      </c>
      <c r="J999" s="359">
        <f t="shared" ca="1" si="449"/>
        <v>187.70931447689617</v>
      </c>
      <c r="K999" s="360">
        <f t="shared" ca="1" si="450"/>
        <v>-8.4596670876112992</v>
      </c>
      <c r="L999" s="357">
        <f t="shared" ca="1" si="435"/>
        <v>187.89984754815399</v>
      </c>
      <c r="M999" s="359">
        <f t="shared" ca="1" si="451"/>
        <v>-1.4297398296071231</v>
      </c>
      <c r="N999" s="357">
        <f t="shared" ca="1" si="452"/>
        <v>-81.918058038241611</v>
      </c>
      <c r="O999" s="343"/>
      <c r="P999" s="363">
        <f t="shared" ca="1" si="453"/>
        <v>23</v>
      </c>
      <c r="Q999" s="357">
        <f t="shared" ca="1" si="454"/>
        <v>0</v>
      </c>
      <c r="R999" s="359">
        <f t="shared" ca="1" si="455"/>
        <v>0</v>
      </c>
      <c r="S999" s="360">
        <f t="shared" ca="1" si="456"/>
        <v>1.5629999999999982</v>
      </c>
      <c r="T999" s="357">
        <f t="shared" ca="1" si="436"/>
        <v>15.333029999999983</v>
      </c>
      <c r="U999" s="364">
        <f t="shared" ca="1" si="437"/>
        <v>0</v>
      </c>
      <c r="V999" s="359">
        <f t="shared" ca="1" si="438"/>
        <v>1.2260367477452716</v>
      </c>
      <c r="W999" s="357">
        <f t="shared" ca="1" si="439"/>
        <v>6.1087282868546557</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5.8042986658365514</v>
      </c>
      <c r="AH999" s="357">
        <f t="shared" ca="1" si="463"/>
        <v>-3.9082657668066436</v>
      </c>
    </row>
    <row r="1000" spans="1:34" x14ac:dyDescent="0.2">
      <c r="A1000" s="402">
        <f t="shared" ca="1" si="441"/>
        <v>1E-4</v>
      </c>
      <c r="B1000" s="357">
        <f t="shared" ca="1" si="442"/>
        <v>15.665999999999809</v>
      </c>
      <c r="C1000" s="342"/>
      <c r="D1000" s="359">
        <f t="shared" ca="1" si="443"/>
        <v>-0.54946974053729136</v>
      </c>
      <c r="E1000" s="360">
        <f t="shared" ca="1" si="444"/>
        <v>-5.9404820860395393</v>
      </c>
      <c r="F1000" s="357">
        <f t="shared" ca="1" si="445"/>
        <v>5.9658397908695804</v>
      </c>
      <c r="G1000" s="359">
        <f t="shared" ca="1" si="446"/>
        <v>9.5128960677036467</v>
      </c>
      <c r="H1000" s="360">
        <f t="shared" ca="1" si="447"/>
        <v>-66.993426683412594</v>
      </c>
      <c r="I1000" s="357">
        <f t="shared" ca="1" si="448"/>
        <v>67.665459507644741</v>
      </c>
      <c r="J1000" s="359">
        <f t="shared" ca="1" si="449"/>
        <v>187.70931447689617</v>
      </c>
      <c r="K1000" s="360">
        <f t="shared" ca="1" si="450"/>
        <v>-8.4663664005772308</v>
      </c>
      <c r="L1000" s="357">
        <f t="shared" ca="1" si="435"/>
        <v>187.90014928523905</v>
      </c>
      <c r="M1000" s="359">
        <f t="shared" ca="1" si="451"/>
        <v>-1.4297418678405622</v>
      </c>
      <c r="N1000" s="357">
        <f t="shared" ca="1" si="452"/>
        <v>-81.918174820415345</v>
      </c>
      <c r="O1000" s="343"/>
      <c r="P1000" s="363">
        <f t="shared" ca="1" si="453"/>
        <v>23</v>
      </c>
      <c r="Q1000" s="357">
        <f t="shared" ca="1" si="454"/>
        <v>0</v>
      </c>
      <c r="R1000" s="359">
        <f t="shared" ca="1" si="455"/>
        <v>0</v>
      </c>
      <c r="S1000" s="360">
        <f t="shared" ca="1" si="456"/>
        <v>1.5629999999999982</v>
      </c>
      <c r="T1000" s="357">
        <f t="shared" ca="1" si="436"/>
        <v>15.333029999999983</v>
      </c>
      <c r="U1000" s="364">
        <f t="shared" ca="1" si="437"/>
        <v>0</v>
      </c>
      <c r="V1000" s="359">
        <f t="shared" ca="1" si="438"/>
        <v>1.2260375691060819</v>
      </c>
      <c r="W1000" s="357">
        <f t="shared" ca="1" si="439"/>
        <v>6.1088371800617809</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5.8042318075712904</v>
      </c>
      <c r="AH1000" s="357">
        <f t="shared" ca="1" si="463"/>
        <v>-3.908335436247385</v>
      </c>
    </row>
    <row r="1001" spans="1:34" x14ac:dyDescent="0.2">
      <c r="A1001" s="402">
        <f t="shared" ca="1" si="441"/>
        <v>1E-4</v>
      </c>
      <c r="B1001" s="357">
        <f t="shared" ca="1" si="442"/>
        <v>15.666099999999808</v>
      </c>
      <c r="C1001" s="342"/>
      <c r="D1001" s="359">
        <f t="shared" ca="1" si="443"/>
        <v>-0.5494716481738996</v>
      </c>
      <c r="E1001" s="360">
        <f t="shared" ca="1" si="444"/>
        <v>-5.9404119886765532</v>
      </c>
      <c r="F1001" s="357">
        <f t="shared" ca="1" si="445"/>
        <v>5.965770167158559</v>
      </c>
      <c r="G1001" s="359">
        <f t="shared" ca="1" si="446"/>
        <v>9.5128411205388286</v>
      </c>
      <c r="H1001" s="360">
        <f t="shared" ca="1" si="447"/>
        <v>-66.99402072461146</v>
      </c>
      <c r="I1001" s="357">
        <f t="shared" ca="1" si="448"/>
        <v>67.666039924280213</v>
      </c>
      <c r="J1001" s="359">
        <f t="shared" ca="1" si="449"/>
        <v>187.70931447689617</v>
      </c>
      <c r="K1001" s="360">
        <f t="shared" ca="1" si="450"/>
        <v>-8.4730657729476313</v>
      </c>
      <c r="L1001" s="357">
        <f t="shared" ca="1" si="435"/>
        <v>187.90045126337242</v>
      </c>
      <c r="M1001" s="359">
        <f t="shared" ca="1" si="451"/>
        <v>-1.4297439060272621</v>
      </c>
      <c r="N1001" s="357">
        <f t="shared" ca="1" si="452"/>
        <v>-81.9182915999111</v>
      </c>
      <c r="O1001" s="343"/>
      <c r="P1001" s="363">
        <f t="shared" ca="1" si="453"/>
        <v>23</v>
      </c>
      <c r="Q1001" s="357">
        <f t="shared" ca="1" si="454"/>
        <v>0</v>
      </c>
      <c r="R1001" s="359">
        <f t="shared" ca="1" si="455"/>
        <v>0</v>
      </c>
      <c r="S1001" s="360">
        <f t="shared" ca="1" si="456"/>
        <v>1.5629999999999982</v>
      </c>
      <c r="T1001" s="357">
        <f t="shared" ca="1" si="436"/>
        <v>15.333029999999983</v>
      </c>
      <c r="U1001" s="364">
        <f t="shared" ca="1" si="437"/>
        <v>0</v>
      </c>
      <c r="V1001" s="359">
        <f t="shared" ca="1" si="438"/>
        <v>1.2260383904747258</v>
      </c>
      <c r="W1001" s="357">
        <f t="shared" ca="1" si="439"/>
        <v>6.1089460731401211</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5.8041649492835905</v>
      </c>
      <c r="AH1001" s="357">
        <f t="shared" ca="1" si="463"/>
        <v>-3.9084051056057505</v>
      </c>
    </row>
    <row r="1002" spans="1:34" x14ac:dyDescent="0.2">
      <c r="A1002" s="402">
        <f t="shared" ca="1" si="441"/>
        <v>1E-4</v>
      </c>
      <c r="B1002" s="357">
        <f t="shared" ca="1" si="442"/>
        <v>15.666199999999808</v>
      </c>
      <c r="C1002" s="342"/>
      <c r="D1002" s="359">
        <f t="shared" ca="1" si="443"/>
        <v>-0.54947355569632228</v>
      </c>
      <c r="E1002" s="360">
        <f t="shared" ca="1" si="444"/>
        <v>-5.9403418913969741</v>
      </c>
      <c r="F1002" s="357">
        <f t="shared" ca="1" si="445"/>
        <v>5.9657005435317769</v>
      </c>
      <c r="G1002" s="359">
        <f t="shared" ca="1" si="446"/>
        <v>9.5127861731832581</v>
      </c>
      <c r="H1002" s="360">
        <f t="shared" ca="1" si="447"/>
        <v>-66.994614758800594</v>
      </c>
      <c r="I1002" s="357">
        <f t="shared" ca="1" si="448"/>
        <v>67.666620334229847</v>
      </c>
      <c r="J1002" s="359">
        <f t="shared" ca="1" si="449"/>
        <v>187.70931447689617</v>
      </c>
      <c r="K1002" s="360">
        <f t="shared" ca="1" si="450"/>
        <v>-8.4797652047218026</v>
      </c>
      <c r="L1002" s="357">
        <f t="shared" ca="1" si="435"/>
        <v>187.90075348255928</v>
      </c>
      <c r="M1002" s="359">
        <f t="shared" ca="1" si="451"/>
        <v>-1.429745944167224</v>
      </c>
      <c r="N1002" s="357">
        <f t="shared" ca="1" si="452"/>
        <v>-81.918408376728976</v>
      </c>
      <c r="O1002" s="343"/>
      <c r="P1002" s="363">
        <f t="shared" ca="1" si="453"/>
        <v>23</v>
      </c>
      <c r="Q1002" s="357">
        <f t="shared" ca="1" si="454"/>
        <v>0</v>
      </c>
      <c r="R1002" s="359">
        <f t="shared" ca="1" si="455"/>
        <v>0</v>
      </c>
      <c r="S1002" s="360">
        <f t="shared" ca="1" si="456"/>
        <v>1.5629999999999982</v>
      </c>
      <c r="T1002" s="357">
        <f t="shared" ca="1" si="436"/>
        <v>15.333029999999983</v>
      </c>
      <c r="U1002" s="364">
        <f t="shared" ca="1" si="437"/>
        <v>0</v>
      </c>
      <c r="V1002" s="359">
        <f t="shared" ca="1" si="438"/>
        <v>1.2260392118512031</v>
      </c>
      <c r="W1002" s="357">
        <f t="shared" ca="1" si="439"/>
        <v>6.1090549660896434</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5.8040980909734774</v>
      </c>
      <c r="AH1002" s="357">
        <f t="shared" ca="1" si="463"/>
        <v>-3.9084747748817201</v>
      </c>
    </row>
    <row r="1003" spans="1:34" x14ac:dyDescent="0.2">
      <c r="A1003" s="402">
        <f t="shared" ca="1" si="441"/>
        <v>1E-4</v>
      </c>
      <c r="B1003" s="357">
        <f t="shared" ca="1" si="442"/>
        <v>15.666299999999808</v>
      </c>
      <c r="C1003" s="342"/>
      <c r="D1003" s="359">
        <f t="shared" ca="1" si="443"/>
        <v>-0.54947546310456141</v>
      </c>
      <c r="E1003" s="360">
        <f t="shared" ca="1" si="444"/>
        <v>-5.9402717942008252</v>
      </c>
      <c r="F1003" s="357">
        <f t="shared" ca="1" si="445"/>
        <v>5.9656309199892563</v>
      </c>
      <c r="G1003" s="359">
        <f t="shared" ca="1" si="446"/>
        <v>9.5127312256369478</v>
      </c>
      <c r="H1003" s="360">
        <f t="shared" ca="1" si="447"/>
        <v>-66.995208785980012</v>
      </c>
      <c r="I1003" s="357">
        <f t="shared" ca="1" si="448"/>
        <v>67.667200737493644</v>
      </c>
      <c r="J1003" s="359">
        <f t="shared" ca="1" si="449"/>
        <v>187.70931447689617</v>
      </c>
      <c r="K1003" s="360">
        <f t="shared" ca="1" si="450"/>
        <v>-8.4864646958990413</v>
      </c>
      <c r="L1003" s="357">
        <f t="shared" ca="1" si="435"/>
        <v>187.90105594280473</v>
      </c>
      <c r="M1003" s="359">
        <f t="shared" ca="1" si="451"/>
        <v>-1.4297479822604497</v>
      </c>
      <c r="N1003" s="357">
        <f t="shared" ca="1" si="452"/>
        <v>-81.918525150869058</v>
      </c>
      <c r="O1003" s="343"/>
      <c r="P1003" s="363">
        <f t="shared" ca="1" si="453"/>
        <v>23</v>
      </c>
      <c r="Q1003" s="357">
        <f t="shared" ca="1" si="454"/>
        <v>0</v>
      </c>
      <c r="R1003" s="359">
        <f t="shared" ca="1" si="455"/>
        <v>0</v>
      </c>
      <c r="S1003" s="360">
        <f t="shared" ca="1" si="456"/>
        <v>1.5629999999999982</v>
      </c>
      <c r="T1003" s="357">
        <f t="shared" ca="1" si="436"/>
        <v>15.333029999999983</v>
      </c>
      <c r="U1003" s="364">
        <f t="shared" ca="1" si="437"/>
        <v>0</v>
      </c>
      <c r="V1003" s="359">
        <f ca="1">Rho_moyen*(20000-Alt_rampe-pos_z)/(20000+Alt_rampe+pos_z)</f>
        <v>1.2260400332355146</v>
      </c>
      <c r="W1003" s="357">
        <f t="shared" ca="1" si="439"/>
        <v>6.1091638589103221</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5.8040312326409751</v>
      </c>
      <c r="AH1003" s="357">
        <f t="shared" ca="1" si="463"/>
        <v>-3.9085444440752721</v>
      </c>
    </row>
    <row r="1004" spans="1:34" x14ac:dyDescent="0.2">
      <c r="A1004" s="403">
        <f t="shared" ca="1" si="441"/>
        <v>1E-4</v>
      </c>
      <c r="B1004" s="358">
        <f t="shared" ca="1" si="442"/>
        <v>15.666399999999808</v>
      </c>
      <c r="C1004" s="342"/>
      <c r="D1004" s="361">
        <f t="shared" ca="1" si="443"/>
        <v>-0.54947737039861821</v>
      </c>
      <c r="E1004" s="362">
        <f t="shared" ca="1" si="444"/>
        <v>-5.9402016970881215</v>
      </c>
      <c r="F1004" s="358">
        <f t="shared" ca="1" si="445"/>
        <v>5.9655612965310123</v>
      </c>
      <c r="G1004" s="361">
        <f t="shared" ca="1" si="446"/>
        <v>9.5126762778999083</v>
      </c>
      <c r="H1004" s="362">
        <f t="shared" ca="1" si="447"/>
        <v>-66.995802806149726</v>
      </c>
      <c r="I1004" s="358">
        <f t="shared" ca="1" si="448"/>
        <v>67.667781134071618</v>
      </c>
      <c r="J1004" s="361">
        <f t="shared" ca="1" si="449"/>
        <v>187.70931447689617</v>
      </c>
      <c r="K1004" s="362">
        <f t="shared" ca="1" si="450"/>
        <v>-8.4931642464786474</v>
      </c>
      <c r="L1004" s="358">
        <f t="shared" ca="1" si="435"/>
        <v>187.901358644114</v>
      </c>
      <c r="M1004" s="361">
        <f t="shared" ca="1" si="451"/>
        <v>-1.4297500203069411</v>
      </c>
      <c r="N1004" s="358">
        <f t="shared" ca="1" si="452"/>
        <v>-81.918641922331474</v>
      </c>
      <c r="O1004" s="343"/>
      <c r="P1004" s="365">
        <f t="shared" ca="1" si="453"/>
        <v>23</v>
      </c>
      <c r="Q1004" s="358">
        <f t="shared" ca="1" si="454"/>
        <v>0</v>
      </c>
      <c r="R1004" s="361">
        <f t="shared" ca="1" si="455"/>
        <v>0</v>
      </c>
      <c r="S1004" s="362">
        <f t="shared" ca="1" si="456"/>
        <v>1.5629999999999982</v>
      </c>
      <c r="T1004" s="358">
        <f t="shared" ca="1" si="436"/>
        <v>15.333029999999983</v>
      </c>
      <c r="U1004" s="366">
        <f t="shared" ca="1" si="437"/>
        <v>0</v>
      </c>
      <c r="V1004" s="361">
        <f t="shared" ca="1" si="438"/>
        <v>1.2260408546276593</v>
      </c>
      <c r="W1004" s="358">
        <f ca="1">1/2*Rho*Sref*Cx*vit_xz^2</f>
        <v>6.1092727516021261</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5.8039643742861076</v>
      </c>
      <c r="AH1004" s="358">
        <f t="shared" ca="1" si="463"/>
        <v>-3.908614113186391</v>
      </c>
    </row>
    <row r="1005" spans="1:34" x14ac:dyDescent="0.2">
      <c r="Y1005" s="356"/>
    </row>
    <row r="1010" spans="12:12" x14ac:dyDescent="0.2">
      <c r="L1010"/>
    </row>
    <row r="1034" spans="5:25" x14ac:dyDescent="0.2">
      <c r="E1034" s="353" t="s">
        <v>257</v>
      </c>
      <c r="J1034" s="354" t="s">
        <v>249</v>
      </c>
      <c r="T1034" s="353" t="s">
        <v>248</v>
      </c>
      <c r="Y1034" s="355" t="s">
        <v>251</v>
      </c>
    </row>
    <row r="1035" spans="5:25" x14ac:dyDescent="0.2">
      <c r="E1035" s="352" t="s">
        <v>261</v>
      </c>
    </row>
    <row r="1036" spans="5:25" x14ac:dyDescent="0.2">
      <c r="E1036" s="352"/>
      <c r="T1036" s="352" t="s">
        <v>254</v>
      </c>
    </row>
    <row r="1037" spans="5:25" x14ac:dyDescent="0.2">
      <c r="E1037" s="352"/>
      <c r="T1037" s="352" t="s">
        <v>258</v>
      </c>
    </row>
    <row r="1038" spans="5:25" x14ac:dyDescent="0.2">
      <c r="E1038" s="352"/>
      <c r="T1038" s="352" t="s">
        <v>259</v>
      </c>
    </row>
    <row r="1039" spans="5:25" x14ac:dyDescent="0.2">
      <c r="E1039" s="352"/>
      <c r="T1039" s="352" t="s">
        <v>265</v>
      </c>
    </row>
    <row r="1040" spans="5:25" x14ac:dyDescent="0.2">
      <c r="E1040" s="352" t="s">
        <v>260</v>
      </c>
      <c r="T1040" s="352" t="s">
        <v>250</v>
      </c>
    </row>
    <row r="1041" spans="5:20" x14ac:dyDescent="0.2">
      <c r="E1041" s="352"/>
      <c r="T1041" s="352" t="s">
        <v>266</v>
      </c>
    </row>
    <row r="1042" spans="5:20" x14ac:dyDescent="0.2">
      <c r="E1042" s="352"/>
      <c r="R1042" s="356"/>
      <c r="T1042" s="352"/>
    </row>
    <row r="1043" spans="5:20" x14ac:dyDescent="0.2">
      <c r="E1043" s="352"/>
    </row>
    <row r="1044" spans="5:20" x14ac:dyDescent="0.2">
      <c r="E1044" s="352"/>
    </row>
    <row r="1045" spans="5:20" x14ac:dyDescent="0.2">
      <c r="E1045" s="352" t="s">
        <v>263</v>
      </c>
      <c r="R1045" s="356"/>
      <c r="T1045" s="352"/>
    </row>
    <row r="1046" spans="5:20" x14ac:dyDescent="0.2">
      <c r="E1046" s="352"/>
    </row>
    <row r="1047" spans="5:20" x14ac:dyDescent="0.2">
      <c r="E1047" s="352"/>
    </row>
    <row r="1048" spans="5:20" x14ac:dyDescent="0.2">
      <c r="E1048" s="352"/>
      <c r="T1048" s="351" t="s">
        <v>256</v>
      </c>
    </row>
    <row r="1049" spans="5:20" x14ac:dyDescent="0.2">
      <c r="E1049" s="352"/>
    </row>
    <row r="1050" spans="5:20" x14ac:dyDescent="0.2">
      <c r="E1050" s="352" t="s">
        <v>264</v>
      </c>
    </row>
    <row r="1053" spans="5:20" x14ac:dyDescent="0.2">
      <c r="T1053" s="351" t="s">
        <v>269</v>
      </c>
    </row>
    <row r="1055" spans="5:20" x14ac:dyDescent="0.2">
      <c r="E1055" s="352" t="s">
        <v>253</v>
      </c>
    </row>
    <row r="1058" spans="5:20" x14ac:dyDescent="0.2">
      <c r="T1058" s="352" t="s">
        <v>270</v>
      </c>
    </row>
    <row r="1060" spans="5:20" x14ac:dyDescent="0.2">
      <c r="E1060" s="352" t="s">
        <v>262</v>
      </c>
    </row>
    <row r="1061" spans="5:20" x14ac:dyDescent="0.2">
      <c r="E1061" s="352"/>
    </row>
    <row r="1062" spans="5:20" x14ac:dyDescent="0.2">
      <c r="E1062" s="352"/>
    </row>
    <row r="1063" spans="5:20" x14ac:dyDescent="0.2">
      <c r="E1063" s="352"/>
    </row>
    <row r="1064" spans="5:20" x14ac:dyDescent="0.2">
      <c r="E1064" s="352"/>
    </row>
    <row r="1065" spans="5:20" x14ac:dyDescent="0.2">
      <c r="E1065" s="352" t="s">
        <v>252</v>
      </c>
    </row>
    <row r="1066" spans="5:20" x14ac:dyDescent="0.2">
      <c r="E1066" s="352"/>
    </row>
    <row r="1067" spans="5:20" x14ac:dyDescent="0.2">
      <c r="E1067" s="352"/>
    </row>
    <row r="1068" spans="5:20" x14ac:dyDescent="0.2">
      <c r="E1068" s="352"/>
    </row>
    <row r="1069" spans="5:20" x14ac:dyDescent="0.2">
      <c r="E1069" s="352"/>
    </row>
    <row r="1070" spans="5:20" x14ac:dyDescent="0.2">
      <c r="E1070" s="352" t="s">
        <v>255</v>
      </c>
    </row>
    <row r="1071" spans="5:20" x14ac:dyDescent="0.2">
      <c r="E1071" s="352"/>
    </row>
    <row r="1072" spans="5:20" x14ac:dyDescent="0.2">
      <c r="E1072" s="352"/>
    </row>
    <row r="1073" spans="5:5" x14ac:dyDescent="0.2">
      <c r="E1073" s="352"/>
    </row>
    <row r="1074" spans="5:5" x14ac:dyDescent="0.2">
      <c r="E1074" s="352"/>
    </row>
    <row r="1075" spans="5:5" x14ac:dyDescent="0.2">
      <c r="E1075" s="352" t="s">
        <v>267</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85725</xdr:rowOff>
              </from>
              <to>
                <xdr:col>20</xdr:col>
                <xdr:colOff>228600</xdr:colOff>
                <xdr:row>1013</xdr:row>
                <xdr:rowOff>19050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19050</xdr:colOff>
                <xdr:row>1024</xdr:row>
                <xdr:rowOff>133350</xdr:rowOff>
              </from>
              <to>
                <xdr:col>25</xdr:col>
                <xdr:colOff>361950</xdr:colOff>
                <xdr:row>1026</xdr:row>
                <xdr:rowOff>66675</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200025</xdr:colOff>
                <xdr:row>1006</xdr:row>
                <xdr:rowOff>19050</xdr:rowOff>
              </from>
              <to>
                <xdr:col>24</xdr:col>
                <xdr:colOff>123825</xdr:colOff>
                <xdr:row>1007</xdr:row>
                <xdr:rowOff>85725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142875</xdr:rowOff>
              </from>
              <to>
                <xdr:col>10</xdr:col>
                <xdr:colOff>466725</xdr:colOff>
                <xdr:row>1019</xdr:row>
                <xdr:rowOff>114300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152400</xdr:rowOff>
              </from>
              <to>
                <xdr:col>11</xdr:col>
                <xdr:colOff>209550</xdr:colOff>
                <xdr:row>1016</xdr:row>
                <xdr:rowOff>57150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66675</xdr:rowOff>
              </from>
              <to>
                <xdr:col>11</xdr:col>
                <xdr:colOff>190500</xdr:colOff>
                <xdr:row>1017</xdr:row>
                <xdr:rowOff>133350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57150</xdr:rowOff>
              </from>
              <to>
                <xdr:col>17</xdr:col>
                <xdr:colOff>219075</xdr:colOff>
                <xdr:row>1024</xdr:row>
                <xdr:rowOff>142875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190500</xdr:colOff>
                <xdr:row>1010</xdr:row>
                <xdr:rowOff>76200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85725</xdr:rowOff>
              </from>
              <to>
                <xdr:col>12</xdr:col>
                <xdr:colOff>190500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85725</xdr:rowOff>
              </from>
              <to>
                <xdr:col>3</xdr:col>
                <xdr:colOff>428625</xdr:colOff>
                <xdr:row>1007</xdr:row>
                <xdr:rowOff>152400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152400</xdr:rowOff>
              </from>
              <to>
                <xdr:col>16</xdr:col>
                <xdr:colOff>0</xdr:colOff>
                <xdr:row>1026</xdr:row>
                <xdr:rowOff>123825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19050</xdr:colOff>
                <xdr:row>1014</xdr:row>
                <xdr:rowOff>95250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314325</xdr:colOff>
                <xdr:row>1006</xdr:row>
                <xdr:rowOff>76200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152400</xdr:colOff>
                <xdr:row>1014</xdr:row>
                <xdr:rowOff>142875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857250</xdr:colOff>
                <xdr:row>1019</xdr:row>
                <xdr:rowOff>114300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123825</xdr:rowOff>
              </from>
              <to>
                <xdr:col>20</xdr:col>
                <xdr:colOff>457200</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142875</xdr:colOff>
                <xdr:row>1019</xdr:row>
                <xdr:rowOff>114300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104775</xdr:rowOff>
              </from>
              <to>
                <xdr:col>37</xdr:col>
                <xdr:colOff>228600</xdr:colOff>
                <xdr:row>1010</xdr:row>
                <xdr:rowOff>66675</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76200</xdr:rowOff>
              </from>
              <to>
                <xdr:col>35</xdr:col>
                <xdr:colOff>581025</xdr:colOff>
                <xdr:row>1013</xdr:row>
                <xdr:rowOff>38100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19050</xdr:rowOff>
              </from>
              <to>
                <xdr:col>11</xdr:col>
                <xdr:colOff>438150</xdr:colOff>
                <xdr:row>1038</xdr:row>
                <xdr:rowOff>19050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19050</xdr:rowOff>
              </from>
              <to>
                <xdr:col>12</xdr:col>
                <xdr:colOff>28575</xdr:colOff>
                <xdr:row>1043</xdr:row>
                <xdr:rowOff>19050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104775</xdr:rowOff>
              </from>
              <to>
                <xdr:col>20</xdr:col>
                <xdr:colOff>266700</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200025</xdr:colOff>
                <xdr:row>1007</xdr:row>
                <xdr:rowOff>95250</xdr:rowOff>
              </from>
              <to>
                <xdr:col>32</xdr:col>
                <xdr:colOff>133350</xdr:colOff>
                <xdr:row>1010</xdr:row>
                <xdr:rowOff>76200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266700</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38100</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533400</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85725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304800</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323850</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333375</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19050</xdr:colOff>
                <xdr:row>1022</xdr:row>
                <xdr:rowOff>47625</xdr:rowOff>
              </from>
              <to>
                <xdr:col>32</xdr:col>
                <xdr:colOff>209550</xdr:colOff>
                <xdr:row>1024</xdr:row>
                <xdr:rowOff>114300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19050</xdr:rowOff>
              </from>
              <to>
                <xdr:col>36</xdr:col>
                <xdr:colOff>133350</xdr:colOff>
                <xdr:row>1020</xdr:row>
                <xdr:rowOff>19050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561975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38100</xdr:rowOff>
              </from>
              <to>
                <xdr:col>35</xdr:col>
                <xdr:colOff>104775</xdr:colOff>
                <xdr:row>1023</xdr:row>
                <xdr:rowOff>38100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57150</xdr:rowOff>
              </from>
              <to>
                <xdr:col>36</xdr:col>
                <xdr:colOff>38100</xdr:colOff>
                <xdr:row>1026</xdr:row>
                <xdr:rowOff>57150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276225</xdr:colOff>
                <xdr:row>1051</xdr:row>
                <xdr:rowOff>76200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2.75" x14ac:dyDescent="0.2"/>
  <cols>
    <col min="1" max="1" width="2.140625" customWidth="1"/>
    <col min="2" max="2" width="16.28515625" customWidth="1"/>
    <col min="3" max="4" width="11.42578125" customWidth="1"/>
  </cols>
  <sheetData>
    <row r="1" spans="1:13" x14ac:dyDescent="0.2">
      <c r="A1" s="72"/>
      <c r="B1" s="73"/>
      <c r="C1" s="74"/>
      <c r="D1" s="73"/>
      <c r="E1" s="94"/>
      <c r="F1" s="94"/>
      <c r="G1" s="94"/>
      <c r="H1" s="94"/>
      <c r="I1" s="94"/>
      <c r="J1" s="94"/>
      <c r="K1" s="94"/>
      <c r="L1" s="94"/>
      <c r="M1" s="95"/>
    </row>
    <row r="2" spans="1:13" ht="12.75" customHeight="1" x14ac:dyDescent="0.2">
      <c r="A2" s="77"/>
      <c r="B2" s="2"/>
      <c r="C2" s="701" t="s">
        <v>282</v>
      </c>
      <c r="D2" s="701"/>
      <c r="E2" s="81"/>
      <c r="F2" s="81"/>
      <c r="G2" s="81"/>
      <c r="H2" s="81"/>
      <c r="I2" s="81"/>
      <c r="J2" s="81"/>
      <c r="K2" s="81"/>
      <c r="L2" s="81"/>
      <c r="M2" s="97"/>
    </row>
    <row r="3" spans="1:13" ht="12.75" customHeight="1" x14ac:dyDescent="0.2">
      <c r="A3" s="77"/>
      <c r="B3" s="2"/>
      <c r="C3" s="701"/>
      <c r="D3" s="701"/>
      <c r="E3" s="81"/>
      <c r="F3" s="81"/>
      <c r="G3" s="81"/>
      <c r="H3" s="81"/>
      <c r="I3" s="81"/>
      <c r="J3" s="81"/>
      <c r="K3" s="81"/>
      <c r="L3" s="81"/>
      <c r="M3" s="97"/>
    </row>
    <row r="4" spans="1:13" x14ac:dyDescent="0.2">
      <c r="A4" s="77"/>
      <c r="B4" s="2"/>
      <c r="C4" s="705" t="str">
        <f>IF(Lang="Français","Abaques de performance",IF(Lang="English","Performance charts",""))</f>
        <v>Abaques de performance</v>
      </c>
      <c r="D4" s="705"/>
      <c r="E4" s="81"/>
      <c r="F4" s="81"/>
      <c r="G4" s="81"/>
      <c r="H4" s="81"/>
      <c r="I4" s="81"/>
      <c r="J4" s="81"/>
      <c r="K4" s="81"/>
      <c r="L4" s="81"/>
      <c r="M4" s="97"/>
    </row>
    <row r="5" spans="1:13" x14ac:dyDescent="0.2">
      <c r="A5" s="77"/>
      <c r="B5" s="2"/>
      <c r="C5" s="705" t="str">
        <f>IF(Lang="Français","Calcul analytique simple",IF(Lang="English","Analytical computation",""))</f>
        <v>Calcul analytique simple</v>
      </c>
      <c r="D5" s="705"/>
      <c r="E5" s="81"/>
      <c r="F5" s="81"/>
      <c r="G5" s="81"/>
      <c r="H5" s="81"/>
      <c r="I5" s="81"/>
      <c r="J5" s="81"/>
      <c r="K5" s="81"/>
      <c r="L5" s="81"/>
      <c r="M5" s="97"/>
    </row>
    <row r="6" spans="1:13" x14ac:dyDescent="0.2">
      <c r="A6" s="77"/>
      <c r="B6" s="111"/>
      <c r="C6" s="3"/>
      <c r="D6" s="3"/>
      <c r="E6" s="81"/>
      <c r="F6" s="81"/>
      <c r="G6" s="81"/>
      <c r="H6" s="81"/>
      <c r="I6" s="81"/>
      <c r="J6" s="81"/>
      <c r="K6" s="81"/>
      <c r="L6" s="81"/>
      <c r="M6" s="97"/>
    </row>
    <row r="7" spans="1:13" x14ac:dyDescent="0.2">
      <c r="A7" s="80"/>
      <c r="B7" s="8"/>
      <c r="C7" s="702" t="str">
        <f>IF(Lang="Français","Fusée",IF(Lang="English","Rocket",""))</f>
        <v>Fusée</v>
      </c>
      <c r="D7" s="702"/>
      <c r="E7" s="81"/>
      <c r="F7" s="81"/>
      <c r="G7" s="81"/>
      <c r="H7" s="81"/>
      <c r="I7" s="81"/>
      <c r="J7" s="81"/>
      <c r="K7" s="81"/>
      <c r="L7" s="81"/>
      <c r="M7" s="97"/>
    </row>
    <row r="8" spans="1:13" ht="15.75" x14ac:dyDescent="0.25">
      <c r="A8" s="80"/>
      <c r="B8" s="173" t="str">
        <f>IF(Lang="Français","Nom",IF(Lang="English","Name",""))</f>
        <v>Nom</v>
      </c>
      <c r="C8" s="703" t="str">
        <f>Nom</f>
        <v>Taranis</v>
      </c>
      <c r="D8" s="703"/>
      <c r="E8" s="81"/>
      <c r="F8" s="81"/>
      <c r="G8" s="81"/>
      <c r="H8" s="81"/>
      <c r="I8" s="81"/>
      <c r="J8" s="81"/>
      <c r="K8" s="81"/>
      <c r="L8" s="81"/>
      <c r="M8" s="97"/>
    </row>
    <row r="9" spans="1:13" ht="15.75" x14ac:dyDescent="0.25">
      <c r="A9" s="80"/>
      <c r="B9" s="173" t="s">
        <v>4</v>
      </c>
      <c r="C9" s="703" t="str">
        <f>Club</f>
        <v>Elisa Space</v>
      </c>
      <c r="D9" s="703"/>
      <c r="E9" s="81"/>
      <c r="F9" s="81"/>
      <c r="G9" s="81"/>
      <c r="H9" s="81"/>
      <c r="I9" s="81"/>
      <c r="J9" s="81"/>
      <c r="K9" s="81"/>
      <c r="L9" s="81"/>
      <c r="M9" s="97"/>
    </row>
    <row r="10" spans="1:13" x14ac:dyDescent="0.2">
      <c r="A10" s="80"/>
      <c r="B10" s="173" t="str">
        <f>IF(Lang="Français","Masse sans propu",IF(Lang="English","Mass without M",""))</f>
        <v>Masse sans propu</v>
      </c>
      <c r="C10" s="769">
        <f>MasseSans</f>
        <v>1.4787000000000001</v>
      </c>
      <c r="D10" s="769"/>
      <c r="E10" s="81"/>
      <c r="F10" s="81"/>
      <c r="G10" s="81"/>
      <c r="H10" s="81"/>
      <c r="I10" s="81"/>
      <c r="J10" s="81"/>
      <c r="K10" s="81"/>
      <c r="L10" s="81"/>
      <c r="M10" s="97"/>
    </row>
    <row r="11" spans="1:13" x14ac:dyDescent="0.2">
      <c r="A11" s="80"/>
      <c r="B11" s="173" t="str">
        <f>IF(Lang="Français","Masse totale",IF(Lang="English","Total mass",""))</f>
        <v>Masse totale</v>
      </c>
      <c r="C11" s="772" t="str">
        <f ca="1">MassePlein &amp; " kg ±" &amp; MasseSans &amp; " kg"</f>
        <v>1,6386 kg ±1,4787 kg</v>
      </c>
      <c r="D11" s="772"/>
      <c r="E11" s="81"/>
      <c r="F11" s="81"/>
      <c r="G11" s="81"/>
      <c r="H11" s="81"/>
      <c r="I11" s="81"/>
      <c r="J11" s="81"/>
      <c r="K11" s="81"/>
      <c r="L11" s="81"/>
      <c r="M11" s="97"/>
    </row>
    <row r="12" spans="1:13" x14ac:dyDescent="0.2">
      <c r="A12" s="80"/>
      <c r="B12" s="266" t="str">
        <f>IF(Lang="Français","Propulseur",IF(Lang="English","Motor",""))</f>
        <v>Propulseur</v>
      </c>
      <c r="C12" s="730" t="str">
        <f>Propu</f>
        <v>Pandora</v>
      </c>
      <c r="D12" s="731"/>
      <c r="E12" s="81"/>
      <c r="F12" s="81"/>
      <c r="G12" s="81"/>
      <c r="H12" s="81"/>
      <c r="I12" s="81"/>
      <c r="J12" s="81"/>
      <c r="K12" s="81"/>
      <c r="L12" s="81"/>
      <c r="M12" s="97"/>
    </row>
    <row r="13" spans="1:13" x14ac:dyDescent="0.2">
      <c r="A13" s="80"/>
      <c r="B13" s="3"/>
      <c r="C13" s="3"/>
      <c r="D13" s="3"/>
      <c r="E13" s="81"/>
      <c r="F13" s="81"/>
      <c r="G13" s="81"/>
      <c r="H13" s="81"/>
      <c r="I13" s="81"/>
      <c r="J13" s="81"/>
      <c r="K13" s="81"/>
      <c r="L13" s="81"/>
      <c r="M13" s="97"/>
    </row>
    <row r="14" spans="1:13" x14ac:dyDescent="0.2">
      <c r="A14" s="96"/>
      <c r="B14" s="81"/>
      <c r="C14" s="702" t="str">
        <f>IF(Lang="Français","Traînée Aérdynamique",IF(Lang="English","Drag",""))</f>
        <v>Traînée Aérdynamique</v>
      </c>
      <c r="D14" s="702"/>
      <c r="E14" s="81"/>
      <c r="F14" s="81"/>
      <c r="G14" s="81"/>
      <c r="H14" s="81"/>
      <c r="I14" s="81"/>
      <c r="J14" s="81"/>
      <c r="K14" s="81"/>
      <c r="L14" s="81"/>
      <c r="M14" s="97"/>
    </row>
    <row r="15" spans="1:13" x14ac:dyDescent="0.2">
      <c r="A15" s="96"/>
      <c r="B15" s="172" t="str">
        <f>IF(Lang="Français","Diamètre Ø",IF(Lang="English","Diameter Ø",""))</f>
        <v>Diamètre Ø</v>
      </c>
      <c r="C15" s="770">
        <f>D_ref</f>
        <v>60</v>
      </c>
      <c r="D15" s="770"/>
      <c r="E15" s="81"/>
      <c r="F15" s="81"/>
      <c r="G15" s="81"/>
      <c r="H15" s="81"/>
      <c r="I15" s="81"/>
      <c r="J15" s="81"/>
      <c r="K15" s="81"/>
      <c r="L15" s="81"/>
      <c r="M15" s="97"/>
    </row>
    <row r="16" spans="1:13" x14ac:dyDescent="0.2">
      <c r="A16" s="96"/>
      <c r="B16" s="173" t="s">
        <v>5</v>
      </c>
      <c r="C16" s="771">
        <f>Cx</f>
        <v>0.6</v>
      </c>
      <c r="D16" s="771"/>
      <c r="E16" s="81"/>
      <c r="F16" s="81"/>
      <c r="G16" s="81"/>
      <c r="H16" s="81"/>
      <c r="I16" s="81"/>
      <c r="J16" s="81"/>
      <c r="K16" s="81"/>
      <c r="L16" s="81"/>
      <c r="M16" s="97"/>
    </row>
    <row r="17" spans="1:13" x14ac:dyDescent="0.2">
      <c r="A17" s="96"/>
      <c r="B17" s="81"/>
      <c r="C17" s="81"/>
      <c r="D17" s="81"/>
      <c r="E17" s="81"/>
      <c r="F17" s="81"/>
      <c r="G17" s="81"/>
      <c r="H17" s="81"/>
      <c r="I17" s="81"/>
      <c r="J17" s="81"/>
      <c r="K17" s="81"/>
      <c r="L17" s="81"/>
      <c r="M17" s="97"/>
    </row>
    <row r="18" spans="1:13" x14ac:dyDescent="0.2">
      <c r="A18" s="96"/>
      <c r="B18" s="81"/>
      <c r="C18" s="81"/>
      <c r="D18" s="81"/>
      <c r="E18" s="81"/>
      <c r="F18" s="81"/>
      <c r="G18" s="81"/>
      <c r="H18" s="81"/>
      <c r="I18" s="81"/>
      <c r="J18" s="81"/>
      <c r="K18" s="81"/>
      <c r="L18" s="81"/>
      <c r="M18" s="97"/>
    </row>
    <row r="19" spans="1:13" x14ac:dyDescent="0.2">
      <c r="A19" s="96"/>
      <c r="B19" s="81"/>
      <c r="C19" s="81"/>
      <c r="D19" s="81"/>
      <c r="E19" s="81"/>
      <c r="F19" s="81"/>
      <c r="G19" s="81"/>
      <c r="H19" s="81"/>
      <c r="I19" s="81"/>
      <c r="J19" s="81"/>
      <c r="K19" s="81"/>
      <c r="L19" s="81"/>
      <c r="M19" s="97"/>
    </row>
    <row r="20" spans="1:13" x14ac:dyDescent="0.2">
      <c r="A20" s="96"/>
      <c r="B20" s="81"/>
      <c r="C20" s="81"/>
      <c r="D20" s="81"/>
      <c r="E20" s="81"/>
      <c r="F20" s="81"/>
      <c r="G20" s="81"/>
      <c r="H20" s="81"/>
      <c r="I20" s="81"/>
      <c r="J20" s="81"/>
      <c r="K20" s="81"/>
      <c r="L20" s="81"/>
      <c r="M20" s="97"/>
    </row>
    <row r="21" spans="1:13" x14ac:dyDescent="0.2">
      <c r="A21" s="96"/>
      <c r="B21" s="81"/>
      <c r="C21" s="81"/>
      <c r="D21" s="81"/>
      <c r="E21" s="81"/>
      <c r="F21" s="81"/>
      <c r="G21" s="81"/>
      <c r="H21" s="81"/>
      <c r="I21" s="81"/>
      <c r="J21" s="81"/>
      <c r="K21" s="81"/>
      <c r="L21" s="81"/>
      <c r="M21" s="97"/>
    </row>
    <row r="22" spans="1:13" x14ac:dyDescent="0.2">
      <c r="A22" s="96"/>
      <c r="B22" s="81"/>
      <c r="C22" s="81"/>
      <c r="D22" s="81"/>
      <c r="E22" s="81"/>
      <c r="F22" s="81"/>
      <c r="G22" s="81"/>
      <c r="H22" s="81"/>
      <c r="I22" s="81"/>
      <c r="J22" s="81"/>
      <c r="K22" s="81"/>
      <c r="L22" s="81"/>
      <c r="M22" s="97"/>
    </row>
    <row r="23" spans="1:13" x14ac:dyDescent="0.2">
      <c r="A23" s="96"/>
      <c r="B23" s="81"/>
      <c r="C23" s="81"/>
      <c r="D23" s="81"/>
      <c r="E23" s="81"/>
      <c r="F23" s="81"/>
      <c r="G23" s="81"/>
      <c r="H23" s="81"/>
      <c r="I23" s="81"/>
      <c r="J23" s="81"/>
      <c r="K23" s="81"/>
      <c r="L23" s="81"/>
      <c r="M23" s="97"/>
    </row>
    <row r="24" spans="1:13" x14ac:dyDescent="0.2">
      <c r="A24" s="96"/>
      <c r="B24" s="81"/>
      <c r="C24" s="81"/>
      <c r="D24" s="81"/>
      <c r="E24" s="81"/>
      <c r="F24" s="81"/>
      <c r="G24" s="81"/>
      <c r="H24" s="81"/>
      <c r="I24" s="81"/>
      <c r="J24" s="81"/>
      <c r="K24" s="81"/>
      <c r="L24" s="81"/>
      <c r="M24" s="97"/>
    </row>
    <row r="25" spans="1:13" x14ac:dyDescent="0.2">
      <c r="A25" s="96"/>
      <c r="B25" s="81"/>
      <c r="C25" s="81"/>
      <c r="D25" s="81"/>
      <c r="E25" s="81"/>
      <c r="F25" s="81"/>
      <c r="G25" s="81"/>
      <c r="H25" s="81"/>
      <c r="I25" s="81"/>
      <c r="J25" s="81"/>
      <c r="K25" s="81"/>
      <c r="L25" s="81"/>
      <c r="M25" s="97"/>
    </row>
    <row r="26" spans="1:13" x14ac:dyDescent="0.2">
      <c r="A26" s="96"/>
      <c r="B26" s="81"/>
      <c r="C26" s="81"/>
      <c r="D26" s="81"/>
      <c r="E26" s="81"/>
      <c r="F26" s="81"/>
      <c r="G26" s="81"/>
      <c r="H26" s="81"/>
      <c r="I26" s="81"/>
      <c r="J26" s="81"/>
      <c r="K26" s="81"/>
      <c r="L26" s="81"/>
      <c r="M26" s="97"/>
    </row>
    <row r="27" spans="1:13" x14ac:dyDescent="0.2">
      <c r="A27" s="96"/>
      <c r="B27" s="81"/>
      <c r="C27" s="81"/>
      <c r="D27" s="81"/>
      <c r="E27" s="81"/>
      <c r="F27" s="81"/>
      <c r="G27" s="81"/>
      <c r="H27" s="81"/>
      <c r="I27" s="81"/>
      <c r="J27" s="81"/>
      <c r="K27" s="81"/>
      <c r="L27" s="81"/>
      <c r="M27" s="97"/>
    </row>
    <row r="28" spans="1:13" x14ac:dyDescent="0.2">
      <c r="A28" s="96"/>
      <c r="B28" s="81"/>
      <c r="C28" s="81"/>
      <c r="D28" s="81"/>
      <c r="E28" s="81"/>
      <c r="F28" s="81"/>
      <c r="G28" s="81"/>
      <c r="H28" s="81"/>
      <c r="I28" s="81"/>
      <c r="J28" s="81"/>
      <c r="K28" s="81"/>
      <c r="L28" s="81"/>
      <c r="M28" s="97"/>
    </row>
    <row r="29" spans="1:13" x14ac:dyDescent="0.2">
      <c r="A29" s="96"/>
      <c r="B29" s="81"/>
      <c r="C29" s="81"/>
      <c r="D29" s="81"/>
      <c r="E29" s="81"/>
      <c r="F29" s="81"/>
      <c r="G29" s="81"/>
      <c r="H29" s="81"/>
      <c r="I29" s="81"/>
      <c r="J29" s="81"/>
      <c r="K29" s="81"/>
      <c r="L29" s="81"/>
      <c r="M29" s="97"/>
    </row>
    <row r="30" spans="1:13" x14ac:dyDescent="0.2">
      <c r="A30" s="96"/>
      <c r="B30" s="81"/>
      <c r="C30" s="81"/>
      <c r="D30" s="81"/>
      <c r="E30" s="81"/>
      <c r="F30" s="81"/>
      <c r="G30" s="81"/>
      <c r="H30" s="81"/>
      <c r="I30" s="81"/>
      <c r="J30" s="81"/>
      <c r="K30" s="81"/>
      <c r="L30" s="81"/>
      <c r="M30" s="97"/>
    </row>
    <row r="31" spans="1:13" x14ac:dyDescent="0.2">
      <c r="A31" s="96"/>
      <c r="B31" s="81"/>
      <c r="C31" s="81"/>
      <c r="D31" s="81"/>
      <c r="E31" s="81"/>
      <c r="F31" s="81"/>
      <c r="G31" s="81"/>
      <c r="H31" s="81"/>
      <c r="I31" s="81"/>
      <c r="J31" s="81"/>
      <c r="K31" s="81"/>
      <c r="L31" s="81"/>
      <c r="M31" s="97"/>
    </row>
    <row r="32" spans="1:13" x14ac:dyDescent="0.2">
      <c r="A32" s="96"/>
      <c r="B32" s="81"/>
      <c r="C32" s="81"/>
      <c r="D32" s="81"/>
      <c r="E32" s="81"/>
      <c r="F32" s="81"/>
      <c r="G32" s="81"/>
      <c r="H32" s="81"/>
      <c r="I32" s="81"/>
      <c r="J32" s="81"/>
      <c r="K32" s="81"/>
      <c r="L32" s="81"/>
      <c r="M32" s="97"/>
    </row>
    <row r="33" spans="1:13" x14ac:dyDescent="0.2">
      <c r="A33" s="96"/>
      <c r="B33" s="81"/>
      <c r="C33" s="81"/>
      <c r="D33" s="81"/>
      <c r="E33" s="81"/>
      <c r="F33" s="81"/>
      <c r="G33" s="81"/>
      <c r="H33" s="81"/>
      <c r="I33" s="81"/>
      <c r="J33" s="81"/>
      <c r="K33" s="81"/>
      <c r="L33" s="81"/>
      <c r="M33" s="97"/>
    </row>
    <row r="34" spans="1:13" x14ac:dyDescent="0.2">
      <c r="A34" s="96"/>
      <c r="B34" s="81"/>
      <c r="C34" s="81"/>
      <c r="D34" s="81"/>
      <c r="E34" s="81"/>
      <c r="F34" s="81"/>
      <c r="G34" s="81"/>
      <c r="H34" s="81"/>
      <c r="I34" s="81"/>
      <c r="J34" s="81"/>
      <c r="K34" s="81"/>
      <c r="L34" s="81"/>
      <c r="M34" s="97"/>
    </row>
    <row r="35" spans="1:13" ht="13.5" thickBot="1" x14ac:dyDescent="0.25">
      <c r="A35" s="99"/>
      <c r="B35" s="102"/>
      <c r="C35" s="102"/>
      <c r="D35" s="102"/>
      <c r="E35" s="102"/>
      <c r="F35" s="102"/>
      <c r="G35" s="102"/>
      <c r="H35" s="102"/>
      <c r="I35" s="102"/>
      <c r="J35" s="102"/>
      <c r="K35" s="102"/>
      <c r="L35" s="102"/>
      <c r="M35" s="101"/>
    </row>
    <row r="39" spans="1:13" x14ac:dyDescent="0.2">
      <c r="B39" s="480" t="s">
        <v>64</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
      <c r="B41" s="489">
        <f t="shared" ref="B41:B49" ca="1" si="0">MAX(D_ref*0.5, Diam_propu)</f>
        <v>30</v>
      </c>
      <c r="C41" s="464">
        <f t="shared" ref="C41:C67" ca="1" si="1">1/2*Rho_moyen*PI()*D_var^2/4*Cx/10^6</f>
        <v>2.5977044254370604E-4</v>
      </c>
      <c r="D41" s="461">
        <f ca="1">MpropuPlein+0*MasseSans</f>
        <v>0.15989999999999999</v>
      </c>
      <c r="E41" s="461">
        <f t="shared" ref="E41:E67" ca="1" si="2">m_var - 0.5*m_poudre</f>
        <v>0.12209999999999999</v>
      </c>
      <c r="F41" s="461">
        <f t="shared" ref="F41:F67" ca="1" si="3">m_var - m_poudre</f>
        <v>8.43E-2</v>
      </c>
      <c r="G41" s="468">
        <f t="shared" ref="G41:G67" ca="1" si="4">MAX(0, (I_total/Temps_fin_propu)/m_prop-g)</f>
        <v>573.48238329238336</v>
      </c>
      <c r="H41" s="467">
        <f t="shared" ref="H41:H67" ca="1" si="5">Q_var/m_prop</f>
        <v>2.1275220519550047E-3</v>
      </c>
      <c r="I41" s="464">
        <f t="shared" ref="I41:I67" ca="1" si="6">Q_var/m_bal</f>
        <v>3.0814999115504867E-3</v>
      </c>
      <c r="J41" s="464">
        <f t="shared" ref="J41:J67" ca="1" si="7">1/(2*b_prop)*LN(  ((EXP(2*SQRT(a_prop*b_prop)*Temps_fin_propu)+1)^2)  /  (((1+1)^2)*EXP(2*SQRT(a_prop*b_prop)*Temps_fin_propu)))</f>
        <v>718.20393771923682</v>
      </c>
      <c r="K41" s="471">
        <f t="shared" ref="K41:K67" ca="1" si="8">SQRT(a_prop/b_prop)  *  (EXP(2*SQRT(a_prop*b_prop)*Temps_fin_propu)-1)/(EXP(2*SQRT(a_prop*b_prop)*Temps_fin_propu)+1)</f>
        <v>506.81809358122507</v>
      </c>
      <c r="L41" s="474">
        <f t="shared" ref="L41:L67" ca="1" si="9">alt_prop + 1/(2*b_bal) * LN(1+b_bal/g*V_prop^2)</f>
        <v>1432.6094072368428</v>
      </c>
      <c r="M41" s="477">
        <f t="shared" ref="M41:M67" ca="1" si="10">Temps_fin_propu + ATAN(SQRT(b_bal/g)*V_prop)/SQRT(b_bal*g)</f>
        <v>10.396826033513006</v>
      </c>
    </row>
    <row r="42" spans="1:13" x14ac:dyDescent="0.2">
      <c r="B42" s="490">
        <f t="shared" ca="1" si="0"/>
        <v>30</v>
      </c>
      <c r="C42" s="465">
        <f t="shared" ca="1" si="1"/>
        <v>2.5977044254370604E-4</v>
      </c>
      <c r="D42" s="462">
        <f ca="1">MpropuPlein+0.25*MasseSans</f>
        <v>0.52957500000000002</v>
      </c>
      <c r="E42" s="462">
        <f t="shared" ca="1" si="2"/>
        <v>0.49177500000000002</v>
      </c>
      <c r="F42" s="462">
        <f t="shared" ca="1" si="3"/>
        <v>0.45397500000000002</v>
      </c>
      <c r="G42" s="469">
        <f t="shared" ca="1" si="4"/>
        <v>135.01232728381882</v>
      </c>
      <c r="H42" s="465">
        <f t="shared" ca="1" si="5"/>
        <v>5.2823027307957098E-4</v>
      </c>
      <c r="I42" s="465">
        <f t="shared" ca="1" si="6"/>
        <v>5.7221310103795591E-4</v>
      </c>
      <c r="J42" s="465">
        <f t="shared" ca="1" si="7"/>
        <v>258.08551315853475</v>
      </c>
      <c r="K42" s="472">
        <f t="shared" ca="1" si="8"/>
        <v>246.97464102733244</v>
      </c>
      <c r="L42" s="475">
        <f t="shared" ca="1" si="9"/>
        <v>1583.5196818878599</v>
      </c>
      <c r="M42" s="478">
        <f t="shared" ca="1" si="10"/>
        <v>16.459121567323237</v>
      </c>
    </row>
    <row r="43" spans="1:13" x14ac:dyDescent="0.2">
      <c r="B43" s="490">
        <f t="shared" ca="1" si="0"/>
        <v>30</v>
      </c>
      <c r="C43" s="465">
        <f t="shared" ca="1" si="1"/>
        <v>2.5977044254370604E-4</v>
      </c>
      <c r="D43" s="462">
        <f ca="1">MpropuPlein+0.5*MasseSans</f>
        <v>0.8992500000000001</v>
      </c>
      <c r="E43" s="462">
        <f t="shared" ca="1" si="2"/>
        <v>0.86145000000000016</v>
      </c>
      <c r="F43" s="462">
        <f t="shared" ca="1" si="3"/>
        <v>0.8236500000000001</v>
      </c>
      <c r="G43" s="469">
        <f t="shared" ca="1" si="4"/>
        <v>72.864560334320018</v>
      </c>
      <c r="H43" s="465">
        <f t="shared" ca="1" si="5"/>
        <v>3.0155022641326366E-4</v>
      </c>
      <c r="I43" s="465">
        <f t="shared" ca="1" si="6"/>
        <v>3.1538935536175078E-4</v>
      </c>
      <c r="J43" s="465">
        <f t="shared" ca="1" si="7"/>
        <v>143.64318166644159</v>
      </c>
      <c r="K43" s="472">
        <f t="shared" ca="1" si="8"/>
        <v>141.60471332467094</v>
      </c>
      <c r="L43" s="475">
        <f t="shared" ca="1" si="9"/>
        <v>932.40811780667696</v>
      </c>
      <c r="M43" s="478">
        <f t="shared" ca="1" si="10"/>
        <v>14.162361377802677</v>
      </c>
    </row>
    <row r="44" spans="1:13" x14ac:dyDescent="0.2">
      <c r="B44" s="490">
        <f t="shared" ca="1" si="0"/>
        <v>30</v>
      </c>
      <c r="C44" s="465">
        <f t="shared" ca="1" si="1"/>
        <v>2.5977044254370604E-4</v>
      </c>
      <c r="D44" s="462">
        <f ca="1">MpropuPlein+0.75*MasseSans</f>
        <v>1.2689250000000001</v>
      </c>
      <c r="E44" s="462">
        <f t="shared" ca="1" si="2"/>
        <v>1.231125</v>
      </c>
      <c r="F44" s="462">
        <f t="shared" ca="1" si="3"/>
        <v>1.1933250000000002</v>
      </c>
      <c r="G44" s="469">
        <f t="shared" ca="1" si="4"/>
        <v>48.039527870849831</v>
      </c>
      <c r="H44" s="465">
        <f t="shared" ca="1" si="5"/>
        <v>2.1100249165901597E-4</v>
      </c>
      <c r="I44" s="465">
        <f t="shared" ca="1" si="6"/>
        <v>2.1768624854394736E-4</v>
      </c>
      <c r="J44" s="465">
        <f t="shared" ca="1" si="7"/>
        <v>95.436722807992794</v>
      </c>
      <c r="K44" s="472">
        <f t="shared" ca="1" si="8"/>
        <v>94.801240435153687</v>
      </c>
      <c r="L44" s="475">
        <f t="shared" ca="1" si="9"/>
        <v>513.1164531873377</v>
      </c>
      <c r="M44" s="478">
        <f t="shared" ca="1" si="10"/>
        <v>11.088703642688044</v>
      </c>
    </row>
    <row r="45" spans="1:13" x14ac:dyDescent="0.2">
      <c r="B45" s="490">
        <f t="shared" ca="1" si="0"/>
        <v>30</v>
      </c>
      <c r="C45" s="465">
        <f t="shared" ca="1" si="1"/>
        <v>2.5977044254370604E-4</v>
      </c>
      <c r="D45" s="462">
        <f ca="1">MpropuPlein+1*MasseSans</f>
        <v>1.6386000000000001</v>
      </c>
      <c r="E45" s="462">
        <f t="shared" ca="1" si="2"/>
        <v>1.6008</v>
      </c>
      <c r="F45" s="462">
        <f t="shared" ca="1" si="3"/>
        <v>1.5630000000000002</v>
      </c>
      <c r="G45" s="469">
        <f t="shared" ca="1" si="4"/>
        <v>34.680254872563715</v>
      </c>
      <c r="H45" s="465">
        <f t="shared" ca="1" si="5"/>
        <v>1.622753888953686E-4</v>
      </c>
      <c r="I45" s="465">
        <f t="shared" ca="1" si="6"/>
        <v>1.6619989926020857E-4</v>
      </c>
      <c r="J45" s="465">
        <f t="shared" ca="1" si="7"/>
        <v>69.101832128197358</v>
      </c>
      <c r="K45" s="472">
        <f t="shared" ca="1" si="8"/>
        <v>68.844695531061802</v>
      </c>
      <c r="L45" s="475">
        <f t="shared" ca="1" si="9"/>
        <v>301.46233575352176</v>
      </c>
      <c r="M45" s="478">
        <f t="shared" ca="1" si="10"/>
        <v>8.8385312535044669</v>
      </c>
    </row>
    <row r="46" spans="1:13" x14ac:dyDescent="0.2">
      <c r="B46" s="490">
        <f t="shared" ca="1" si="0"/>
        <v>30</v>
      </c>
      <c r="C46" s="465">
        <f t="shared" ca="1" si="1"/>
        <v>2.5977044254370604E-4</v>
      </c>
      <c r="D46" s="462">
        <f ca="1">MpropuPlein+1.25*MasseSans</f>
        <v>2.0082750000000003</v>
      </c>
      <c r="E46" s="462">
        <f t="shared" ca="1" si="2"/>
        <v>1.9704750000000002</v>
      </c>
      <c r="F46" s="462">
        <f t="shared" ca="1" si="3"/>
        <v>1.9326750000000004</v>
      </c>
      <c r="G46" s="469">
        <f t="shared" ca="1" si="4"/>
        <v>26.333569443915799</v>
      </c>
      <c r="H46" s="465">
        <f t="shared" ca="1" si="5"/>
        <v>1.3183138204935665E-4</v>
      </c>
      <c r="I46" s="465">
        <f t="shared" ca="1" si="6"/>
        <v>1.3440979085656201E-4</v>
      </c>
      <c r="J46" s="465">
        <f t="shared" ca="1" si="7"/>
        <v>52.545695860115742</v>
      </c>
      <c r="K46" s="472">
        <f t="shared" ca="1" si="8"/>
        <v>52.424700424053462</v>
      </c>
      <c r="L46" s="475">
        <f t="shared" ca="1" si="9"/>
        <v>190.05164650969181</v>
      </c>
      <c r="M46" s="478">
        <f t="shared" ca="1" si="10"/>
        <v>7.2784041766116099</v>
      </c>
    </row>
    <row r="47" spans="1:13" x14ac:dyDescent="0.2">
      <c r="B47" s="490">
        <f t="shared" ca="1" si="0"/>
        <v>30</v>
      </c>
      <c r="C47" s="465">
        <f t="shared" ca="1" si="1"/>
        <v>2.5977044254370604E-4</v>
      </c>
      <c r="D47" s="462">
        <f ca="1">MpropuPlein+1.5*MasseSans</f>
        <v>2.3779500000000002</v>
      </c>
      <c r="E47" s="462">
        <f t="shared" ca="1" si="2"/>
        <v>2.3401500000000004</v>
      </c>
      <c r="F47" s="462">
        <f t="shared" ca="1" si="3"/>
        <v>2.3023500000000001</v>
      </c>
      <c r="G47" s="469">
        <f t="shared" ca="1" si="4"/>
        <v>20.623946541888337</v>
      </c>
      <c r="H47" s="465">
        <f t="shared" ca="1" si="5"/>
        <v>1.1100589387163472E-4</v>
      </c>
      <c r="I47" s="465">
        <f t="shared" ca="1" si="6"/>
        <v>1.1282838949061004E-4</v>
      </c>
      <c r="J47" s="465">
        <f t="shared" ca="1" si="7"/>
        <v>41.185091669517242</v>
      </c>
      <c r="K47" s="472">
        <f t="shared" ca="1" si="8"/>
        <v>41.122443140035116</v>
      </c>
      <c r="L47" s="475">
        <f t="shared" ca="1" si="9"/>
        <v>126.54800986615251</v>
      </c>
      <c r="M47" s="478">
        <f t="shared" ca="1" si="10"/>
        <v>6.1650263851646478</v>
      </c>
    </row>
    <row r="48" spans="1:13" x14ac:dyDescent="0.2">
      <c r="B48" s="490">
        <f t="shared" ca="1" si="0"/>
        <v>30</v>
      </c>
      <c r="C48" s="465">
        <f t="shared" ca="1" si="1"/>
        <v>2.5977044254370604E-4</v>
      </c>
      <c r="D48" s="462">
        <f ca="1">MpropuPlein+1.75*MasseSans</f>
        <v>2.7476250000000002</v>
      </c>
      <c r="E48" s="462">
        <f t="shared" ca="1" si="2"/>
        <v>2.7098250000000004</v>
      </c>
      <c r="F48" s="462">
        <f t="shared" ca="1" si="3"/>
        <v>2.6720250000000001</v>
      </c>
      <c r="G48" s="469">
        <f t="shared" ca="1" si="4"/>
        <v>16.472139990589795</v>
      </c>
      <c r="H48" s="465">
        <f t="shared" ca="1" si="5"/>
        <v>9.5862442240257582E-5</v>
      </c>
      <c r="I48" s="465">
        <f t="shared" ca="1" si="6"/>
        <v>9.7218567395030377E-5</v>
      </c>
      <c r="J48" s="465">
        <f t="shared" ca="1" si="7"/>
        <v>32.909657629390168</v>
      </c>
      <c r="K48" s="472">
        <f t="shared" ca="1" si="8"/>
        <v>32.875093467952674</v>
      </c>
      <c r="L48" s="475">
        <f t="shared" ca="1" si="9"/>
        <v>87.701956642433387</v>
      </c>
      <c r="M48" s="478">
        <f t="shared" ca="1" si="10"/>
        <v>5.3392937049278721</v>
      </c>
    </row>
    <row r="49" spans="2:13" x14ac:dyDescent="0.2">
      <c r="B49" s="491">
        <f t="shared" ca="1" si="0"/>
        <v>30</v>
      </c>
      <c r="C49" s="466">
        <f t="shared" ca="1" si="1"/>
        <v>2.5977044254370604E-4</v>
      </c>
      <c r="D49" s="463">
        <f ca="1">MpropuPlein+2*MasseSans</f>
        <v>3.1173000000000002</v>
      </c>
      <c r="E49" s="463">
        <f t="shared" ca="1" si="2"/>
        <v>3.0795000000000003</v>
      </c>
      <c r="F49" s="463">
        <f t="shared" ca="1" si="3"/>
        <v>3.0417000000000001</v>
      </c>
      <c r="G49" s="470">
        <f t="shared" ca="1" si="4"/>
        <v>13.317131027764242</v>
      </c>
      <c r="H49" s="466">
        <f t="shared" ca="1" si="5"/>
        <v>8.4354746726321157E-5</v>
      </c>
      <c r="I49" s="466">
        <f t="shared" ca="1" si="6"/>
        <v>8.5403045186476653E-5</v>
      </c>
      <c r="J49" s="466">
        <f t="shared" ca="1" si="7"/>
        <v>26.614339290605361</v>
      </c>
      <c r="K49" s="473">
        <f t="shared" ca="1" si="8"/>
        <v>26.594440361757442</v>
      </c>
      <c r="L49" s="476">
        <f t="shared" ca="1" si="9"/>
        <v>62.55194159136181</v>
      </c>
      <c r="M49" s="479">
        <f t="shared" ca="1" si="10"/>
        <v>4.7054085979015108</v>
      </c>
    </row>
    <row r="50" spans="2:13" x14ac:dyDescent="0.2">
      <c r="B50" s="489">
        <f t="shared" ref="B50:B58" si="11">D_ref</f>
        <v>60</v>
      </c>
      <c r="C50" s="464">
        <f t="shared" si="1"/>
        <v>1.0390817701748242E-3</v>
      </c>
      <c r="D50" s="461">
        <f ca="1">MpropuPlein+0*MasseSans</f>
        <v>0.15989999999999999</v>
      </c>
      <c r="E50" s="461">
        <f t="shared" ca="1" si="2"/>
        <v>0.12209999999999999</v>
      </c>
      <c r="F50" s="461">
        <f t="shared" ca="1" si="3"/>
        <v>8.43E-2</v>
      </c>
      <c r="G50" s="468">
        <f t="shared" ca="1" si="4"/>
        <v>573.48238329238336</v>
      </c>
      <c r="H50" s="464">
        <f t="shared" ca="1" si="5"/>
        <v>8.5100882078200189E-3</v>
      </c>
      <c r="I50" s="464">
        <f t="shared" ca="1" si="6"/>
        <v>1.2325999646201947E-2</v>
      </c>
      <c r="J50" s="464">
        <f t="shared" ca="1" si="7"/>
        <v>437.75305440442361</v>
      </c>
      <c r="K50" s="471">
        <f t="shared" ca="1" si="8"/>
        <v>259.51758722158786</v>
      </c>
      <c r="L50" s="474">
        <f t="shared" ca="1" si="9"/>
        <v>618.26377293754024</v>
      </c>
      <c r="M50" s="477">
        <f t="shared" ca="1" si="10"/>
        <v>6.2058586412338492</v>
      </c>
    </row>
    <row r="51" spans="2:13" x14ac:dyDescent="0.2">
      <c r="B51" s="490">
        <f t="shared" si="11"/>
        <v>60</v>
      </c>
      <c r="C51" s="465">
        <f t="shared" si="1"/>
        <v>1.0390817701748242E-3</v>
      </c>
      <c r="D51" s="462">
        <f ca="1">MpropuPlein+0.25*MasseSans</f>
        <v>0.52957500000000002</v>
      </c>
      <c r="E51" s="462">
        <f t="shared" ca="1" si="2"/>
        <v>0.49177500000000002</v>
      </c>
      <c r="F51" s="462">
        <f t="shared" ca="1" si="3"/>
        <v>0.45397500000000002</v>
      </c>
      <c r="G51" s="469">
        <f t="shared" ca="1" si="4"/>
        <v>135.01232728381882</v>
      </c>
      <c r="H51" s="465">
        <f t="shared" ca="1" si="5"/>
        <v>2.1129210923182839E-3</v>
      </c>
      <c r="I51" s="465">
        <f t="shared" ca="1" si="6"/>
        <v>2.2888524041518236E-3</v>
      </c>
      <c r="J51" s="465">
        <f t="shared" ca="1" si="7"/>
        <v>230.33335330260229</v>
      </c>
      <c r="K51" s="472">
        <f t="shared" ca="1" si="8"/>
        <v>199.39078148325677</v>
      </c>
      <c r="L51" s="475">
        <f t="shared" ca="1" si="9"/>
        <v>739.27995837169669</v>
      </c>
      <c r="M51" s="478">
        <f t="shared" ca="1" si="10"/>
        <v>10.365613889359199</v>
      </c>
    </row>
    <row r="52" spans="2:13" x14ac:dyDescent="0.2">
      <c r="B52" s="490">
        <f t="shared" si="11"/>
        <v>60</v>
      </c>
      <c r="C52" s="465">
        <f t="shared" si="1"/>
        <v>1.0390817701748242E-3</v>
      </c>
      <c r="D52" s="462">
        <f ca="1">MpropuPlein+0.5*MasseSans</f>
        <v>0.8992500000000001</v>
      </c>
      <c r="E52" s="462">
        <f t="shared" ca="1" si="2"/>
        <v>0.86145000000000016</v>
      </c>
      <c r="F52" s="462">
        <f t="shared" ca="1" si="3"/>
        <v>0.8236500000000001</v>
      </c>
      <c r="G52" s="469">
        <f t="shared" ca="1" si="4"/>
        <v>72.864560334320018</v>
      </c>
      <c r="H52" s="465">
        <f t="shared" ca="1" si="5"/>
        <v>1.2062009056530547E-3</v>
      </c>
      <c r="I52" s="465">
        <f t="shared" ca="1" si="6"/>
        <v>1.2615574214470031E-3</v>
      </c>
      <c r="J52" s="465">
        <f t="shared" ca="1" si="7"/>
        <v>137.91419916228415</v>
      </c>
      <c r="K52" s="472">
        <f t="shared" ca="1" si="8"/>
        <v>130.75410560508331</v>
      </c>
      <c r="L52" s="475">
        <f t="shared" ca="1" si="9"/>
        <v>598.74027356496958</v>
      </c>
      <c r="M52" s="478">
        <f t="shared" ca="1" si="10"/>
        <v>10.786313217519094</v>
      </c>
    </row>
    <row r="53" spans="2:13" x14ac:dyDescent="0.2">
      <c r="B53" s="490">
        <f t="shared" si="11"/>
        <v>60</v>
      </c>
      <c r="C53" s="465">
        <f t="shared" si="1"/>
        <v>1.0390817701748242E-3</v>
      </c>
      <c r="D53" s="462">
        <f ca="1">MpropuPlein+0.75*MasseSans</f>
        <v>1.2689250000000001</v>
      </c>
      <c r="E53" s="462">
        <f t="shared" ca="1" si="2"/>
        <v>1.231125</v>
      </c>
      <c r="F53" s="462">
        <f t="shared" ca="1" si="3"/>
        <v>1.1933250000000002</v>
      </c>
      <c r="G53" s="469">
        <f t="shared" ca="1" si="4"/>
        <v>48.039527870849831</v>
      </c>
      <c r="H53" s="465">
        <f t="shared" ca="1" si="5"/>
        <v>8.4400996663606389E-4</v>
      </c>
      <c r="I53" s="465">
        <f t="shared" ca="1" si="6"/>
        <v>8.7074499417578945E-4</v>
      </c>
      <c r="J53" s="465">
        <f t="shared" ca="1" si="7"/>
        <v>93.589051145668506</v>
      </c>
      <c r="K53" s="472">
        <f t="shared" ca="1" si="8"/>
        <v>91.201119718124886</v>
      </c>
      <c r="L53" s="475">
        <f t="shared" ca="1" si="9"/>
        <v>411.07425734882645</v>
      </c>
      <c r="M53" s="478">
        <f t="shared" ca="1" si="10"/>
        <v>9.6802341462397692</v>
      </c>
    </row>
    <row r="54" spans="2:13" x14ac:dyDescent="0.2">
      <c r="B54" s="490">
        <f t="shared" si="11"/>
        <v>60</v>
      </c>
      <c r="C54" s="465">
        <f t="shared" si="1"/>
        <v>1.0390817701748242E-3</v>
      </c>
      <c r="D54" s="462">
        <f ca="1">MpropuPlein+1*MasseSans</f>
        <v>1.6386000000000001</v>
      </c>
      <c r="E54" s="462">
        <f t="shared" ca="1" si="2"/>
        <v>1.6008</v>
      </c>
      <c r="F54" s="462">
        <f t="shared" ca="1" si="3"/>
        <v>1.5630000000000002</v>
      </c>
      <c r="G54" s="469">
        <f t="shared" ca="1" si="4"/>
        <v>34.680254872563715</v>
      </c>
      <c r="H54" s="465">
        <f t="shared" ca="1" si="5"/>
        <v>6.491015555814744E-4</v>
      </c>
      <c r="I54" s="465">
        <f t="shared" ca="1" si="6"/>
        <v>6.647995970408343E-4</v>
      </c>
      <c r="J54" s="465">
        <f t="shared" ca="1" si="7"/>
        <v>68.343923477928612</v>
      </c>
      <c r="K54" s="472">
        <f t="shared" ca="1" si="8"/>
        <v>67.351022503481403</v>
      </c>
      <c r="L54" s="475">
        <f t="shared" ca="1" si="9"/>
        <v>269.94138579027918</v>
      </c>
      <c r="M54" s="478">
        <f t="shared" ca="1" si="10"/>
        <v>8.2687630045644323</v>
      </c>
    </row>
    <row r="55" spans="2:13" x14ac:dyDescent="0.2">
      <c r="B55" s="490">
        <f t="shared" si="11"/>
        <v>60</v>
      </c>
      <c r="C55" s="465">
        <f t="shared" si="1"/>
        <v>1.0390817701748242E-3</v>
      </c>
      <c r="D55" s="462">
        <f ca="1">MpropuPlein+1.25*MasseSans</f>
        <v>2.0082750000000003</v>
      </c>
      <c r="E55" s="462">
        <f t="shared" ca="1" si="2"/>
        <v>1.9704750000000002</v>
      </c>
      <c r="F55" s="462">
        <f t="shared" ca="1" si="3"/>
        <v>1.9326750000000004</v>
      </c>
      <c r="G55" s="469">
        <f t="shared" ca="1" si="4"/>
        <v>26.333569443915799</v>
      </c>
      <c r="H55" s="465">
        <f t="shared" ca="1" si="5"/>
        <v>5.2732552819742659E-4</v>
      </c>
      <c r="I55" s="465">
        <f t="shared" ca="1" si="6"/>
        <v>5.3763916342624803E-4</v>
      </c>
      <c r="J55" s="465">
        <f t="shared" ca="1" si="7"/>
        <v>52.186671189408258</v>
      </c>
      <c r="K55" s="472">
        <f t="shared" ca="1" si="8"/>
        <v>51.713188301802106</v>
      </c>
      <c r="L55" s="475">
        <f t="shared" ca="1" si="9"/>
        <v>179.38055102904428</v>
      </c>
      <c r="M55" s="478">
        <f t="shared" ca="1" si="10"/>
        <v>7.0344598858633587</v>
      </c>
    </row>
    <row r="56" spans="2:13" x14ac:dyDescent="0.2">
      <c r="B56" s="490">
        <f t="shared" si="11"/>
        <v>60</v>
      </c>
      <c r="C56" s="465">
        <f t="shared" si="1"/>
        <v>1.0390817701748242E-3</v>
      </c>
      <c r="D56" s="462">
        <f ca="1">MpropuPlein+1.5*MasseSans</f>
        <v>2.3779500000000002</v>
      </c>
      <c r="E56" s="462">
        <f t="shared" ca="1" si="2"/>
        <v>2.3401500000000004</v>
      </c>
      <c r="F56" s="462">
        <f t="shared" ca="1" si="3"/>
        <v>2.3023500000000001</v>
      </c>
      <c r="G56" s="469">
        <f t="shared" ca="1" si="4"/>
        <v>20.623946541888337</v>
      </c>
      <c r="H56" s="465">
        <f t="shared" ca="1" si="5"/>
        <v>4.4402357548653889E-4</v>
      </c>
      <c r="I56" s="465">
        <f t="shared" ca="1" si="6"/>
        <v>4.5131355796244015E-4</v>
      </c>
      <c r="J56" s="465">
        <f t="shared" ca="1" si="7"/>
        <v>40.998506928705105</v>
      </c>
      <c r="K56" s="472">
        <f t="shared" ca="1" si="8"/>
        <v>40.751526799601379</v>
      </c>
      <c r="L56" s="475">
        <f t="shared" ca="1" si="9"/>
        <v>122.5634820666962</v>
      </c>
      <c r="M56" s="478">
        <f t="shared" ca="1" si="10"/>
        <v>6.0528883856479485</v>
      </c>
    </row>
    <row r="57" spans="2:13" x14ac:dyDescent="0.2">
      <c r="B57" s="490">
        <f t="shared" si="11"/>
        <v>60</v>
      </c>
      <c r="C57" s="465">
        <f t="shared" si="1"/>
        <v>1.0390817701748242E-3</v>
      </c>
      <c r="D57" s="462">
        <f ca="1">MpropuPlein+1.75*MasseSans</f>
        <v>2.7476250000000002</v>
      </c>
      <c r="E57" s="462">
        <f t="shared" ca="1" si="2"/>
        <v>2.7098250000000004</v>
      </c>
      <c r="F57" s="462">
        <f t="shared" ca="1" si="3"/>
        <v>2.6720250000000001</v>
      </c>
      <c r="G57" s="469">
        <f t="shared" ca="1" si="4"/>
        <v>16.472139990589795</v>
      </c>
      <c r="H57" s="465">
        <f t="shared" ca="1" si="5"/>
        <v>3.8344976896103033E-4</v>
      </c>
      <c r="I57" s="465">
        <f t="shared" ca="1" si="6"/>
        <v>3.8887426958012151E-4</v>
      </c>
      <c r="J57" s="465">
        <f t="shared" ca="1" si="7"/>
        <v>32.806484875149287</v>
      </c>
      <c r="K57" s="472">
        <f t="shared" ca="1" si="8"/>
        <v>32.669610225507931</v>
      </c>
      <c r="L57" s="475">
        <f t="shared" ca="1" si="9"/>
        <v>86.085928606648224</v>
      </c>
      <c r="M57" s="478">
        <f t="shared" ca="1" si="10"/>
        <v>5.2844270383242442</v>
      </c>
    </row>
    <row r="58" spans="2:13" x14ac:dyDescent="0.2">
      <c r="B58" s="491">
        <f t="shared" si="11"/>
        <v>60</v>
      </c>
      <c r="C58" s="466">
        <f t="shared" si="1"/>
        <v>1.0390817701748242E-3</v>
      </c>
      <c r="D58" s="463">
        <f ca="1">MpropuPlein+2*MasseSans</f>
        <v>3.1173000000000002</v>
      </c>
      <c r="E58" s="463">
        <f t="shared" ca="1" si="2"/>
        <v>3.0795000000000003</v>
      </c>
      <c r="F58" s="463">
        <f t="shared" ca="1" si="3"/>
        <v>3.0417000000000001</v>
      </c>
      <c r="G58" s="470">
        <f t="shared" ca="1" si="4"/>
        <v>13.317131027764242</v>
      </c>
      <c r="H58" s="466">
        <f t="shared" ca="1" si="5"/>
        <v>3.3741898690528463E-4</v>
      </c>
      <c r="I58" s="466">
        <f t="shared" ca="1" si="6"/>
        <v>3.4161218074590661E-4</v>
      </c>
      <c r="J58" s="466">
        <f t="shared" ca="1" si="7"/>
        <v>26.554855865173408</v>
      </c>
      <c r="K58" s="473">
        <f t="shared" ca="1" si="8"/>
        <v>26.475827955961254</v>
      </c>
      <c r="L58" s="476">
        <f t="shared" ca="1" si="9"/>
        <v>61.853068917945677</v>
      </c>
      <c r="M58" s="479">
        <f t="shared" ca="1" si="10"/>
        <v>4.6772177560027952</v>
      </c>
    </row>
    <row r="59" spans="2:13" x14ac:dyDescent="0.2">
      <c r="B59" s="489">
        <f t="shared" ref="B59:B67" si="12">D_ref*1.5</f>
        <v>90</v>
      </c>
      <c r="C59" s="464">
        <f t="shared" si="1"/>
        <v>2.3379339828933543E-3</v>
      </c>
      <c r="D59" s="461">
        <f ca="1">MpropuPlein+0*MasseSans</f>
        <v>0.15989999999999999</v>
      </c>
      <c r="E59" s="461">
        <f t="shared" ca="1" si="2"/>
        <v>0.12209999999999999</v>
      </c>
      <c r="F59" s="461">
        <f t="shared" ca="1" si="3"/>
        <v>8.43E-2</v>
      </c>
      <c r="G59" s="468">
        <f t="shared" ca="1" si="4"/>
        <v>573.48238329238336</v>
      </c>
      <c r="H59" s="464">
        <f t="shared" ca="1" si="5"/>
        <v>1.914769846759504E-2</v>
      </c>
      <c r="I59" s="464">
        <f t="shared" ca="1" si="6"/>
        <v>2.7733499203954379E-2</v>
      </c>
      <c r="J59" s="464">
        <f t="shared" ca="1" si="7"/>
        <v>309.92409147442709</v>
      </c>
      <c r="K59" s="471">
        <f t="shared" ca="1" si="8"/>
        <v>173.06140666549314</v>
      </c>
      <c r="L59" s="474">
        <f t="shared" ca="1" si="9"/>
        <v>390.16130935009483</v>
      </c>
      <c r="M59" s="477">
        <f t="shared" ca="1" si="10"/>
        <v>4.8039648920301499</v>
      </c>
    </row>
    <row r="60" spans="2:13" x14ac:dyDescent="0.2">
      <c r="B60" s="490">
        <f t="shared" si="12"/>
        <v>90</v>
      </c>
      <c r="C60" s="465">
        <f t="shared" si="1"/>
        <v>2.3379339828933543E-3</v>
      </c>
      <c r="D60" s="462">
        <f ca="1">MpropuPlein+0.25*MasseSans</f>
        <v>0.52957500000000002</v>
      </c>
      <c r="E60" s="462">
        <f t="shared" ca="1" si="2"/>
        <v>0.49177500000000002</v>
      </c>
      <c r="F60" s="462">
        <f t="shared" ca="1" si="3"/>
        <v>0.45397500000000002</v>
      </c>
      <c r="G60" s="469">
        <f t="shared" ca="1" si="4"/>
        <v>135.01232728381882</v>
      </c>
      <c r="H60" s="465">
        <f t="shared" ca="1" si="5"/>
        <v>4.7540724577161391E-3</v>
      </c>
      <c r="I60" s="465">
        <f t="shared" ca="1" si="6"/>
        <v>5.1499179093416033E-3</v>
      </c>
      <c r="J60" s="465">
        <f t="shared" ca="1" si="7"/>
        <v>199.60697583777761</v>
      </c>
      <c r="K60" s="472">
        <f t="shared" ca="1" si="8"/>
        <v>155.37918837714378</v>
      </c>
      <c r="L60" s="475">
        <f t="shared" ca="1" si="9"/>
        <v>453.54337775659303</v>
      </c>
      <c r="M60" s="478">
        <f t="shared" ca="1" si="10"/>
        <v>7.7702113365728813</v>
      </c>
    </row>
    <row r="61" spans="2:13" x14ac:dyDescent="0.2">
      <c r="B61" s="490">
        <f t="shared" si="12"/>
        <v>90</v>
      </c>
      <c r="C61" s="465">
        <f t="shared" si="1"/>
        <v>2.3379339828933543E-3</v>
      </c>
      <c r="D61" s="462">
        <f ca="1">MpropuPlein+0.5*MasseSans</f>
        <v>0.8992500000000001</v>
      </c>
      <c r="E61" s="462">
        <f t="shared" ca="1" si="2"/>
        <v>0.86145000000000016</v>
      </c>
      <c r="F61" s="462">
        <f t="shared" ca="1" si="3"/>
        <v>0.8236500000000001</v>
      </c>
      <c r="G61" s="469">
        <f t="shared" ca="1" si="4"/>
        <v>72.864560334320018</v>
      </c>
      <c r="H61" s="465">
        <f t="shared" ca="1" si="5"/>
        <v>2.7139520377193731E-3</v>
      </c>
      <c r="I61" s="465">
        <f t="shared" ca="1" si="6"/>
        <v>2.8385041982557568E-3</v>
      </c>
      <c r="J61" s="465">
        <f t="shared" ca="1" si="7"/>
        <v>129.793636502987</v>
      </c>
      <c r="K61" s="472">
        <f t="shared" ca="1" si="8"/>
        <v>116.51483516921513</v>
      </c>
      <c r="L61" s="475">
        <f t="shared" ca="1" si="9"/>
        <v>410.74343080045162</v>
      </c>
      <c r="M61" s="478">
        <f t="shared" ca="1" si="10"/>
        <v>8.6129849887626762</v>
      </c>
    </row>
    <row r="62" spans="2:13" x14ac:dyDescent="0.2">
      <c r="B62" s="490">
        <f t="shared" si="12"/>
        <v>90</v>
      </c>
      <c r="C62" s="465">
        <f t="shared" si="1"/>
        <v>2.3379339828933543E-3</v>
      </c>
      <c r="D62" s="462">
        <f ca="1">MpropuPlein+0.75*MasseSans</f>
        <v>1.2689250000000001</v>
      </c>
      <c r="E62" s="462">
        <f t="shared" ca="1" si="2"/>
        <v>1.231125</v>
      </c>
      <c r="F62" s="462">
        <f t="shared" ca="1" si="3"/>
        <v>1.1933250000000002</v>
      </c>
      <c r="G62" s="469">
        <f t="shared" ca="1" si="4"/>
        <v>48.039527870849831</v>
      </c>
      <c r="H62" s="465">
        <f t="shared" ca="1" si="5"/>
        <v>1.8990224249311437E-3</v>
      </c>
      <c r="I62" s="465">
        <f t="shared" ca="1" si="6"/>
        <v>1.9591762368955262E-3</v>
      </c>
      <c r="J62" s="465">
        <f t="shared" ca="1" si="7"/>
        <v>90.747915008611571</v>
      </c>
      <c r="K62" s="472">
        <f t="shared" ca="1" si="8"/>
        <v>85.878601183611707</v>
      </c>
      <c r="L62" s="475">
        <f t="shared" ca="1" si="9"/>
        <v>321.81266640444233</v>
      </c>
      <c r="M62" s="478">
        <f t="shared" ca="1" si="10"/>
        <v>8.3592252981019186</v>
      </c>
    </row>
    <row r="63" spans="2:13" x14ac:dyDescent="0.2">
      <c r="B63" s="490">
        <f t="shared" si="12"/>
        <v>90</v>
      </c>
      <c r="C63" s="465">
        <f t="shared" si="1"/>
        <v>2.3379339828933543E-3</v>
      </c>
      <c r="D63" s="462">
        <f ca="1">MpropuPlein+1*MasseSans</f>
        <v>1.6386000000000001</v>
      </c>
      <c r="E63" s="462">
        <f t="shared" ca="1" si="2"/>
        <v>1.6008</v>
      </c>
      <c r="F63" s="462">
        <f t="shared" ca="1" si="3"/>
        <v>1.5630000000000002</v>
      </c>
      <c r="G63" s="469">
        <f t="shared" ca="1" si="4"/>
        <v>34.680254872563715</v>
      </c>
      <c r="H63" s="465">
        <f t="shared" ca="1" si="5"/>
        <v>1.4604785000583173E-3</v>
      </c>
      <c r="I63" s="465">
        <f t="shared" ca="1" si="6"/>
        <v>1.4957990933418771E-3</v>
      </c>
      <c r="J63" s="465">
        <f t="shared" ca="1" si="7"/>
        <v>67.137676808778167</v>
      </c>
      <c r="K63" s="472">
        <f t="shared" ca="1" si="8"/>
        <v>65.027217516665303</v>
      </c>
      <c r="L63" s="475">
        <f t="shared" ca="1" si="9"/>
        <v>233.46727699426418</v>
      </c>
      <c r="M63" s="478">
        <f t="shared" ca="1" si="10"/>
        <v>7.5850472630395256</v>
      </c>
    </row>
    <row r="64" spans="2:13" x14ac:dyDescent="0.2">
      <c r="B64" s="490">
        <f t="shared" si="12"/>
        <v>90</v>
      </c>
      <c r="C64" s="465">
        <f t="shared" si="1"/>
        <v>2.3379339828933543E-3</v>
      </c>
      <c r="D64" s="462">
        <f ca="1">MpropuPlein+1.25*MasseSans</f>
        <v>2.0082750000000003</v>
      </c>
      <c r="E64" s="462">
        <f t="shared" ca="1" si="2"/>
        <v>1.9704750000000002</v>
      </c>
      <c r="F64" s="462">
        <f t="shared" ca="1" si="3"/>
        <v>1.9326750000000004</v>
      </c>
      <c r="G64" s="469">
        <f t="shared" ca="1" si="4"/>
        <v>26.333569443915799</v>
      </c>
      <c r="H64" s="465">
        <f t="shared" ca="1" si="5"/>
        <v>1.1864824384442097E-3</v>
      </c>
      <c r="I64" s="465">
        <f t="shared" ca="1" si="6"/>
        <v>1.2096881177090582E-3</v>
      </c>
      <c r="J64" s="465">
        <f t="shared" ca="1" si="7"/>
        <v>51.605334259084017</v>
      </c>
      <c r="K64" s="472">
        <f t="shared" ca="1" si="8"/>
        <v>50.577476109602337</v>
      </c>
      <c r="L64" s="475">
        <f t="shared" ca="1" si="9"/>
        <v>164.92887750138473</v>
      </c>
      <c r="M64" s="478">
        <f t="shared" ca="1" si="10"/>
        <v>6.6975975080550096</v>
      </c>
    </row>
    <row r="65" spans="2:13" x14ac:dyDescent="0.2">
      <c r="B65" s="490">
        <f t="shared" si="12"/>
        <v>90</v>
      </c>
      <c r="C65" s="465">
        <f t="shared" si="1"/>
        <v>2.3379339828933543E-3</v>
      </c>
      <c r="D65" s="462">
        <f ca="1">MpropuPlein+1.5*MasseSans</f>
        <v>2.3779500000000002</v>
      </c>
      <c r="E65" s="462">
        <f t="shared" ca="1" si="2"/>
        <v>2.3401500000000004</v>
      </c>
      <c r="F65" s="462">
        <f t="shared" ca="1" si="3"/>
        <v>2.3023500000000001</v>
      </c>
      <c r="G65" s="469">
        <f t="shared" ca="1" si="4"/>
        <v>20.623946541888337</v>
      </c>
      <c r="H65" s="465">
        <f t="shared" ca="1" si="5"/>
        <v>9.9905304484471254E-4</v>
      </c>
      <c r="I65" s="465">
        <f t="shared" ca="1" si="6"/>
        <v>1.0154555054154905E-3</v>
      </c>
      <c r="J65" s="465">
        <f t="shared" ca="1" si="7"/>
        <v>40.693449703733052</v>
      </c>
      <c r="K65" s="472">
        <f t="shared" ca="1" si="8"/>
        <v>40.150859878325392</v>
      </c>
      <c r="L65" s="475">
        <f t="shared" ca="1" si="9"/>
        <v>116.68203063940874</v>
      </c>
      <c r="M65" s="478">
        <f t="shared" ca="1" si="10"/>
        <v>5.88557787509784</v>
      </c>
    </row>
    <row r="66" spans="2:13" x14ac:dyDescent="0.2">
      <c r="B66" s="490">
        <f t="shared" si="12"/>
        <v>90</v>
      </c>
      <c r="C66" s="465">
        <f t="shared" si="1"/>
        <v>2.3379339828933543E-3</v>
      </c>
      <c r="D66" s="462">
        <f ca="1">MpropuPlein+1.75*MasseSans</f>
        <v>2.7476250000000002</v>
      </c>
      <c r="E66" s="462">
        <f t="shared" ca="1" si="2"/>
        <v>2.7098250000000004</v>
      </c>
      <c r="F66" s="462">
        <f t="shared" ca="1" si="3"/>
        <v>2.6720250000000001</v>
      </c>
      <c r="G66" s="469">
        <f t="shared" ca="1" si="4"/>
        <v>16.472139990589795</v>
      </c>
      <c r="H66" s="465">
        <f t="shared" ca="1" si="5"/>
        <v>8.6276198016231825E-4</v>
      </c>
      <c r="I66" s="465">
        <f t="shared" ca="1" si="6"/>
        <v>8.7496710655527333E-4</v>
      </c>
      <c r="J66" s="465">
        <f t="shared" ca="1" si="7"/>
        <v>32.636805430877274</v>
      </c>
      <c r="K66" s="472">
        <f t="shared" ca="1" si="8"/>
        <v>32.333903487439187</v>
      </c>
      <c r="L66" s="475">
        <f t="shared" ca="1" si="9"/>
        <v>83.583279239611528</v>
      </c>
      <c r="M66" s="478">
        <f t="shared" ca="1" si="10"/>
        <v>5.1989416632896184</v>
      </c>
    </row>
    <row r="67" spans="2:13" x14ac:dyDescent="0.2">
      <c r="B67" s="491">
        <f t="shared" si="12"/>
        <v>90</v>
      </c>
      <c r="C67" s="466">
        <f t="shared" si="1"/>
        <v>2.3379339828933543E-3</v>
      </c>
      <c r="D67" s="463">
        <f ca="1">MpropuPlein+2*MasseSans</f>
        <v>3.1173000000000002</v>
      </c>
      <c r="E67" s="463">
        <f t="shared" ca="1" si="2"/>
        <v>3.0795000000000003</v>
      </c>
      <c r="F67" s="463">
        <f t="shared" ca="1" si="3"/>
        <v>3.0417000000000001</v>
      </c>
      <c r="G67" s="470">
        <f t="shared" ca="1" si="4"/>
        <v>13.317131027764242</v>
      </c>
      <c r="H67" s="466">
        <f t="shared" ca="1" si="5"/>
        <v>7.5919272053689047E-4</v>
      </c>
      <c r="I67" s="466">
        <f t="shared" ca="1" si="6"/>
        <v>7.6862740667828981E-4</v>
      </c>
      <c r="J67" s="466">
        <f t="shared" ca="1" si="7"/>
        <v>26.456654885686984</v>
      </c>
      <c r="K67" s="473">
        <f t="shared" ca="1" si="8"/>
        <v>26.280937090481327</v>
      </c>
      <c r="L67" s="476">
        <f t="shared" ca="1" si="9"/>
        <v>60.740391746392916</v>
      </c>
      <c r="M67" s="479">
        <f t="shared" ca="1" si="10"/>
        <v>4.6321797181163333</v>
      </c>
    </row>
    <row r="71" spans="2:13" x14ac:dyDescent="0.2">
      <c r="B71" s="35" t="str">
        <f>IF(Lang="Français","Textes pour les graphiques :","Texts for graphics :")</f>
        <v>Textes pour les graphiques :</v>
      </c>
    </row>
    <row r="73" spans="2:13" x14ac:dyDescent="0.2">
      <c r="B73" t="str">
        <f>IF(Lang="Français","Masse totale",IF(Lang="English","Total Mass",""))</f>
        <v>Masse totale</v>
      </c>
    </row>
    <row r="74" spans="2:13" x14ac:dyDescent="0.2">
      <c r="B74" t="str">
        <f>IF(Lang="Français","Vitesse max",IF(Lang="English","Max Velocity",""))</f>
        <v>Vitesse max</v>
      </c>
    </row>
    <row r="75" spans="2:13" x14ac:dyDescent="0.2">
      <c r="B75" t="str">
        <f>Abaco!$B$74 &amp; " / " &amp; Abaco!$B$73</f>
        <v>Vitesse max / Masse totale</v>
      </c>
    </row>
    <row r="76" spans="2:13" x14ac:dyDescent="0.2">
      <c r="B76" t="str">
        <f>IF(Lang="Français","Altitude max",IF(Lang="English","Max Altitude",""))</f>
        <v>Altitude max</v>
      </c>
    </row>
    <row r="77" spans="2:13" x14ac:dyDescent="0.2">
      <c r="B77" t="str">
        <f>Abaco!$B$76 &amp; " / " &amp; Abaco!$B$73</f>
        <v>Altitude max / Masse totale</v>
      </c>
    </row>
    <row r="78" spans="2:13" x14ac:dyDescent="0.2">
      <c r="B78" t="str">
        <f>IF(Lang="Français","Temps de culmination",IF(Lang="English","Apogee time",""))</f>
        <v>Temps de culmination</v>
      </c>
    </row>
    <row r="79" spans="2:13" x14ac:dyDescent="0.2">
      <c r="B79" t="str">
        <f>Abaco!$B$78 &amp; " / " &amp; Abaco!$B$73</f>
        <v>Temps de culmination / Masse totale</v>
      </c>
    </row>
  </sheetData>
  <sheetProtection password="C6AC" sheet="1"/>
  <mergeCells count="12">
    <mergeCell ref="C9:D9"/>
    <mergeCell ref="C2:D3"/>
    <mergeCell ref="C4:D4"/>
    <mergeCell ref="C5:D5"/>
    <mergeCell ref="C7:D7"/>
    <mergeCell ref="C8:D8"/>
    <mergeCell ref="C10:D10"/>
    <mergeCell ref="C12:D12"/>
    <mergeCell ref="C14:D14"/>
    <mergeCell ref="C15:D15"/>
    <mergeCell ref="C16:D16"/>
    <mergeCell ref="C11:D11"/>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323850</xdr:colOff>
                <xdr:row>68</xdr:row>
                <xdr:rowOff>19050</xdr:rowOff>
              </from>
              <to>
                <xdr:col>12</xdr:col>
                <xdr:colOff>752475</xdr:colOff>
                <xdr:row>85</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619125</xdr:colOff>
                    <xdr:row>9</xdr:row>
                    <xdr:rowOff>9525</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619125</xdr:colOff>
                    <xdr:row>10</xdr:row>
                    <xdr:rowOff>9525</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8"/>
  <sheetViews>
    <sheetView showGridLines="0" workbookViewId="0">
      <selection activeCell="H5" sqref="H5"/>
    </sheetView>
  </sheetViews>
  <sheetFormatPr baseColWidth="10" defaultRowHeight="12.75" x14ac:dyDescent="0.2"/>
  <cols>
    <col min="1" max="1" width="2.140625" customWidth="1"/>
    <col min="2" max="2" width="16.28515625" customWidth="1"/>
    <col min="3" max="4" width="13.5703125" customWidth="1"/>
  </cols>
  <sheetData>
    <row r="2" spans="3:8" x14ac:dyDescent="0.2">
      <c r="C2" s="701" t="s">
        <v>181</v>
      </c>
      <c r="D2" s="701"/>
    </row>
    <row r="3" spans="3:8" x14ac:dyDescent="0.2">
      <c r="C3" s="701"/>
      <c r="D3" s="701"/>
    </row>
    <row r="5" spans="3:8" x14ac:dyDescent="0.2">
      <c r="C5" s="18" t="str">
        <f>IF(Lang="Français","Stabilité de fusée à ailerons","Stability of finned rocket")</f>
        <v>Stabilité de fusée à ailerons</v>
      </c>
    </row>
    <row r="6" spans="3:8" x14ac:dyDescent="0.2">
      <c r="C6" s="19" t="str">
        <f>IF(Lang="Français","Calculs de Stabilité basés sur les équations de Barrowman","Stability calculs are based on Barrowman equations")</f>
        <v>Calculs de Stabilité basés sur les équations de Barrowman</v>
      </c>
    </row>
    <row r="7" spans="3:8" x14ac:dyDescent="0.2">
      <c r="C7" s="18" t="str">
        <f>IF(Lang="Français","Trajectographie de fusée","Rocket Trajectography")</f>
        <v>Trajectographie de fusée</v>
      </c>
    </row>
    <row r="8" spans="3:8" x14ac:dyDescent="0.2">
      <c r="C8" s="19" t="str">
        <f>IF(Lang="Français","Trajectoire dans un plan par calcul pas à pas","Trajectory in a plane, step by step computation")</f>
        <v>Trajectoire dans un plan par calcul pas à pas</v>
      </c>
    </row>
    <row r="9" spans="3:8" x14ac:dyDescent="0.2">
      <c r="C9" s="19"/>
    </row>
    <row r="10" spans="3:8" x14ac:dyDescent="0.2">
      <c r="C10" s="20"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25" t="s">
        <v>40</v>
      </c>
    </row>
    <row r="15" spans="3:8" x14ac:dyDescent="0.2">
      <c r="C15" s="20" t="str">
        <f>IF(Lang="Français","Pour les experts :","For experts:")</f>
        <v>Pour les experts :</v>
      </c>
    </row>
    <row r="16" spans="3:8" x14ac:dyDescent="0.2">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s="23" t="str">
        <f>IF(Lang="Français","et faire vos modifications personnelles (ajout de moteur...).","and do your personal modification (adding a motor...)")</f>
        <v>et faire vos modifications personnelles (ajout de moteur...).</v>
      </c>
    </row>
    <row r="18" spans="3:8" x14ac:dyDescent="0.2">
      <c r="C18" s="24" t="s">
        <v>421</v>
      </c>
    </row>
    <row r="19" spans="3:8" x14ac:dyDescent="0.2">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s="23" t="str">
        <f>IF(Lang="Français","Aucune Macro. Mise en forme conditionnelle, Noms de zone.","No macro. Conditionnal formating, named zones.")</f>
        <v>Aucune Macro. Mise en forme conditionnelle, Noms de zone.</v>
      </c>
    </row>
    <row r="21" spans="3:8" x14ac:dyDescent="0.2">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69" t="str">
        <f>IF(Lang="Français","Les unités sont réglés dans le Format de la cellule.","Units are set in cell number Format")</f>
        <v>Les unités sont réglés dans le Format de la cellule.</v>
      </c>
      <c r="H22" s="21" t="s">
        <v>38</v>
      </c>
    </row>
    <row r="23" spans="3:8" x14ac:dyDescent="0.2">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
      <c r="C25" s="20" t="str">
        <f>IF(Lang="Français","Licence :","License:")</f>
        <v>Licence :</v>
      </c>
      <c r="D25" s="22"/>
    </row>
    <row r="26" spans="3:8" x14ac:dyDescent="0.2">
      <c r="C26" t="str">
        <f>IF(Lang="Français","Ce logiciel est placé sous la licence Creative Commons BY-SA","This software is placed under Creative Commons licence BY-SA")</f>
        <v>Ce logiciel est placé sous la licence Creative Commons BY-SA</v>
      </c>
      <c r="H26" s="90" t="s">
        <v>125</v>
      </c>
    </row>
    <row r="28" spans="3:8" x14ac:dyDescent="0.2">
      <c r="C28" s="20" t="str">
        <f>IF(Lang="Français","Compatibilité :","Compatibility:")</f>
        <v>Compatibilité :</v>
      </c>
    </row>
    <row r="29" spans="3:8" x14ac:dyDescent="0.2">
      <c r="C29" t="s">
        <v>155</v>
      </c>
    </row>
    <row r="30" spans="3:8" x14ac:dyDescent="0.2">
      <c r="C30" t="s">
        <v>302</v>
      </c>
    </row>
    <row r="31" spans="3:8" x14ac:dyDescent="0.2">
      <c r="C31" s="70" t="s">
        <v>113</v>
      </c>
    </row>
    <row r="33" spans="3:6" x14ac:dyDescent="0.2">
      <c r="C33" s="20" t="str">
        <f>IF(Lang="Français","Historique :","History:")</f>
        <v>Historique :</v>
      </c>
    </row>
    <row r="34" spans="3:6" x14ac:dyDescent="0.2">
      <c r="C34" t="s">
        <v>105</v>
      </c>
      <c r="D34" t="s">
        <v>43</v>
      </c>
      <c r="E34" s="68" t="s">
        <v>104</v>
      </c>
      <c r="F34" t="str">
        <f>IF(Lang="Français","Essais personnels, héritage d'une feuille de calcul de Vincent Girard, ESO","Personnel tests")</f>
        <v>Essais personnels, héritage d'une feuille de calcul de Vincent Girard, ESO</v>
      </c>
    </row>
    <row r="35" spans="3:6" x14ac:dyDescent="0.2">
      <c r="C35" t="s">
        <v>106</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107</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108</v>
      </c>
      <c r="D37" t="s">
        <v>43</v>
      </c>
      <c r="E37" s="22">
        <v>39694</v>
      </c>
      <c r="F37" t="str">
        <f>IF(Lang="Français","Mise en forme","Formatting")</f>
        <v>Mise en forme</v>
      </c>
    </row>
    <row r="38" spans="3:6" x14ac:dyDescent="0.2">
      <c r="C38" t="s">
        <v>109</v>
      </c>
      <c r="D38" t="s">
        <v>43</v>
      </c>
      <c r="E38" s="22">
        <v>39643</v>
      </c>
      <c r="F38" t="str">
        <f>IF(Lang="Français","Essais personnels, héritage d'une feuille de calcul de Félicien Roux, ESO","Personal tests")</f>
        <v>Essais personnels, héritage d'une feuille de calcul de Félicien Roux, ESO</v>
      </c>
    </row>
    <row r="39" spans="3:6" x14ac:dyDescent="0.2">
      <c r="C39" t="s">
        <v>110</v>
      </c>
      <c r="D39" t="s">
        <v>43</v>
      </c>
      <c r="E39" s="22">
        <v>39755</v>
      </c>
      <c r="F39" t="str">
        <f>IF(Lang="Français","Réécriture équations, traduction, érgonomie","Equations, traduction, ergonomy")</f>
        <v>Réécriture équations, traduction, érgonomie</v>
      </c>
    </row>
    <row r="40" spans="3:6" x14ac:dyDescent="0.2">
      <c r="C40" t="s">
        <v>111</v>
      </c>
      <c r="D40" t="s">
        <v>43</v>
      </c>
      <c r="E40" s="22">
        <v>39756</v>
      </c>
      <c r="F40" t="str">
        <f>IF(Lang="Français","Conditions Initiales pour vol 2e étage, 1ère publication","Initial Conditions, 1st publication")</f>
        <v>Conditions Initiales pour vol 2e étage, 1ère publication</v>
      </c>
    </row>
    <row r="41" spans="3:6" x14ac:dyDescent="0.2">
      <c r="C41" t="s">
        <v>112</v>
      </c>
      <c r="D41" t="s">
        <v>43</v>
      </c>
      <c r="E41" s="22">
        <v>40658</v>
      </c>
      <c r="F41" t="s">
        <v>55</v>
      </c>
    </row>
    <row r="42" spans="3:6" x14ac:dyDescent="0.2">
      <c r="C42" t="s">
        <v>182</v>
      </c>
      <c r="D42" t="s">
        <v>43</v>
      </c>
      <c r="E42" s="22">
        <v>40868</v>
      </c>
      <c r="F42" t="str">
        <f>IF(Lang="Français","Fusion Stabilito+Trajecto, mise en forme, Ctrl, RC, H2O, Abaco","Merge Stabilito+Trajecto, formatting, Ctrl, RC, H2O, Abaco")</f>
        <v>Fusion Stabilito+Trajecto, mise en forme, Ctrl, RC, H2O, Abaco</v>
      </c>
    </row>
    <row r="43" spans="3:6" x14ac:dyDescent="0.2">
      <c r="C43" t="s">
        <v>329</v>
      </c>
      <c r="D43" t="s">
        <v>43</v>
      </c>
      <c r="E43" s="22">
        <v>41194</v>
      </c>
      <c r="F43" t="s">
        <v>333</v>
      </c>
    </row>
    <row r="44" spans="3:6" x14ac:dyDescent="0.2">
      <c r="C44" t="s">
        <v>330</v>
      </c>
      <c r="D44" t="s">
        <v>43</v>
      </c>
      <c r="E44" s="22">
        <v>41329</v>
      </c>
      <c r="F44" t="s">
        <v>334</v>
      </c>
    </row>
    <row r="45" spans="3:6" x14ac:dyDescent="0.2">
      <c r="C45" t="s">
        <v>418</v>
      </c>
      <c r="D45" t="s">
        <v>397</v>
      </c>
      <c r="E45" s="22">
        <v>41947</v>
      </c>
      <c r="F45" t="s">
        <v>417</v>
      </c>
    </row>
    <row r="46" spans="3:6" x14ac:dyDescent="0.2">
      <c r="C46" t="s">
        <v>422</v>
      </c>
      <c r="D46" t="s">
        <v>397</v>
      </c>
      <c r="E46" s="22">
        <v>41965</v>
      </c>
      <c r="F46" t="s">
        <v>420</v>
      </c>
    </row>
    <row r="47" spans="3:6" x14ac:dyDescent="0.2">
      <c r="C47" t="s">
        <v>548</v>
      </c>
      <c r="D47" t="s">
        <v>397</v>
      </c>
      <c r="E47" s="22">
        <v>43098</v>
      </c>
      <c r="F47" t="s">
        <v>549</v>
      </c>
    </row>
    <row r="48" spans="3:6" x14ac:dyDescent="0.2">
      <c r="E48" s="22"/>
    </row>
    <row r="50" spans="3:6" x14ac:dyDescent="0.2">
      <c r="C50" s="20" t="str">
        <f>IF(Lang="Français","Paramètres de référence :","Reference parameters:")</f>
        <v>Paramètres de référence :</v>
      </c>
    </row>
    <row r="51" spans="3:6" x14ac:dyDescent="0.2">
      <c r="C51" s="84" t="str">
        <f>IF(Lang="Français","Gravité g :","Gravity g")</f>
        <v>Gravité g :</v>
      </c>
      <c r="E51" s="84">
        <v>9.81</v>
      </c>
      <c r="F51" s="84" t="s">
        <v>7</v>
      </c>
    </row>
    <row r="52" spans="3:6" x14ac:dyDescent="0.2">
      <c r="C52" s="84" t="str">
        <f>IF(Lang="Français","Masse volumique de l'air ρ :","Air density ρ")</f>
        <v>Masse volumique de l'air ρ :</v>
      </c>
      <c r="E52" s="85">
        <v>1.2250000000000001</v>
      </c>
      <c r="F52" s="84" t="s">
        <v>8</v>
      </c>
    </row>
    <row r="53" spans="3:6" x14ac:dyDescent="0.2">
      <c r="C53" s="69"/>
    </row>
    <row r="54" spans="3:6" x14ac:dyDescent="0.2">
      <c r="C54" s="69"/>
    </row>
    <row r="55" spans="3:6" x14ac:dyDescent="0.2">
      <c r="C55" s="69"/>
    </row>
    <row r="56" spans="3:6" x14ac:dyDescent="0.2">
      <c r="C56" s="69"/>
    </row>
    <row r="57" spans="3:6" x14ac:dyDescent="0.2">
      <c r="C57" s="69"/>
    </row>
    <row r="58" spans="3:6" x14ac:dyDescent="0.2">
      <c r="C58" s="69"/>
    </row>
  </sheetData>
  <sheetProtection password="C6AC" sheet="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37" sqref="H37"/>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7109375" customWidth="1"/>
    <col min="10" max="10" width="10" customWidth="1"/>
    <col min="11" max="11" width="13" customWidth="1"/>
    <col min="12" max="12" width="21.28515625" customWidth="1"/>
    <col min="14" max="14" width="2.140625" customWidth="1"/>
    <col min="18" max="19" width="16.28515625" customWidth="1"/>
  </cols>
  <sheetData>
    <row r="1" spans="2:21" ht="13.5" thickBot="1" x14ac:dyDescent="0.25">
      <c r="O1" s="8"/>
      <c r="P1" s="499"/>
      <c r="Q1" s="500"/>
      <c r="R1" s="499"/>
      <c r="S1" s="499"/>
      <c r="T1" s="499"/>
      <c r="U1" s="499"/>
    </row>
    <row r="2" spans="2:21" ht="13.5" thickBot="1" x14ac:dyDescent="0.25">
      <c r="B2" s="93"/>
      <c r="C2" s="94"/>
      <c r="D2" s="94"/>
      <c r="E2" s="94"/>
      <c r="F2" s="94"/>
      <c r="G2" s="94"/>
      <c r="H2" s="94"/>
      <c r="I2" s="94"/>
      <c r="J2" s="94"/>
      <c r="K2" s="94"/>
      <c r="L2" s="94"/>
      <c r="M2" s="94"/>
      <c r="N2" s="95"/>
      <c r="O2" s="8"/>
      <c r="P2" s="499"/>
      <c r="Q2" s="500"/>
      <c r="R2" s="499"/>
      <c r="S2" s="499"/>
      <c r="T2" s="499"/>
      <c r="U2" s="499"/>
    </row>
    <row r="3" spans="2:21" ht="15.75" customHeight="1" thickBot="1" x14ac:dyDescent="0.25">
      <c r="B3" s="96"/>
      <c r="C3" s="81"/>
      <c r="D3" s="2" t="s">
        <v>431</v>
      </c>
      <c r="E3" s="81"/>
      <c r="F3" s="81"/>
      <c r="G3" s="81"/>
      <c r="H3" s="81"/>
      <c r="I3" s="81"/>
      <c r="J3" s="81"/>
      <c r="K3" s="81"/>
      <c r="L3" s="81"/>
      <c r="M3" s="81"/>
      <c r="N3" s="97"/>
      <c r="O3" s="8"/>
      <c r="P3" s="501" t="s">
        <v>342</v>
      </c>
      <c r="Q3" s="511">
        <f>Long_ogive</f>
        <v>150</v>
      </c>
      <c r="R3" s="499"/>
      <c r="S3" s="499"/>
      <c r="T3" s="499"/>
      <c r="U3" s="499"/>
    </row>
    <row r="4" spans="2:21" ht="15.75" customHeight="1" x14ac:dyDescent="0.2">
      <c r="B4" s="96"/>
      <c r="C4" s="81"/>
      <c r="D4" s="2"/>
      <c r="E4" s="81"/>
      <c r="F4" s="81"/>
      <c r="G4" s="81"/>
      <c r="H4" s="81"/>
      <c r="I4" s="81"/>
      <c r="J4" s="81"/>
      <c r="K4" s="81"/>
      <c r="L4" s="81"/>
      <c r="M4" s="81"/>
      <c r="N4" s="97"/>
      <c r="O4" s="8"/>
      <c r="P4" s="501"/>
      <c r="Q4" s="505"/>
      <c r="R4" s="499"/>
      <c r="S4" s="499"/>
      <c r="T4" s="499"/>
      <c r="U4" s="499"/>
    </row>
    <row r="5" spans="2:21" ht="15.75" customHeight="1" x14ac:dyDescent="0.2">
      <c r="B5" s="96"/>
      <c r="C5" s="81"/>
      <c r="D5" s="644" t="s">
        <v>464</v>
      </c>
      <c r="E5" s="81" t="str">
        <f>Propu</f>
        <v>Pandora</v>
      </c>
      <c r="F5" s="81"/>
      <c r="G5" s="81" t="s">
        <v>461</v>
      </c>
      <c r="H5" s="81">
        <f>MasseSans</f>
        <v>1.4787000000000001</v>
      </c>
      <c r="I5" s="81"/>
      <c r="J5" s="81"/>
      <c r="K5" s="81"/>
      <c r="L5" s="81"/>
      <c r="M5" s="81"/>
      <c r="N5" s="97"/>
      <c r="O5" s="8"/>
      <c r="P5" s="501"/>
      <c r="Q5" s="505"/>
      <c r="R5" s="499"/>
      <c r="S5" s="499"/>
      <c r="T5" s="499"/>
      <c r="U5" s="499"/>
    </row>
    <row r="6" spans="2:21" x14ac:dyDescent="0.2">
      <c r="B6" s="96"/>
      <c r="D6" s="81" t="s">
        <v>457</v>
      </c>
      <c r="E6" s="2" t="str">
        <f>Trajecto!H32</f>
        <v>Orange</v>
      </c>
      <c r="G6" s="81" t="s">
        <v>462</v>
      </c>
      <c r="H6" s="81">
        <f>D_ref</f>
        <v>60</v>
      </c>
      <c r="I6" s="81"/>
      <c r="J6" s="81"/>
      <c r="K6" s="81"/>
      <c r="L6" s="81"/>
      <c r="M6" s="81"/>
      <c r="N6" s="97"/>
      <c r="O6" s="8"/>
      <c r="P6" s="501"/>
      <c r="Q6" s="505"/>
      <c r="R6" s="499"/>
      <c r="S6" s="499"/>
      <c r="T6" s="499"/>
      <c r="U6" s="499"/>
    </row>
    <row r="7" spans="2:21" x14ac:dyDescent="0.2">
      <c r="B7" s="96"/>
      <c r="D7" s="81" t="s">
        <v>459</v>
      </c>
      <c r="E7" s="2" t="str">
        <f>Trajecto!H33</f>
        <v>Rouge</v>
      </c>
      <c r="G7" t="s">
        <v>5</v>
      </c>
      <c r="H7">
        <f>Cx</f>
        <v>0.6</v>
      </c>
      <c r="I7" s="81"/>
      <c r="J7" s="81"/>
      <c r="K7" s="81"/>
      <c r="L7" s="81"/>
      <c r="M7" s="81"/>
      <c r="N7" s="97"/>
      <c r="O7" s="8"/>
      <c r="P7" s="501"/>
      <c r="Q7" s="505"/>
      <c r="R7" s="499"/>
      <c r="S7" s="499"/>
      <c r="T7" s="499"/>
      <c r="U7" s="499"/>
    </row>
    <row r="8" spans="2:21" x14ac:dyDescent="0.2">
      <c r="B8" s="96"/>
      <c r="D8" s="81" t="s">
        <v>460</v>
      </c>
      <c r="E8" s="2">
        <f>S_para</f>
        <v>0.28799999999999998</v>
      </c>
      <c r="G8" s="81" t="s">
        <v>463</v>
      </c>
      <c r="H8" s="81">
        <f>L_rampe</f>
        <v>2.5</v>
      </c>
      <c r="I8" s="81"/>
      <c r="J8" s="81"/>
      <c r="K8" s="81"/>
      <c r="L8" s="81"/>
      <c r="M8" s="81"/>
      <c r="N8" s="97"/>
      <c r="O8" s="8"/>
      <c r="P8" s="501"/>
      <c r="Q8" s="505"/>
      <c r="R8" s="499"/>
      <c r="S8" s="499"/>
      <c r="T8" s="499"/>
      <c r="U8" s="499"/>
    </row>
    <row r="9" spans="2:21" x14ac:dyDescent="0.2">
      <c r="B9" s="96"/>
      <c r="D9" s="24" t="s">
        <v>458</v>
      </c>
      <c r="E9" s="2"/>
      <c r="G9" s="24" t="s">
        <v>149</v>
      </c>
      <c r="H9" s="643" t="str">
        <f>Forme_ogive</f>
        <v>Parabolique (arrondie)</v>
      </c>
      <c r="I9" s="81"/>
      <c r="J9" s="81"/>
      <c r="K9" s="81"/>
      <c r="L9" s="81"/>
      <c r="M9" s="81"/>
      <c r="N9" s="97"/>
      <c r="O9" s="8"/>
      <c r="P9" s="501"/>
      <c r="Q9" s="505"/>
      <c r="R9" s="499"/>
      <c r="S9" s="499"/>
      <c r="T9" s="499"/>
      <c r="U9" s="499"/>
    </row>
    <row r="10" spans="2:21" x14ac:dyDescent="0.2">
      <c r="B10" s="96"/>
      <c r="C10" s="81"/>
      <c r="D10" s="81"/>
      <c r="E10" s="81"/>
      <c r="F10" s="4"/>
      <c r="G10" s="492"/>
      <c r="H10" s="81"/>
      <c r="I10" s="81"/>
      <c r="J10" s="81"/>
      <c r="K10" s="81"/>
      <c r="L10" s="81"/>
      <c r="M10" s="81"/>
      <c r="N10" s="97"/>
      <c r="O10" s="618"/>
      <c r="P10" s="499"/>
      <c r="Q10" s="505"/>
      <c r="R10" s="499"/>
      <c r="S10" s="499"/>
      <c r="T10" s="499"/>
      <c r="U10" s="499"/>
    </row>
    <row r="11" spans="2:21" ht="13.5" thickBot="1" x14ac:dyDescent="0.25">
      <c r="B11" s="96"/>
      <c r="C11" s="608"/>
      <c r="D11" s="323" t="s">
        <v>456</v>
      </c>
      <c r="E11" s="287">
        <f>MasseSans</f>
        <v>1.4787000000000001</v>
      </c>
      <c r="F11" s="610" t="s">
        <v>126</v>
      </c>
      <c r="G11" s="610" t="s">
        <v>128</v>
      </c>
      <c r="H11" s="787">
        <f ca="1">Vsortie_de_rampe</f>
        <v>23.482422240537442</v>
      </c>
      <c r="I11" s="788"/>
      <c r="J11" s="98"/>
      <c r="K11" s="81"/>
      <c r="L11" s="81"/>
      <c r="M11" s="81"/>
      <c r="N11" s="97"/>
      <c r="O11" s="81"/>
      <c r="P11" s="499"/>
      <c r="Q11" s="505"/>
      <c r="R11" s="499"/>
      <c r="S11" s="499"/>
      <c r="T11" s="499"/>
      <c r="U11" s="510" t="str">
        <f>IF(RIGHT(Nb_diam,1)=",", "", X_j)</f>
        <v/>
      </c>
    </row>
    <row r="12" spans="2:21" ht="13.5" thickBot="1" x14ac:dyDescent="0.25">
      <c r="B12" s="96"/>
      <c r="C12" s="608"/>
      <c r="D12" s="324"/>
      <c r="E12" s="288"/>
      <c r="F12" s="492" t="s">
        <v>126</v>
      </c>
      <c r="G12" s="492" t="s">
        <v>129</v>
      </c>
      <c r="H12" s="789">
        <f>Finesse</f>
        <v>13.911066666666667</v>
      </c>
      <c r="I12" s="790"/>
      <c r="J12" s="98"/>
      <c r="K12" s="81"/>
      <c r="L12" s="81"/>
      <c r="M12" s="81"/>
      <c r="N12" s="97"/>
      <c r="O12" s="8"/>
      <c r="P12" s="501" t="s">
        <v>343</v>
      </c>
      <c r="Q12" s="511">
        <f>D_og</f>
        <v>60</v>
      </c>
      <c r="R12" s="499"/>
      <c r="S12" s="499"/>
      <c r="T12" s="499"/>
      <c r="U12" s="505"/>
    </row>
    <row r="13" spans="2:21" x14ac:dyDescent="0.2">
      <c r="B13" s="96"/>
      <c r="C13" s="608"/>
      <c r="D13" s="324" t="s">
        <v>5</v>
      </c>
      <c r="E13" s="288">
        <f>Cx</f>
        <v>0.6</v>
      </c>
      <c r="F13" s="492" t="s">
        <v>126</v>
      </c>
      <c r="G13" s="492" t="s">
        <v>435</v>
      </c>
      <c r="H13" s="789">
        <f>Cn</f>
        <v>20.58265859180505</v>
      </c>
      <c r="I13" s="790"/>
      <c r="J13" s="98"/>
      <c r="K13" s="81"/>
      <c r="L13" s="81"/>
      <c r="M13" s="81"/>
      <c r="N13" s="97"/>
      <c r="O13" s="8"/>
      <c r="P13" s="499"/>
      <c r="Q13" s="505"/>
      <c r="R13" s="499"/>
      <c r="S13" s="499"/>
      <c r="T13" s="499"/>
      <c r="U13" s="510" t="str">
        <f>IF(RIGHT(Nb_diam,1)=",", "", X_r)</f>
        <v/>
      </c>
    </row>
    <row r="14" spans="2:21" x14ac:dyDescent="0.2">
      <c r="B14" s="96"/>
      <c r="C14" s="555"/>
      <c r="D14" s="324" t="s">
        <v>146</v>
      </c>
      <c r="E14" s="288">
        <f>L_rampe</f>
        <v>2.5</v>
      </c>
      <c r="F14" s="492" t="s">
        <v>126</v>
      </c>
      <c r="G14" s="492" t="s">
        <v>130</v>
      </c>
      <c r="H14" s="304">
        <f ca="1">MS_min</f>
        <v>3.2070179556504836</v>
      </c>
      <c r="I14" s="612">
        <f ca="1">MS_max</f>
        <v>3.3794399599643592</v>
      </c>
      <c r="J14" s="98"/>
      <c r="K14" s="98"/>
      <c r="L14" s="81"/>
      <c r="M14" s="81"/>
      <c r="N14" s="97"/>
      <c r="O14" s="81"/>
      <c r="P14" s="499"/>
      <c r="Q14" s="505"/>
      <c r="R14" s="499"/>
      <c r="S14" s="499"/>
      <c r="T14" s="499"/>
      <c r="U14" s="505"/>
    </row>
    <row r="15" spans="2:21" x14ac:dyDescent="0.2">
      <c r="B15" s="96"/>
      <c r="C15" s="555"/>
      <c r="D15" s="324" t="s">
        <v>147</v>
      </c>
      <c r="E15" s="288">
        <f>ep_ail</f>
        <v>2</v>
      </c>
      <c r="F15" s="492" t="s">
        <v>126</v>
      </c>
      <c r="G15" s="492" t="s">
        <v>127</v>
      </c>
      <c r="H15" s="304">
        <f ca="1">MS_Cn_min</f>
        <v>66.008955678942499</v>
      </c>
      <c r="I15" s="612">
        <f ca="1">MS_Cn_max</f>
        <v>69.557858927449729</v>
      </c>
      <c r="J15" s="98"/>
      <c r="K15" s="98"/>
      <c r="L15" s="81"/>
      <c r="M15" s="81"/>
      <c r="N15" s="97"/>
      <c r="O15" s="81"/>
      <c r="P15" s="499"/>
      <c r="Q15" s="505"/>
      <c r="R15" s="499"/>
      <c r="S15" s="499"/>
      <c r="T15" s="499"/>
    </row>
    <row r="16" spans="2:21" x14ac:dyDescent="0.2">
      <c r="B16" s="96"/>
      <c r="C16" s="555"/>
      <c r="D16" s="324" t="s">
        <v>148</v>
      </c>
      <c r="E16" s="288">
        <f>Q_ail</f>
        <v>4</v>
      </c>
      <c r="F16" s="492" t="s">
        <v>131</v>
      </c>
      <c r="G16" s="492" t="s">
        <v>132</v>
      </c>
      <c r="H16" s="304">
        <f ca="1">V_para</f>
        <v>9.32319359315842</v>
      </c>
      <c r="I16" s="611">
        <f>V_satellite</f>
        <v>10.960038730752361</v>
      </c>
      <c r="J16" s="98"/>
      <c r="K16" s="81"/>
      <c r="L16" s="81"/>
      <c r="M16" s="81"/>
      <c r="N16" s="97"/>
      <c r="O16" s="81"/>
      <c r="P16" s="499"/>
      <c r="Q16" s="505"/>
      <c r="R16" s="499"/>
      <c r="S16" s="499"/>
      <c r="T16" s="499"/>
      <c r="U16" s="510" t="str">
        <f>IF(RIGHT(Nb_diam,1)=",", "", l_j)</f>
        <v/>
      </c>
    </row>
    <row r="17" spans="2:21" x14ac:dyDescent="0.2">
      <c r="B17" s="96"/>
      <c r="C17" s="555"/>
      <c r="D17" s="324" t="s">
        <v>149</v>
      </c>
      <c r="E17" s="320" t="str">
        <f>Forme_ogive</f>
        <v>Parabolique (arrondie)</v>
      </c>
      <c r="F17" s="492" t="s">
        <v>133</v>
      </c>
      <c r="G17" s="492" t="s">
        <v>134</v>
      </c>
      <c r="H17" s="789">
        <f>T_para</f>
        <v>9</v>
      </c>
      <c r="I17" s="790"/>
      <c r="J17" s="302"/>
      <c r="K17" s="81"/>
      <c r="L17" s="81"/>
      <c r="M17" s="81"/>
      <c r="N17" s="97"/>
      <c r="O17" s="81"/>
      <c r="P17" s="502" t="s">
        <v>344</v>
      </c>
      <c r="Q17" s="510" t="str">
        <f>IF(RIGHT(Nb_diam,1)=",", "", D2j)</f>
        <v/>
      </c>
      <c r="R17" s="499"/>
      <c r="S17" s="499"/>
      <c r="T17" s="499"/>
      <c r="U17" s="505"/>
    </row>
    <row r="18" spans="2:21" x14ac:dyDescent="0.2">
      <c r="B18" s="96"/>
      <c r="C18" s="555"/>
      <c r="D18" s="324" t="s">
        <v>151</v>
      </c>
      <c r="E18" s="288">
        <f ca="1">XpropuRef-Long_propu</f>
        <v>613.01400000000001</v>
      </c>
      <c r="F18" s="608" t="s">
        <v>133</v>
      </c>
      <c r="G18" s="608" t="s">
        <v>429</v>
      </c>
      <c r="H18" s="791">
        <f ca="1">T_para-Combustion-Depotage</f>
        <v>-4.9700000000000006</v>
      </c>
      <c r="I18" s="792"/>
      <c r="J18" s="81"/>
      <c r="K18" s="81"/>
      <c r="L18" s="81"/>
      <c r="M18" s="81"/>
      <c r="N18" s="97"/>
      <c r="O18" s="81"/>
      <c r="P18" s="499"/>
      <c r="Q18" s="505"/>
      <c r="R18" s="499"/>
      <c r="S18" s="499"/>
    </row>
    <row r="19" spans="2:21" x14ac:dyDescent="0.2">
      <c r="B19" s="96"/>
      <c r="C19" s="642"/>
      <c r="D19" s="317"/>
      <c r="E19" s="319"/>
      <c r="F19" s="615" t="s">
        <v>135</v>
      </c>
      <c r="G19" s="613" t="s">
        <v>428</v>
      </c>
      <c r="H19" s="793">
        <f ca="1">Portee_balistique</f>
        <v>187.70931447689617</v>
      </c>
      <c r="I19" s="794"/>
      <c r="J19" s="81"/>
      <c r="K19" s="81"/>
      <c r="L19" s="81"/>
      <c r="M19" s="81"/>
      <c r="N19" s="97"/>
      <c r="O19" s="81"/>
      <c r="P19" s="499"/>
      <c r="Q19" s="505"/>
      <c r="R19" s="499"/>
      <c r="S19" s="499"/>
      <c r="T19" s="499"/>
    </row>
    <row r="20" spans="2:21" x14ac:dyDescent="0.2">
      <c r="B20" s="96"/>
      <c r="C20" s="555"/>
      <c r="D20" s="8"/>
      <c r="E20" s="8"/>
      <c r="H20" s="614"/>
      <c r="I20" s="614"/>
      <c r="J20" s="81"/>
      <c r="K20" s="81"/>
      <c r="L20" s="81"/>
      <c r="M20" s="81"/>
      <c r="N20" s="97"/>
      <c r="O20" s="81"/>
      <c r="P20" s="499"/>
      <c r="Q20" s="505"/>
      <c r="R20" s="499"/>
      <c r="S20" s="499"/>
      <c r="T20" s="499"/>
      <c r="U20" s="510" t="str">
        <f>IF(RIGHT(Nb_diam,1)=",", "", l_r)</f>
        <v/>
      </c>
    </row>
    <row r="21" spans="2:21" x14ac:dyDescent="0.2">
      <c r="B21" s="96"/>
      <c r="C21" s="555"/>
      <c r="D21" s="8"/>
      <c r="E21" s="311"/>
      <c r="F21" s="4"/>
      <c r="G21" s="492"/>
      <c r="H21" s="614"/>
      <c r="I21" s="614"/>
      <c r="J21" s="81"/>
      <c r="K21" s="81"/>
      <c r="L21" s="81"/>
      <c r="M21" s="81"/>
      <c r="N21" s="97"/>
      <c r="O21" s="620"/>
      <c r="P21" s="505"/>
      <c r="Q21" s="500"/>
      <c r="R21" s="499"/>
      <c r="S21" s="499"/>
      <c r="T21" s="621"/>
      <c r="U21" s="505"/>
    </row>
    <row r="22" spans="2:21" x14ac:dyDescent="0.2">
      <c r="B22" s="96"/>
      <c r="C22" s="633" t="s">
        <v>455</v>
      </c>
      <c r="D22" s="630" t="s">
        <v>439</v>
      </c>
      <c r="E22" s="631"/>
      <c r="F22" s="632" t="s">
        <v>444</v>
      </c>
      <c r="G22" s="633" t="s">
        <v>449</v>
      </c>
      <c r="I22" s="634"/>
      <c r="J22" s="641" t="s">
        <v>159</v>
      </c>
      <c r="K22" s="630" t="s">
        <v>160</v>
      </c>
      <c r="N22" s="97"/>
      <c r="O22" s="620"/>
      <c r="P22" s="505"/>
      <c r="Q22" s="500"/>
      <c r="R22" s="499"/>
      <c r="S22" s="499"/>
      <c r="T22" s="621"/>
      <c r="U22" s="505"/>
    </row>
    <row r="23" spans="2:21" x14ac:dyDescent="0.2">
      <c r="B23" s="96"/>
      <c r="C23" s="633" t="s">
        <v>454</v>
      </c>
      <c r="D23" s="631">
        <f>XcgSans</f>
        <v>490</v>
      </c>
      <c r="E23" s="631" t="s">
        <v>39</v>
      </c>
      <c r="F23" s="636">
        <f>m_ail</f>
        <v>90</v>
      </c>
      <c r="G23" s="637">
        <f>m_can</f>
        <v>70</v>
      </c>
      <c r="I23" s="634" t="s">
        <v>450</v>
      </c>
      <c r="J23" s="638">
        <f>l_j</f>
        <v>50</v>
      </c>
      <c r="K23" s="635">
        <f>l_r</f>
        <v>50</v>
      </c>
      <c r="N23" s="97"/>
      <c r="O23" s="620"/>
      <c r="P23" s="505"/>
      <c r="Q23" s="500"/>
      <c r="R23" s="499"/>
      <c r="S23" s="499"/>
      <c r="T23" s="621"/>
      <c r="U23" s="505"/>
    </row>
    <row r="24" spans="2:21" x14ac:dyDescent="0.2">
      <c r="B24" s="96"/>
      <c r="C24" s="633" t="s">
        <v>442</v>
      </c>
      <c r="D24" s="635">
        <f>Long_tot</f>
        <v>834.66399999999999</v>
      </c>
      <c r="E24" s="631" t="s">
        <v>445</v>
      </c>
      <c r="F24" s="636">
        <f>n_ail</f>
        <v>30</v>
      </c>
      <c r="G24" s="637">
        <f>n_can</f>
        <v>30</v>
      </c>
      <c r="I24" s="634" t="s">
        <v>451</v>
      </c>
      <c r="J24" s="638">
        <f>D1j</f>
        <v>60</v>
      </c>
      <c r="K24" s="635">
        <f>D1r</f>
        <v>80</v>
      </c>
      <c r="N24" s="97"/>
      <c r="O24" s="620"/>
      <c r="P24" s="505"/>
      <c r="Q24" s="500"/>
      <c r="R24" s="499"/>
      <c r="S24" s="499"/>
      <c r="T24" s="621"/>
      <c r="U24" s="505"/>
    </row>
    <row r="25" spans="2:21" x14ac:dyDescent="0.2">
      <c r="B25" s="96"/>
      <c r="C25" s="633" t="s">
        <v>443</v>
      </c>
      <c r="D25" s="635">
        <f>XpropuRef</f>
        <v>841.01400000000001</v>
      </c>
      <c r="E25" s="631" t="s">
        <v>446</v>
      </c>
      <c r="F25" s="636">
        <f>p_ail</f>
        <v>30</v>
      </c>
      <c r="G25" s="637">
        <f>p_can</f>
        <v>40</v>
      </c>
      <c r="I25" s="634" t="s">
        <v>452</v>
      </c>
      <c r="J25" s="638">
        <f>D2j</f>
        <v>80</v>
      </c>
      <c r="K25" s="635">
        <f>D2r</f>
        <v>60</v>
      </c>
      <c r="N25" s="97"/>
      <c r="O25" s="620"/>
      <c r="P25" s="505"/>
      <c r="Q25" s="500"/>
      <c r="R25" s="499"/>
      <c r="S25" s="499"/>
      <c r="T25" s="621"/>
      <c r="U25" s="505"/>
    </row>
    <row r="26" spans="2:21" x14ac:dyDescent="0.2">
      <c r="B26" s="96"/>
      <c r="C26" s="633" t="s">
        <v>440</v>
      </c>
      <c r="D26" s="635">
        <f>D_ref</f>
        <v>60</v>
      </c>
      <c r="E26" s="631" t="s">
        <v>447</v>
      </c>
      <c r="F26" s="636">
        <f>E_ail</f>
        <v>100</v>
      </c>
      <c r="G26" s="637">
        <f>E_can</f>
        <v>30</v>
      </c>
      <c r="I26" s="634" t="s">
        <v>453</v>
      </c>
      <c r="J26" s="638">
        <f>X_j</f>
        <v>300</v>
      </c>
      <c r="K26" s="635">
        <f>X_r</f>
        <v>500</v>
      </c>
      <c r="N26" s="97"/>
      <c r="O26" s="620"/>
      <c r="P26" s="505"/>
      <c r="Q26" s="500"/>
      <c r="R26" s="499"/>
      <c r="S26" s="499"/>
      <c r="T26" s="621"/>
      <c r="U26" s="505"/>
    </row>
    <row r="27" spans="2:21" x14ac:dyDescent="0.2">
      <c r="B27" s="96"/>
      <c r="C27" s="633" t="s">
        <v>441</v>
      </c>
      <c r="D27" s="635">
        <f>Long_ogive</f>
        <v>150</v>
      </c>
      <c r="E27" s="631" t="s">
        <v>448</v>
      </c>
      <c r="F27" s="636">
        <f>X_ail</f>
        <v>834.66399999999999</v>
      </c>
      <c r="G27" s="637">
        <f>X_can</f>
        <v>200</v>
      </c>
      <c r="H27" s="614"/>
      <c r="I27" s="639"/>
      <c r="J27" s="640"/>
      <c r="N27" s="97"/>
      <c r="O27" s="620"/>
      <c r="P27" s="505"/>
      <c r="Q27" s="500"/>
      <c r="R27" s="499"/>
      <c r="S27" s="499"/>
      <c r="T27" s="621"/>
      <c r="U27" s="505"/>
    </row>
    <row r="28" spans="2:21" ht="13.5" thickBot="1" x14ac:dyDescent="0.25">
      <c r="B28" s="96"/>
      <c r="C28" s="81"/>
      <c r="D28" s="81"/>
      <c r="E28" s="124"/>
      <c r="F28" s="81"/>
      <c r="G28" s="81"/>
      <c r="H28" s="81"/>
      <c r="I28" s="81"/>
      <c r="J28" s="81"/>
      <c r="K28" s="81"/>
      <c r="L28" s="81"/>
      <c r="M28" s="81"/>
      <c r="N28" s="97"/>
      <c r="O28" s="2"/>
      <c r="P28" s="8"/>
      <c r="Q28" s="2"/>
      <c r="R28" s="499"/>
      <c r="S28" s="499"/>
      <c r="T28" s="499"/>
      <c r="U28" s="505"/>
    </row>
    <row r="29" spans="2:21" ht="13.5" thickBot="1" x14ac:dyDescent="0.25">
      <c r="B29" s="96"/>
      <c r="C29" s="774" t="s">
        <v>144</v>
      </c>
      <c r="D29" s="774" t="s">
        <v>136</v>
      </c>
      <c r="E29" s="774" t="s">
        <v>137</v>
      </c>
      <c r="F29" s="774"/>
      <c r="G29" s="774"/>
      <c r="H29" s="775" t="s">
        <v>138</v>
      </c>
      <c r="I29" s="775"/>
      <c r="J29" s="775"/>
      <c r="K29" s="775"/>
      <c r="L29" s="774" t="s">
        <v>139</v>
      </c>
      <c r="M29" s="774" t="s">
        <v>140</v>
      </c>
      <c r="N29" s="97"/>
      <c r="O29" s="620" t="s">
        <v>432</v>
      </c>
      <c r="P29" s="511">
        <f>n_ail</f>
        <v>30</v>
      </c>
      <c r="Q29" s="2"/>
      <c r="R29" s="499"/>
      <c r="S29" s="499"/>
      <c r="T29" s="499"/>
      <c r="U29" s="609" t="s">
        <v>436</v>
      </c>
    </row>
    <row r="30" spans="2:21" ht="13.5" thickBot="1" x14ac:dyDescent="0.25">
      <c r="B30" s="96"/>
      <c r="C30" s="774"/>
      <c r="D30" s="774"/>
      <c r="E30" s="774"/>
      <c r="F30" s="774"/>
      <c r="G30" s="774"/>
      <c r="H30" s="775" t="s">
        <v>141</v>
      </c>
      <c r="I30" s="775"/>
      <c r="J30" s="91" t="s">
        <v>142</v>
      </c>
      <c r="K30" s="92" t="s">
        <v>143</v>
      </c>
      <c r="L30" s="774"/>
      <c r="M30" s="774"/>
      <c r="N30" s="97"/>
      <c r="P30" s="512"/>
      <c r="R30" s="499"/>
      <c r="S30" s="499"/>
      <c r="T30" s="619" t="s">
        <v>434</v>
      </c>
      <c r="U30" s="625">
        <f>[0]!p_can</f>
        <v>40</v>
      </c>
    </row>
    <row r="31" spans="2:21" ht="13.5" thickBot="1" x14ac:dyDescent="0.25">
      <c r="B31" s="96"/>
      <c r="C31" s="107">
        <f>Beta_rampe</f>
        <v>80</v>
      </c>
      <c r="D31" s="108">
        <f ca="1">Portee_balistique</f>
        <v>187.70931447689617</v>
      </c>
      <c r="E31" s="773">
        <f ca="1">T_para+Dt_para</f>
        <v>38.235421585784636</v>
      </c>
      <c r="F31" s="773"/>
      <c r="G31" s="773"/>
      <c r="H31" s="776">
        <f ca="1">Altitude_culmi</f>
        <v>281.43877743120714</v>
      </c>
      <c r="I31" s="776"/>
      <c r="J31" s="109">
        <f ca="1">Temps_culmi</f>
        <v>7.5999999999999899</v>
      </c>
      <c r="K31" s="110">
        <f ca="1">Vit_culmi</f>
        <v>12.361097978846269</v>
      </c>
      <c r="L31" s="108">
        <f ca="1">Acc_max</f>
        <v>137.03691396707868</v>
      </c>
      <c r="M31" s="110">
        <f ca="1">Vit_max</f>
        <v>76.970915236585554</v>
      </c>
      <c r="N31" s="97"/>
      <c r="O31" s="620" t="s">
        <v>438</v>
      </c>
      <c r="P31" s="511">
        <f>ep_ail</f>
        <v>2</v>
      </c>
      <c r="Q31" s="2"/>
      <c r="R31" s="499"/>
      <c r="S31" s="499"/>
      <c r="T31" s="623" t="s">
        <v>346</v>
      </c>
      <c r="U31" s="625">
        <f>[0]!m_can</f>
        <v>70</v>
      </c>
    </row>
    <row r="32" spans="2:21" ht="13.5" thickBot="1" x14ac:dyDescent="0.25">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30</v>
      </c>
    </row>
    <row r="33" spans="2:21" ht="13.5" thickBot="1" x14ac:dyDescent="0.25">
      <c r="B33" s="96"/>
      <c r="C33" s="81"/>
      <c r="D33" s="103"/>
      <c r="E33" s="104"/>
      <c r="F33" s="104"/>
      <c r="G33" s="104"/>
      <c r="H33" s="105"/>
      <c r="I33" s="105"/>
      <c r="J33" s="104"/>
      <c r="K33" s="106"/>
      <c r="L33" s="103"/>
      <c r="M33" s="106"/>
      <c r="N33" s="97"/>
      <c r="O33" s="2"/>
      <c r="Q33" s="2"/>
      <c r="R33" s="499"/>
      <c r="S33" s="499"/>
      <c r="T33" s="619" t="s">
        <v>433</v>
      </c>
      <c r="U33" s="625">
        <f>[0]!E_can</f>
        <v>30</v>
      </c>
    </row>
    <row r="34" spans="2:21" ht="13.5" thickBot="1" x14ac:dyDescent="0.25">
      <c r="B34" s="99"/>
      <c r="C34" s="102"/>
      <c r="D34" s="100"/>
      <c r="E34" s="100"/>
      <c r="F34" s="100"/>
      <c r="G34" s="100"/>
      <c r="H34" s="100"/>
      <c r="I34" s="100"/>
      <c r="J34" s="100"/>
      <c r="K34" s="100"/>
      <c r="L34" s="100"/>
      <c r="M34" s="100"/>
      <c r="N34" s="101"/>
      <c r="O34" s="2"/>
      <c r="P34" s="501" t="s">
        <v>433</v>
      </c>
      <c r="Q34" s="511">
        <f>E_ail</f>
        <v>100</v>
      </c>
      <c r="T34" s="627" t="s">
        <v>438</v>
      </c>
      <c r="U34" s="625">
        <f>[0]!ep_can</f>
        <v>2</v>
      </c>
    </row>
    <row r="35" spans="2:21" x14ac:dyDescent="0.2">
      <c r="B35" s="81"/>
      <c r="C35" s="81"/>
      <c r="D35" s="23"/>
      <c r="E35" s="23"/>
      <c r="F35" s="23"/>
      <c r="G35" s="23"/>
      <c r="H35" s="23"/>
      <c r="I35" s="23"/>
      <c r="J35" s="23"/>
      <c r="K35" s="23"/>
      <c r="L35" s="23"/>
      <c r="M35" s="23"/>
      <c r="N35" s="81"/>
      <c r="O35" s="2"/>
      <c r="P35" s="8"/>
      <c r="Q35" s="8"/>
      <c r="R35" s="81"/>
      <c r="S35" s="81"/>
      <c r="T35" s="624" t="s">
        <v>437</v>
      </c>
      <c r="U35" s="626">
        <f>[0]!Q_can</f>
        <v>4</v>
      </c>
    </row>
    <row r="36" spans="2:21" ht="13.5" thickBot="1" x14ac:dyDescent="0.25">
      <c r="T36" s="2"/>
      <c r="U36" s="512"/>
    </row>
    <row r="37" spans="2:21" x14ac:dyDescent="0.2">
      <c r="B37" s="93"/>
      <c r="C37" s="94"/>
      <c r="D37" s="94"/>
      <c r="E37" s="94"/>
      <c r="F37" s="94"/>
      <c r="G37" s="94"/>
      <c r="H37" s="94"/>
      <c r="I37" s="94"/>
      <c r="J37" s="94"/>
      <c r="K37" s="94"/>
      <c r="L37" s="94"/>
      <c r="M37" s="94"/>
      <c r="N37" s="95"/>
      <c r="T37" s="2"/>
    </row>
    <row r="38" spans="2:21" x14ac:dyDescent="0.2">
      <c r="B38" s="96"/>
      <c r="C38" s="81"/>
      <c r="D38" s="2" t="s">
        <v>198</v>
      </c>
      <c r="E38" s="81"/>
      <c r="F38" s="81"/>
      <c r="G38" s="81"/>
      <c r="H38" s="81"/>
      <c r="I38" s="81"/>
      <c r="J38" s="81"/>
      <c r="K38" s="81"/>
      <c r="L38" s="81"/>
      <c r="M38" s="81"/>
      <c r="N38" s="97"/>
    </row>
    <row r="39" spans="2:21" x14ac:dyDescent="0.2">
      <c r="B39" s="96"/>
      <c r="C39" s="81"/>
      <c r="D39" s="2"/>
      <c r="E39" s="81"/>
      <c r="F39" s="81"/>
      <c r="G39" s="81"/>
      <c r="H39" s="81"/>
      <c r="I39" s="81"/>
      <c r="J39" s="81"/>
      <c r="K39" s="81"/>
      <c r="L39" s="81"/>
      <c r="M39" s="81"/>
      <c r="N39" s="97"/>
    </row>
    <row r="40" spans="2:21" x14ac:dyDescent="0.2">
      <c r="B40" s="96"/>
      <c r="C40" s="81"/>
      <c r="D40" s="323" t="s">
        <v>152</v>
      </c>
      <c r="E40" s="290">
        <f>D_ref</f>
        <v>60</v>
      </c>
      <c r="F40" s="313"/>
      <c r="G40" s="313"/>
      <c r="H40" s="309" t="s">
        <v>201</v>
      </c>
      <c r="I40" s="309" t="s">
        <v>202</v>
      </c>
      <c r="J40" s="310" t="s">
        <v>203</v>
      </c>
      <c r="K40" s="81"/>
      <c r="L40" s="81"/>
      <c r="M40" s="81"/>
      <c r="N40" s="97"/>
    </row>
    <row r="41" spans="2:21" x14ac:dyDescent="0.2">
      <c r="B41" s="96"/>
      <c r="C41" s="81"/>
      <c r="D41" s="324" t="s">
        <v>150</v>
      </c>
      <c r="E41" s="8">
        <f>Long_ogive</f>
        <v>150</v>
      </c>
      <c r="F41" s="2"/>
      <c r="G41" s="2" t="s">
        <v>204</v>
      </c>
      <c r="H41" s="8">
        <f>MasseSans</f>
        <v>1.4787000000000001</v>
      </c>
      <c r="I41" s="8">
        <f ca="1">MasseVide</f>
        <v>1.5630000000000002</v>
      </c>
      <c r="J41" s="288">
        <f ca="1">MassePlein</f>
        <v>1.6386000000000001</v>
      </c>
      <c r="K41" s="81"/>
      <c r="L41" s="81"/>
      <c r="M41" s="81"/>
      <c r="N41" s="97"/>
    </row>
    <row r="42" spans="2:21" x14ac:dyDescent="0.2">
      <c r="B42" s="96"/>
      <c r="C42" s="81"/>
      <c r="D42" s="324" t="s">
        <v>153</v>
      </c>
      <c r="E42" s="8">
        <f>X_ail-m_ail</f>
        <v>744.66399999999999</v>
      </c>
      <c r="F42" s="299"/>
      <c r="G42" s="299" t="s">
        <v>221</v>
      </c>
      <c r="H42" s="311">
        <f>XcgSans</f>
        <v>490</v>
      </c>
      <c r="I42" s="311">
        <f ca="1">XcgVide</f>
        <v>502.78328867562379</v>
      </c>
      <c r="J42" s="289">
        <f ca="1">XcgPlein</f>
        <v>513.12860893445634</v>
      </c>
      <c r="K42" s="81"/>
      <c r="L42" s="81"/>
      <c r="M42" s="81"/>
      <c r="N42" s="97"/>
    </row>
    <row r="43" spans="2:21" x14ac:dyDescent="0.2">
      <c r="B43" s="96"/>
      <c r="C43" s="81"/>
      <c r="D43" s="324" t="str">
        <f>IF(Lang="Français","Emplanture 'm'",IF(Lang="English","Root edge  'm'",""))</f>
        <v>Emplanture 'm'</v>
      </c>
      <c r="E43" s="288">
        <f>m_ail</f>
        <v>90</v>
      </c>
      <c r="F43" s="81"/>
      <c r="G43" s="81"/>
      <c r="H43" s="81"/>
      <c r="I43" s="81"/>
      <c r="J43" s="81"/>
      <c r="K43" s="81"/>
      <c r="L43" s="81"/>
      <c r="M43" s="81"/>
      <c r="N43" s="97"/>
    </row>
    <row r="44" spans="2:21" x14ac:dyDescent="0.2">
      <c r="B44" s="96"/>
      <c r="C44" s="81"/>
      <c r="D44" s="324" t="str">
        <f>IF(Lang="Français","Saumon      'n'",IF(Lang="English","Tip edge    'n'",""))</f>
        <v>Saumon      'n'</v>
      </c>
      <c r="E44" s="288">
        <f>n_ail</f>
        <v>30</v>
      </c>
      <c r="F44" s="290" t="s">
        <v>205</v>
      </c>
      <c r="G44" s="290" t="s">
        <v>210</v>
      </c>
      <c r="H44" s="783">
        <f ca="1">Vsortie_de_rampe</f>
        <v>23.482422240537442</v>
      </c>
      <c r="I44" s="784"/>
      <c r="J44" s="81"/>
      <c r="K44" s="81"/>
      <c r="L44" s="81"/>
      <c r="M44" s="81"/>
      <c r="N44" s="97"/>
    </row>
    <row r="45" spans="2:21" x14ac:dyDescent="0.2">
      <c r="B45" s="96"/>
      <c r="C45" s="81"/>
      <c r="D45" s="324" t="str">
        <f>IF(Lang="Français","Flèche        'p'",IF(Lang="English","Offset         'p'",""))</f>
        <v>Flèche        'p'</v>
      </c>
      <c r="E45" s="288">
        <f>p_ail</f>
        <v>30</v>
      </c>
      <c r="F45" s="8" t="s">
        <v>206</v>
      </c>
      <c r="G45" s="8" t="s">
        <v>211</v>
      </c>
      <c r="H45" s="785">
        <f>Finesse</f>
        <v>13.911066666666667</v>
      </c>
      <c r="I45" s="786"/>
      <c r="J45" s="81"/>
      <c r="K45" s="81"/>
      <c r="L45" s="81"/>
      <c r="M45" s="81"/>
      <c r="N45" s="97"/>
    </row>
    <row r="46" spans="2:21" x14ac:dyDescent="0.2">
      <c r="B46" s="96"/>
      <c r="C46" s="81"/>
      <c r="D46" s="324" t="str">
        <f>IF(Lang="Français","Envergure   'E'",IF(Lang="English","Span          'E'",""))</f>
        <v>Envergure   'E'</v>
      </c>
      <c r="E46" s="288">
        <f>E_ail</f>
        <v>100</v>
      </c>
      <c r="F46" s="8" t="s">
        <v>207</v>
      </c>
      <c r="G46" s="8" t="s">
        <v>212</v>
      </c>
      <c r="H46" s="785">
        <f>Cn</f>
        <v>20.58265859180505</v>
      </c>
      <c r="I46" s="786"/>
      <c r="J46" s="81"/>
      <c r="K46" s="81"/>
      <c r="L46" s="81"/>
      <c r="M46" s="81"/>
      <c r="N46" s="97"/>
    </row>
    <row r="47" spans="2:21" x14ac:dyDescent="0.2">
      <c r="B47" s="96"/>
      <c r="C47" s="81"/>
      <c r="D47" s="324" t="s">
        <v>147</v>
      </c>
      <c r="E47" s="288">
        <f>ep_ail</f>
        <v>2</v>
      </c>
      <c r="F47" s="8" t="s">
        <v>208</v>
      </c>
      <c r="G47" s="8" t="s">
        <v>213</v>
      </c>
      <c r="H47" s="291">
        <f ca="1">MS_min</f>
        <v>3.2070179556504836</v>
      </c>
      <c r="I47" s="298">
        <f ca="1">MS_max</f>
        <v>3.3794399599643592</v>
      </c>
      <c r="J47" s="81"/>
      <c r="K47" s="81"/>
      <c r="L47" s="81"/>
      <c r="M47" s="81"/>
      <c r="N47" s="97"/>
    </row>
    <row r="48" spans="2:21" x14ac:dyDescent="0.2">
      <c r="B48" s="96"/>
      <c r="C48" s="81"/>
      <c r="D48" s="324" t="s">
        <v>148</v>
      </c>
      <c r="E48" s="288">
        <f>Q_ail</f>
        <v>4</v>
      </c>
      <c r="F48" s="322" t="s">
        <v>209</v>
      </c>
      <c r="G48" s="322" t="s">
        <v>214</v>
      </c>
      <c r="H48" s="300">
        <f ca="1">MS_Cn_min</f>
        <v>66.008955678942499</v>
      </c>
      <c r="I48" s="312">
        <f ca="1">MS_Cn_max</f>
        <v>69.557858927449729</v>
      </c>
      <c r="J48" s="81"/>
      <c r="K48" s="81"/>
      <c r="L48" s="81"/>
      <c r="M48" s="81"/>
      <c r="N48" s="97"/>
    </row>
    <row r="49" spans="2:14" x14ac:dyDescent="0.2">
      <c r="B49" s="96"/>
      <c r="C49" s="81"/>
      <c r="D49" s="324" t="s">
        <v>151</v>
      </c>
      <c r="E49" s="288">
        <f ca="1">XpropuRef-Long_propu</f>
        <v>613.01400000000001</v>
      </c>
      <c r="F49" s="81"/>
      <c r="G49" s="81"/>
      <c r="H49" s="81"/>
      <c r="I49" s="81"/>
      <c r="J49" s="81"/>
      <c r="K49" s="81"/>
      <c r="L49" s="81"/>
      <c r="M49" s="81"/>
      <c r="N49" s="97"/>
    </row>
    <row r="50" spans="2:14" x14ac:dyDescent="0.2">
      <c r="B50" s="96"/>
      <c r="C50" s="81"/>
      <c r="D50" s="324" t="s">
        <v>149</v>
      </c>
      <c r="E50" s="320" t="str">
        <f>Forme_ogive</f>
        <v>Parabolique (arrondie)</v>
      </c>
      <c r="F50" s="321" t="s">
        <v>186</v>
      </c>
      <c r="G50" s="323" t="s">
        <v>5</v>
      </c>
      <c r="H50" s="290">
        <f>Cx</f>
        <v>0.6</v>
      </c>
      <c r="I50" s="313"/>
      <c r="J50" s="314"/>
      <c r="K50" s="81"/>
      <c r="L50" s="81"/>
      <c r="M50" s="81"/>
      <c r="N50" s="97"/>
    </row>
    <row r="51" spans="2:14" x14ac:dyDescent="0.2">
      <c r="B51" s="96"/>
      <c r="C51" s="81"/>
      <c r="D51" s="324" t="s">
        <v>145</v>
      </c>
      <c r="E51" s="288">
        <f>Long_tot</f>
        <v>834.66399999999999</v>
      </c>
      <c r="F51" s="81"/>
      <c r="G51" s="324" t="s">
        <v>215</v>
      </c>
      <c r="H51" s="8">
        <f>Sref</f>
        <v>3.6274333882308136E-3</v>
      </c>
      <c r="I51" s="81"/>
      <c r="J51" s="315"/>
      <c r="K51" s="81"/>
      <c r="L51" s="81"/>
      <c r="M51" s="81"/>
      <c r="N51" s="97"/>
    </row>
    <row r="52" spans="2:14" x14ac:dyDescent="0.2">
      <c r="B52" s="96"/>
      <c r="C52" s="81"/>
      <c r="D52" s="324" t="s">
        <v>199</v>
      </c>
      <c r="E52" s="288">
        <f>MAX(D_ref,D_ail,D_og,(RIGHT(Nb_diam,1)=",")*MAX(D1j,D1r,D2j,D2r))</f>
        <v>80</v>
      </c>
      <c r="F52" s="81"/>
      <c r="G52" s="324" t="s">
        <v>216</v>
      </c>
      <c r="H52" s="8">
        <f>Beta_rampe</f>
        <v>80</v>
      </c>
      <c r="I52" s="8">
        <v>80</v>
      </c>
      <c r="J52" s="288">
        <v>90</v>
      </c>
      <c r="K52" s="81"/>
      <c r="L52" s="81"/>
      <c r="M52" s="81"/>
      <c r="N52" s="97"/>
    </row>
    <row r="53" spans="2:14" x14ac:dyDescent="0.2">
      <c r="B53" s="96"/>
      <c r="C53" s="81"/>
      <c r="D53" s="325" t="s">
        <v>200</v>
      </c>
      <c r="E53" s="308">
        <f>E_ail*2+D_ail</f>
        <v>260</v>
      </c>
      <c r="F53" s="81"/>
      <c r="G53" s="327" t="s">
        <v>218</v>
      </c>
      <c r="H53" s="304">
        <f ca="1">Temps_culmi</f>
        <v>7.5999999999999899</v>
      </c>
      <c r="I53" s="305"/>
      <c r="J53" s="316"/>
      <c r="K53" s="81"/>
      <c r="L53" s="81"/>
      <c r="M53" s="81"/>
      <c r="N53" s="97"/>
    </row>
    <row r="54" spans="2:14" x14ac:dyDescent="0.2">
      <c r="B54" s="96"/>
      <c r="C54" s="81"/>
      <c r="D54" s="81"/>
      <c r="E54" s="81"/>
      <c r="F54" s="81"/>
      <c r="G54" s="327" t="s">
        <v>219</v>
      </c>
      <c r="H54" s="286">
        <f ca="1">Altitude_culmi</f>
        <v>281.43877743120714</v>
      </c>
      <c r="I54" s="305"/>
      <c r="J54" s="316"/>
      <c r="K54" s="81"/>
      <c r="L54" s="81"/>
      <c r="M54" s="81"/>
      <c r="N54" s="97"/>
    </row>
    <row r="55" spans="2:14" x14ac:dyDescent="0.2">
      <c r="B55" s="96"/>
      <c r="C55" s="323" t="s">
        <v>236</v>
      </c>
      <c r="D55" s="293" t="s">
        <v>63</v>
      </c>
      <c r="E55" s="287">
        <f>Long_tot</f>
        <v>834.66399999999999</v>
      </c>
      <c r="F55" s="81"/>
      <c r="G55" s="327" t="s">
        <v>220</v>
      </c>
      <c r="H55" s="306">
        <f ca="1">Vit_culmi</f>
        <v>12.361097978846269</v>
      </c>
      <c r="I55" s="305"/>
      <c r="J55" s="316"/>
      <c r="K55" s="81"/>
      <c r="L55" s="81"/>
      <c r="M55" s="81"/>
      <c r="N55" s="97"/>
    </row>
    <row r="56" spans="2:14" x14ac:dyDescent="0.2">
      <c r="B56" s="96"/>
      <c r="C56" s="324"/>
      <c r="D56" s="2" t="s">
        <v>222</v>
      </c>
      <c r="E56" s="288">
        <f>MAX(D_ref,D_ail,D_og,(RIGHT(Nb_diam,1)=",")*MAX(D1j,D1r,D2j,D2r))</f>
        <v>80</v>
      </c>
      <c r="F56" s="81"/>
      <c r="G56" s="327" t="s">
        <v>136</v>
      </c>
      <c r="H56" s="307">
        <f ca="1">Portee_balistique</f>
        <v>187.70931447689617</v>
      </c>
      <c r="I56" s="305"/>
      <c r="J56" s="316"/>
      <c r="K56" s="81"/>
      <c r="L56" s="81"/>
      <c r="M56" s="81"/>
      <c r="N56" s="97"/>
    </row>
    <row r="57" spans="2:14" x14ac:dyDescent="0.2">
      <c r="B57" s="96"/>
      <c r="C57" s="324"/>
      <c r="D57" s="2" t="s">
        <v>223</v>
      </c>
      <c r="E57" s="288">
        <f>E_ail*2+D_ail</f>
        <v>260</v>
      </c>
      <c r="F57" s="81"/>
      <c r="G57" s="327" t="s">
        <v>217</v>
      </c>
      <c r="H57" s="307">
        <f ca="1">T_balistique</f>
        <v>15.599999999999962</v>
      </c>
      <c r="I57" s="305"/>
      <c r="J57" s="316"/>
      <c r="K57" s="81"/>
      <c r="L57" s="81"/>
      <c r="M57" s="81"/>
      <c r="N57" s="97"/>
    </row>
    <row r="58" spans="2:14" x14ac:dyDescent="0.2">
      <c r="B58" s="96"/>
      <c r="C58" s="324"/>
      <c r="D58" s="2" t="s">
        <v>224</v>
      </c>
      <c r="E58" s="288">
        <f ca="1">MassePlein</f>
        <v>1.6386000000000001</v>
      </c>
      <c r="F58" s="81"/>
      <c r="G58" s="327" t="s">
        <v>140</v>
      </c>
      <c r="H58" s="306">
        <f ca="1">Vit_max</f>
        <v>76.970915236585554</v>
      </c>
      <c r="I58" s="305"/>
      <c r="J58" s="316"/>
      <c r="K58" s="81"/>
      <c r="L58" s="81"/>
      <c r="M58" s="81"/>
      <c r="N58" s="97"/>
    </row>
    <row r="59" spans="2:14" x14ac:dyDescent="0.2">
      <c r="B59" s="96"/>
      <c r="C59" s="325" t="s">
        <v>237</v>
      </c>
      <c r="D59" s="299" t="s">
        <v>148</v>
      </c>
      <c r="E59" s="308">
        <f>Q_ail</f>
        <v>4</v>
      </c>
      <c r="F59" s="81"/>
      <c r="G59" s="327" t="s">
        <v>139</v>
      </c>
      <c r="H59" s="307">
        <f ca="1">Acc_max</f>
        <v>137.03691396707868</v>
      </c>
      <c r="I59" s="305"/>
      <c r="J59" s="316"/>
      <c r="K59" s="81"/>
      <c r="L59" s="81"/>
      <c r="M59" s="81"/>
      <c r="N59" s="97"/>
    </row>
    <row r="60" spans="2:14" x14ac:dyDescent="0.2">
      <c r="B60" s="96"/>
      <c r="C60" s="284"/>
      <c r="D60" s="81"/>
      <c r="E60" s="81"/>
      <c r="F60" s="81"/>
      <c r="G60" s="317" t="s">
        <v>225</v>
      </c>
      <c r="H60" s="318"/>
      <c r="I60" s="318"/>
      <c r="J60" s="319"/>
      <c r="K60" s="81"/>
      <c r="L60" s="81"/>
      <c r="M60" s="81"/>
      <c r="N60" s="97"/>
    </row>
    <row r="61" spans="2:14" x14ac:dyDescent="0.2">
      <c r="B61" s="96"/>
      <c r="C61" s="323"/>
      <c r="D61" s="293"/>
      <c r="E61" s="290" t="s">
        <v>229</v>
      </c>
      <c r="F61" s="287" t="s">
        <v>230</v>
      </c>
      <c r="G61" s="19"/>
      <c r="H61" s="19"/>
      <c r="I61" s="19"/>
      <c r="J61" s="19"/>
      <c r="K61" s="2"/>
      <c r="L61" s="81"/>
      <c r="M61" s="81"/>
      <c r="N61" s="97"/>
    </row>
    <row r="62" spans="2:14" x14ac:dyDescent="0.2">
      <c r="B62" s="96"/>
      <c r="C62" s="324" t="s">
        <v>238</v>
      </c>
      <c r="D62" s="329" t="s">
        <v>228</v>
      </c>
      <c r="E62" s="286">
        <f ca="1">2*Acc_max*MassePlein</f>
        <v>449.09737445291023</v>
      </c>
      <c r="F62" s="330">
        <f ca="1">E62/9.81</f>
        <v>45.779548873895024</v>
      </c>
      <c r="H62" s="19"/>
      <c r="I62" s="19"/>
      <c r="J62" s="19"/>
      <c r="K62" s="2"/>
      <c r="L62" s="81"/>
      <c r="M62" s="81"/>
      <c r="N62" s="97"/>
    </row>
    <row r="63" spans="2:14" x14ac:dyDescent="0.2">
      <c r="B63" s="96"/>
      <c r="C63" s="324"/>
      <c r="D63" s="2" t="s">
        <v>226</v>
      </c>
      <c r="E63" s="286">
        <f ca="1">2*Acc_max*Masse_ail</f>
        <v>6.5777718704197765</v>
      </c>
      <c r="F63" s="292">
        <f ca="1">E63/9.81</f>
        <v>0.67051701023647059</v>
      </c>
      <c r="G63" s="290" t="s">
        <v>232</v>
      </c>
      <c r="H63" s="338">
        <f>S_ail*(ep_ail/1000)*2000</f>
        <v>2.4E-2</v>
      </c>
      <c r="I63" s="19"/>
      <c r="J63" s="19"/>
      <c r="K63" s="2"/>
      <c r="L63" s="81"/>
      <c r="M63" s="81"/>
      <c r="N63" s="97"/>
    </row>
    <row r="64" spans="2:14" x14ac:dyDescent="0.2">
      <c r="B64" s="96"/>
      <c r="C64" s="325"/>
      <c r="D64" s="299" t="s">
        <v>227</v>
      </c>
      <c r="E64" s="311">
        <f ca="1">0.104*S_ail*Vit_max^2</f>
        <v>3.6969015984311664</v>
      </c>
      <c r="F64" s="331">
        <f ca="1">E64/9.81</f>
        <v>0.37685031584415557</v>
      </c>
      <c r="G64" s="322" t="s">
        <v>231</v>
      </c>
      <c r="H64" s="339">
        <f>(E_ail*(m_ail+n_ail)/2)/10^6</f>
        <v>6.0000000000000001E-3</v>
      </c>
      <c r="I64" s="19"/>
      <c r="J64" s="19"/>
      <c r="K64" s="19"/>
      <c r="L64" s="81"/>
      <c r="M64" s="81"/>
      <c r="N64" s="97"/>
    </row>
    <row r="65" spans="2:14" x14ac:dyDescent="0.2">
      <c r="B65" s="96"/>
      <c r="C65" s="332" t="s">
        <v>245</v>
      </c>
      <c r="D65" s="335" t="s">
        <v>243</v>
      </c>
      <c r="E65" s="336">
        <f ca="1">2*Acc_max*H65</f>
        <v>224.54868722645512</v>
      </c>
      <c r="F65" s="336">
        <f ca="1">E65/9.81</f>
        <v>22.889774436947512</v>
      </c>
      <c r="G65" s="337" t="s">
        <v>244</v>
      </c>
      <c r="H65" s="328">
        <f ca="1">E58/2</f>
        <v>0.81930000000000003</v>
      </c>
      <c r="I65" s="19"/>
      <c r="J65" s="19"/>
      <c r="K65" s="19"/>
      <c r="L65" s="81"/>
      <c r="M65" s="81"/>
      <c r="N65" s="97"/>
    </row>
    <row r="66" spans="2:14" x14ac:dyDescent="0.2">
      <c r="B66" s="96"/>
      <c r="C66" s="326"/>
      <c r="D66" s="19"/>
      <c r="E66" s="19"/>
      <c r="F66" s="19"/>
      <c r="G66" s="19"/>
      <c r="H66" s="19"/>
      <c r="I66" s="19"/>
      <c r="J66" s="19"/>
      <c r="K66" s="19"/>
      <c r="L66" s="81"/>
      <c r="M66" s="81"/>
      <c r="N66" s="97"/>
    </row>
    <row r="67" spans="2:14" x14ac:dyDescent="0.2">
      <c r="B67" s="96"/>
      <c r="F67" s="323" t="s">
        <v>235</v>
      </c>
      <c r="G67" s="293" t="s">
        <v>233</v>
      </c>
      <c r="H67" s="294">
        <f>T_para</f>
        <v>9</v>
      </c>
      <c r="I67" s="295">
        <f ca="1">Temps_culmi</f>
        <v>7.5999999999999899</v>
      </c>
      <c r="J67" s="19"/>
      <c r="K67" s="19"/>
      <c r="L67" s="81"/>
      <c r="M67" s="81"/>
      <c r="N67" s="97"/>
    </row>
    <row r="68" spans="2:14" x14ac:dyDescent="0.2">
      <c r="B68" s="96"/>
      <c r="C68" s="326"/>
      <c r="D68" s="19"/>
      <c r="E68" s="19"/>
      <c r="F68" s="323" t="s">
        <v>234</v>
      </c>
      <c r="G68" s="293" t="s">
        <v>132</v>
      </c>
      <c r="H68" s="294">
        <f ca="1">V_para</f>
        <v>9.32319359315842</v>
      </c>
      <c r="I68" s="295">
        <f>V_satellite</f>
        <v>10.960038730752361</v>
      </c>
      <c r="J68" s="19"/>
      <c r="K68" s="19"/>
      <c r="L68" s="81"/>
      <c r="M68" s="81"/>
      <c r="N68" s="97"/>
    </row>
    <row r="69" spans="2:14" x14ac:dyDescent="0.2">
      <c r="B69" s="96"/>
      <c r="C69" s="326"/>
      <c r="D69" s="19"/>
      <c r="E69" s="19"/>
      <c r="F69" s="324"/>
      <c r="G69" s="2" t="s">
        <v>240</v>
      </c>
      <c r="H69" s="291">
        <f>S_para</f>
        <v>0.28799999999999998</v>
      </c>
      <c r="I69" s="297">
        <f>S_satellite</f>
        <v>0.02</v>
      </c>
      <c r="J69" s="19"/>
      <c r="K69" s="19"/>
      <c r="L69" s="81"/>
      <c r="M69" s="81"/>
      <c r="N69" s="97"/>
    </row>
    <row r="70" spans="2:14" x14ac:dyDescent="0.2">
      <c r="B70" s="96"/>
      <c r="C70" s="285"/>
      <c r="D70" s="2"/>
      <c r="E70" s="81"/>
      <c r="F70" s="324"/>
      <c r="G70" s="2" t="s">
        <v>239</v>
      </c>
      <c r="H70" s="291">
        <f ca="1">V_ouverture</f>
        <v>17.889984277950663</v>
      </c>
      <c r="I70" s="297">
        <f ca="1">V_ouv_sat</f>
        <v>17.889984277950663</v>
      </c>
      <c r="L70" s="81"/>
      <c r="M70" s="81"/>
      <c r="N70" s="97"/>
    </row>
    <row r="71" spans="2:14" x14ac:dyDescent="0.2">
      <c r="B71" s="96"/>
      <c r="C71" s="265"/>
      <c r="E71" s="81"/>
      <c r="F71" s="324"/>
      <c r="G71" s="2" t="s">
        <v>204</v>
      </c>
      <c r="H71" s="291">
        <f ca="1">m_vide</f>
        <v>1.5630000000000002</v>
      </c>
      <c r="I71" s="297">
        <f>m_satellite</f>
        <v>0.15</v>
      </c>
      <c r="J71" s="81"/>
      <c r="K71" s="81"/>
      <c r="L71" s="81"/>
      <c r="M71" s="81"/>
      <c r="N71" s="97"/>
    </row>
    <row r="72" spans="2:14" x14ac:dyDescent="0.2">
      <c r="B72" s="96"/>
      <c r="C72" s="265"/>
      <c r="E72" s="81"/>
      <c r="F72" s="324"/>
      <c r="G72" s="2" t="s">
        <v>241</v>
      </c>
      <c r="H72" s="333">
        <f ca="1">1/2*Rho_moyen*S_para*V_ouverture^2</f>
        <v>56.457091208882787</v>
      </c>
      <c r="I72" s="334">
        <f ca="1">1/2*Rho_moyen*S_satellite*V_ouv_sat^2</f>
        <v>3.9206313339501939</v>
      </c>
      <c r="J72" s="81"/>
      <c r="K72" s="81"/>
      <c r="L72" s="81"/>
      <c r="M72" s="81"/>
      <c r="N72" s="97"/>
    </row>
    <row r="73" spans="2:14" x14ac:dyDescent="0.2">
      <c r="B73" s="96"/>
      <c r="C73" s="81"/>
      <c r="D73" s="2"/>
      <c r="E73" s="81"/>
      <c r="F73" s="325"/>
      <c r="G73" s="299" t="s">
        <v>242</v>
      </c>
      <c r="H73" s="300">
        <f ca="1">H72/9.81</f>
        <v>5.7550551691012011</v>
      </c>
      <c r="I73" s="301">
        <f ca="1">I72/9.81</f>
        <v>0.39965660896536126</v>
      </c>
      <c r="J73" s="81"/>
      <c r="K73" s="81"/>
      <c r="L73" s="81"/>
      <c r="M73" s="81"/>
      <c r="N73" s="97"/>
    </row>
    <row r="74" spans="2:14" ht="13.5" thickBot="1" x14ac:dyDescent="0.25">
      <c r="B74" s="99"/>
      <c r="C74" s="102"/>
      <c r="D74" s="102"/>
      <c r="E74" s="102"/>
      <c r="F74" s="102"/>
      <c r="G74" s="102"/>
      <c r="H74" s="102"/>
      <c r="I74" s="102"/>
      <c r="J74" s="102"/>
      <c r="K74" s="102"/>
      <c r="L74" s="102"/>
      <c r="M74" s="102"/>
      <c r="N74" s="101"/>
    </row>
    <row r="76" spans="2:14" ht="13.5" thickBot="1" x14ac:dyDescent="0.25"/>
    <row r="77" spans="2:14" x14ac:dyDescent="0.2">
      <c r="B77" s="93"/>
      <c r="C77" s="94"/>
      <c r="D77" s="94"/>
      <c r="E77" s="94"/>
      <c r="F77" s="94"/>
      <c r="G77" s="94"/>
      <c r="H77" s="94"/>
      <c r="I77" s="94"/>
      <c r="J77" s="94"/>
      <c r="K77" s="94"/>
      <c r="L77" s="94"/>
      <c r="M77" s="94"/>
      <c r="N77" s="95"/>
    </row>
    <row r="78" spans="2:14" x14ac:dyDescent="0.2">
      <c r="B78" s="96"/>
      <c r="C78" s="81"/>
      <c r="D78" s="2" t="s">
        <v>335</v>
      </c>
      <c r="E78" s="81"/>
      <c r="F78" s="81"/>
      <c r="G78" s="81"/>
      <c r="H78" s="81"/>
      <c r="I78" s="81"/>
      <c r="J78" s="81"/>
      <c r="K78" s="81"/>
      <c r="L78" s="81"/>
      <c r="M78" s="81"/>
      <c r="N78" s="97"/>
    </row>
    <row r="79" spans="2:14" ht="12.75" customHeight="1" x14ac:dyDescent="0.25">
      <c r="B79" s="96"/>
      <c r="C79" s="81"/>
      <c r="D79" s="81"/>
      <c r="E79" s="499"/>
      <c r="F79" s="500"/>
      <c r="G79" s="504" t="s">
        <v>341</v>
      </c>
      <c r="H79" s="81"/>
      <c r="I79" s="524"/>
      <c r="J79" s="499"/>
      <c r="K79" s="499"/>
      <c r="L79" s="81"/>
      <c r="M79" s="81"/>
      <c r="N79" s="97"/>
    </row>
    <row r="80" spans="2:14" x14ac:dyDescent="0.2">
      <c r="B80" s="96"/>
      <c r="C80" s="323" t="s">
        <v>336</v>
      </c>
      <c r="D80" s="287" t="str">
        <f>Nom</f>
        <v>Taranis</v>
      </c>
      <c r="E80" s="499"/>
      <c r="F80" s="500"/>
      <c r="G80" s="499"/>
      <c r="H80" s="499"/>
      <c r="I80" s="499"/>
      <c r="J80" s="499"/>
      <c r="K80" s="499"/>
      <c r="L80" s="81"/>
      <c r="M80" s="81"/>
      <c r="N80" s="97"/>
    </row>
    <row r="81" spans="2:14" ht="13.5" thickBot="1" x14ac:dyDescent="0.25">
      <c r="B81" s="96"/>
      <c r="C81" s="324" t="s">
        <v>4</v>
      </c>
      <c r="D81" s="288" t="str">
        <f>Club</f>
        <v>Elisa Space</v>
      </c>
      <c r="E81" s="499"/>
      <c r="F81" s="500"/>
      <c r="G81" s="499"/>
      <c r="H81" s="499"/>
      <c r="I81" s="499"/>
      <c r="J81" s="499"/>
      <c r="K81" s="499"/>
      <c r="L81" s="81"/>
      <c r="M81" s="81"/>
      <c r="N81" s="97"/>
    </row>
    <row r="82" spans="2:14" ht="13.5" thickBot="1" x14ac:dyDescent="0.25">
      <c r="B82" s="96"/>
      <c r="C82" s="497" t="s">
        <v>337</v>
      </c>
      <c r="D82" s="288" t="s">
        <v>14</v>
      </c>
      <c r="E82" s="501" t="s">
        <v>342</v>
      </c>
      <c r="F82" s="511">
        <f>Long_ogive</f>
        <v>150</v>
      </c>
      <c r="G82" s="499"/>
      <c r="H82" s="499"/>
      <c r="I82" s="499"/>
      <c r="J82" s="499"/>
      <c r="K82" s="499"/>
      <c r="L82" s="81"/>
      <c r="M82" s="81"/>
      <c r="N82" s="97"/>
    </row>
    <row r="83" spans="2:14" x14ac:dyDescent="0.2">
      <c r="B83" s="96"/>
      <c r="C83" s="325" t="s">
        <v>338</v>
      </c>
      <c r="D83" s="498">
        <f ca="1">TODAY()</f>
        <v>44383</v>
      </c>
      <c r="E83" s="499"/>
      <c r="F83" s="505"/>
      <c r="G83" s="499"/>
      <c r="H83" s="499"/>
      <c r="I83" s="499"/>
      <c r="J83" s="499"/>
      <c r="K83" s="499"/>
      <c r="L83" s="81"/>
      <c r="M83" s="81"/>
      <c r="N83" s="97"/>
    </row>
    <row r="84" spans="2:14" ht="13.5" thickBot="1" x14ac:dyDescent="0.25">
      <c r="B84" s="96"/>
      <c r="C84" s="81"/>
      <c r="D84" s="81"/>
      <c r="E84" s="499"/>
      <c r="F84" s="505"/>
      <c r="G84" s="499"/>
      <c r="H84" s="499"/>
      <c r="I84" s="499"/>
      <c r="J84" s="510" t="str">
        <f>IF(RIGHT(Nb_diam,1)=",", "", X_j)</f>
        <v/>
      </c>
      <c r="K84" s="499"/>
      <c r="L84" s="81"/>
      <c r="M84" s="81"/>
      <c r="N84" s="97"/>
    </row>
    <row r="85" spans="2:14" ht="13.5" thickBot="1" x14ac:dyDescent="0.25">
      <c r="B85" s="96"/>
      <c r="C85" s="323" t="s">
        <v>339</v>
      </c>
      <c r="D85" s="287" t="str">
        <f>Propu</f>
        <v>Pandora</v>
      </c>
      <c r="E85" s="501" t="s">
        <v>343</v>
      </c>
      <c r="F85" s="511">
        <f>D_og</f>
        <v>60</v>
      </c>
      <c r="G85" s="499"/>
      <c r="H85" s="499"/>
      <c r="I85" s="499"/>
      <c r="J85" s="505"/>
      <c r="K85" s="499"/>
      <c r="L85" s="81"/>
      <c r="M85" s="81"/>
      <c r="N85" s="97"/>
    </row>
    <row r="86" spans="2:14" x14ac:dyDescent="0.2">
      <c r="B86" s="96"/>
      <c r="C86" s="325" t="s">
        <v>340</v>
      </c>
      <c r="D86" s="308" t="s">
        <v>14</v>
      </c>
      <c r="E86" s="499"/>
      <c r="F86" s="505"/>
      <c r="G86" s="499"/>
      <c r="H86" s="499"/>
      <c r="I86" s="499"/>
      <c r="J86" s="510" t="str">
        <f>IF(RIGHT(Nb_diam,1)=",", "", X_r)</f>
        <v/>
      </c>
      <c r="K86" s="499"/>
      <c r="L86" s="81"/>
      <c r="M86" s="81"/>
      <c r="N86" s="97"/>
    </row>
    <row r="87" spans="2:14" x14ac:dyDescent="0.2">
      <c r="B87" s="96"/>
      <c r="C87" s="81"/>
      <c r="D87" s="81"/>
      <c r="E87" s="499"/>
      <c r="F87" s="505"/>
      <c r="G87" s="499"/>
      <c r="H87" s="499"/>
      <c r="I87" s="499"/>
      <c r="J87" s="505"/>
      <c r="K87" s="499"/>
      <c r="L87" s="81"/>
      <c r="M87" s="81"/>
      <c r="N87" s="97"/>
    </row>
    <row r="88" spans="2:14" x14ac:dyDescent="0.2">
      <c r="B88" s="96"/>
      <c r="C88" s="81"/>
      <c r="D88" s="81"/>
      <c r="E88" s="499"/>
      <c r="F88" s="505"/>
      <c r="G88" s="499"/>
      <c r="H88" s="499"/>
      <c r="I88" s="499"/>
      <c r="J88" s="510" t="str">
        <f>IF(RIGHT(Nb_diam,1)=",", "", l_j)</f>
        <v/>
      </c>
      <c r="K88" s="499"/>
      <c r="L88" s="81"/>
      <c r="M88" s="81"/>
      <c r="N88" s="97"/>
    </row>
    <row r="89" spans="2:14" ht="13.5" thickBot="1" x14ac:dyDescent="0.25">
      <c r="B89" s="96"/>
      <c r="C89" s="81"/>
      <c r="D89" s="81"/>
      <c r="E89" s="499"/>
      <c r="F89" s="505"/>
      <c r="G89" s="499"/>
      <c r="H89" s="499"/>
      <c r="I89" s="499"/>
      <c r="J89" s="505"/>
      <c r="K89" s="499"/>
      <c r="L89" s="81"/>
      <c r="M89" s="81"/>
      <c r="N89" s="97"/>
    </row>
    <row r="90" spans="2:14" ht="13.5" thickBot="1" x14ac:dyDescent="0.25">
      <c r="B90" s="96"/>
      <c r="C90" s="81"/>
      <c r="D90" s="81"/>
      <c r="E90" s="502" t="s">
        <v>344</v>
      </c>
      <c r="F90" s="510" t="str">
        <f>IF(RIGHT(Nb_diam,1)=",", "", D2j)</f>
        <v/>
      </c>
      <c r="G90" s="499"/>
      <c r="H90" s="499"/>
      <c r="I90" s="499"/>
      <c r="J90" s="511">
        <f>X_ail-m_ail</f>
        <v>744.66399999999999</v>
      </c>
      <c r="K90" s="503"/>
      <c r="L90" s="81"/>
      <c r="M90" s="81"/>
      <c r="N90" s="97"/>
    </row>
    <row r="91" spans="2:14" x14ac:dyDescent="0.2">
      <c r="B91" s="96"/>
      <c r="C91" s="81"/>
      <c r="D91" s="81"/>
      <c r="E91" s="499"/>
      <c r="F91" s="505"/>
      <c r="G91" s="499"/>
      <c r="H91" s="499"/>
      <c r="I91" s="499"/>
      <c r="J91" s="505"/>
      <c r="K91" s="499"/>
      <c r="L91" s="81"/>
      <c r="M91" s="81"/>
      <c r="N91" s="97"/>
    </row>
    <row r="92" spans="2:14" x14ac:dyDescent="0.2">
      <c r="B92" s="96"/>
      <c r="C92" s="81"/>
      <c r="D92" s="81"/>
      <c r="E92" s="499"/>
      <c r="F92" s="505"/>
      <c r="G92" s="499"/>
      <c r="H92" s="499"/>
      <c r="I92" s="499"/>
      <c r="J92" s="510" t="str">
        <f>IF(RIGHT(Nb_diam,1)=",", "", l_r)</f>
        <v/>
      </c>
      <c r="K92" s="499"/>
      <c r="L92" s="81"/>
      <c r="M92" s="81"/>
      <c r="N92" s="97"/>
    </row>
    <row r="93" spans="2:14" x14ac:dyDescent="0.2">
      <c r="B93" s="96"/>
      <c r="C93" s="81"/>
      <c r="D93" s="81"/>
      <c r="E93" s="499"/>
      <c r="F93" s="505"/>
      <c r="G93" s="499"/>
      <c r="H93" s="499"/>
      <c r="I93" s="499"/>
      <c r="J93" s="505"/>
      <c r="K93" s="499"/>
      <c r="L93" s="81"/>
      <c r="M93" s="81"/>
      <c r="N93" s="97"/>
    </row>
    <row r="94" spans="2:14" x14ac:dyDescent="0.2">
      <c r="B94" s="96"/>
      <c r="C94" s="81"/>
      <c r="D94" s="81"/>
      <c r="E94" s="502" t="s">
        <v>345</v>
      </c>
      <c r="F94" s="510" t="str">
        <f>IF(RIGHT(Nb_diam,1)=",", "", D2r)</f>
        <v/>
      </c>
      <c r="G94" s="499"/>
      <c r="H94" s="499"/>
      <c r="I94" s="499"/>
      <c r="J94" s="505"/>
      <c r="K94" s="499"/>
      <c r="L94" s="81"/>
      <c r="M94" s="81"/>
      <c r="N94" s="97"/>
    </row>
    <row r="95" spans="2:14" x14ac:dyDescent="0.2">
      <c r="B95" s="96"/>
      <c r="C95" s="81"/>
      <c r="D95" s="81"/>
      <c r="E95" s="499"/>
      <c r="F95" s="505"/>
      <c r="G95" s="499"/>
      <c r="H95" s="499"/>
      <c r="I95" s="499"/>
      <c r="J95" s="505"/>
      <c r="K95" s="499"/>
      <c r="L95" s="81"/>
      <c r="M95" s="81"/>
      <c r="N95" s="97"/>
    </row>
    <row r="96" spans="2:14" ht="13.5" thickBot="1" x14ac:dyDescent="0.25">
      <c r="B96" s="96"/>
      <c r="C96" s="81"/>
      <c r="D96" s="81"/>
      <c r="E96" s="499"/>
      <c r="F96" s="505"/>
      <c r="G96" s="499"/>
      <c r="H96" s="499"/>
      <c r="I96" s="499"/>
      <c r="J96" s="505"/>
      <c r="K96" s="499"/>
      <c r="L96" s="81"/>
      <c r="M96" s="81"/>
      <c r="N96" s="97"/>
    </row>
    <row r="97" spans="2:14" ht="13.5" thickBot="1" x14ac:dyDescent="0.25">
      <c r="B97" s="96"/>
      <c r="C97" s="81"/>
      <c r="D97" s="81"/>
      <c r="E97" s="501" t="s">
        <v>346</v>
      </c>
      <c r="F97" s="511">
        <f>m_ail</f>
        <v>90</v>
      </c>
      <c r="G97" s="499"/>
      <c r="H97" s="499"/>
      <c r="I97" s="499"/>
      <c r="J97" s="511">
        <f>p_ail</f>
        <v>30</v>
      </c>
      <c r="K97" s="503"/>
      <c r="L97" s="81"/>
      <c r="M97" s="81"/>
      <c r="N97" s="97"/>
    </row>
    <row r="98" spans="2:14" x14ac:dyDescent="0.2">
      <c r="B98" s="96"/>
      <c r="C98" s="81"/>
      <c r="D98" s="81"/>
      <c r="E98" s="499"/>
      <c r="F98" s="500"/>
      <c r="G98" s="499"/>
      <c r="H98" s="499"/>
      <c r="I98" s="499"/>
      <c r="J98" s="505"/>
      <c r="K98" s="499"/>
      <c r="L98" s="81"/>
      <c r="M98" s="81"/>
      <c r="N98" s="97"/>
    </row>
    <row r="99" spans="2:14" x14ac:dyDescent="0.2">
      <c r="B99" s="96"/>
      <c r="C99" s="81"/>
      <c r="D99" s="81"/>
      <c r="E99" s="499"/>
      <c r="F99" s="500"/>
      <c r="G99" s="499"/>
      <c r="H99" s="499"/>
      <c r="I99" s="499"/>
      <c r="J99" s="505"/>
      <c r="K99" s="499"/>
      <c r="L99" s="81"/>
      <c r="M99" s="81"/>
      <c r="N99" s="97"/>
    </row>
    <row r="100" spans="2:14" ht="13.5" thickBot="1" x14ac:dyDescent="0.25">
      <c r="B100" s="96"/>
      <c r="C100" s="81"/>
      <c r="D100" s="494" t="s">
        <v>348</v>
      </c>
      <c r="E100" s="290">
        <f>Q_ail</f>
        <v>4</v>
      </c>
      <c r="F100" s="495"/>
      <c r="G100" s="499"/>
      <c r="H100" s="499"/>
      <c r="I100" s="499"/>
      <c r="J100" s="505"/>
      <c r="K100" s="499"/>
      <c r="L100" s="81"/>
      <c r="M100" s="81"/>
      <c r="N100" s="97"/>
    </row>
    <row r="101" spans="2:14" ht="13.5" thickBot="1" x14ac:dyDescent="0.25">
      <c r="B101" s="96"/>
      <c r="C101" s="81"/>
      <c r="D101" s="506" t="s">
        <v>352</v>
      </c>
      <c r="E101" s="8">
        <f ca="1">XpropuRef-Long_propu</f>
        <v>613.01400000000001</v>
      </c>
      <c r="F101" s="296"/>
      <c r="G101" s="499"/>
      <c r="H101" s="499"/>
      <c r="I101" s="499"/>
      <c r="J101" s="511">
        <f>n_ail</f>
        <v>30</v>
      </c>
      <c r="K101" s="503"/>
      <c r="L101" s="81"/>
      <c r="M101" s="81"/>
      <c r="N101" s="97"/>
    </row>
    <row r="102" spans="2:14" x14ac:dyDescent="0.2">
      <c r="B102" s="96"/>
      <c r="C102" s="81"/>
      <c r="D102" s="506" t="s">
        <v>349</v>
      </c>
      <c r="E102" s="8">
        <f>IF(LEFT(Forme_ogive,4)="Ogiv",1,0)</f>
        <v>0</v>
      </c>
      <c r="F102" s="296" t="s">
        <v>350</v>
      </c>
      <c r="G102" s="499"/>
      <c r="H102" s="499"/>
      <c r="I102" s="499"/>
      <c r="J102" s="505"/>
      <c r="K102" s="499"/>
      <c r="L102" s="81"/>
      <c r="M102" s="81"/>
      <c r="N102" s="97"/>
    </row>
    <row r="103" spans="2:14" x14ac:dyDescent="0.2">
      <c r="B103" s="96"/>
      <c r="C103" s="81"/>
      <c r="D103" s="506"/>
      <c r="E103" s="8">
        <f>IF(LEFT(Forme_ogive,3)="Con",1,0)</f>
        <v>0</v>
      </c>
      <c r="F103" s="296" t="s">
        <v>162</v>
      </c>
      <c r="G103" s="499"/>
      <c r="H103" s="499"/>
      <c r="I103" s="499"/>
      <c r="J103" s="505"/>
      <c r="K103" s="499"/>
      <c r="L103" s="81"/>
      <c r="M103" s="81"/>
      <c r="N103" s="97"/>
    </row>
    <row r="104" spans="2:14" ht="13.5" thickBot="1" x14ac:dyDescent="0.25">
      <c r="B104" s="96"/>
      <c r="C104" s="81"/>
      <c r="D104" s="496"/>
      <c r="E104" s="322">
        <f>IF(LEFT(Forme_ogive,5)="Parab",1,0)</f>
        <v>1</v>
      </c>
      <c r="F104" s="339" t="s">
        <v>351</v>
      </c>
      <c r="G104" s="499"/>
      <c r="H104" s="499"/>
      <c r="I104" s="499"/>
      <c r="J104" s="512" t="s">
        <v>347</v>
      </c>
      <c r="K104" s="499"/>
      <c r="L104" s="81"/>
      <c r="M104" s="81"/>
      <c r="N104" s="97"/>
    </row>
    <row r="105" spans="2:14" ht="13.5" thickBot="1" x14ac:dyDescent="0.25">
      <c r="B105" s="96"/>
      <c r="C105" s="81"/>
      <c r="D105" s="2"/>
      <c r="E105" s="2"/>
      <c r="F105" s="2"/>
      <c r="G105" s="501"/>
      <c r="H105" s="511">
        <f>E_ail</f>
        <v>100</v>
      </c>
      <c r="I105" s="501"/>
      <c r="J105" s="511">
        <f>ep_ail</f>
        <v>2</v>
      </c>
      <c r="K105" s="499"/>
      <c r="L105" s="81"/>
      <c r="M105" s="81"/>
      <c r="N105" s="97"/>
    </row>
    <row r="106" spans="2:14" x14ac:dyDescent="0.2">
      <c r="B106" s="96"/>
      <c r="C106" s="81"/>
      <c r="D106" s="494"/>
      <c r="E106" s="290" t="s">
        <v>356</v>
      </c>
      <c r="F106" s="287" t="s">
        <v>355</v>
      </c>
      <c r="G106" s="81"/>
      <c r="H106" s="81"/>
      <c r="I106" s="81"/>
      <c r="J106" s="81"/>
      <c r="K106" s="81"/>
      <c r="L106" s="81"/>
      <c r="M106" s="81"/>
      <c r="N106" s="97"/>
    </row>
    <row r="107" spans="2:14" x14ac:dyDescent="0.2">
      <c r="B107" s="96"/>
      <c r="C107" s="81"/>
      <c r="D107" s="506" t="s">
        <v>353</v>
      </c>
      <c r="E107" s="8">
        <f>MasseSans</f>
        <v>1.4787000000000001</v>
      </c>
      <c r="F107" s="288">
        <f ca="1">MassePlein</f>
        <v>1.6386000000000001</v>
      </c>
      <c r="G107" s="81"/>
      <c r="H107" s="81"/>
      <c r="I107" s="81"/>
      <c r="J107" s="81"/>
      <c r="K107" s="81"/>
      <c r="L107" s="81"/>
      <c r="M107" s="81"/>
      <c r="N107" s="97"/>
    </row>
    <row r="108" spans="2:14" x14ac:dyDescent="0.2">
      <c r="B108" s="96"/>
      <c r="C108" s="81"/>
      <c r="D108" s="496" t="s">
        <v>354</v>
      </c>
      <c r="E108" s="322">
        <f>XcgSans</f>
        <v>490</v>
      </c>
      <c r="F108" s="308">
        <f ca="1">XcgPlein</f>
        <v>513.12860893445634</v>
      </c>
      <c r="G108" s="81"/>
      <c r="H108" s="81"/>
      <c r="I108" s="81"/>
      <c r="J108" s="81"/>
      <c r="K108" s="81"/>
      <c r="L108" s="81"/>
      <c r="M108" s="81"/>
      <c r="N108" s="97"/>
    </row>
    <row r="109" spans="2:14" x14ac:dyDescent="0.2">
      <c r="B109" s="96"/>
      <c r="C109" s="81"/>
      <c r="D109" s="81"/>
      <c r="E109" s="81"/>
      <c r="F109" s="81"/>
      <c r="G109" s="81"/>
      <c r="H109" s="81"/>
      <c r="I109" s="81"/>
      <c r="J109" s="81"/>
      <c r="K109" s="81"/>
      <c r="L109" s="81"/>
      <c r="M109" s="81"/>
      <c r="N109" s="97"/>
    </row>
    <row r="110" spans="2:14" x14ac:dyDescent="0.2">
      <c r="B110" s="96"/>
      <c r="C110" s="81"/>
      <c r="D110" s="507" t="s">
        <v>357</v>
      </c>
      <c r="E110" s="508">
        <f ca="1">MasseVide</f>
        <v>1.5630000000000002</v>
      </c>
      <c r="F110" s="81"/>
      <c r="G110" s="494" t="s">
        <v>358</v>
      </c>
      <c r="H110" s="313"/>
      <c r="I110" s="313"/>
      <c r="J110" s="314"/>
      <c r="K110" s="81"/>
      <c r="L110" s="81"/>
      <c r="M110" s="81"/>
      <c r="N110" s="97"/>
    </row>
    <row r="111" spans="2:14" x14ac:dyDescent="0.2">
      <c r="B111" s="96"/>
      <c r="C111" s="81"/>
      <c r="D111" s="81"/>
      <c r="E111" s="81"/>
      <c r="F111" s="81"/>
      <c r="G111" s="324" t="s">
        <v>216</v>
      </c>
      <c r="H111" s="8">
        <f>Beta_rampe</f>
        <v>80</v>
      </c>
      <c r="I111" s="8">
        <v>80</v>
      </c>
      <c r="J111" s="288">
        <v>90</v>
      </c>
      <c r="K111" s="81"/>
      <c r="L111" s="81"/>
      <c r="M111" s="81"/>
      <c r="N111" s="97"/>
    </row>
    <row r="112" spans="2:14" x14ac:dyDescent="0.2">
      <c r="B112" s="96"/>
      <c r="C112" s="81"/>
      <c r="D112" s="81"/>
      <c r="E112" s="81"/>
      <c r="F112" s="81"/>
      <c r="G112" s="327" t="s">
        <v>218</v>
      </c>
      <c r="H112" s="304">
        <f ca="1">Temps_culmi</f>
        <v>7.5999999999999899</v>
      </c>
      <c r="I112" s="305"/>
      <c r="J112" s="316"/>
      <c r="K112" s="81"/>
      <c r="L112" s="81"/>
      <c r="M112" s="81"/>
      <c r="N112" s="97"/>
    </row>
    <row r="113" spans="2:14" ht="12.75" customHeight="1" x14ac:dyDescent="0.25">
      <c r="B113" s="96"/>
      <c r="C113" s="81"/>
      <c r="D113" s="504" t="s">
        <v>359</v>
      </c>
      <c r="E113" s="499"/>
      <c r="F113" s="81"/>
      <c r="G113" s="327" t="s">
        <v>219</v>
      </c>
      <c r="H113" s="286">
        <f ca="1">Altitude_culmi</f>
        <v>281.43877743120714</v>
      </c>
      <c r="I113" s="305"/>
      <c r="J113" s="316"/>
      <c r="K113" s="81"/>
      <c r="L113" s="81"/>
      <c r="M113" s="81"/>
      <c r="N113" s="97"/>
    </row>
    <row r="114" spans="2:14" ht="12.75" customHeight="1" x14ac:dyDescent="0.25">
      <c r="B114" s="96"/>
      <c r="C114" s="81"/>
      <c r="D114" s="499"/>
      <c r="E114" s="499"/>
      <c r="F114" s="504"/>
      <c r="G114" s="327" t="s">
        <v>220</v>
      </c>
      <c r="H114" s="306">
        <f ca="1">Vit_culmi</f>
        <v>12.361097978846269</v>
      </c>
      <c r="I114" s="305"/>
      <c r="J114" s="316"/>
      <c r="K114" s="81"/>
      <c r="L114" s="81"/>
      <c r="M114" s="81"/>
      <c r="N114" s="97"/>
    </row>
    <row r="115" spans="2:14" x14ac:dyDescent="0.2">
      <c r="B115" s="96"/>
      <c r="C115" s="518" t="s">
        <v>360</v>
      </c>
      <c r="D115" s="519"/>
      <c r="E115" s="520">
        <v>0.1</v>
      </c>
      <c r="F115" s="81"/>
      <c r="G115" s="327" t="s">
        <v>136</v>
      </c>
      <c r="H115" s="307">
        <f ca="1">Portee_balistique</f>
        <v>187.70931447689617</v>
      </c>
      <c r="I115" s="305"/>
      <c r="J115" s="316"/>
      <c r="K115" s="81"/>
      <c r="L115" s="81"/>
      <c r="M115" s="81"/>
      <c r="N115" s="97"/>
    </row>
    <row r="116" spans="2:14" ht="12.75" customHeight="1" x14ac:dyDescent="0.2">
      <c r="B116" s="96"/>
      <c r="C116" s="521" t="s">
        <v>361</v>
      </c>
      <c r="D116" s="522"/>
      <c r="E116" s="523">
        <f>E_ail*(m_ail+n_ail)/2</f>
        <v>6000</v>
      </c>
      <c r="F116" s="81"/>
      <c r="G116" s="327" t="s">
        <v>140</v>
      </c>
      <c r="H116" s="306">
        <f ca="1">Vit_max</f>
        <v>76.970915236585554</v>
      </c>
      <c r="I116" s="305"/>
      <c r="J116" s="316"/>
      <c r="K116" s="81"/>
      <c r="L116" s="81"/>
      <c r="M116" s="81"/>
      <c r="N116" s="97"/>
    </row>
    <row r="117" spans="2:14" ht="12.75" customHeight="1" x14ac:dyDescent="0.2">
      <c r="B117" s="96"/>
      <c r="C117" s="81"/>
      <c r="D117" s="499"/>
      <c r="E117" s="499"/>
      <c r="F117" s="499"/>
      <c r="G117" s="327" t="s">
        <v>139</v>
      </c>
      <c r="H117" s="307">
        <f ca="1">Acc_max</f>
        <v>137.03691396707868</v>
      </c>
      <c r="I117" s="305"/>
      <c r="J117" s="316"/>
      <c r="K117" s="81"/>
      <c r="L117" s="81"/>
      <c r="M117" s="81"/>
      <c r="N117" s="97"/>
    </row>
    <row r="118" spans="2:14" x14ac:dyDescent="0.2">
      <c r="B118" s="96"/>
      <c r="C118" s="525" t="s">
        <v>362</v>
      </c>
      <c r="D118" s="526"/>
      <c r="E118" s="539"/>
      <c r="F118" s="540">
        <f>J90/100</f>
        <v>7.4466399999999995</v>
      </c>
      <c r="G118" s="324" t="s">
        <v>5</v>
      </c>
      <c r="H118" s="8">
        <f>Cx</f>
        <v>0.6</v>
      </c>
      <c r="I118" s="305"/>
      <c r="J118" s="316"/>
      <c r="K118" s="81"/>
      <c r="L118" s="81"/>
      <c r="M118" s="81"/>
      <c r="N118" s="97"/>
    </row>
    <row r="119" spans="2:14" x14ac:dyDescent="0.2">
      <c r="B119" s="96"/>
      <c r="C119" s="527" t="s">
        <v>363</v>
      </c>
      <c r="D119" s="528"/>
      <c r="E119" s="541">
        <f ca="1">2*Acc_max*MasseSans</f>
        <v>405.2729693662385</v>
      </c>
      <c r="F119" s="542">
        <f ca="1">E119/g</f>
        <v>41.312229293194541</v>
      </c>
      <c r="G119" s="317" t="s">
        <v>225</v>
      </c>
      <c r="H119" s="318"/>
      <c r="I119" s="318"/>
      <c r="J119" s="319"/>
      <c r="K119" s="81"/>
      <c r="L119" s="81"/>
      <c r="M119" s="81"/>
      <c r="N119" s="97"/>
    </row>
    <row r="120" spans="2:14" x14ac:dyDescent="0.2">
      <c r="B120" s="96"/>
      <c r="C120" s="527" t="s">
        <v>364</v>
      </c>
      <c r="D120" s="528"/>
      <c r="E120" s="541">
        <f ca="1">2*Acc_max*E115</f>
        <v>27.407382793415735</v>
      </c>
      <c r="F120" s="542">
        <f ca="1">E120/g</f>
        <v>2.7938208759852938</v>
      </c>
      <c r="G120" s="81"/>
      <c r="H120" s="81"/>
      <c r="I120" s="81"/>
      <c r="J120" s="81"/>
      <c r="K120" s="81"/>
      <c r="L120" s="81"/>
      <c r="M120" s="81"/>
      <c r="N120" s="97"/>
    </row>
    <row r="121" spans="2:14" x14ac:dyDescent="0.2">
      <c r="B121" s="96"/>
      <c r="C121" s="529" t="s">
        <v>365</v>
      </c>
      <c r="D121" s="530"/>
      <c r="E121" s="534">
        <f ca="1">0.104*E116/1000000*Vit_max^2</f>
        <v>3.6969015984311664</v>
      </c>
      <c r="F121" s="535">
        <f ca="1">E121/g</f>
        <v>0.37685031584415557</v>
      </c>
      <c r="G121" s="499"/>
      <c r="H121" s="499"/>
      <c r="I121" s="499"/>
      <c r="J121" s="499"/>
      <c r="K121" s="81"/>
      <c r="L121" s="81"/>
      <c r="M121" s="81"/>
      <c r="N121" s="97"/>
    </row>
    <row r="122" spans="2:14" ht="12.75" customHeight="1" x14ac:dyDescent="0.2">
      <c r="B122" s="96"/>
      <c r="C122" s="81"/>
      <c r="D122" s="81"/>
      <c r="E122" s="81"/>
      <c r="F122" s="81"/>
      <c r="G122" s="81"/>
      <c r="H122" s="499"/>
      <c r="I122" s="499"/>
      <c r="J122" s="499"/>
      <c r="K122" s="81"/>
      <c r="L122" s="81"/>
      <c r="M122" s="81"/>
      <c r="N122" s="97"/>
    </row>
    <row r="123" spans="2:14" ht="12.75" customHeight="1" x14ac:dyDescent="0.25">
      <c r="B123" s="96"/>
      <c r="C123" s="81"/>
      <c r="D123" s="81"/>
      <c r="E123" s="81"/>
      <c r="F123" s="81"/>
      <c r="G123" s="504"/>
      <c r="H123" s="504"/>
      <c r="I123" s="504"/>
      <c r="J123" s="499"/>
      <c r="K123" s="81"/>
      <c r="L123" s="81"/>
      <c r="M123" s="81"/>
      <c r="N123" s="97"/>
    </row>
    <row r="124" spans="2:14" ht="12.75" customHeight="1" x14ac:dyDescent="0.25">
      <c r="B124" s="96"/>
      <c r="C124" s="500"/>
      <c r="D124" s="504" t="s">
        <v>366</v>
      </c>
      <c r="E124" s="524"/>
      <c r="F124" s="81"/>
      <c r="G124" s="81"/>
      <c r="H124" s="81"/>
      <c r="I124" s="81"/>
      <c r="J124" s="499"/>
      <c r="K124" s="499"/>
      <c r="L124" s="81"/>
      <c r="M124" s="81"/>
      <c r="N124" s="97"/>
    </row>
    <row r="125" spans="2:14" x14ac:dyDescent="0.2">
      <c r="B125" s="96"/>
      <c r="C125" s="517" t="s">
        <v>367</v>
      </c>
      <c r="D125" s="509"/>
      <c r="E125" s="509"/>
      <c r="F125" s="509"/>
      <c r="G125" s="509"/>
      <c r="H125" s="81"/>
      <c r="I125" s="81"/>
      <c r="J125" s="499"/>
      <c r="K125" s="499"/>
      <c r="L125" s="81"/>
      <c r="M125" s="81"/>
      <c r="N125" s="97"/>
    </row>
    <row r="126" spans="2:14" x14ac:dyDescent="0.2">
      <c r="B126" s="96"/>
      <c r="C126" s="525" t="s">
        <v>368</v>
      </c>
      <c r="D126" s="526"/>
      <c r="E126" s="531">
        <v>4</v>
      </c>
      <c r="F126" s="509"/>
      <c r="G126" s="499"/>
      <c r="H126" s="81"/>
      <c r="I126" s="81"/>
      <c r="J126" s="499"/>
      <c r="K126" s="81"/>
      <c r="L126" s="81"/>
      <c r="M126" s="81"/>
      <c r="N126" s="97"/>
    </row>
    <row r="127" spans="2:14" x14ac:dyDescent="0.2">
      <c r="B127" s="96"/>
      <c r="C127" s="529" t="s">
        <v>369</v>
      </c>
      <c r="D127" s="530"/>
      <c r="E127" s="538">
        <f>S_para</f>
        <v>0.28799999999999998</v>
      </c>
      <c r="F127" s="509"/>
      <c r="G127" s="499"/>
      <c r="H127" s="81"/>
      <c r="I127" s="81"/>
      <c r="J127" s="499"/>
      <c r="K127" s="81"/>
      <c r="L127" s="81"/>
      <c r="M127" s="81"/>
      <c r="N127" s="97"/>
    </row>
    <row r="128" spans="2:14" x14ac:dyDescent="0.2">
      <c r="B128" s="96"/>
      <c r="C128" s="779" t="s">
        <v>370</v>
      </c>
      <c r="D128" s="780"/>
      <c r="E128" s="532">
        <f ca="1">0.5*Rho_moyen*S_para*Vit_culmi^2</f>
        <v>26.953345508001224</v>
      </c>
      <c r="F128" s="533">
        <f ca="1">E128/g</f>
        <v>2.7475377683997171</v>
      </c>
      <c r="G128" s="509"/>
      <c r="H128" s="499"/>
      <c r="I128" s="499"/>
      <c r="J128" s="499"/>
      <c r="K128" s="499"/>
      <c r="L128" s="81"/>
      <c r="M128" s="81"/>
      <c r="N128" s="97"/>
    </row>
    <row r="129" spans="2:14" x14ac:dyDescent="0.2">
      <c r="B129" s="96"/>
      <c r="C129" s="781" t="s">
        <v>371</v>
      </c>
      <c r="D129" s="782"/>
      <c r="E129" s="534">
        <f ca="1">E128/E126*2</f>
        <v>13.476672754000612</v>
      </c>
      <c r="F129" s="535">
        <f ca="1">E129/g</f>
        <v>1.3737688841998585</v>
      </c>
      <c r="G129" s="509"/>
      <c r="H129" s="499"/>
      <c r="I129" s="499"/>
      <c r="J129" s="499"/>
      <c r="K129" s="499"/>
      <c r="L129" s="81"/>
      <c r="M129" s="81"/>
      <c r="N129" s="97"/>
    </row>
    <row r="130" spans="2:14" x14ac:dyDescent="0.2">
      <c r="B130" s="96"/>
      <c r="C130" s="514"/>
      <c r="D130" s="514"/>
      <c r="E130" s="515"/>
      <c r="F130" s="516"/>
      <c r="G130" s="509"/>
      <c r="H130" s="499"/>
      <c r="I130" s="499"/>
      <c r="J130" s="499"/>
      <c r="K130" s="499"/>
      <c r="L130" s="81"/>
      <c r="M130" s="81"/>
      <c r="N130" s="97"/>
    </row>
    <row r="131" spans="2:14" x14ac:dyDescent="0.2">
      <c r="B131" s="96"/>
      <c r="C131" s="517" t="s">
        <v>372</v>
      </c>
      <c r="D131" s="499"/>
      <c r="E131" s="499"/>
      <c r="F131" s="499"/>
      <c r="G131" s="499"/>
      <c r="H131" s="499"/>
      <c r="I131" s="499"/>
      <c r="J131" s="499"/>
      <c r="K131" s="499"/>
      <c r="L131" s="81"/>
      <c r="M131" s="81"/>
      <c r="N131" s="97"/>
    </row>
    <row r="132" spans="2:14" x14ac:dyDescent="0.2">
      <c r="B132" s="96"/>
      <c r="C132" s="779" t="s">
        <v>373</v>
      </c>
      <c r="D132" s="780"/>
      <c r="E132" s="536">
        <v>1</v>
      </c>
      <c r="F132" s="499"/>
      <c r="G132" s="499"/>
      <c r="H132" s="499"/>
      <c r="I132" s="499"/>
      <c r="J132" s="513"/>
      <c r="K132" s="499"/>
      <c r="L132" s="81"/>
      <c r="M132" s="81"/>
      <c r="N132" s="97"/>
    </row>
    <row r="133" spans="2:14" x14ac:dyDescent="0.2">
      <c r="B133" s="96"/>
      <c r="C133" s="777" t="s">
        <v>374</v>
      </c>
      <c r="D133" s="778"/>
      <c r="E133" s="537">
        <f ca="1">2*E132*Acc_max/g</f>
        <v>27.938208759852941</v>
      </c>
      <c r="F133" s="500"/>
      <c r="G133" s="500"/>
      <c r="H133" s="500"/>
      <c r="I133" s="500"/>
      <c r="J133" s="499"/>
      <c r="K133" s="499"/>
      <c r="L133" s="81"/>
      <c r="M133" s="81"/>
      <c r="N133" s="97"/>
    </row>
    <row r="134" spans="2:14" ht="13.5" thickBot="1" x14ac:dyDescent="0.25">
      <c r="B134" s="99"/>
      <c r="C134" s="543"/>
      <c r="D134" s="543"/>
      <c r="E134" s="543"/>
      <c r="F134" s="543"/>
      <c r="G134" s="543"/>
      <c r="H134" s="543"/>
      <c r="I134" s="543"/>
      <c r="J134" s="544"/>
      <c r="K134" s="544"/>
      <c r="L134" s="102"/>
      <c r="M134" s="102"/>
      <c r="N134" s="101"/>
    </row>
  </sheetData>
  <sheetProtection password="C6AC" sheet="1"/>
  <mergeCells count="22">
    <mergeCell ref="H11:I11"/>
    <mergeCell ref="H12:I12"/>
    <mergeCell ref="H13:I13"/>
    <mergeCell ref="H29:K29"/>
    <mergeCell ref="C29:C30"/>
    <mergeCell ref="D29:D30"/>
    <mergeCell ref="H17:I17"/>
    <mergeCell ref="H18:I18"/>
    <mergeCell ref="H19:I19"/>
    <mergeCell ref="E29:G30"/>
    <mergeCell ref="C133:D133"/>
    <mergeCell ref="C128:D128"/>
    <mergeCell ref="C129:D129"/>
    <mergeCell ref="C132:D132"/>
    <mergeCell ref="H44:I44"/>
    <mergeCell ref="H45:I45"/>
    <mergeCell ref="H46:I46"/>
    <mergeCell ref="E31:G31"/>
    <mergeCell ref="M29:M30"/>
    <mergeCell ref="H30:I30"/>
    <mergeCell ref="L29:L30"/>
    <mergeCell ref="H31:I31"/>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Florian Levray</cp:lastModifiedBy>
  <cp:lastPrinted>2011-11-08T21:12:34Z</cp:lastPrinted>
  <dcterms:created xsi:type="dcterms:W3CDTF">2008-11-03T20:48:06Z</dcterms:created>
  <dcterms:modified xsi:type="dcterms:W3CDTF">2021-07-06T20:27:35Z</dcterms:modified>
</cp:coreProperties>
</file>