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35E1410-F4FD-4CBC-98DE-E57CF58E6F95}" xr6:coauthVersionLast="47" xr6:coauthVersionMax="47" xr10:uidLastSave="{00000000-0000-0000-0000-000000000000}"/>
  <bookViews>
    <workbookView xWindow="-120" yWindow="-120" windowWidth="38640" windowHeight="21240" xr2:uid="{B1F329F7-C43E-42BD-ADBB-4ABFFD43E34C}"/>
  </bookViews>
  <sheets>
    <sheet name="System_A" sheetId="1" r:id="rId1"/>
    <sheet name="Dilivery_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5" i="1"/>
  <c r="R25" i="1"/>
  <c r="AF27" i="1" l="1"/>
  <c r="R23" i="1"/>
  <c r="S23" i="1" s="1"/>
  <c r="U23" i="1" s="1"/>
  <c r="R24" i="1"/>
  <c r="K23" i="1"/>
  <c r="L23" i="1" s="1"/>
  <c r="N23" i="1" s="1"/>
  <c r="K24" i="1"/>
  <c r="L24" i="1" s="1"/>
  <c r="N24" i="1" s="1"/>
  <c r="F27" i="1"/>
  <c r="E25" i="1"/>
  <c r="R6" i="1"/>
  <c r="S6" i="1" s="1"/>
  <c r="U6" i="1" s="1"/>
  <c r="AE21" i="1"/>
  <c r="AF21" i="1" s="1"/>
  <c r="N26" i="1"/>
  <c r="K8" i="1"/>
  <c r="L8" i="1" s="1"/>
  <c r="N8" i="1" s="1"/>
  <c r="S24" i="1"/>
  <c r="U24" i="1" s="1"/>
  <c r="S26" i="1"/>
  <c r="U26" i="1" s="1"/>
  <c r="S25" i="1"/>
  <c r="U25" i="1" s="1"/>
  <c r="N9" i="1"/>
  <c r="N10" i="1"/>
  <c r="N11" i="1"/>
  <c r="N12" i="1"/>
  <c r="N13" i="1"/>
  <c r="N14" i="1"/>
  <c r="N19" i="1"/>
  <c r="N20" i="1"/>
  <c r="N5" i="1"/>
  <c r="U9" i="1"/>
  <c r="U10" i="1"/>
  <c r="U11" i="1"/>
  <c r="U12" i="1"/>
  <c r="U13" i="1"/>
  <c r="U14" i="1"/>
  <c r="U19" i="1"/>
  <c r="U20" i="1"/>
  <c r="R15" i="1"/>
  <c r="S15" i="1" s="1"/>
  <c r="U15" i="1" s="1"/>
  <c r="U5" i="1"/>
  <c r="R7" i="1"/>
  <c r="S7" i="1" s="1"/>
  <c r="U7" i="1" s="1"/>
  <c r="R8" i="1"/>
  <c r="S8" i="1" s="1"/>
  <c r="U8" i="1" s="1"/>
  <c r="R16" i="1"/>
  <c r="S16" i="1" s="1"/>
  <c r="U16" i="1" s="1"/>
  <c r="R17" i="1"/>
  <c r="S17" i="1" s="1"/>
  <c r="U17" i="1" s="1"/>
  <c r="R18" i="1"/>
  <c r="S18" i="1" s="1"/>
  <c r="U18" i="1" s="1"/>
  <c r="K6" i="1"/>
  <c r="L6" i="1" s="1"/>
  <c r="N6" i="1" s="1"/>
  <c r="K15" i="1"/>
  <c r="L15" i="1" s="1"/>
  <c r="N15" i="1" s="1"/>
  <c r="B8" i="2"/>
  <c r="K7" i="1"/>
  <c r="L7" i="1" s="1"/>
  <c r="N7" i="1" s="1"/>
  <c r="K25" i="1"/>
  <c r="L25" i="1" s="1"/>
  <c r="B19" i="2"/>
  <c r="E23" i="1"/>
  <c r="E24" i="1"/>
  <c r="E26" i="1"/>
  <c r="AG5" i="1"/>
  <c r="AG21" i="1" s="1"/>
  <c r="AE27" i="1"/>
  <c r="AC27" i="1"/>
  <c r="Y27" i="1"/>
  <c r="W27" i="1"/>
  <c r="AG23" i="1"/>
  <c r="AG27" i="1" s="1"/>
  <c r="AA5" i="1"/>
  <c r="AA21" i="1" s="1"/>
  <c r="Z23" i="1"/>
  <c r="AA23" i="1" s="1"/>
  <c r="AA27" i="1" s="1"/>
  <c r="AC21" i="1"/>
  <c r="Y21" i="1"/>
  <c r="Z21" i="1" s="1"/>
  <c r="W21" i="1"/>
  <c r="K16" i="1"/>
  <c r="L16" i="1" s="1"/>
  <c r="N16" i="1" s="1"/>
  <c r="K17" i="1"/>
  <c r="L17" i="1" s="1"/>
  <c r="N17" i="1" s="1"/>
  <c r="K18" i="1"/>
  <c r="L18" i="1" s="1"/>
  <c r="N18" i="1" s="1"/>
  <c r="F21" i="1"/>
  <c r="E11" i="1"/>
  <c r="E5" i="1"/>
  <c r="E13" i="1"/>
  <c r="E14" i="1"/>
  <c r="E15" i="1"/>
  <c r="E16" i="1"/>
  <c r="E17" i="1"/>
  <c r="E18" i="1"/>
  <c r="E19" i="1"/>
  <c r="E20" i="1"/>
  <c r="E6" i="1"/>
  <c r="E7" i="1"/>
  <c r="E8" i="1"/>
  <c r="E9" i="1"/>
  <c r="E10" i="1"/>
  <c r="E12" i="1"/>
  <c r="Z27" i="1" l="1"/>
  <c r="B30" i="1"/>
  <c r="R27" i="1"/>
  <c r="U27" i="1"/>
  <c r="S21" i="1"/>
  <c r="T21" i="1" s="1"/>
  <c r="L27" i="1"/>
  <c r="M27" i="1" s="1"/>
  <c r="N25" i="1"/>
  <c r="N27" i="1" s="1"/>
  <c r="S27" i="1"/>
  <c r="T27" i="1" s="1"/>
  <c r="U21" i="1"/>
  <c r="N21" i="1"/>
  <c r="L21" i="1"/>
  <c r="M21" i="1" s="1"/>
  <c r="E21" i="1"/>
  <c r="E27" i="1"/>
  <c r="B33" i="1" l="1"/>
  <c r="B32" i="1"/>
  <c r="B34" i="1"/>
  <c r="B35" i="1" s="1"/>
  <c r="B31" i="1"/>
  <c r="B36" i="1" l="1"/>
  <c r="B3" i="2" l="1"/>
  <c r="B4" i="2" s="1"/>
  <c r="B9" i="2" s="1"/>
  <c r="B13" i="2" s="1"/>
  <c r="B14" i="2"/>
  <c r="B15" i="2" l="1"/>
  <c r="B20" i="2" s="1"/>
</calcChain>
</file>

<file path=xl/sharedStrings.xml><?xml version="1.0" encoding="utf-8"?>
<sst xmlns="http://schemas.openxmlformats.org/spreadsheetml/2006/main" count="223" uniqueCount="87">
  <si>
    <t xml:space="preserve">Hardware </t>
  </si>
  <si>
    <t xml:space="preserve">Component </t>
  </si>
  <si>
    <t xml:space="preserve">Type </t>
  </si>
  <si>
    <t>Count</t>
  </si>
  <si>
    <t>CPU</t>
  </si>
  <si>
    <t>Board</t>
  </si>
  <si>
    <t>ROM</t>
  </si>
  <si>
    <t>RAM</t>
  </si>
  <si>
    <t xml:space="preserve">INTSND </t>
  </si>
  <si>
    <t>GDISP</t>
  </si>
  <si>
    <t>MISC</t>
  </si>
  <si>
    <t>I/O</t>
  </si>
  <si>
    <t>Case</t>
  </si>
  <si>
    <t>Storage</t>
  </si>
  <si>
    <t>Software</t>
  </si>
  <si>
    <t>OS</t>
  </si>
  <si>
    <t>ULA</t>
  </si>
  <si>
    <t>G1</t>
  </si>
  <si>
    <t>G3</t>
  </si>
  <si>
    <t>G4</t>
  </si>
  <si>
    <t>G2</t>
  </si>
  <si>
    <t>68K0</t>
  </si>
  <si>
    <t>A83-S</t>
  </si>
  <si>
    <t>256KB</t>
  </si>
  <si>
    <t>i8042</t>
  </si>
  <si>
    <t>XVX</t>
  </si>
  <si>
    <t>32Kb</t>
  </si>
  <si>
    <t>8Kb</t>
  </si>
  <si>
    <t>sc100</t>
  </si>
  <si>
    <t>sc150</t>
  </si>
  <si>
    <t xml:space="preserve"> Sub Total</t>
  </si>
  <si>
    <t>Sub Total</t>
  </si>
  <si>
    <t>Desktop</t>
  </si>
  <si>
    <t>3.5'' Floppy</t>
  </si>
  <si>
    <t>Resistors, Caps..</t>
  </si>
  <si>
    <t>Unit Price 
+ Manuf. Cost</t>
  </si>
  <si>
    <t>Role</t>
  </si>
  <si>
    <t>-</t>
  </si>
  <si>
    <t>Hardware Architect</t>
  </si>
  <si>
    <t>Type</t>
  </si>
  <si>
    <t xml:space="preserve">Duration </t>
  </si>
  <si>
    <t>(Person Weeks)</t>
  </si>
  <si>
    <t xml:space="preserve">Role </t>
  </si>
  <si>
    <t>Project Manager</t>
  </si>
  <si>
    <t>RESOURCES ( Managerial )</t>
  </si>
  <si>
    <t>Agency</t>
  </si>
  <si>
    <t>Software Architect</t>
  </si>
  <si>
    <t>Software Engineer</t>
  </si>
  <si>
    <t>Total Resources</t>
  </si>
  <si>
    <t>COMPONENTS</t>
  </si>
  <si>
    <t>SYSTEM REQUIRMENTS  (EDC)</t>
  </si>
  <si>
    <t>Softwares</t>
  </si>
  <si>
    <t>EZ-SYS - EZ Suit</t>
  </si>
  <si>
    <t>Synful HB/OS , Kernel, Libs..</t>
  </si>
  <si>
    <t>Total Cost Per System</t>
  </si>
  <si>
    <t>Total Required Days</t>
  </si>
  <si>
    <t xml:space="preserve">Sub Total 
Per System </t>
  </si>
  <si>
    <t>In-House</t>
  </si>
  <si>
    <t>In-house</t>
  </si>
  <si>
    <t xml:space="preserve">Current Budget </t>
  </si>
  <si>
    <t xml:space="preserve">Remaining Budget </t>
  </si>
  <si>
    <t xml:space="preserve">Total Cost </t>
  </si>
  <si>
    <t xml:space="preserve">Selling Price </t>
  </si>
  <si>
    <t xml:space="preserve">Quantity Dilevered </t>
  </si>
  <si>
    <t xml:space="preserve">Quantity Sold </t>
  </si>
  <si>
    <t xml:space="preserve">Revenue </t>
  </si>
  <si>
    <t>Available Budget</t>
  </si>
  <si>
    <t>Hardware Engineer</t>
  </si>
  <si>
    <t>Synful HWCFG</t>
  </si>
  <si>
    <t>RESOURCES (Planning)</t>
  </si>
  <si>
    <t>RESOURCES ( Implementation)</t>
  </si>
  <si>
    <t xml:space="preserve">BATCH 1 </t>
  </si>
  <si>
    <t xml:space="preserve">BATCH 2 </t>
  </si>
  <si>
    <t>Limitations and Diviations 
From The Requirement Highlighted In RED</t>
  </si>
  <si>
    <t xml:space="preserve">Total Duration
(Days) </t>
  </si>
  <si>
    <t>Duration of (Days Worked in Cycle 
HWE: 71% -SWE:56%)</t>
  </si>
  <si>
    <t>Duration of (Days Worked in Cycle HWA:29% -SWA:44%)</t>
  </si>
  <si>
    <t>Project Analyst</t>
  </si>
  <si>
    <t>To</t>
  </si>
  <si>
    <t>MCC-McRom, Kennel,Libs,Langs...</t>
  </si>
  <si>
    <t>Total Cost Of HW + SW in  (2000) Systems</t>
  </si>
  <si>
    <t>Grand Total Of (2000) Systems</t>
  </si>
  <si>
    <t>Count 
/ Task</t>
  </si>
  <si>
    <t>AVA.
Cost/Day</t>
  </si>
  <si>
    <t>Total Cost Of Resources in (2000) Systems</t>
  </si>
  <si>
    <t>Total Cost Of 1 Batch (1500) System</t>
  </si>
  <si>
    <t>In-House/Agency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</si>
</sst>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£-809]* #,##0.00_-;\-[$£-809]* #,##0.00_-;_-[$£-809]* &quot;-&quot;??_-;_-@_-"/>
    <numFmt numFmtId="165" formatCode="_-[$€-2]\ * #,##0.00_-;\-[$€-2]\ * #,##0.00_-;_-[$€-2]\ 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499984740745262"/>
      </left>
      <right style="thin">
        <color theme="0" tint="-0.249977111117893"/>
      </right>
      <top style="medium">
        <color theme="0" tint="-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499984740745262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499984740745262"/>
      </right>
      <top style="medium">
        <color theme="0" tint="-0.499984740745262"/>
      </top>
      <bottom style="thin">
        <color theme="0" tint="-0.249977111117893"/>
      </bottom>
      <diagonal/>
    </border>
    <border>
      <left style="medium">
        <color theme="0" tint="-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499984740745262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499984740745262"/>
      </left>
      <right style="thin">
        <color theme="0" tint="-0.249977111117893"/>
      </right>
      <top style="thin">
        <color theme="0" tint="-0.249977111117893"/>
      </top>
      <bottom style="medium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499984740745262"/>
      </bottom>
      <diagonal/>
    </border>
    <border>
      <left style="thin">
        <color theme="0" tint="-0.249977111117893"/>
      </left>
      <right style="medium">
        <color theme="0" tint="-0.499984740745262"/>
      </right>
      <top style="thin">
        <color theme="0" tint="-0.249977111117893"/>
      </top>
      <bottom style="medium">
        <color theme="0" tint="-0.499984740745262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2" fillId="0" borderId="0" xfId="0" applyFont="1"/>
    <xf numFmtId="0" fontId="1" fillId="4" borderId="0" xfId="0" applyFont="1" applyFill="1"/>
    <xf numFmtId="164" fontId="1" fillId="4" borderId="0" xfId="0" applyNumberFormat="1" applyFont="1" applyFill="1" applyAlignment="1">
      <alignment horizontal="right" wrapText="1"/>
    </xf>
    <xf numFmtId="164" fontId="0" fillId="0" borderId="0" xfId="0" applyNumberFormat="1"/>
    <xf numFmtId="164" fontId="1" fillId="4" borderId="0" xfId="0" applyNumberFormat="1" applyFont="1" applyFill="1" applyAlignment="1">
      <alignment horizontal="right"/>
    </xf>
    <xf numFmtId="2" fontId="0" fillId="0" borderId="0" xfId="0" applyNumberFormat="1"/>
    <xf numFmtId="2" fontId="1" fillId="4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 wrapText="1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1" fillId="9" borderId="0" xfId="0" applyFont="1" applyFill="1"/>
    <xf numFmtId="2" fontId="1" fillId="9" borderId="0" xfId="0" applyNumberFormat="1" applyFont="1" applyFill="1" applyAlignment="1">
      <alignment horizontal="right" wrapText="1"/>
    </xf>
    <xf numFmtId="0" fontId="1" fillId="10" borderId="0" xfId="0" applyFont="1" applyFill="1"/>
    <xf numFmtId="0" fontId="1" fillId="7" borderId="0" xfId="0" applyFont="1" applyFill="1"/>
    <xf numFmtId="0" fontId="1" fillId="6" borderId="0" xfId="0" applyFont="1" applyFill="1"/>
    <xf numFmtId="2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/>
    <xf numFmtId="164" fontId="0" fillId="0" borderId="0" xfId="0" applyNumberFormat="1" applyAlignment="1">
      <alignment horizontal="right"/>
    </xf>
    <xf numFmtId="2" fontId="1" fillId="7" borderId="0" xfId="0" applyNumberFormat="1" applyFont="1" applyFill="1"/>
    <xf numFmtId="2" fontId="1" fillId="6" borderId="0" xfId="0" applyNumberFormat="1" applyFont="1" applyFill="1"/>
    <xf numFmtId="164" fontId="2" fillId="0" borderId="0" xfId="0" applyNumberFormat="1" applyFont="1"/>
    <xf numFmtId="0" fontId="4" fillId="2" borderId="1" xfId="0" applyFont="1" applyFill="1" applyBorder="1"/>
    <xf numFmtId="2" fontId="4" fillId="2" borderId="1" xfId="0" applyNumberFormat="1" applyFont="1" applyFill="1" applyBorder="1"/>
    <xf numFmtId="164" fontId="4" fillId="2" borderId="1" xfId="0" applyNumberFormat="1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164" fontId="2" fillId="2" borderId="1" xfId="0" applyNumberFormat="1" applyFont="1" applyFill="1" applyBorder="1"/>
    <xf numFmtId="0" fontId="7" fillId="0" borderId="1" xfId="0" applyFont="1" applyBorder="1"/>
    <xf numFmtId="2" fontId="7" fillId="0" borderId="1" xfId="0" applyNumberFormat="1" applyFont="1" applyBorder="1"/>
    <xf numFmtId="164" fontId="7" fillId="0" borderId="1" xfId="0" applyNumberFormat="1" applyFont="1" applyBorder="1"/>
    <xf numFmtId="2" fontId="7" fillId="0" borderId="1" xfId="0" applyNumberFormat="1" applyFont="1" applyBorder="1" applyAlignment="1">
      <alignment horizontal="left"/>
    </xf>
    <xf numFmtId="2" fontId="7" fillId="0" borderId="1" xfId="0" applyNumberFormat="1" applyFont="1" applyBorder="1" applyAlignment="1">
      <alignment horizontal="right"/>
    </xf>
    <xf numFmtId="0" fontId="7" fillId="12" borderId="1" xfId="0" applyFont="1" applyFill="1" applyBorder="1"/>
    <xf numFmtId="2" fontId="7" fillId="12" borderId="1" xfId="0" applyNumberFormat="1" applyFont="1" applyFill="1" applyBorder="1"/>
    <xf numFmtId="164" fontId="7" fillId="12" borderId="1" xfId="0" applyNumberFormat="1" applyFont="1" applyFill="1" applyBorder="1"/>
    <xf numFmtId="0" fontId="7" fillId="13" borderId="1" xfId="0" applyFont="1" applyFill="1" applyBorder="1"/>
    <xf numFmtId="2" fontId="7" fillId="13" borderId="1" xfId="0" applyNumberFormat="1" applyFont="1" applyFill="1" applyBorder="1" applyAlignment="1">
      <alignment horizontal="left"/>
    </xf>
    <xf numFmtId="2" fontId="7" fillId="13" borderId="1" xfId="0" applyNumberFormat="1" applyFont="1" applyFill="1" applyBorder="1" applyAlignment="1">
      <alignment horizontal="right"/>
    </xf>
    <xf numFmtId="0" fontId="7" fillId="5" borderId="1" xfId="0" applyFont="1" applyFill="1" applyBorder="1"/>
    <xf numFmtId="2" fontId="7" fillId="5" borderId="1" xfId="0" applyNumberFormat="1" applyFont="1" applyFill="1" applyBorder="1"/>
    <xf numFmtId="164" fontId="7" fillId="5" borderId="1" xfId="0" applyNumberFormat="1" applyFont="1" applyFill="1" applyBorder="1"/>
    <xf numFmtId="0" fontId="7" fillId="12" borderId="1" xfId="0" applyFont="1" applyFill="1" applyBorder="1" applyAlignment="1">
      <alignment horizontal="left" vertical="top"/>
    </xf>
    <xf numFmtId="164" fontId="2" fillId="0" borderId="0" xfId="0" applyNumberFormat="1" applyFont="1" applyAlignment="1">
      <alignment horizontal="right"/>
    </xf>
    <xf numFmtId="0" fontId="1" fillId="4" borderId="0" xfId="0" applyFont="1" applyFill="1" applyAlignment="1">
      <alignment horizontal="left"/>
    </xf>
    <xf numFmtId="0" fontId="6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15" borderId="0" xfId="0" applyFont="1" applyFill="1" applyAlignment="1">
      <alignment horizontal="left"/>
    </xf>
    <xf numFmtId="0" fontId="5" fillId="16" borderId="0" xfId="0" applyFont="1" applyFill="1" applyAlignment="1">
      <alignment horizontal="left"/>
    </xf>
    <xf numFmtId="164" fontId="1" fillId="9" borderId="0" xfId="0" applyNumberFormat="1" applyFont="1" applyFill="1" applyAlignment="1">
      <alignment horizontal="right" wrapText="1"/>
    </xf>
    <xf numFmtId="0" fontId="1" fillId="10" borderId="0" xfId="0" applyFont="1" applyFill="1" applyAlignment="1">
      <alignment wrapText="1"/>
    </xf>
    <xf numFmtId="164" fontId="1" fillId="7" borderId="0" xfId="0" applyNumberFormat="1" applyFont="1" applyFill="1" applyAlignment="1">
      <alignment wrapText="1"/>
    </xf>
    <xf numFmtId="164" fontId="1" fillId="6" borderId="0" xfId="0" applyNumberFormat="1" applyFont="1" applyFill="1" applyAlignment="1">
      <alignment wrapText="1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0" fontId="5" fillId="17" borderId="0" xfId="0" applyFont="1" applyFill="1" applyAlignment="1">
      <alignment horizontal="left"/>
    </xf>
    <xf numFmtId="0" fontId="8" fillId="2" borderId="0" xfId="0" applyFont="1" applyFill="1"/>
    <xf numFmtId="0" fontId="12" fillId="18" borderId="1" xfId="0" applyFont="1" applyFill="1" applyBorder="1" applyAlignment="1">
      <alignment horizontal="left" vertical="top"/>
    </xf>
    <xf numFmtId="2" fontId="12" fillId="18" borderId="1" xfId="0" applyNumberFormat="1" applyFont="1" applyFill="1" applyBorder="1"/>
    <xf numFmtId="164" fontId="12" fillId="18" borderId="1" xfId="0" applyNumberFormat="1" applyFont="1" applyFill="1" applyBorder="1"/>
    <xf numFmtId="0" fontId="12" fillId="18" borderId="1" xfId="0" applyFont="1" applyFill="1" applyBorder="1"/>
    <xf numFmtId="2" fontId="12" fillId="18" borderId="1" xfId="0" applyNumberFormat="1" applyFont="1" applyFill="1" applyBorder="1" applyAlignment="1">
      <alignment horizontal="right"/>
    </xf>
    <xf numFmtId="0" fontId="12" fillId="18" borderId="0" xfId="0" applyFont="1" applyFill="1" applyAlignment="1">
      <alignment horizontal="center" vertical="center" wrapText="1"/>
    </xf>
    <xf numFmtId="165" fontId="7" fillId="13" borderId="1" xfId="0" applyNumberFormat="1" applyFont="1" applyFill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2" fontId="2" fillId="16" borderId="0" xfId="0" applyNumberFormat="1" applyFont="1" applyFill="1" applyAlignment="1">
      <alignment horizontal="right" vertical="center"/>
    </xf>
    <xf numFmtId="0" fontId="2" fillId="16" borderId="0" xfId="0" applyFont="1" applyFill="1" applyAlignment="1">
      <alignment horizontal="right" vertical="center"/>
    </xf>
    <xf numFmtId="164" fontId="9" fillId="16" borderId="0" xfId="0" applyNumberFormat="1" applyFont="1" applyFill="1" applyAlignment="1">
      <alignment horizontal="right" vertical="center"/>
    </xf>
    <xf numFmtId="164" fontId="9" fillId="17" borderId="0" xfId="0" applyNumberFormat="1" applyFont="1" applyFill="1" applyAlignment="1">
      <alignment horizontal="right" vertical="center"/>
    </xf>
    <xf numFmtId="2" fontId="7" fillId="0" borderId="1" xfId="0" applyNumberFormat="1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9" fillId="15" borderId="0" xfId="0" applyNumberFormat="1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/>
    </xf>
    <xf numFmtId="2" fontId="2" fillId="15" borderId="0" xfId="0" applyNumberFormat="1" applyFont="1" applyFill="1" applyAlignment="1">
      <alignment horizontal="right" vertical="center"/>
    </xf>
    <xf numFmtId="0" fontId="2" fillId="15" borderId="0" xfId="0" applyFont="1" applyFill="1" applyAlignment="1">
      <alignment horizontal="right" vertical="center"/>
    </xf>
    <xf numFmtId="164" fontId="7" fillId="8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1" fillId="14" borderId="0" xfId="0" applyFont="1" applyFill="1" applyAlignment="1">
      <alignment horizontal="center"/>
    </xf>
    <xf numFmtId="0" fontId="8" fillId="14" borderId="0" xfId="0" applyFont="1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1" fillId="1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1" fillId="16" borderId="0" xfId="0" applyNumberFormat="1" applyFont="1" applyFill="1" applyAlignment="1">
      <alignment horizontal="right" vertical="center"/>
    </xf>
    <xf numFmtId="164" fontId="10" fillId="15" borderId="0" xfId="0" applyNumberFormat="1" applyFont="1" applyFill="1" applyAlignment="1">
      <alignment horizontal="right" vertical="center"/>
    </xf>
    <xf numFmtId="164" fontId="10" fillId="16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64" fontId="11" fillId="15" borderId="0" xfId="0" applyNumberFormat="1" applyFont="1" applyFill="1" applyAlignment="1">
      <alignment horizontal="right" vertical="center"/>
    </xf>
    <xf numFmtId="164" fontId="11" fillId="16" borderId="0" xfId="0" applyNumberFormat="1" applyFont="1" applyFill="1" applyAlignment="1">
      <alignment horizontal="right" vertical="center"/>
    </xf>
    <xf numFmtId="2" fontId="11" fillId="15" borderId="0" xfId="0" applyNumberFormat="1" applyFont="1" applyFill="1" applyAlignment="1">
      <alignment horizontal="right" vertical="center"/>
    </xf>
    <xf numFmtId="0" fontId="7" fillId="11" borderId="1" xfId="0" applyFont="1" applyFill="1" applyBorder="1" applyAlignment="1">
      <alignment vertical="center"/>
    </xf>
    <xf numFmtId="2" fontId="12" fillId="18" borderId="1" xfId="0" applyNumberFormat="1" applyFont="1" applyFill="1" applyBorder="1" applyAlignment="1">
      <alignment vertical="center"/>
    </xf>
    <xf numFmtId="164" fontId="7" fillId="11" borderId="1" xfId="0" applyNumberFormat="1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horizontal="right"/>
    </xf>
    <xf numFmtId="165" fontId="7" fillId="0" borderId="1" xfId="0" applyNumberFormat="1" applyFont="1" applyFill="1" applyBorder="1" applyAlignment="1">
      <alignment horizontal="right"/>
    </xf>
    <xf numFmtId="2" fontId="1" fillId="10" borderId="0" xfId="0" applyNumberFormat="1" applyFont="1" applyFill="1" applyAlignment="1">
      <alignment wrapText="1"/>
    </xf>
    <xf numFmtId="2" fontId="1" fillId="10" borderId="0" xfId="0" applyNumberFormat="1" applyFont="1" applyFill="1" applyAlignment="1">
      <alignment horizontal="right"/>
    </xf>
    <xf numFmtId="2" fontId="12" fillId="18" borderId="1" xfId="0" applyNumberFormat="1" applyFont="1" applyFill="1" applyBorder="1" applyAlignment="1">
      <alignment horizontal="right" vertical="center"/>
    </xf>
    <xf numFmtId="2" fontId="1" fillId="10" borderId="0" xfId="0" applyNumberFormat="1" applyFont="1" applyFill="1" applyAlignment="1">
      <alignment horizontal="right" wrapText="1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horizontal="right" vertical="center"/>
    </xf>
    <xf numFmtId="164" fontId="7" fillId="0" borderId="1" xfId="0" applyNumberFormat="1" applyFont="1" applyFill="1" applyBorder="1" applyAlignment="1">
      <alignment vertical="center"/>
    </xf>
    <xf numFmtId="2" fontId="7" fillId="11" borderId="1" xfId="0" applyNumberFormat="1" applyFont="1" applyFill="1" applyBorder="1" applyAlignment="1">
      <alignment vertical="center"/>
    </xf>
    <xf numFmtId="2" fontId="7" fillId="11" borderId="1" xfId="0" applyNumberFormat="1" applyFont="1" applyFill="1" applyBorder="1" applyAlignment="1">
      <alignment horizontal="right" vertical="center"/>
    </xf>
    <xf numFmtId="2" fontId="12" fillId="18" borderId="1" xfId="0" applyNumberFormat="1" applyFont="1" applyFill="1" applyBorder="1" applyAlignment="1">
      <alignment horizontal="left"/>
    </xf>
    <xf numFmtId="165" fontId="12" fillId="18" borderId="1" xfId="0" applyNumberFormat="1" applyFont="1" applyFill="1" applyBorder="1" applyAlignment="1">
      <alignment horizontal="right"/>
    </xf>
    <xf numFmtId="0" fontId="12" fillId="18" borderId="1" xfId="0" applyFont="1" applyFill="1" applyBorder="1" applyAlignment="1">
      <alignment vertical="center"/>
    </xf>
    <xf numFmtId="164" fontId="12" fillId="18" borderId="1" xfId="0" applyNumberFormat="1" applyFont="1" applyFill="1" applyBorder="1" applyAlignment="1">
      <alignment vertical="center"/>
    </xf>
    <xf numFmtId="0" fontId="2" fillId="2" borderId="3" xfId="0" applyFont="1" applyFill="1" applyBorder="1"/>
    <xf numFmtId="2" fontId="12" fillId="18" borderId="2" xfId="0" applyNumberFormat="1" applyFont="1" applyFill="1" applyBorder="1"/>
    <xf numFmtId="2" fontId="7" fillId="12" borderId="2" xfId="0" applyNumberFormat="1" applyFont="1" applyFill="1" applyBorder="1"/>
    <xf numFmtId="2" fontId="7" fillId="0" borderId="2" xfId="0" applyNumberFormat="1" applyFont="1" applyBorder="1"/>
    <xf numFmtId="2" fontId="4" fillId="2" borderId="2" xfId="0" applyNumberFormat="1" applyFont="1" applyFill="1" applyBorder="1" applyAlignment="1">
      <alignment horizontal="right"/>
    </xf>
    <xf numFmtId="0" fontId="7" fillId="13" borderId="7" xfId="0" applyFont="1" applyFill="1" applyBorder="1"/>
    <xf numFmtId="164" fontId="7" fillId="13" borderId="8" xfId="0" applyNumberFormat="1" applyFont="1" applyFill="1" applyBorder="1" applyAlignment="1">
      <alignment horizontal="right"/>
    </xf>
    <xf numFmtId="0" fontId="7" fillId="0" borderId="7" xfId="0" applyFont="1" applyBorder="1"/>
    <xf numFmtId="164" fontId="7" fillId="0" borderId="8" xfId="0" applyNumberFormat="1" applyFont="1" applyFill="1" applyBorder="1" applyAlignment="1">
      <alignment horizontal="right"/>
    </xf>
    <xf numFmtId="0" fontId="12" fillId="18" borderId="7" xfId="0" applyFont="1" applyFill="1" applyBorder="1"/>
    <xf numFmtId="164" fontId="12" fillId="18" borderId="8" xfId="0" applyNumberFormat="1" applyFont="1" applyFill="1" applyBorder="1" applyAlignment="1">
      <alignment horizontal="right"/>
    </xf>
    <xf numFmtId="0" fontId="2" fillId="2" borderId="9" xfId="0" applyFont="1" applyFill="1" applyBorder="1"/>
    <xf numFmtId="2" fontId="2" fillId="2" borderId="10" xfId="0" applyNumberFormat="1" applyFont="1" applyFill="1" applyBorder="1" applyAlignment="1">
      <alignment horizontal="left"/>
    </xf>
    <xf numFmtId="0" fontId="2" fillId="2" borderId="10" xfId="0" applyFont="1" applyFill="1" applyBorder="1"/>
    <xf numFmtId="2" fontId="2" fillId="2" borderId="10" xfId="0" applyNumberFormat="1" applyFont="1" applyFill="1" applyBorder="1" applyAlignment="1">
      <alignment horizontal="right"/>
    </xf>
    <xf numFmtId="165" fontId="2" fillId="2" borderId="10" xfId="0" applyNumberFormat="1" applyFont="1" applyFill="1" applyBorder="1" applyAlignment="1">
      <alignment horizontal="right"/>
    </xf>
    <xf numFmtId="164" fontId="2" fillId="2" borderId="11" xfId="0" applyNumberFormat="1" applyFont="1" applyFill="1" applyBorder="1" applyAlignment="1">
      <alignment horizontal="right"/>
    </xf>
    <xf numFmtId="2" fontId="12" fillId="18" borderId="2" xfId="0" applyNumberFormat="1" applyFont="1" applyFill="1" applyBorder="1" applyAlignment="1">
      <alignment horizontal="right"/>
    </xf>
    <xf numFmtId="2" fontId="7" fillId="12" borderId="2" xfId="0" applyNumberFormat="1" applyFont="1" applyFill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0" fontId="7" fillId="11" borderId="7" xfId="0" applyFont="1" applyFill="1" applyBorder="1" applyAlignment="1">
      <alignment vertical="center"/>
    </xf>
    <xf numFmtId="164" fontId="7" fillId="11" borderId="8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0" fontId="12" fillId="18" borderId="7" xfId="0" applyFont="1" applyFill="1" applyBorder="1" applyAlignment="1">
      <alignment vertical="center"/>
    </xf>
    <xf numFmtId="164" fontId="12" fillId="18" borderId="8" xfId="0" applyNumberFormat="1" applyFont="1" applyFill="1" applyBorder="1" applyAlignment="1">
      <alignment vertical="center"/>
    </xf>
    <xf numFmtId="2" fontId="2" fillId="2" borderId="10" xfId="0" applyNumberFormat="1" applyFont="1" applyFill="1" applyBorder="1"/>
    <xf numFmtId="164" fontId="2" fillId="2" borderId="10" xfId="0" applyNumberFormat="1" applyFont="1" applyFill="1" applyBorder="1"/>
    <xf numFmtId="164" fontId="2" fillId="2" borderId="11" xfId="0" applyNumberFormat="1" applyFont="1" applyFill="1" applyBorder="1"/>
    <xf numFmtId="0" fontId="7" fillId="3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164" fontId="7" fillId="8" borderId="5" xfId="0" applyNumberFormat="1" applyFont="1" applyFill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2" fontId="12" fillId="18" borderId="12" xfId="0" applyNumberFormat="1" applyFont="1" applyFill="1" applyBorder="1"/>
    <xf numFmtId="2" fontId="4" fillId="2" borderId="14" xfId="0" applyNumberFormat="1" applyFont="1" applyFill="1" applyBorder="1" applyAlignment="1">
      <alignment horizontal="right"/>
    </xf>
    <xf numFmtId="2" fontId="12" fillId="18" borderId="13" xfId="0" applyNumberFormat="1" applyFont="1" applyFill="1" applyBorder="1" applyAlignment="1">
      <alignment horizontal="right"/>
    </xf>
    <xf numFmtId="2" fontId="7" fillId="12" borderId="13" xfId="0" applyNumberFormat="1" applyFont="1" applyFill="1" applyBorder="1" applyAlignment="1">
      <alignment horizontal="right"/>
    </xf>
    <xf numFmtId="2" fontId="2" fillId="2" borderId="14" xfId="0" applyNumberFormat="1" applyFont="1" applyFill="1" applyBorder="1" applyAlignment="1">
      <alignment horizontal="right"/>
    </xf>
    <xf numFmtId="2" fontId="7" fillId="12" borderId="12" xfId="0" applyNumberFormat="1" applyFont="1" applyFill="1" applyBorder="1" applyAlignment="1">
      <alignment horizontal="right"/>
    </xf>
    <xf numFmtId="0" fontId="7" fillId="13" borderId="4" xfId="0" applyFont="1" applyFill="1" applyBorder="1"/>
    <xf numFmtId="2" fontId="7" fillId="13" borderId="5" xfId="0" applyNumberFormat="1" applyFont="1" applyFill="1" applyBorder="1" applyAlignment="1">
      <alignment horizontal="left"/>
    </xf>
    <xf numFmtId="0" fontId="7" fillId="13" borderId="5" xfId="0" applyFont="1" applyFill="1" applyBorder="1"/>
    <xf numFmtId="2" fontId="7" fillId="13" borderId="5" xfId="0" applyNumberFormat="1" applyFont="1" applyFill="1" applyBorder="1" applyAlignment="1">
      <alignment horizontal="right"/>
    </xf>
    <xf numFmtId="165" fontId="7" fillId="13" borderId="5" xfId="0" applyNumberFormat="1" applyFont="1" applyFill="1" applyBorder="1" applyAlignment="1">
      <alignment horizontal="right"/>
    </xf>
    <xf numFmtId="164" fontId="7" fillId="13" borderId="6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vertical="center"/>
    </xf>
    <xf numFmtId="2" fontId="7" fillId="11" borderId="5" xfId="0" applyNumberFormat="1" applyFont="1" applyFill="1" applyBorder="1" applyAlignment="1">
      <alignment vertical="center"/>
    </xf>
    <xf numFmtId="0" fontId="7" fillId="11" borderId="5" xfId="0" applyFont="1" applyFill="1" applyBorder="1" applyAlignment="1">
      <alignment vertical="center"/>
    </xf>
    <xf numFmtId="2" fontId="7" fillId="11" borderId="5" xfId="0" applyNumberFormat="1" applyFont="1" applyFill="1" applyBorder="1" applyAlignment="1">
      <alignment horizontal="right" vertical="center"/>
    </xf>
    <xf numFmtId="164" fontId="7" fillId="11" borderId="5" xfId="0" applyNumberFormat="1" applyFont="1" applyFill="1" applyBorder="1" applyAlignment="1">
      <alignment vertical="center"/>
    </xf>
    <xf numFmtId="164" fontId="7" fillId="11" borderId="6" xfId="0" applyNumberFormat="1" applyFont="1" applyFill="1" applyBorder="1" applyAlignment="1">
      <alignment vertical="center"/>
    </xf>
    <xf numFmtId="0" fontId="7" fillId="0" borderId="1" xfId="0" applyFont="1" applyFill="1" applyBorder="1"/>
    <xf numFmtId="2" fontId="7" fillId="0" borderId="1" xfId="0" applyNumberFormat="1" applyFont="1" applyFill="1" applyBorder="1"/>
    <xf numFmtId="164" fontId="7" fillId="0" borderId="1" xfId="0" applyNumberFormat="1" applyFont="1" applyFill="1" applyBorder="1"/>
    <xf numFmtId="2" fontId="7" fillId="0" borderId="2" xfId="0" applyNumberFormat="1" applyFont="1" applyFill="1" applyBorder="1"/>
    <xf numFmtId="2" fontId="7" fillId="0" borderId="12" xfId="0" applyNumberFormat="1" applyFont="1" applyFill="1" applyBorder="1"/>
    <xf numFmtId="0" fontId="7" fillId="0" borderId="4" xfId="0" applyFont="1" applyFill="1" applyBorder="1"/>
    <xf numFmtId="2" fontId="7" fillId="0" borderId="5" xfId="0" applyNumberFormat="1" applyFont="1" applyFill="1" applyBorder="1" applyAlignment="1">
      <alignment horizontal="left"/>
    </xf>
    <xf numFmtId="0" fontId="7" fillId="0" borderId="5" xfId="0" applyFont="1" applyFill="1" applyBorder="1"/>
    <xf numFmtId="2" fontId="7" fillId="0" borderId="5" xfId="0" applyNumberFormat="1" applyFont="1" applyFill="1" applyBorder="1" applyAlignment="1">
      <alignment horizontal="right"/>
    </xf>
    <xf numFmtId="165" fontId="7" fillId="0" borderId="5" xfId="0" applyNumberFormat="1" applyFont="1" applyFill="1" applyBorder="1" applyAlignment="1">
      <alignment horizontal="right"/>
    </xf>
    <xf numFmtId="164" fontId="7" fillId="0" borderId="6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vertical="center"/>
    </xf>
    <xf numFmtId="2" fontId="7" fillId="0" borderId="5" xfId="0" applyNumberFormat="1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2" fontId="7" fillId="0" borderId="5" xfId="0" applyNumberFormat="1" applyFont="1" applyFill="1" applyBorder="1" applyAlignment="1">
      <alignment horizontal="right" vertical="center"/>
    </xf>
    <xf numFmtId="164" fontId="7" fillId="0" borderId="5" xfId="0" applyNumberFormat="1" applyFont="1" applyFill="1" applyBorder="1" applyAlignment="1">
      <alignment vertical="center"/>
    </xf>
    <xf numFmtId="164" fontId="7" fillId="0" borderId="6" xfId="0" applyNumberFormat="1" applyFont="1" applyFill="1" applyBorder="1" applyAlignment="1">
      <alignment vertical="center"/>
    </xf>
    <xf numFmtId="164" fontId="9" fillId="16" borderId="0" xfId="0" applyNumberFormat="1" applyFont="1" applyFill="1" applyAlignment="1">
      <alignment horizontal="center" vertical="center"/>
    </xf>
    <xf numFmtId="164" fontId="9" fillId="15" borderId="0" xfId="0" applyNumberFormat="1" applyFont="1" applyFill="1" applyAlignment="1">
      <alignment horizontal="right" vertical="center"/>
    </xf>
    <xf numFmtId="2" fontId="1" fillId="9" borderId="0" xfId="0" applyNumberFormat="1" applyFont="1" applyFill="1" applyAlignment="1">
      <alignment horizontal="left" wrapText="1"/>
    </xf>
    <xf numFmtId="2" fontId="1" fillId="7" borderId="0" xfId="0" applyNumberFormat="1" applyFont="1" applyFill="1" applyAlignment="1">
      <alignment wrapText="1"/>
    </xf>
    <xf numFmtId="2" fontId="1" fillId="6" borderId="0" xfId="0" applyNumberFormat="1" applyFont="1" applyFill="1" applyAlignment="1">
      <alignment wrapText="1"/>
    </xf>
    <xf numFmtId="164" fontId="1" fillId="10" borderId="0" xfId="0" applyNumberFormat="1" applyFont="1" applyFill="1" applyAlignment="1">
      <alignment wrapText="1"/>
    </xf>
    <xf numFmtId="165" fontId="1" fillId="9" borderId="0" xfId="0" applyNumberFormat="1" applyFont="1" applyFill="1" applyAlignment="1">
      <alignment horizontal="right" wrapText="1"/>
    </xf>
    <xf numFmtId="2" fontId="1" fillId="4" borderId="1" xfId="0" applyNumberFormat="1" applyFont="1" applyFill="1" applyBorder="1" applyAlignment="1">
      <alignment horizontal="center"/>
    </xf>
    <xf numFmtId="2" fontId="7" fillId="12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0A46-3754-4AC9-A233-3595CCB5E882}">
  <dimension ref="A1:AG37"/>
  <sheetViews>
    <sheetView tabSelected="1" zoomScaleNormal="100" workbookViewId="0">
      <pane xSplit="1" topLeftCell="G1" activePane="topRight" state="frozen"/>
      <selection pane="topRight" activeCell="T10" sqref="T10"/>
    </sheetView>
  </sheetViews>
  <sheetFormatPr defaultRowHeight="15" x14ac:dyDescent="0.25"/>
  <cols>
    <col min="1" max="1" width="42" style="53" customWidth="1"/>
    <col min="2" max="2" width="30.5703125" customWidth="1"/>
    <col min="3" max="3" width="9.140625" style="6"/>
    <col min="4" max="4" width="14.5703125" style="4" customWidth="1"/>
    <col min="5" max="5" width="13.28515625" style="4" bestFit="1" customWidth="1"/>
    <col min="6" max="6" width="7.5703125" style="9" customWidth="1"/>
    <col min="7" max="7" width="9.140625" style="9" customWidth="1"/>
    <col min="8" max="8" width="18.28515625" customWidth="1"/>
    <col min="9" max="9" width="8.85546875" style="10" customWidth="1"/>
    <col min="10" max="10" width="9.5703125" customWidth="1"/>
    <col min="11" max="11" width="8.85546875" style="9" customWidth="1"/>
    <col min="12" max="12" width="13.140625" style="9" customWidth="1"/>
    <col min="13" max="13" width="13" style="74" customWidth="1"/>
    <col min="14" max="14" width="13" style="19" customWidth="1"/>
    <col min="15" max="15" width="18.140625" customWidth="1"/>
    <col min="16" max="16" width="9.140625" style="6"/>
    <col min="17" max="17" width="16.5703125" customWidth="1"/>
    <col min="18" max="18" width="9.140625" style="9"/>
    <col min="19" max="19" width="13.7109375" style="9" customWidth="1"/>
    <col min="20" max="20" width="12.42578125" style="4" customWidth="1"/>
    <col min="21" max="21" width="12.28515625" bestFit="1" customWidth="1"/>
    <col min="22" max="22" width="16.42578125" customWidth="1"/>
    <col min="23" max="23" width="6.5703125" style="6" customWidth="1"/>
    <col min="24" max="24" width="8" customWidth="1"/>
    <col min="25" max="25" width="10.42578125" style="6" customWidth="1"/>
    <col min="26" max="26" width="11.28515625" style="4" customWidth="1"/>
    <col min="27" max="27" width="12.28515625" style="4" bestFit="1" customWidth="1"/>
    <col min="28" max="28" width="15" customWidth="1"/>
    <col min="29" max="29" width="9.140625" style="6"/>
    <col min="31" max="31" width="9.140625" style="6"/>
    <col min="32" max="32" width="11.28515625" style="4" customWidth="1"/>
    <col min="33" max="33" width="12.28515625" style="4" bestFit="1" customWidth="1"/>
  </cols>
  <sheetData>
    <row r="1" spans="1:33" ht="26.25" customHeight="1" x14ac:dyDescent="0.25">
      <c r="A1" s="91" t="s">
        <v>50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</row>
    <row r="2" spans="1:33" ht="17.25" customHeight="1" x14ac:dyDescent="0.25">
      <c r="A2" s="100" t="s">
        <v>49</v>
      </c>
      <c r="B2" s="100"/>
      <c r="C2" s="100"/>
      <c r="D2" s="100"/>
      <c r="E2" s="100"/>
      <c r="F2" s="100"/>
      <c r="G2" s="207"/>
      <c r="H2" s="99" t="s">
        <v>69</v>
      </c>
      <c r="I2" s="99"/>
      <c r="J2" s="99"/>
      <c r="K2" s="99"/>
      <c r="L2" s="99"/>
      <c r="M2" s="99"/>
      <c r="N2" s="99"/>
      <c r="O2" s="93" t="s">
        <v>70</v>
      </c>
      <c r="P2" s="93"/>
      <c r="Q2" s="93"/>
      <c r="R2" s="93"/>
      <c r="S2" s="93"/>
      <c r="T2" s="93"/>
      <c r="U2" s="93"/>
      <c r="V2" s="94" t="s">
        <v>44</v>
      </c>
      <c r="W2" s="94"/>
      <c r="X2" s="94"/>
      <c r="Y2" s="94"/>
      <c r="Z2" s="94"/>
      <c r="AA2" s="94"/>
      <c r="AB2" s="95" t="s">
        <v>44</v>
      </c>
      <c r="AC2" s="95"/>
      <c r="AD2" s="95"/>
      <c r="AE2" s="95"/>
      <c r="AF2" s="95"/>
      <c r="AG2" s="95"/>
    </row>
    <row r="3" spans="1:33" ht="90" x14ac:dyDescent="0.25">
      <c r="A3" s="45" t="s">
        <v>1</v>
      </c>
      <c r="B3" s="2" t="s">
        <v>2</v>
      </c>
      <c r="C3" s="7" t="s">
        <v>3</v>
      </c>
      <c r="D3" s="3" t="s">
        <v>35</v>
      </c>
      <c r="E3" s="5" t="s">
        <v>31</v>
      </c>
      <c r="F3" s="8" t="s">
        <v>41</v>
      </c>
      <c r="G3" s="8" t="s">
        <v>74</v>
      </c>
      <c r="H3" s="11" t="s">
        <v>36</v>
      </c>
      <c r="I3" s="202" t="s">
        <v>82</v>
      </c>
      <c r="J3" s="11" t="s">
        <v>39</v>
      </c>
      <c r="K3" s="12" t="s">
        <v>74</v>
      </c>
      <c r="L3" s="12" t="s">
        <v>76</v>
      </c>
      <c r="M3" s="206" t="s">
        <v>83</v>
      </c>
      <c r="N3" s="56" t="s">
        <v>56</v>
      </c>
      <c r="O3" s="13" t="s">
        <v>42</v>
      </c>
      <c r="P3" s="113" t="s">
        <v>82</v>
      </c>
      <c r="Q3" s="13" t="s">
        <v>2</v>
      </c>
      <c r="R3" s="114" t="s">
        <v>40</v>
      </c>
      <c r="S3" s="116" t="s">
        <v>75</v>
      </c>
      <c r="T3" s="205" t="s">
        <v>83</v>
      </c>
      <c r="U3" s="57" t="s">
        <v>56</v>
      </c>
      <c r="V3" s="14" t="s">
        <v>42</v>
      </c>
      <c r="W3" s="203" t="s">
        <v>82</v>
      </c>
      <c r="X3" s="14" t="s">
        <v>2</v>
      </c>
      <c r="Y3" s="20" t="s">
        <v>40</v>
      </c>
      <c r="Z3" s="58" t="s">
        <v>83</v>
      </c>
      <c r="AA3" s="58" t="s">
        <v>56</v>
      </c>
      <c r="AB3" s="15" t="s">
        <v>42</v>
      </c>
      <c r="AC3" s="204" t="s">
        <v>82</v>
      </c>
      <c r="AD3" s="15" t="s">
        <v>2</v>
      </c>
      <c r="AE3" s="21" t="s">
        <v>40</v>
      </c>
      <c r="AF3" s="59" t="s">
        <v>83</v>
      </c>
      <c r="AG3" s="59" t="s">
        <v>56</v>
      </c>
    </row>
    <row r="4" spans="1:33" ht="15.75" thickBot="1" x14ac:dyDescent="0.3">
      <c r="A4" s="90" t="s">
        <v>0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</row>
    <row r="5" spans="1:33" x14ac:dyDescent="0.25">
      <c r="A5" s="46" t="s">
        <v>4</v>
      </c>
      <c r="B5" s="183" t="s">
        <v>21</v>
      </c>
      <c r="C5" s="184">
        <v>1</v>
      </c>
      <c r="D5" s="185">
        <v>8</v>
      </c>
      <c r="E5" s="185">
        <f>SUM(C5*D5)</f>
        <v>8</v>
      </c>
      <c r="F5" s="186">
        <v>0</v>
      </c>
      <c r="G5" s="187">
        <f>SUM(F5*5)</f>
        <v>0</v>
      </c>
      <c r="H5" s="188" t="s">
        <v>37</v>
      </c>
      <c r="I5" s="189" t="s">
        <v>37</v>
      </c>
      <c r="J5" s="190" t="s">
        <v>37</v>
      </c>
      <c r="K5" s="191" t="s">
        <v>37</v>
      </c>
      <c r="L5" s="191">
        <v>0</v>
      </c>
      <c r="M5" s="192">
        <v>0</v>
      </c>
      <c r="N5" s="193">
        <f>SUM(M5*L5/2000)</f>
        <v>0</v>
      </c>
      <c r="O5" s="194" t="s">
        <v>37</v>
      </c>
      <c r="P5" s="195" t="s">
        <v>37</v>
      </c>
      <c r="Q5" s="196" t="s">
        <v>37</v>
      </c>
      <c r="R5" s="197" t="s">
        <v>37</v>
      </c>
      <c r="S5" s="197">
        <v>0</v>
      </c>
      <c r="T5" s="198">
        <v>0</v>
      </c>
      <c r="U5" s="199">
        <f>SUM(T5*S5/2000)</f>
        <v>0</v>
      </c>
      <c r="V5" s="157" t="s">
        <v>43</v>
      </c>
      <c r="W5" s="158">
        <v>0.5</v>
      </c>
      <c r="X5" s="159" t="s">
        <v>58</v>
      </c>
      <c r="Y5" s="158">
        <v>24</v>
      </c>
      <c r="Z5" s="160">
        <v>275</v>
      </c>
      <c r="AA5" s="161">
        <f>SUM((Z5*Y5)*W5)/2000</f>
        <v>1.65</v>
      </c>
      <c r="AB5" s="156" t="s">
        <v>77</v>
      </c>
      <c r="AC5" s="79">
        <v>0.5</v>
      </c>
      <c r="AD5" s="83" t="s">
        <v>45</v>
      </c>
      <c r="AE5" s="79">
        <v>16</v>
      </c>
      <c r="AF5" s="80">
        <v>250</v>
      </c>
      <c r="AG5" s="81">
        <f>SUM((AF5*AE5)*AC5)/2000</f>
        <v>1</v>
      </c>
    </row>
    <row r="6" spans="1:33" x14ac:dyDescent="0.25">
      <c r="A6" s="47" t="s">
        <v>5</v>
      </c>
      <c r="B6" s="34" t="s">
        <v>22</v>
      </c>
      <c r="C6" s="35">
        <v>1</v>
      </c>
      <c r="D6" s="36">
        <v>39</v>
      </c>
      <c r="E6" s="36">
        <f t="shared" ref="E6:E20" si="0">SUM(C6*D6)</f>
        <v>39</v>
      </c>
      <c r="F6" s="129">
        <v>8</v>
      </c>
      <c r="G6" s="208">
        <f t="shared" ref="G6:G20" si="1">SUM(F6*5)</f>
        <v>40</v>
      </c>
      <c r="H6" s="132" t="s">
        <v>38</v>
      </c>
      <c r="I6" s="38">
        <v>1</v>
      </c>
      <c r="J6" s="37" t="s">
        <v>57</v>
      </c>
      <c r="K6" s="39">
        <f>SUM((F6*5)/I6)</f>
        <v>40</v>
      </c>
      <c r="L6" s="39">
        <f>SUM(K6*0.29)</f>
        <v>11.6</v>
      </c>
      <c r="M6" s="72">
        <v>250</v>
      </c>
      <c r="N6" s="133">
        <f>SUM(M6*L6/2000)</f>
        <v>1.45</v>
      </c>
      <c r="O6" s="147" t="s">
        <v>67</v>
      </c>
      <c r="P6" s="121">
        <v>3</v>
      </c>
      <c r="Q6" s="108" t="s">
        <v>86</v>
      </c>
      <c r="R6" s="122">
        <f>SUM((F6*5)/P6)</f>
        <v>13.333333333333334</v>
      </c>
      <c r="S6" s="122">
        <f>SUM(R6*0.71)</f>
        <v>9.4666666666666668</v>
      </c>
      <c r="T6" s="110">
        <v>191.6</v>
      </c>
      <c r="U6" s="148">
        <f>SUM(T6*S6/2000)</f>
        <v>0.90690666666666664</v>
      </c>
      <c r="V6" s="162"/>
      <c r="W6" s="79"/>
      <c r="X6" s="84"/>
      <c r="Y6" s="79"/>
      <c r="Z6" s="88"/>
      <c r="AA6" s="163"/>
      <c r="AB6" s="156"/>
      <c r="AC6" s="79"/>
      <c r="AD6" s="83"/>
      <c r="AE6" s="79"/>
      <c r="AF6" s="80"/>
      <c r="AG6" s="81"/>
    </row>
    <row r="7" spans="1:33" x14ac:dyDescent="0.25">
      <c r="A7" s="96" t="s">
        <v>6</v>
      </c>
      <c r="B7" s="40" t="s">
        <v>27</v>
      </c>
      <c r="C7" s="41">
        <v>1</v>
      </c>
      <c r="D7" s="42">
        <v>1.5</v>
      </c>
      <c r="E7" s="42">
        <f t="shared" si="0"/>
        <v>1.5</v>
      </c>
      <c r="F7" s="130">
        <v>4</v>
      </c>
      <c r="G7" s="187">
        <f t="shared" si="1"/>
        <v>20</v>
      </c>
      <c r="H7" s="134" t="s">
        <v>38</v>
      </c>
      <c r="I7" s="32">
        <v>1</v>
      </c>
      <c r="J7" s="29" t="s">
        <v>57</v>
      </c>
      <c r="K7" s="33">
        <f>SUM((F7*5)/I7)</f>
        <v>20</v>
      </c>
      <c r="L7" s="111">
        <f t="shared" ref="L7:L18" si="2">SUM(K7*0.29)</f>
        <v>5.8</v>
      </c>
      <c r="M7" s="112">
        <v>250</v>
      </c>
      <c r="N7" s="135">
        <f>SUM(M7*L7/2000)</f>
        <v>0.72499999999999998</v>
      </c>
      <c r="O7" s="149" t="s">
        <v>67</v>
      </c>
      <c r="P7" s="118">
        <v>3</v>
      </c>
      <c r="Q7" s="117" t="s">
        <v>86</v>
      </c>
      <c r="R7" s="119">
        <f>SUM((F7*5)/P7)</f>
        <v>6.666666666666667</v>
      </c>
      <c r="S7" s="119">
        <f t="shared" ref="S7:S20" si="3">SUM(R7*0.71)</f>
        <v>4.7333333333333334</v>
      </c>
      <c r="T7" s="120">
        <v>191.6</v>
      </c>
      <c r="U7" s="150">
        <f t="shared" ref="U7:U20" si="4">SUM(T7*S7/2000)</f>
        <v>0.45345333333333332</v>
      </c>
      <c r="V7" s="162"/>
      <c r="W7" s="79"/>
      <c r="X7" s="84"/>
      <c r="Y7" s="79"/>
      <c r="Z7" s="88"/>
      <c r="AA7" s="163"/>
      <c r="AB7" s="156"/>
      <c r="AC7" s="79"/>
      <c r="AD7" s="83"/>
      <c r="AE7" s="79"/>
      <c r="AF7" s="80"/>
      <c r="AG7" s="81"/>
    </row>
    <row r="8" spans="1:33" x14ac:dyDescent="0.25">
      <c r="A8" s="96"/>
      <c r="B8" s="40" t="s">
        <v>26</v>
      </c>
      <c r="C8" s="41">
        <v>1</v>
      </c>
      <c r="D8" s="42">
        <v>4</v>
      </c>
      <c r="E8" s="42">
        <f t="shared" si="0"/>
        <v>4</v>
      </c>
      <c r="F8" s="130">
        <v>4</v>
      </c>
      <c r="G8" s="187">
        <f t="shared" si="1"/>
        <v>20</v>
      </c>
      <c r="H8" s="134" t="s">
        <v>38</v>
      </c>
      <c r="I8" s="32">
        <v>1</v>
      </c>
      <c r="J8" s="29" t="s">
        <v>57</v>
      </c>
      <c r="K8" s="33">
        <f>SUM((F8*5)/I8)</f>
        <v>20</v>
      </c>
      <c r="L8" s="111">
        <f t="shared" si="2"/>
        <v>5.8</v>
      </c>
      <c r="M8" s="112">
        <v>250</v>
      </c>
      <c r="N8" s="135">
        <f>SUM(M8*L8/2000)</f>
        <v>0.72499999999999998</v>
      </c>
      <c r="O8" s="149" t="s">
        <v>67</v>
      </c>
      <c r="P8" s="118">
        <v>3</v>
      </c>
      <c r="Q8" s="117" t="s">
        <v>86</v>
      </c>
      <c r="R8" s="119">
        <f>SUM((F8*5)/P8)</f>
        <v>6.666666666666667</v>
      </c>
      <c r="S8" s="119">
        <f t="shared" si="3"/>
        <v>4.7333333333333334</v>
      </c>
      <c r="T8" s="120">
        <v>191.6</v>
      </c>
      <c r="U8" s="150">
        <f t="shared" si="4"/>
        <v>0.45345333333333332</v>
      </c>
      <c r="V8" s="162"/>
      <c r="W8" s="79"/>
      <c r="X8" s="84"/>
      <c r="Y8" s="79"/>
      <c r="Z8" s="88"/>
      <c r="AA8" s="163"/>
      <c r="AB8" s="156"/>
      <c r="AC8" s="79"/>
      <c r="AD8" s="83"/>
      <c r="AE8" s="79"/>
      <c r="AF8" s="80"/>
      <c r="AG8" s="81"/>
    </row>
    <row r="9" spans="1:33" x14ac:dyDescent="0.25">
      <c r="A9" s="47" t="s">
        <v>7</v>
      </c>
      <c r="B9" s="34" t="s">
        <v>23</v>
      </c>
      <c r="C9" s="35">
        <v>2</v>
      </c>
      <c r="D9" s="36">
        <v>5</v>
      </c>
      <c r="E9" s="36">
        <f t="shared" si="0"/>
        <v>10</v>
      </c>
      <c r="F9" s="129">
        <v>0</v>
      </c>
      <c r="G9" s="208">
        <f t="shared" si="1"/>
        <v>0</v>
      </c>
      <c r="H9" s="132" t="s">
        <v>37</v>
      </c>
      <c r="I9" s="38" t="s">
        <v>37</v>
      </c>
      <c r="J9" s="37" t="s">
        <v>37</v>
      </c>
      <c r="K9" s="39" t="s">
        <v>37</v>
      </c>
      <c r="L9" s="39">
        <v>0</v>
      </c>
      <c r="M9" s="72">
        <v>0</v>
      </c>
      <c r="N9" s="133">
        <f>SUM(M9*L9/2000)</f>
        <v>0</v>
      </c>
      <c r="O9" s="147" t="s">
        <v>37</v>
      </c>
      <c r="P9" s="121" t="s">
        <v>37</v>
      </c>
      <c r="Q9" s="108"/>
      <c r="R9" s="122" t="s">
        <v>37</v>
      </c>
      <c r="S9" s="122">
        <v>0</v>
      </c>
      <c r="T9" s="110">
        <v>0</v>
      </c>
      <c r="U9" s="148">
        <f t="shared" si="4"/>
        <v>0</v>
      </c>
      <c r="V9" s="162"/>
      <c r="W9" s="79"/>
      <c r="X9" s="84"/>
      <c r="Y9" s="79"/>
      <c r="Z9" s="88"/>
      <c r="AA9" s="163"/>
      <c r="AB9" s="156"/>
      <c r="AC9" s="79"/>
      <c r="AD9" s="83"/>
      <c r="AE9" s="79"/>
      <c r="AF9" s="80"/>
      <c r="AG9" s="81"/>
    </row>
    <row r="10" spans="1:33" x14ac:dyDescent="0.25">
      <c r="A10" s="48" t="s">
        <v>8</v>
      </c>
      <c r="B10" s="40" t="s">
        <v>24</v>
      </c>
      <c r="C10" s="41">
        <v>1</v>
      </c>
      <c r="D10" s="42">
        <v>1.5</v>
      </c>
      <c r="E10" s="42">
        <f t="shared" si="0"/>
        <v>1.5</v>
      </c>
      <c r="F10" s="130">
        <v>0</v>
      </c>
      <c r="G10" s="187">
        <f t="shared" si="1"/>
        <v>0</v>
      </c>
      <c r="H10" s="134" t="s">
        <v>37</v>
      </c>
      <c r="I10" s="32" t="s">
        <v>37</v>
      </c>
      <c r="J10" s="29" t="s">
        <v>37</v>
      </c>
      <c r="K10" s="33" t="s">
        <v>37</v>
      </c>
      <c r="L10" s="111">
        <v>0</v>
      </c>
      <c r="M10" s="112">
        <v>0</v>
      </c>
      <c r="N10" s="135">
        <f>SUM(M10*L10/2000)</f>
        <v>0</v>
      </c>
      <c r="O10" s="149" t="s">
        <v>37</v>
      </c>
      <c r="P10" s="118" t="s">
        <v>37</v>
      </c>
      <c r="Q10" s="117"/>
      <c r="R10" s="119" t="s">
        <v>37</v>
      </c>
      <c r="S10" s="119">
        <v>0</v>
      </c>
      <c r="T10" s="120">
        <v>0</v>
      </c>
      <c r="U10" s="150">
        <f t="shared" si="4"/>
        <v>0</v>
      </c>
      <c r="V10" s="162"/>
      <c r="W10" s="79"/>
      <c r="X10" s="84"/>
      <c r="Y10" s="79"/>
      <c r="Z10" s="88"/>
      <c r="AA10" s="163"/>
      <c r="AB10" s="156"/>
      <c r="AC10" s="79"/>
      <c r="AD10" s="83"/>
      <c r="AE10" s="79"/>
      <c r="AF10" s="80"/>
      <c r="AG10" s="81"/>
    </row>
    <row r="11" spans="1:33" x14ac:dyDescent="0.25">
      <c r="A11" s="47" t="s">
        <v>9</v>
      </c>
      <c r="B11" s="69" t="s">
        <v>25</v>
      </c>
      <c r="C11" s="67">
        <v>1</v>
      </c>
      <c r="D11" s="68">
        <v>0</v>
      </c>
      <c r="E11" s="68">
        <f>SUM(C11*D11)</f>
        <v>0</v>
      </c>
      <c r="F11" s="128">
        <v>0</v>
      </c>
      <c r="G11" s="165">
        <f t="shared" si="1"/>
        <v>0</v>
      </c>
      <c r="H11" s="136" t="s">
        <v>37</v>
      </c>
      <c r="I11" s="123" t="s">
        <v>37</v>
      </c>
      <c r="J11" s="69" t="s">
        <v>37</v>
      </c>
      <c r="K11" s="70" t="s">
        <v>37</v>
      </c>
      <c r="L11" s="70">
        <v>0</v>
      </c>
      <c r="M11" s="124">
        <v>0</v>
      </c>
      <c r="N11" s="137">
        <f>SUM(M11*L11/2000)</f>
        <v>0</v>
      </c>
      <c r="O11" s="151" t="s">
        <v>37</v>
      </c>
      <c r="P11" s="109" t="s">
        <v>37</v>
      </c>
      <c r="Q11" s="125"/>
      <c r="R11" s="115" t="s">
        <v>37</v>
      </c>
      <c r="S11" s="115">
        <v>0</v>
      </c>
      <c r="T11" s="126">
        <v>0</v>
      </c>
      <c r="U11" s="152">
        <f t="shared" si="4"/>
        <v>0</v>
      </c>
      <c r="V11" s="162"/>
      <c r="W11" s="79"/>
      <c r="X11" s="84"/>
      <c r="Y11" s="79"/>
      <c r="Z11" s="88"/>
      <c r="AA11" s="163"/>
      <c r="AB11" s="156"/>
      <c r="AC11" s="79"/>
      <c r="AD11" s="83"/>
      <c r="AE11" s="79"/>
      <c r="AF11" s="80"/>
      <c r="AG11" s="81"/>
    </row>
    <row r="12" spans="1:33" x14ac:dyDescent="0.25">
      <c r="A12" s="46" t="s">
        <v>10</v>
      </c>
      <c r="B12" s="29" t="s">
        <v>34</v>
      </c>
      <c r="C12" s="30">
        <v>100</v>
      </c>
      <c r="D12" s="31">
        <v>0.5</v>
      </c>
      <c r="E12" s="31">
        <f t="shared" si="0"/>
        <v>50</v>
      </c>
      <c r="F12" s="130">
        <v>0</v>
      </c>
      <c r="G12" s="187">
        <f t="shared" si="1"/>
        <v>0</v>
      </c>
      <c r="H12" s="134" t="s">
        <v>37</v>
      </c>
      <c r="I12" s="32" t="s">
        <v>37</v>
      </c>
      <c r="J12" s="29" t="s">
        <v>37</v>
      </c>
      <c r="K12" s="33" t="s">
        <v>37</v>
      </c>
      <c r="L12" s="111">
        <v>0</v>
      </c>
      <c r="M12" s="112">
        <v>0</v>
      </c>
      <c r="N12" s="135">
        <f>SUM(M12*L12/2000)</f>
        <v>0</v>
      </c>
      <c r="O12" s="149" t="s">
        <v>37</v>
      </c>
      <c r="P12" s="118" t="s">
        <v>37</v>
      </c>
      <c r="Q12" s="117"/>
      <c r="R12" s="119" t="s">
        <v>37</v>
      </c>
      <c r="S12" s="119">
        <v>0</v>
      </c>
      <c r="T12" s="120">
        <v>0</v>
      </c>
      <c r="U12" s="150">
        <f t="shared" si="4"/>
        <v>0</v>
      </c>
      <c r="V12" s="162"/>
      <c r="W12" s="79"/>
      <c r="X12" s="84"/>
      <c r="Y12" s="79"/>
      <c r="Z12" s="88"/>
      <c r="AA12" s="163"/>
      <c r="AB12" s="156"/>
      <c r="AC12" s="79"/>
      <c r="AD12" s="83"/>
      <c r="AE12" s="79"/>
      <c r="AF12" s="80"/>
      <c r="AG12" s="81"/>
    </row>
    <row r="13" spans="1:33" x14ac:dyDescent="0.25">
      <c r="A13" s="98" t="s">
        <v>11</v>
      </c>
      <c r="B13" s="43" t="s">
        <v>28</v>
      </c>
      <c r="C13" s="35">
        <v>1</v>
      </c>
      <c r="D13" s="36">
        <v>12</v>
      </c>
      <c r="E13" s="36">
        <f t="shared" si="0"/>
        <v>12</v>
      </c>
      <c r="F13" s="129">
        <v>0</v>
      </c>
      <c r="G13" s="208">
        <f t="shared" si="1"/>
        <v>0</v>
      </c>
      <c r="H13" s="132" t="s">
        <v>37</v>
      </c>
      <c r="I13" s="38" t="s">
        <v>37</v>
      </c>
      <c r="J13" s="37" t="s">
        <v>37</v>
      </c>
      <c r="K13" s="39" t="s">
        <v>37</v>
      </c>
      <c r="L13" s="39">
        <v>0</v>
      </c>
      <c r="M13" s="72">
        <v>0</v>
      </c>
      <c r="N13" s="133">
        <f>SUM(M13*L13/2000)</f>
        <v>0</v>
      </c>
      <c r="O13" s="147" t="s">
        <v>37</v>
      </c>
      <c r="P13" s="121" t="s">
        <v>37</v>
      </c>
      <c r="Q13" s="108"/>
      <c r="R13" s="122" t="s">
        <v>37</v>
      </c>
      <c r="S13" s="122">
        <v>0</v>
      </c>
      <c r="T13" s="110">
        <v>0</v>
      </c>
      <c r="U13" s="148">
        <f t="shared" si="4"/>
        <v>0</v>
      </c>
      <c r="V13" s="162"/>
      <c r="W13" s="79"/>
      <c r="X13" s="84"/>
      <c r="Y13" s="79"/>
      <c r="Z13" s="88"/>
      <c r="AA13" s="163"/>
      <c r="AB13" s="156"/>
      <c r="AC13" s="79"/>
      <c r="AD13" s="83"/>
      <c r="AE13" s="79"/>
      <c r="AF13" s="80"/>
      <c r="AG13" s="81"/>
    </row>
    <row r="14" spans="1:33" x14ac:dyDescent="0.25">
      <c r="A14" s="98"/>
      <c r="B14" s="66" t="s">
        <v>29</v>
      </c>
      <c r="C14" s="67">
        <v>1</v>
      </c>
      <c r="D14" s="68">
        <v>0</v>
      </c>
      <c r="E14" s="68">
        <f t="shared" si="0"/>
        <v>0</v>
      </c>
      <c r="F14" s="128">
        <v>0</v>
      </c>
      <c r="G14" s="165">
        <f t="shared" si="1"/>
        <v>0</v>
      </c>
      <c r="H14" s="136" t="s">
        <v>37</v>
      </c>
      <c r="I14" s="123" t="s">
        <v>37</v>
      </c>
      <c r="J14" s="69" t="s">
        <v>37</v>
      </c>
      <c r="K14" s="70" t="s">
        <v>37</v>
      </c>
      <c r="L14" s="70">
        <v>0</v>
      </c>
      <c r="M14" s="124">
        <v>0</v>
      </c>
      <c r="N14" s="137">
        <f>SUM(M14*L14/2000)</f>
        <v>0</v>
      </c>
      <c r="O14" s="151" t="s">
        <v>37</v>
      </c>
      <c r="P14" s="109" t="s">
        <v>37</v>
      </c>
      <c r="Q14" s="125"/>
      <c r="R14" s="115" t="s">
        <v>37</v>
      </c>
      <c r="S14" s="115">
        <v>0</v>
      </c>
      <c r="T14" s="126">
        <v>0</v>
      </c>
      <c r="U14" s="152">
        <f t="shared" si="4"/>
        <v>0</v>
      </c>
      <c r="V14" s="162"/>
      <c r="W14" s="79"/>
      <c r="X14" s="84"/>
      <c r="Y14" s="79"/>
      <c r="Z14" s="88"/>
      <c r="AA14" s="163"/>
      <c r="AB14" s="156"/>
      <c r="AC14" s="79"/>
      <c r="AD14" s="83"/>
      <c r="AE14" s="79"/>
      <c r="AF14" s="80"/>
      <c r="AG14" s="81"/>
    </row>
    <row r="15" spans="1:33" x14ac:dyDescent="0.25">
      <c r="A15" s="97" t="s">
        <v>16</v>
      </c>
      <c r="B15" s="29" t="s">
        <v>17</v>
      </c>
      <c r="C15" s="30">
        <v>1</v>
      </c>
      <c r="D15" s="31">
        <v>5</v>
      </c>
      <c r="E15" s="31">
        <f t="shared" si="0"/>
        <v>5</v>
      </c>
      <c r="F15" s="130">
        <v>4</v>
      </c>
      <c r="G15" s="187">
        <f t="shared" si="1"/>
        <v>20</v>
      </c>
      <c r="H15" s="134" t="s">
        <v>38</v>
      </c>
      <c r="I15" s="32">
        <v>1</v>
      </c>
      <c r="J15" s="29" t="s">
        <v>57</v>
      </c>
      <c r="K15" s="33">
        <f>SUM((F15*5)/I15)</f>
        <v>20</v>
      </c>
      <c r="L15" s="111">
        <f t="shared" si="2"/>
        <v>5.8</v>
      </c>
      <c r="M15" s="112">
        <v>250</v>
      </c>
      <c r="N15" s="135">
        <f>SUM(M15*L15/2000)</f>
        <v>0.72499999999999998</v>
      </c>
      <c r="O15" s="149" t="s">
        <v>67</v>
      </c>
      <c r="P15" s="118">
        <v>3</v>
      </c>
      <c r="Q15" s="117" t="s">
        <v>86</v>
      </c>
      <c r="R15" s="119">
        <f>SUM((F15*5)/P15)</f>
        <v>6.666666666666667</v>
      </c>
      <c r="S15" s="119">
        <f t="shared" si="3"/>
        <v>4.7333333333333334</v>
      </c>
      <c r="T15" s="120">
        <v>191.6</v>
      </c>
      <c r="U15" s="150">
        <f t="shared" si="4"/>
        <v>0.45345333333333332</v>
      </c>
      <c r="V15" s="162"/>
      <c r="W15" s="79"/>
      <c r="X15" s="84"/>
      <c r="Y15" s="79"/>
      <c r="Z15" s="88"/>
      <c r="AA15" s="163"/>
      <c r="AB15" s="156"/>
      <c r="AC15" s="79"/>
      <c r="AD15" s="83"/>
      <c r="AE15" s="79"/>
      <c r="AF15" s="80"/>
      <c r="AG15" s="81"/>
    </row>
    <row r="16" spans="1:33" x14ac:dyDescent="0.25">
      <c r="A16" s="97"/>
      <c r="B16" s="29" t="s">
        <v>20</v>
      </c>
      <c r="C16" s="30">
        <v>1</v>
      </c>
      <c r="D16" s="31">
        <v>5</v>
      </c>
      <c r="E16" s="31">
        <f t="shared" si="0"/>
        <v>5</v>
      </c>
      <c r="F16" s="130">
        <v>4</v>
      </c>
      <c r="G16" s="187">
        <f t="shared" si="1"/>
        <v>20</v>
      </c>
      <c r="H16" s="134" t="s">
        <v>38</v>
      </c>
      <c r="I16" s="32">
        <v>1</v>
      </c>
      <c r="J16" s="29" t="s">
        <v>57</v>
      </c>
      <c r="K16" s="33">
        <f>SUM((F16*5)/I16)</f>
        <v>20</v>
      </c>
      <c r="L16" s="111">
        <f t="shared" si="2"/>
        <v>5.8</v>
      </c>
      <c r="M16" s="112">
        <v>250</v>
      </c>
      <c r="N16" s="135">
        <f>SUM(M16*L16/2000)</f>
        <v>0.72499999999999998</v>
      </c>
      <c r="O16" s="149" t="s">
        <v>67</v>
      </c>
      <c r="P16" s="118">
        <v>3</v>
      </c>
      <c r="Q16" s="117" t="s">
        <v>86</v>
      </c>
      <c r="R16" s="119">
        <f>SUM((F16*5)/P16)</f>
        <v>6.666666666666667</v>
      </c>
      <c r="S16" s="119">
        <f t="shared" si="3"/>
        <v>4.7333333333333334</v>
      </c>
      <c r="T16" s="120">
        <v>191.6</v>
      </c>
      <c r="U16" s="150">
        <f t="shared" si="4"/>
        <v>0.45345333333333332</v>
      </c>
      <c r="V16" s="162"/>
      <c r="W16" s="79"/>
      <c r="X16" s="84"/>
      <c r="Y16" s="79"/>
      <c r="Z16" s="88"/>
      <c r="AA16" s="163"/>
      <c r="AB16" s="156"/>
      <c r="AC16" s="79"/>
      <c r="AD16" s="83"/>
      <c r="AE16" s="79"/>
      <c r="AF16" s="80"/>
      <c r="AG16" s="81"/>
    </row>
    <row r="17" spans="1:33" x14ac:dyDescent="0.25">
      <c r="A17" s="97"/>
      <c r="B17" s="29" t="s">
        <v>18</v>
      </c>
      <c r="C17" s="30">
        <v>1</v>
      </c>
      <c r="D17" s="31">
        <v>5</v>
      </c>
      <c r="E17" s="31">
        <f t="shared" si="0"/>
        <v>5</v>
      </c>
      <c r="F17" s="130">
        <v>4</v>
      </c>
      <c r="G17" s="187">
        <f t="shared" si="1"/>
        <v>20</v>
      </c>
      <c r="H17" s="134" t="s">
        <v>38</v>
      </c>
      <c r="I17" s="32">
        <v>1</v>
      </c>
      <c r="J17" s="29" t="s">
        <v>57</v>
      </c>
      <c r="K17" s="33">
        <f>SUM((F17*5)/I17)</f>
        <v>20</v>
      </c>
      <c r="L17" s="111">
        <f t="shared" si="2"/>
        <v>5.8</v>
      </c>
      <c r="M17" s="112">
        <v>250</v>
      </c>
      <c r="N17" s="135">
        <f>SUM(M17*L17/2000)</f>
        <v>0.72499999999999998</v>
      </c>
      <c r="O17" s="149" t="s">
        <v>67</v>
      </c>
      <c r="P17" s="118">
        <v>3</v>
      </c>
      <c r="Q17" s="117" t="s">
        <v>86</v>
      </c>
      <c r="R17" s="119">
        <f>SUM((F17*5)/P17)</f>
        <v>6.666666666666667</v>
      </c>
      <c r="S17" s="119">
        <f t="shared" si="3"/>
        <v>4.7333333333333334</v>
      </c>
      <c r="T17" s="120">
        <v>191.6</v>
      </c>
      <c r="U17" s="150">
        <f t="shared" si="4"/>
        <v>0.45345333333333332</v>
      </c>
      <c r="V17" s="162"/>
      <c r="W17" s="79"/>
      <c r="X17" s="84"/>
      <c r="Y17" s="79"/>
      <c r="Z17" s="88"/>
      <c r="AA17" s="163"/>
      <c r="AB17" s="156"/>
      <c r="AC17" s="79"/>
      <c r="AD17" s="83"/>
      <c r="AE17" s="79"/>
      <c r="AF17" s="80"/>
      <c r="AG17" s="81"/>
    </row>
    <row r="18" spans="1:33" x14ac:dyDescent="0.25">
      <c r="A18" s="97"/>
      <c r="B18" s="29" t="s">
        <v>19</v>
      </c>
      <c r="C18" s="30">
        <v>1</v>
      </c>
      <c r="D18" s="31">
        <v>5</v>
      </c>
      <c r="E18" s="31">
        <f t="shared" si="0"/>
        <v>5</v>
      </c>
      <c r="F18" s="130">
        <v>4</v>
      </c>
      <c r="G18" s="187">
        <f t="shared" si="1"/>
        <v>20</v>
      </c>
      <c r="H18" s="134" t="s">
        <v>38</v>
      </c>
      <c r="I18" s="32">
        <v>1</v>
      </c>
      <c r="J18" s="29" t="s">
        <v>57</v>
      </c>
      <c r="K18" s="33">
        <f>SUM((F18*5)/I18)</f>
        <v>20</v>
      </c>
      <c r="L18" s="111">
        <f t="shared" si="2"/>
        <v>5.8</v>
      </c>
      <c r="M18" s="112">
        <v>250</v>
      </c>
      <c r="N18" s="135">
        <f>SUM(M18*L18/2000)</f>
        <v>0.72499999999999998</v>
      </c>
      <c r="O18" s="149" t="s">
        <v>67</v>
      </c>
      <c r="P18" s="118">
        <v>3</v>
      </c>
      <c r="Q18" s="117" t="s">
        <v>86</v>
      </c>
      <c r="R18" s="119">
        <f>SUM((F18*5)/P18)</f>
        <v>6.666666666666667</v>
      </c>
      <c r="S18" s="119">
        <f t="shared" si="3"/>
        <v>4.7333333333333334</v>
      </c>
      <c r="T18" s="120">
        <v>191.6</v>
      </c>
      <c r="U18" s="150">
        <f t="shared" si="4"/>
        <v>0.45345333333333332</v>
      </c>
      <c r="V18" s="162"/>
      <c r="W18" s="79"/>
      <c r="X18" s="84"/>
      <c r="Y18" s="79"/>
      <c r="Z18" s="88"/>
      <c r="AA18" s="163"/>
      <c r="AB18" s="156"/>
      <c r="AC18" s="79"/>
      <c r="AD18" s="83"/>
      <c r="AE18" s="79"/>
      <c r="AF18" s="80"/>
      <c r="AG18" s="81"/>
    </row>
    <row r="19" spans="1:33" x14ac:dyDescent="0.25">
      <c r="A19" s="47" t="s">
        <v>12</v>
      </c>
      <c r="B19" s="69" t="s">
        <v>32</v>
      </c>
      <c r="C19" s="67">
        <v>1</v>
      </c>
      <c r="D19" s="68">
        <v>45</v>
      </c>
      <c r="E19" s="68">
        <f t="shared" si="0"/>
        <v>45</v>
      </c>
      <c r="F19" s="128">
        <v>0</v>
      </c>
      <c r="G19" s="165">
        <f t="shared" si="1"/>
        <v>0</v>
      </c>
      <c r="H19" s="136" t="s">
        <v>37</v>
      </c>
      <c r="I19" s="123" t="s">
        <v>37</v>
      </c>
      <c r="J19" s="69" t="s">
        <v>37</v>
      </c>
      <c r="K19" s="70" t="s">
        <v>37</v>
      </c>
      <c r="L19" s="70">
        <v>0</v>
      </c>
      <c r="M19" s="124">
        <v>0</v>
      </c>
      <c r="N19" s="137">
        <f>SUM(M19*L19/2000)</f>
        <v>0</v>
      </c>
      <c r="O19" s="151" t="s">
        <v>37</v>
      </c>
      <c r="P19" s="109" t="s">
        <v>37</v>
      </c>
      <c r="Q19" s="125" t="s">
        <v>37</v>
      </c>
      <c r="R19" s="115" t="s">
        <v>37</v>
      </c>
      <c r="S19" s="115">
        <v>0</v>
      </c>
      <c r="T19" s="126">
        <v>0</v>
      </c>
      <c r="U19" s="152">
        <f t="shared" si="4"/>
        <v>0</v>
      </c>
      <c r="V19" s="162"/>
      <c r="W19" s="79"/>
      <c r="X19" s="84"/>
      <c r="Y19" s="79"/>
      <c r="Z19" s="88"/>
      <c r="AA19" s="163"/>
      <c r="AB19" s="156"/>
      <c r="AC19" s="79"/>
      <c r="AD19" s="83"/>
      <c r="AE19" s="79"/>
      <c r="AF19" s="80"/>
      <c r="AG19" s="81"/>
    </row>
    <row r="20" spans="1:33" x14ac:dyDescent="0.25">
      <c r="A20" s="46" t="s">
        <v>13</v>
      </c>
      <c r="B20" s="29" t="s">
        <v>33</v>
      </c>
      <c r="C20" s="30">
        <v>2</v>
      </c>
      <c r="D20" s="31">
        <v>7.5</v>
      </c>
      <c r="E20" s="31">
        <f t="shared" si="0"/>
        <v>15</v>
      </c>
      <c r="F20" s="130">
        <v>0</v>
      </c>
      <c r="G20" s="187">
        <f t="shared" si="1"/>
        <v>0</v>
      </c>
      <c r="H20" s="134" t="s">
        <v>37</v>
      </c>
      <c r="I20" s="32" t="s">
        <v>37</v>
      </c>
      <c r="J20" s="29" t="s">
        <v>37</v>
      </c>
      <c r="K20" s="33" t="s">
        <v>37</v>
      </c>
      <c r="L20" s="111">
        <v>0</v>
      </c>
      <c r="M20" s="112">
        <v>0</v>
      </c>
      <c r="N20" s="135">
        <f>SUM(M20*L20/2000)</f>
        <v>0</v>
      </c>
      <c r="O20" s="149" t="s">
        <v>37</v>
      </c>
      <c r="P20" s="118" t="s">
        <v>37</v>
      </c>
      <c r="Q20" s="117" t="s">
        <v>37</v>
      </c>
      <c r="R20" s="119" t="s">
        <v>37</v>
      </c>
      <c r="S20" s="119">
        <v>0</v>
      </c>
      <c r="T20" s="120">
        <v>0</v>
      </c>
      <c r="U20" s="150">
        <f t="shared" si="4"/>
        <v>0</v>
      </c>
      <c r="V20" s="162"/>
      <c r="W20" s="79"/>
      <c r="X20" s="84"/>
      <c r="Y20" s="79"/>
      <c r="Z20" s="88"/>
      <c r="AA20" s="163"/>
      <c r="AB20" s="156"/>
      <c r="AC20" s="79"/>
      <c r="AD20" s="83"/>
      <c r="AE20" s="79"/>
      <c r="AF20" s="80"/>
      <c r="AG20" s="81"/>
    </row>
    <row r="21" spans="1:33" ht="15.75" thickBot="1" x14ac:dyDescent="0.3">
      <c r="A21" s="49" t="s">
        <v>30</v>
      </c>
      <c r="B21" s="23"/>
      <c r="C21" s="24"/>
      <c r="D21" s="25"/>
      <c r="E21" s="25">
        <f>SUM(E5:E20)</f>
        <v>206</v>
      </c>
      <c r="F21" s="131">
        <f>SUM(F5:F20)</f>
        <v>32</v>
      </c>
      <c r="G21" s="166"/>
      <c r="H21" s="138"/>
      <c r="I21" s="139">
        <v>1</v>
      </c>
      <c r="J21" s="140"/>
      <c r="K21" s="141"/>
      <c r="L21" s="141">
        <f>SUM(L5:L20)</f>
        <v>46.399999999999991</v>
      </c>
      <c r="M21" s="142">
        <f>SUM((L21/I21)*M6)</f>
        <v>11599.999999999998</v>
      </c>
      <c r="N21" s="143">
        <f>SUM(N5:N20)</f>
        <v>5.7999999999999989</v>
      </c>
      <c r="O21" s="138" t="s">
        <v>37</v>
      </c>
      <c r="P21" s="153">
        <v>3</v>
      </c>
      <c r="Q21" s="140"/>
      <c r="R21" s="141"/>
      <c r="S21" s="141">
        <f>SUM(S6:S20)</f>
        <v>37.866666666666667</v>
      </c>
      <c r="T21" s="154">
        <f>SUM((S21/P21)*T6)</f>
        <v>2418.4177777777777</v>
      </c>
      <c r="U21" s="155">
        <f>SUM(U5:U20)</f>
        <v>3.627626666666667</v>
      </c>
      <c r="V21" s="164"/>
      <c r="W21" s="153">
        <f>SUM(W5)</f>
        <v>0.5</v>
      </c>
      <c r="X21" s="140"/>
      <c r="Y21" s="153">
        <f>SUM(Y5)</f>
        <v>24</v>
      </c>
      <c r="Z21" s="154">
        <f>SUM(Z5*Y21)</f>
        <v>6600</v>
      </c>
      <c r="AA21" s="155">
        <f>SUM(AA5)</f>
        <v>1.65</v>
      </c>
      <c r="AB21" s="127"/>
      <c r="AC21" s="27">
        <f>SUM(AC5)</f>
        <v>0.5</v>
      </c>
      <c r="AD21" s="26"/>
      <c r="AE21" s="27">
        <f>SUM(AE5)</f>
        <v>16</v>
      </c>
      <c r="AF21" s="28">
        <f>SUM(AF5*AE21)</f>
        <v>4000</v>
      </c>
      <c r="AG21" s="28">
        <f>SUM(AG5)</f>
        <v>1</v>
      </c>
    </row>
    <row r="22" spans="1:33" ht="15.75" thickBot="1" x14ac:dyDescent="0.3">
      <c r="A22" s="90" t="s">
        <v>14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</row>
    <row r="23" spans="1:33" ht="15.75" thickBot="1" x14ac:dyDescent="0.3">
      <c r="A23" s="89" t="s">
        <v>15</v>
      </c>
      <c r="B23" s="34" t="s">
        <v>53</v>
      </c>
      <c r="C23" s="35">
        <v>1</v>
      </c>
      <c r="D23" s="36">
        <v>0</v>
      </c>
      <c r="E23" s="36">
        <f>SUM(C23*D23)</f>
        <v>0</v>
      </c>
      <c r="F23" s="145">
        <v>8</v>
      </c>
      <c r="G23" s="170"/>
      <c r="H23" s="171" t="s">
        <v>46</v>
      </c>
      <c r="I23" s="172">
        <v>1</v>
      </c>
      <c r="J23" s="173" t="s">
        <v>57</v>
      </c>
      <c r="K23" s="174">
        <f>SUM((F23*5)/I23)</f>
        <v>40</v>
      </c>
      <c r="L23" s="39">
        <f t="shared" ref="L23:L24" si="5">SUM(K23*0.44)</f>
        <v>17.600000000000001</v>
      </c>
      <c r="M23" s="175">
        <v>300</v>
      </c>
      <c r="N23" s="176">
        <f>SUM(M23*L23/2000)</f>
        <v>2.64</v>
      </c>
      <c r="O23" s="177" t="s">
        <v>47</v>
      </c>
      <c r="P23" s="178">
        <v>2</v>
      </c>
      <c r="Q23" s="179" t="s">
        <v>86</v>
      </c>
      <c r="R23" s="122">
        <f>SUM((F23*5)/P23)</f>
        <v>20</v>
      </c>
      <c r="S23" s="180">
        <f>SUM(R23*0.56)</f>
        <v>11.200000000000001</v>
      </c>
      <c r="T23" s="181">
        <v>228.3</v>
      </c>
      <c r="U23" s="182">
        <f>SUM(T23*S23/2000)</f>
        <v>1.2784800000000003</v>
      </c>
      <c r="V23" s="157" t="s">
        <v>43</v>
      </c>
      <c r="W23" s="158">
        <v>0.5</v>
      </c>
      <c r="X23" s="159" t="s">
        <v>58</v>
      </c>
      <c r="Y23" s="158">
        <v>24</v>
      </c>
      <c r="Z23" s="160">
        <f>275</f>
        <v>275</v>
      </c>
      <c r="AA23" s="161">
        <f>SUM((Z23*Y23)*W23)/2000</f>
        <v>1.65</v>
      </c>
      <c r="AB23" s="156" t="s">
        <v>77</v>
      </c>
      <c r="AC23" s="79">
        <v>0.5</v>
      </c>
      <c r="AD23" s="83" t="s">
        <v>45</v>
      </c>
      <c r="AE23" s="79">
        <v>16</v>
      </c>
      <c r="AF23" s="80">
        <v>250</v>
      </c>
      <c r="AG23" s="81">
        <f>SUM((AF23*AE23)*AC23)/2000</f>
        <v>1</v>
      </c>
    </row>
    <row r="24" spans="1:33" ht="15.75" thickBot="1" x14ac:dyDescent="0.3">
      <c r="A24" s="89"/>
      <c r="B24" s="34" t="s">
        <v>68</v>
      </c>
      <c r="C24" s="35">
        <v>1</v>
      </c>
      <c r="D24" s="36">
        <v>0</v>
      </c>
      <c r="E24" s="36">
        <f t="shared" ref="E24:E26" si="6">SUM(C24*D24)</f>
        <v>0</v>
      </c>
      <c r="F24" s="145">
        <v>2</v>
      </c>
      <c r="G24" s="168"/>
      <c r="H24" s="132" t="s">
        <v>46</v>
      </c>
      <c r="I24" s="38">
        <v>1</v>
      </c>
      <c r="J24" s="37" t="s">
        <v>57</v>
      </c>
      <c r="K24" s="39">
        <f>SUM((F24*5)/I24)</f>
        <v>10</v>
      </c>
      <c r="L24" s="39">
        <f t="shared" si="5"/>
        <v>4.4000000000000004</v>
      </c>
      <c r="M24" s="72">
        <v>300</v>
      </c>
      <c r="N24" s="133">
        <f>SUM(M24*L24/2000)</f>
        <v>0.66</v>
      </c>
      <c r="O24" s="147" t="s">
        <v>47</v>
      </c>
      <c r="P24" s="121">
        <v>2</v>
      </c>
      <c r="Q24" s="108" t="s">
        <v>86</v>
      </c>
      <c r="R24" s="122">
        <f>SUM((F24*5)/P24)</f>
        <v>5</v>
      </c>
      <c r="S24" s="122">
        <f>SUM(R24*0.56)</f>
        <v>2.8000000000000003</v>
      </c>
      <c r="T24" s="181">
        <v>228.3</v>
      </c>
      <c r="U24" s="148">
        <f t="shared" ref="U24:U26" si="7">SUM(T24*S24/2000)</f>
        <v>0.31962000000000007</v>
      </c>
      <c r="V24" s="162"/>
      <c r="W24" s="79"/>
      <c r="X24" s="84"/>
      <c r="Y24" s="79"/>
      <c r="Z24" s="88"/>
      <c r="AA24" s="163"/>
      <c r="AB24" s="156"/>
      <c r="AC24" s="79"/>
      <c r="AD24" s="83"/>
      <c r="AE24" s="79"/>
      <c r="AF24" s="80"/>
      <c r="AG24" s="81"/>
    </row>
    <row r="25" spans="1:33" x14ac:dyDescent="0.25">
      <c r="A25" s="63"/>
      <c r="B25" s="34" t="s">
        <v>79</v>
      </c>
      <c r="C25" s="35">
        <v>1</v>
      </c>
      <c r="D25" s="36">
        <v>0</v>
      </c>
      <c r="E25" s="36">
        <f>SUM(D25*C25)</f>
        <v>0</v>
      </c>
      <c r="F25" s="145">
        <v>13</v>
      </c>
      <c r="G25" s="168"/>
      <c r="H25" s="132" t="s">
        <v>46</v>
      </c>
      <c r="I25" s="38">
        <v>1</v>
      </c>
      <c r="J25" s="37" t="s">
        <v>57</v>
      </c>
      <c r="K25" s="39">
        <f>SUM((F25*5)/I25)</f>
        <v>65</v>
      </c>
      <c r="L25" s="39">
        <f>SUM(K25*0.44)</f>
        <v>28.6</v>
      </c>
      <c r="M25" s="72">
        <v>300</v>
      </c>
      <c r="N25" s="133">
        <f>SUM(M25*L25/2000)</f>
        <v>4.29</v>
      </c>
      <c r="O25" s="147" t="s">
        <v>47</v>
      </c>
      <c r="P25" s="121">
        <v>2</v>
      </c>
      <c r="Q25" s="108" t="s">
        <v>86</v>
      </c>
      <c r="R25" s="122">
        <f>SUM((F25*5)/P25)</f>
        <v>32.5</v>
      </c>
      <c r="S25" s="122">
        <f>SUM(R25*0.56)</f>
        <v>18.200000000000003</v>
      </c>
      <c r="T25" s="181">
        <v>228.3</v>
      </c>
      <c r="U25" s="148">
        <f t="shared" si="7"/>
        <v>2.0775300000000008</v>
      </c>
      <c r="V25" s="162"/>
      <c r="W25" s="79"/>
      <c r="X25" s="84"/>
      <c r="Y25" s="79"/>
      <c r="Z25" s="88"/>
      <c r="AA25" s="163"/>
      <c r="AB25" s="156"/>
      <c r="AC25" s="79"/>
      <c r="AD25" s="83"/>
      <c r="AE25" s="79"/>
      <c r="AF25" s="80"/>
      <c r="AG25" s="81"/>
    </row>
    <row r="26" spans="1:33" x14ac:dyDescent="0.25">
      <c r="A26" s="50" t="s">
        <v>51</v>
      </c>
      <c r="B26" s="69" t="s">
        <v>52</v>
      </c>
      <c r="C26" s="67">
        <v>1</v>
      </c>
      <c r="D26" s="68">
        <v>0</v>
      </c>
      <c r="E26" s="68">
        <f t="shared" si="6"/>
        <v>0</v>
      </c>
      <c r="F26" s="144">
        <v>0</v>
      </c>
      <c r="G26" s="167"/>
      <c r="H26" s="136" t="s">
        <v>37</v>
      </c>
      <c r="I26" s="123" t="s">
        <v>37</v>
      </c>
      <c r="J26" s="69" t="s">
        <v>37</v>
      </c>
      <c r="K26" s="70" t="s">
        <v>37</v>
      </c>
      <c r="L26" s="70">
        <v>0</v>
      </c>
      <c r="M26" s="124">
        <v>0</v>
      </c>
      <c r="N26" s="137">
        <f>SUM(M26*L26/2000)</f>
        <v>0</v>
      </c>
      <c r="O26" s="151" t="s">
        <v>37</v>
      </c>
      <c r="P26" s="109"/>
      <c r="Q26" s="125"/>
      <c r="R26" s="115">
        <v>0</v>
      </c>
      <c r="S26" s="115">
        <f>SUM(R26*0.56)</f>
        <v>0</v>
      </c>
      <c r="T26" s="126">
        <v>0</v>
      </c>
      <c r="U26" s="152">
        <f t="shared" si="7"/>
        <v>0</v>
      </c>
      <c r="V26" s="162"/>
      <c r="W26" s="79"/>
      <c r="X26" s="84"/>
      <c r="Y26" s="79"/>
      <c r="Z26" s="88"/>
      <c r="AA26" s="163"/>
      <c r="AB26" s="156"/>
      <c r="AC26" s="79"/>
      <c r="AD26" s="83"/>
      <c r="AE26" s="79"/>
      <c r="AF26" s="80"/>
      <c r="AG26" s="81"/>
    </row>
    <row r="27" spans="1:33" ht="15.75" thickBot="1" x14ac:dyDescent="0.3">
      <c r="A27" s="51" t="s">
        <v>31</v>
      </c>
      <c r="B27" s="26"/>
      <c r="C27" s="27"/>
      <c r="D27" s="28"/>
      <c r="E27" s="28">
        <f>SUM(E23:E26)</f>
        <v>0</v>
      </c>
      <c r="F27" s="146">
        <f>SUM(F23:F26)</f>
        <v>23</v>
      </c>
      <c r="G27" s="169"/>
      <c r="H27" s="138"/>
      <c r="I27" s="139">
        <v>1</v>
      </c>
      <c r="J27" s="140"/>
      <c r="K27" s="141"/>
      <c r="L27" s="141">
        <f>SUM(L23:L26)</f>
        <v>50.6</v>
      </c>
      <c r="M27" s="142">
        <f>SUM((L27/I27)*M23)</f>
        <v>15180</v>
      </c>
      <c r="N27" s="143">
        <f>SUM(N23:N26)</f>
        <v>7.59</v>
      </c>
      <c r="O27" s="138"/>
      <c r="P27" s="153">
        <v>3</v>
      </c>
      <c r="Q27" s="140"/>
      <c r="R27" s="141">
        <f>SUM(R23)</f>
        <v>20</v>
      </c>
      <c r="S27" s="141">
        <f>SUM(S23:S26)</f>
        <v>32.200000000000003</v>
      </c>
      <c r="T27" s="154">
        <f>SUM((S27/P27)*T23)</f>
        <v>2450.4200000000005</v>
      </c>
      <c r="U27" s="155">
        <f>SUM(U23:U26)</f>
        <v>3.6756300000000008</v>
      </c>
      <c r="V27" s="138"/>
      <c r="W27" s="153">
        <f>SUM(W23)</f>
        <v>0.5</v>
      </c>
      <c r="X27" s="140"/>
      <c r="Y27" s="153">
        <f>SUM(Y23)</f>
        <v>24</v>
      </c>
      <c r="Z27" s="154">
        <f>SUM(Z23*Y23)</f>
        <v>6600</v>
      </c>
      <c r="AA27" s="155">
        <f>SUM(AA23)</f>
        <v>1.65</v>
      </c>
      <c r="AB27" s="127"/>
      <c r="AC27" s="27">
        <f>SUM(AC23)</f>
        <v>0.5</v>
      </c>
      <c r="AD27" s="26"/>
      <c r="AE27" s="27">
        <f>SUM(AE23)</f>
        <v>16</v>
      </c>
      <c r="AF27" s="28">
        <f>SUM(AF23*AE23)</f>
        <v>4000</v>
      </c>
      <c r="AG27" s="28">
        <f>SUM(AG23)</f>
        <v>1</v>
      </c>
    </row>
    <row r="28" spans="1:33" x14ac:dyDescent="0.25">
      <c r="A28" s="52"/>
      <c r="B28" s="1"/>
      <c r="C28" s="18"/>
      <c r="D28" s="22"/>
      <c r="E28" s="22"/>
      <c r="F28" s="17"/>
      <c r="G28" s="17"/>
      <c r="H28" s="1"/>
      <c r="I28" s="16"/>
      <c r="J28" s="1"/>
      <c r="K28" s="17"/>
      <c r="L28" s="17"/>
      <c r="M28" s="73"/>
      <c r="N28" s="44"/>
      <c r="O28" s="1"/>
      <c r="P28" s="18"/>
      <c r="Q28" s="1"/>
      <c r="R28" s="17"/>
      <c r="S28" s="17"/>
      <c r="T28" s="22"/>
      <c r="U28" s="1"/>
      <c r="V28" s="1"/>
      <c r="W28" s="18"/>
      <c r="X28" s="1"/>
      <c r="Y28" s="18"/>
      <c r="Z28" s="22"/>
      <c r="AA28" s="22"/>
      <c r="AB28" s="1"/>
      <c r="AC28" s="18"/>
      <c r="AD28" s="1"/>
      <c r="AE28" s="18"/>
      <c r="AF28" s="22"/>
      <c r="AG28" s="22"/>
    </row>
    <row r="29" spans="1:33" ht="18.75" x14ac:dyDescent="0.3">
      <c r="A29" s="85" t="s">
        <v>78</v>
      </c>
      <c r="B29" s="85"/>
      <c r="C29" s="85"/>
      <c r="D29" s="85"/>
      <c r="E29" s="85"/>
      <c r="F29"/>
      <c r="G29" s="6"/>
      <c r="H29" s="1"/>
      <c r="I29" s="16"/>
      <c r="J29" s="1"/>
      <c r="K29" s="17"/>
      <c r="L29" s="17"/>
      <c r="M29" s="73"/>
      <c r="N29" s="44"/>
      <c r="O29" s="1"/>
      <c r="P29" s="18"/>
      <c r="Q29" s="1"/>
      <c r="R29" s="17"/>
      <c r="S29" s="17"/>
      <c r="T29" s="22"/>
      <c r="U29" s="1"/>
      <c r="V29" s="1"/>
      <c r="W29" s="18"/>
      <c r="X29" s="1"/>
      <c r="Y29" s="18"/>
      <c r="Z29" s="22"/>
      <c r="AA29" s="22"/>
      <c r="AB29" s="1"/>
      <c r="AC29" s="18"/>
      <c r="AD29" s="1"/>
      <c r="AE29" s="18"/>
      <c r="AF29" s="22"/>
      <c r="AG29" s="22"/>
    </row>
    <row r="30" spans="1:33" x14ac:dyDescent="0.25">
      <c r="A30" s="54" t="s">
        <v>48</v>
      </c>
      <c r="B30" s="86">
        <f>SUM(I21,I27,P21,P27,W21,W27,AC21,AC27)</f>
        <v>10</v>
      </c>
      <c r="C30" s="87"/>
      <c r="D30" s="87"/>
      <c r="E30" s="87"/>
      <c r="F30"/>
      <c r="G30" s="6"/>
      <c r="H30" s="1"/>
      <c r="I30" s="16"/>
      <c r="J30" s="1"/>
      <c r="K30" s="17"/>
      <c r="L30" s="17"/>
      <c r="M30" s="73"/>
      <c r="N30" s="44"/>
      <c r="O30" s="1"/>
      <c r="P30" s="18"/>
      <c r="Q30" s="1"/>
      <c r="R30" s="17"/>
      <c r="S30" s="17"/>
      <c r="T30" s="22"/>
      <c r="U30" s="1"/>
      <c r="V30" s="1"/>
      <c r="W30" s="18"/>
      <c r="X30" s="1"/>
      <c r="Y30" s="18"/>
      <c r="Z30" s="22"/>
      <c r="AA30" s="22"/>
      <c r="AB30" s="1"/>
      <c r="AC30" s="18"/>
      <c r="AD30" s="1"/>
      <c r="AE30" s="18"/>
      <c r="AF30" s="22"/>
      <c r="AG30" s="22"/>
    </row>
    <row r="31" spans="1:33" x14ac:dyDescent="0.25">
      <c r="A31" s="55" t="s">
        <v>55</v>
      </c>
      <c r="B31" s="75">
        <f>SUM(L21,L27,S21,S27,Y21,Y27,AE21,AE27)</f>
        <v>247.06666666666666</v>
      </c>
      <c r="C31" s="76"/>
      <c r="D31" s="76"/>
      <c r="E31" s="76"/>
      <c r="F31"/>
      <c r="G31" s="6"/>
    </row>
    <row r="32" spans="1:33" x14ac:dyDescent="0.25">
      <c r="A32" s="54" t="s">
        <v>84</v>
      </c>
      <c r="B32" s="82">
        <f>SUM(M21,T21,Z21,AF21,M27,T27,Z27,AF27)</f>
        <v>52848.837777777779</v>
      </c>
      <c r="C32" s="82"/>
      <c r="D32" s="82"/>
      <c r="E32" s="82"/>
      <c r="F32"/>
      <c r="G32" s="6"/>
      <c r="H32" s="4"/>
    </row>
    <row r="33" spans="1:8" x14ac:dyDescent="0.25">
      <c r="A33" s="55" t="s">
        <v>80</v>
      </c>
      <c r="B33" s="200">
        <f>SUM(E21+E27)*2000</f>
        <v>412000</v>
      </c>
      <c r="C33" s="200"/>
      <c r="D33" s="200"/>
      <c r="E33" s="200"/>
      <c r="F33"/>
      <c r="G33" s="6"/>
      <c r="H33" s="4"/>
    </row>
    <row r="34" spans="1:8" x14ac:dyDescent="0.25">
      <c r="A34" s="54" t="s">
        <v>54</v>
      </c>
      <c r="B34" s="201">
        <f>SUM(E21+E27+N21+N27+U21+U27+AA21+AA27+AG27+AG21)</f>
        <v>231.9932566666667</v>
      </c>
      <c r="C34" s="201"/>
      <c r="D34" s="201"/>
      <c r="E34" s="201"/>
      <c r="F34"/>
      <c r="G34" s="6"/>
    </row>
    <row r="35" spans="1:8" x14ac:dyDescent="0.25">
      <c r="A35" s="55" t="s">
        <v>85</v>
      </c>
      <c r="B35" s="200">
        <f>SUM(B34*1500)</f>
        <v>347989.88500000007</v>
      </c>
      <c r="C35" s="200"/>
      <c r="D35" s="200"/>
      <c r="E35" s="200"/>
      <c r="F35"/>
      <c r="G35" s="6"/>
    </row>
    <row r="36" spans="1:8" x14ac:dyDescent="0.25">
      <c r="A36" s="64" t="s">
        <v>81</v>
      </c>
      <c r="B36" s="78">
        <f>SUM(B34*2000)</f>
        <v>463986.51333333337</v>
      </c>
      <c r="C36" s="78"/>
      <c r="D36" s="78"/>
      <c r="E36" s="78"/>
    </row>
    <row r="37" spans="1:8" ht="66.75" customHeight="1" x14ac:dyDescent="0.25">
      <c r="A37" s="71" t="s">
        <v>73</v>
      </c>
      <c r="B37" s="60"/>
      <c r="C37" s="61"/>
      <c r="D37" s="62"/>
      <c r="E37" s="62"/>
    </row>
  </sheetData>
  <mergeCells count="44">
    <mergeCell ref="A4:AG4"/>
    <mergeCell ref="A2:F2"/>
    <mergeCell ref="B33:E33"/>
    <mergeCell ref="AE5:AE20"/>
    <mergeCell ref="AG23:AG26"/>
    <mergeCell ref="AA23:AA26"/>
    <mergeCell ref="A1:AG1"/>
    <mergeCell ref="O2:U2"/>
    <mergeCell ref="V2:AA2"/>
    <mergeCell ref="AB2:AG2"/>
    <mergeCell ref="A7:A8"/>
    <mergeCell ref="A15:A18"/>
    <mergeCell ref="A13:A14"/>
    <mergeCell ref="H2:N2"/>
    <mergeCell ref="AF5:AF20"/>
    <mergeCell ref="Y5:Y20"/>
    <mergeCell ref="Z5:Z20"/>
    <mergeCell ref="AA5:AA20"/>
    <mergeCell ref="AC5:AC20"/>
    <mergeCell ref="AD5:AD20"/>
    <mergeCell ref="AG5:AG20"/>
    <mergeCell ref="V23:V26"/>
    <mergeCell ref="AB23:AB26"/>
    <mergeCell ref="X23:X26"/>
    <mergeCell ref="Y23:Y26"/>
    <mergeCell ref="Z23:Z26"/>
    <mergeCell ref="W5:W20"/>
    <mergeCell ref="X5:X20"/>
    <mergeCell ref="A22:AG22"/>
    <mergeCell ref="V5:V20"/>
    <mergeCell ref="AB5:AB20"/>
    <mergeCell ref="B31:E31"/>
    <mergeCell ref="B34:E34"/>
    <mergeCell ref="B36:E36"/>
    <mergeCell ref="AE23:AE26"/>
    <mergeCell ref="AF23:AF26"/>
    <mergeCell ref="W23:W26"/>
    <mergeCell ref="B35:E35"/>
    <mergeCell ref="B32:E32"/>
    <mergeCell ref="AC23:AC26"/>
    <mergeCell ref="AD23:AD26"/>
    <mergeCell ref="A29:E29"/>
    <mergeCell ref="B30:E30"/>
    <mergeCell ref="A23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E1239-B374-424F-BB46-2FC8E8A2EA59}">
  <dimension ref="A1:I23"/>
  <sheetViews>
    <sheetView workbookViewId="0">
      <selection activeCell="B17" sqref="B17:E17"/>
    </sheetView>
  </sheetViews>
  <sheetFormatPr defaultRowHeight="15" x14ac:dyDescent="0.25"/>
  <cols>
    <col min="1" max="1" width="31.85546875" customWidth="1"/>
    <col min="5" max="5" width="39.5703125" customWidth="1"/>
    <col min="9" max="9" width="36.42578125" customWidth="1"/>
  </cols>
  <sheetData>
    <row r="1" spans="1:5" ht="18.75" x14ac:dyDescent="0.3">
      <c r="A1" s="65" t="s">
        <v>71</v>
      </c>
      <c r="B1" s="104">
        <v>1500</v>
      </c>
      <c r="C1" s="104"/>
      <c r="D1" s="104"/>
      <c r="E1" s="104"/>
    </row>
    <row r="2" spans="1:5" x14ac:dyDescent="0.25">
      <c r="A2" s="54" t="s">
        <v>59</v>
      </c>
      <c r="B2" s="102">
        <v>500000</v>
      </c>
      <c r="C2" s="102"/>
      <c r="D2" s="102"/>
      <c r="E2" s="102"/>
    </row>
    <row r="3" spans="1:5" x14ac:dyDescent="0.25">
      <c r="A3" s="55" t="s">
        <v>61</v>
      </c>
      <c r="B3" s="77">
        <f>SUM(System_A!B35:E35)</f>
        <v>347989.88500000007</v>
      </c>
      <c r="C3" s="77"/>
      <c r="D3" s="77"/>
      <c r="E3" s="77"/>
    </row>
    <row r="4" spans="1:5" x14ac:dyDescent="0.25">
      <c r="A4" s="54" t="s">
        <v>60</v>
      </c>
      <c r="B4" s="105">
        <f>SUM(B2-B3)</f>
        <v>152010.11499999993</v>
      </c>
      <c r="C4" s="105"/>
      <c r="D4" s="105"/>
      <c r="E4" s="105"/>
    </row>
    <row r="5" spans="1:5" x14ac:dyDescent="0.25">
      <c r="A5" s="55" t="s">
        <v>62</v>
      </c>
      <c r="B5" s="106">
        <v>399</v>
      </c>
      <c r="C5" s="106"/>
      <c r="D5" s="106"/>
      <c r="E5" s="106"/>
    </row>
    <row r="6" spans="1:5" x14ac:dyDescent="0.25">
      <c r="A6" s="54" t="s">
        <v>63</v>
      </c>
      <c r="B6" s="107">
        <v>1000</v>
      </c>
      <c r="C6" s="107"/>
      <c r="D6" s="107"/>
      <c r="E6" s="107"/>
    </row>
    <row r="7" spans="1:5" x14ac:dyDescent="0.25">
      <c r="A7" s="55" t="s">
        <v>64</v>
      </c>
      <c r="B7" s="101">
        <v>500</v>
      </c>
      <c r="C7" s="101"/>
      <c r="D7" s="101"/>
      <c r="E7" s="101"/>
    </row>
    <row r="8" spans="1:5" x14ac:dyDescent="0.25">
      <c r="A8" s="54" t="s">
        <v>65</v>
      </c>
      <c r="B8" s="102">
        <f>SUM(B7*B5)</f>
        <v>199500</v>
      </c>
      <c r="C8" s="102"/>
      <c r="D8" s="102"/>
      <c r="E8" s="102"/>
    </row>
    <row r="9" spans="1:5" x14ac:dyDescent="0.25">
      <c r="A9" s="55" t="s">
        <v>66</v>
      </c>
      <c r="B9" s="103">
        <f>SUM(B8+B4)</f>
        <v>351510.11499999993</v>
      </c>
      <c r="C9" s="103"/>
      <c r="D9" s="103"/>
      <c r="E9" s="103"/>
    </row>
    <row r="12" spans="1:5" ht="18.75" x14ac:dyDescent="0.3">
      <c r="A12" s="65" t="s">
        <v>72</v>
      </c>
      <c r="B12" s="104">
        <v>1500</v>
      </c>
      <c r="C12" s="104"/>
      <c r="D12" s="104"/>
      <c r="E12" s="104"/>
    </row>
    <row r="13" spans="1:5" x14ac:dyDescent="0.25">
      <c r="A13" s="54" t="s">
        <v>59</v>
      </c>
      <c r="B13" s="102">
        <f>SUM(B9)</f>
        <v>351510.11499999993</v>
      </c>
      <c r="C13" s="102"/>
      <c r="D13" s="102"/>
      <c r="E13" s="102"/>
    </row>
    <row r="14" spans="1:5" x14ac:dyDescent="0.25">
      <c r="A14" s="55" t="s">
        <v>61</v>
      </c>
      <c r="B14" s="77">
        <f>SUM(System_A!B35:E35)</f>
        <v>347989.88500000007</v>
      </c>
      <c r="C14" s="77"/>
      <c r="D14" s="77"/>
      <c r="E14" s="77"/>
    </row>
    <row r="15" spans="1:5" x14ac:dyDescent="0.25">
      <c r="A15" s="54" t="s">
        <v>60</v>
      </c>
      <c r="B15" s="105">
        <f>SUM(B13-B14)</f>
        <v>3520.229999999865</v>
      </c>
      <c r="C15" s="105"/>
      <c r="D15" s="105"/>
      <c r="E15" s="105"/>
    </row>
    <row r="16" spans="1:5" x14ac:dyDescent="0.25">
      <c r="A16" s="55" t="s">
        <v>62</v>
      </c>
      <c r="B16" s="106">
        <v>399</v>
      </c>
      <c r="C16" s="106"/>
      <c r="D16" s="106"/>
      <c r="E16" s="106"/>
    </row>
    <row r="17" spans="1:9" x14ac:dyDescent="0.25">
      <c r="A17" s="54" t="s">
        <v>63</v>
      </c>
      <c r="B17" s="107">
        <v>1000</v>
      </c>
      <c r="C17" s="107"/>
      <c r="D17" s="107"/>
      <c r="E17" s="107"/>
    </row>
    <row r="18" spans="1:9" x14ac:dyDescent="0.25">
      <c r="A18" s="55" t="s">
        <v>64</v>
      </c>
      <c r="B18" s="101">
        <v>500</v>
      </c>
      <c r="C18" s="101"/>
      <c r="D18" s="101"/>
      <c r="E18" s="101"/>
    </row>
    <row r="19" spans="1:9" x14ac:dyDescent="0.25">
      <c r="A19" s="54" t="s">
        <v>65</v>
      </c>
      <c r="B19" s="102">
        <f>SUM(B18*B16)</f>
        <v>199500</v>
      </c>
      <c r="C19" s="102"/>
      <c r="D19" s="102"/>
      <c r="E19" s="102"/>
    </row>
    <row r="20" spans="1:9" x14ac:dyDescent="0.25">
      <c r="A20" s="55" t="s">
        <v>66</v>
      </c>
      <c r="B20" s="103">
        <f>SUM(B19+B15)</f>
        <v>203020.22999999986</v>
      </c>
      <c r="C20" s="103"/>
      <c r="D20" s="103"/>
      <c r="E20" s="103"/>
      <c r="I20" s="4"/>
    </row>
    <row r="23" spans="1:9" x14ac:dyDescent="0.25">
      <c r="I23" s="4"/>
    </row>
  </sheetData>
  <mergeCells count="18">
    <mergeCell ref="B2:E2"/>
    <mergeCell ref="B3:E3"/>
    <mergeCell ref="B4:E4"/>
    <mergeCell ref="B5:E5"/>
    <mergeCell ref="B14:E14"/>
    <mergeCell ref="B15:E15"/>
    <mergeCell ref="B16:E16"/>
    <mergeCell ref="B7:E7"/>
    <mergeCell ref="B6:E6"/>
    <mergeCell ref="B8:E8"/>
    <mergeCell ref="B9:E9"/>
    <mergeCell ref="B1:E1"/>
    <mergeCell ref="B12:E12"/>
    <mergeCell ref="B17:E17"/>
    <mergeCell ref="B18:E18"/>
    <mergeCell ref="B19:E19"/>
    <mergeCell ref="B20:E20"/>
    <mergeCell ref="B13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System_A</vt:lpstr>
      <vt:lpstr>Dilivery_Plan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tarek h</dc:creator>
  <cp:lastModifiedBy>tarek h</cp:lastModifiedBy>
  <dcterms:created xsi:type="dcterms:W3CDTF">2023-10-23T14:04:11Z</dcterms:created>
  <dcterms:modified xsi:type="dcterms:W3CDTF">2023-10-30T17:22:23Z</dcterms:modified>
</cp:coreProperties>
</file>