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ourses\CS513-KDD\mywork\cs513-b\midterm\"/>
    </mc:Choice>
  </mc:AlternateContent>
  <xr:revisionPtr revIDLastSave="0" documentId="13_ncr:1_{C7666963-6407-40FC-8298-B4552156F8DE}" xr6:coauthVersionLast="47" xr6:coauthVersionMax="47" xr10:uidLastSave="{00000000-0000-0000-0000-000000000000}"/>
  <bookViews>
    <workbookView xWindow="-120" yWindow="-120" windowWidth="29040" windowHeight="16440" activeTab="2" xr2:uid="{B8BD25BA-3FBA-4D2C-94EA-7558A215A092}"/>
  </bookViews>
  <sheets>
    <sheet name="Q1_Solution" sheetId="2" r:id="rId1"/>
    <sheet name="Q2_Solution" sheetId="1" r:id="rId2"/>
    <sheet name="Q3_Solution" sheetId="4" r:id="rId3"/>
  </sheets>
  <calcPr calcId="191029"/>
  <pivotCaches>
    <pivotCache cacheId="0" r:id="rId4"/>
    <pivotCache cacheId="4" r:id="rId5"/>
    <pivotCache cacheId="1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2" i="4" l="1"/>
  <c r="J53" i="4" s="1"/>
  <c r="J51" i="4"/>
  <c r="H51" i="4"/>
  <c r="G51" i="4"/>
  <c r="F51" i="4"/>
  <c r="Q41" i="4" s="1"/>
  <c r="J50" i="4"/>
  <c r="H50" i="4"/>
  <c r="G50" i="4"/>
  <c r="F50" i="4"/>
  <c r="J49" i="4"/>
  <c r="H49" i="4"/>
  <c r="G49" i="4"/>
  <c r="F49" i="4"/>
  <c r="M29" i="4" s="1"/>
  <c r="J48" i="4"/>
  <c r="H48" i="4"/>
  <c r="G48" i="4"/>
  <c r="F48" i="4"/>
  <c r="J47" i="4"/>
  <c r="H47" i="4"/>
  <c r="G47" i="4"/>
  <c r="F47" i="4"/>
  <c r="H42" i="4"/>
  <c r="G42" i="4"/>
  <c r="F42" i="4"/>
  <c r="K42" i="4" s="1"/>
  <c r="H41" i="4"/>
  <c r="G41" i="4"/>
  <c r="F41" i="4"/>
  <c r="H40" i="4"/>
  <c r="G40" i="4"/>
  <c r="F40" i="4"/>
  <c r="Q40" i="4" s="1"/>
  <c r="K39" i="4"/>
  <c r="H39" i="4"/>
  <c r="G39" i="4"/>
  <c r="F39" i="4"/>
  <c r="H38" i="4"/>
  <c r="G38" i="4"/>
  <c r="F38" i="4"/>
  <c r="H37" i="4"/>
  <c r="M37" i="4" s="1"/>
  <c r="G37" i="4"/>
  <c r="F37" i="4"/>
  <c r="H36" i="4"/>
  <c r="G36" i="4"/>
  <c r="F36" i="4"/>
  <c r="Q36" i="4" s="1"/>
  <c r="H35" i="4"/>
  <c r="G35" i="4"/>
  <c r="F35" i="4"/>
  <c r="K35" i="4" s="1"/>
  <c r="H34" i="4"/>
  <c r="G34" i="4"/>
  <c r="F34" i="4"/>
  <c r="H33" i="4"/>
  <c r="G33" i="4"/>
  <c r="F33" i="4"/>
  <c r="M33" i="4" s="1"/>
  <c r="H32" i="4"/>
  <c r="G32" i="4"/>
  <c r="F32" i="4"/>
  <c r="H31" i="4"/>
  <c r="G31" i="4"/>
  <c r="F31" i="4"/>
  <c r="K31" i="4" s="1"/>
  <c r="H30" i="4"/>
  <c r="G30" i="4"/>
  <c r="F30" i="4"/>
  <c r="H29" i="4"/>
  <c r="G29" i="4"/>
  <c r="F29" i="4"/>
  <c r="H28" i="4"/>
  <c r="G28" i="4"/>
  <c r="M28" i="4" s="1"/>
  <c r="F28" i="4"/>
  <c r="H27" i="4"/>
  <c r="G27" i="4"/>
  <c r="F27" i="4"/>
  <c r="H26" i="4"/>
  <c r="G26" i="4"/>
  <c r="F26" i="4"/>
  <c r="Q25" i="4"/>
  <c r="H25" i="4"/>
  <c r="G25" i="4"/>
  <c r="F25" i="4"/>
  <c r="H24" i="4"/>
  <c r="G24" i="4"/>
  <c r="F24" i="4"/>
  <c r="Q24" i="4" s="1"/>
  <c r="K23" i="4"/>
  <c r="H23" i="4"/>
  <c r="G23" i="4"/>
  <c r="F23" i="4"/>
  <c r="H22" i="4"/>
  <c r="G22" i="4"/>
  <c r="F22" i="4"/>
  <c r="H21" i="4"/>
  <c r="M21" i="4" s="1"/>
  <c r="G21" i="4"/>
  <c r="F21" i="4"/>
  <c r="H20" i="4"/>
  <c r="G20" i="4"/>
  <c r="F20" i="4"/>
  <c r="H19" i="4"/>
  <c r="G19" i="4"/>
  <c r="F19" i="4"/>
  <c r="K19" i="4" s="1"/>
  <c r="H18" i="4"/>
  <c r="G18" i="4"/>
  <c r="F18" i="4"/>
  <c r="H17" i="4"/>
  <c r="G17" i="4"/>
  <c r="F17" i="4"/>
  <c r="M17" i="4" s="1"/>
  <c r="H16" i="4"/>
  <c r="G16" i="4"/>
  <c r="F16" i="4"/>
  <c r="H15" i="4"/>
  <c r="G15" i="4"/>
  <c r="F15" i="4"/>
  <c r="K15" i="4" s="1"/>
  <c r="H14" i="4"/>
  <c r="G14" i="4"/>
  <c r="F14" i="4"/>
  <c r="H13" i="4"/>
  <c r="G13" i="4"/>
  <c r="F13" i="4"/>
  <c r="H12" i="4"/>
  <c r="G12" i="4"/>
  <c r="M12" i="4" s="1"/>
  <c r="F12" i="4"/>
  <c r="H11" i="4"/>
  <c r="G11" i="4"/>
  <c r="F11" i="4"/>
  <c r="H10" i="4"/>
  <c r="G10" i="4"/>
  <c r="F10" i="4"/>
  <c r="Q9" i="4"/>
  <c r="H9" i="4"/>
  <c r="G9" i="4"/>
  <c r="F9" i="4"/>
  <c r="H8" i="4"/>
  <c r="G8" i="4"/>
  <c r="F8" i="4"/>
  <c r="K7" i="4"/>
  <c r="H7" i="4"/>
  <c r="G7" i="4"/>
  <c r="F7" i="4"/>
  <c r="H6" i="4"/>
  <c r="G6" i="4"/>
  <c r="F6" i="4"/>
  <c r="H5" i="4"/>
  <c r="M5" i="4" s="1"/>
  <c r="G5" i="4"/>
  <c r="F5" i="4"/>
  <c r="H4" i="4"/>
  <c r="G4" i="4"/>
  <c r="F4" i="4"/>
  <c r="H3" i="4"/>
  <c r="G3" i="4"/>
  <c r="F3" i="4"/>
  <c r="O3" i="4" s="1"/>
  <c r="J13" i="2"/>
  <c r="I13" i="2"/>
  <c r="M12" i="2"/>
  <c r="L12" i="2"/>
  <c r="J12" i="2"/>
  <c r="I12" i="2"/>
  <c r="G12" i="2"/>
  <c r="F12" i="2"/>
  <c r="K12" i="2" s="1"/>
  <c r="F7" i="2"/>
  <c r="G7" i="2" s="1"/>
  <c r="F6" i="2"/>
  <c r="G6" i="2" s="1"/>
  <c r="W4" i="1"/>
  <c r="W5" i="1"/>
  <c r="W6" i="1"/>
  <c r="W7" i="1"/>
  <c r="W3" i="1"/>
  <c r="V4" i="1"/>
  <c r="V5" i="1"/>
  <c r="V6" i="1"/>
  <c r="V7" i="1"/>
  <c r="V3" i="1"/>
  <c r="J3" i="1"/>
  <c r="S4" i="1"/>
  <c r="S5" i="1"/>
  <c r="S6" i="1"/>
  <c r="S7" i="1"/>
  <c r="S3" i="1"/>
  <c r="R4" i="1"/>
  <c r="R5" i="1"/>
  <c r="R6" i="1"/>
  <c r="R7" i="1"/>
  <c r="R3" i="1"/>
  <c r="Q4" i="1"/>
  <c r="Q5" i="1"/>
  <c r="Q6" i="1"/>
  <c r="Q7" i="1"/>
  <c r="Q3" i="1"/>
  <c r="P4" i="1"/>
  <c r="P5" i="1"/>
  <c r="P6" i="1"/>
  <c r="P7" i="1"/>
  <c r="P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U4" i="1"/>
  <c r="U5" i="1"/>
  <c r="U6" i="1"/>
  <c r="U7" i="1"/>
  <c r="U3" i="1"/>
  <c r="T6" i="1"/>
  <c r="T5" i="1"/>
  <c r="T7" i="1"/>
  <c r="T4" i="1"/>
  <c r="T3" i="1"/>
  <c r="H3" i="1"/>
  <c r="O10" i="4" l="1"/>
  <c r="O26" i="4"/>
  <c r="O42" i="4"/>
  <c r="K26" i="4"/>
  <c r="Q13" i="4"/>
  <c r="Q29" i="4"/>
  <c r="O38" i="4"/>
  <c r="O19" i="4"/>
  <c r="M4" i="4"/>
  <c r="M9" i="4"/>
  <c r="Q17" i="4"/>
  <c r="M20" i="4"/>
  <c r="M25" i="4"/>
  <c r="K27" i="4"/>
  <c r="Q33" i="4"/>
  <c r="M36" i="4"/>
  <c r="K38" i="4"/>
  <c r="M41" i="4"/>
  <c r="I22" i="4"/>
  <c r="M18" i="4"/>
  <c r="O15" i="4"/>
  <c r="I33" i="4"/>
  <c r="O7" i="4"/>
  <c r="O11" i="4"/>
  <c r="M13" i="4"/>
  <c r="Q16" i="4"/>
  <c r="O18" i="4"/>
  <c r="O23" i="4"/>
  <c r="O27" i="4"/>
  <c r="Q32" i="4"/>
  <c r="O34" i="4"/>
  <c r="O39" i="4"/>
  <c r="Q35" i="4"/>
  <c r="I17" i="4"/>
  <c r="Q5" i="4"/>
  <c r="Q21" i="4"/>
  <c r="Q37" i="4"/>
  <c r="O31" i="4"/>
  <c r="K6" i="4"/>
  <c r="K22" i="4"/>
  <c r="K3" i="4"/>
  <c r="I9" i="4"/>
  <c r="K14" i="4"/>
  <c r="I25" i="4"/>
  <c r="K30" i="4"/>
  <c r="Q8" i="4"/>
  <c r="I8" i="4"/>
  <c r="O8" i="4"/>
  <c r="M8" i="4"/>
  <c r="K8" i="4"/>
  <c r="Q6" i="4"/>
  <c r="K11" i="4"/>
  <c r="O35" i="4"/>
  <c r="O4" i="4"/>
  <c r="M6" i="4"/>
  <c r="I10" i="4"/>
  <c r="O12" i="4"/>
  <c r="I18" i="4"/>
  <c r="I26" i="4"/>
  <c r="K32" i="4"/>
  <c r="I34" i="4"/>
  <c r="Q34" i="4"/>
  <c r="O36" i="4"/>
  <c r="K40" i="4"/>
  <c r="I42" i="4"/>
  <c r="Q42" i="4"/>
  <c r="M3" i="4"/>
  <c r="K5" i="4"/>
  <c r="I7" i="4"/>
  <c r="Q7" i="4"/>
  <c r="O9" i="4"/>
  <c r="M11" i="4"/>
  <c r="K13" i="4"/>
  <c r="I15" i="4"/>
  <c r="Q15" i="4"/>
  <c r="O17" i="4"/>
  <c r="M19" i="4"/>
  <c r="K21" i="4"/>
  <c r="I23" i="4"/>
  <c r="Q23" i="4"/>
  <c r="O25" i="4"/>
  <c r="M27" i="4"/>
  <c r="K29" i="4"/>
  <c r="I31" i="4"/>
  <c r="Q31" i="4"/>
  <c r="O33" i="4"/>
  <c r="M35" i="4"/>
  <c r="K37" i="4"/>
  <c r="I39" i="4"/>
  <c r="Q39" i="4"/>
  <c r="O41" i="4"/>
  <c r="Q10" i="4"/>
  <c r="M14" i="4"/>
  <c r="K16" i="4"/>
  <c r="Q18" i="4"/>
  <c r="O20" i="4"/>
  <c r="M22" i="4"/>
  <c r="K24" i="4"/>
  <c r="Q26" i="4"/>
  <c r="O28" i="4"/>
  <c r="M30" i="4"/>
  <c r="M38" i="4"/>
  <c r="I4" i="4"/>
  <c r="Q4" i="4"/>
  <c r="O6" i="4"/>
  <c r="K10" i="4"/>
  <c r="I12" i="4"/>
  <c r="Q12" i="4"/>
  <c r="O14" i="4"/>
  <c r="M16" i="4"/>
  <c r="K18" i="4"/>
  <c r="I20" i="4"/>
  <c r="Q20" i="4"/>
  <c r="O22" i="4"/>
  <c r="M24" i="4"/>
  <c r="I28" i="4"/>
  <c r="Q28" i="4"/>
  <c r="O30" i="4"/>
  <c r="M32" i="4"/>
  <c r="K34" i="4"/>
  <c r="I36" i="4"/>
  <c r="M40" i="4"/>
  <c r="I41" i="4"/>
  <c r="K4" i="4"/>
  <c r="M10" i="4"/>
  <c r="K12" i="4"/>
  <c r="Q14" i="4"/>
  <c r="O16" i="4"/>
  <c r="K20" i="4"/>
  <c r="Q22" i="4"/>
  <c r="O24" i="4"/>
  <c r="M26" i="4"/>
  <c r="K28" i="4"/>
  <c r="I30" i="4"/>
  <c r="M34" i="4"/>
  <c r="I38" i="4"/>
  <c r="M42" i="4"/>
  <c r="Q3" i="4"/>
  <c r="O5" i="4"/>
  <c r="M7" i="4"/>
  <c r="K9" i="4"/>
  <c r="I11" i="4"/>
  <c r="Q11" i="4"/>
  <c r="O13" i="4"/>
  <c r="M15" i="4"/>
  <c r="K17" i="4"/>
  <c r="I19" i="4"/>
  <c r="Q19" i="4"/>
  <c r="O21" i="4"/>
  <c r="M23" i="4"/>
  <c r="K25" i="4"/>
  <c r="I27" i="4"/>
  <c r="Q27" i="4"/>
  <c r="O29" i="4"/>
  <c r="M31" i="4"/>
  <c r="K33" i="4"/>
  <c r="I35" i="4"/>
  <c r="O37" i="4"/>
  <c r="M39" i="4"/>
  <c r="K41" i="4"/>
  <c r="I6" i="4"/>
  <c r="I14" i="4"/>
  <c r="Q30" i="4"/>
  <c r="O32" i="4"/>
  <c r="K36" i="4"/>
  <c r="Q38" i="4"/>
  <c r="O40" i="4"/>
  <c r="I16" i="4"/>
  <c r="I24" i="4"/>
  <c r="I32" i="4"/>
  <c r="I40" i="4"/>
  <c r="I3" i="4"/>
  <c r="I5" i="4"/>
  <c r="I13" i="4"/>
  <c r="I21" i="4"/>
  <c r="I29" i="4"/>
  <c r="I37" i="4"/>
  <c r="H7" i="2"/>
  <c r="I7" i="2" s="1"/>
  <c r="H6" i="2"/>
  <c r="I6" i="2" s="1"/>
  <c r="I8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H4" i="1"/>
  <c r="H12" i="1"/>
  <c r="H20" i="1"/>
  <c r="H28" i="1"/>
  <c r="H36" i="1"/>
  <c r="H39" i="1"/>
  <c r="H26" i="1"/>
  <c r="H27" i="1"/>
  <c r="H5" i="1"/>
  <c r="H13" i="1"/>
  <c r="H21" i="1"/>
  <c r="H29" i="1"/>
  <c r="H37" i="1"/>
  <c r="H8" i="1"/>
  <c r="H40" i="1"/>
  <c r="H18" i="1"/>
  <c r="H42" i="1"/>
  <c r="H35" i="1"/>
  <c r="H6" i="1"/>
  <c r="H14" i="1"/>
  <c r="H22" i="1"/>
  <c r="H30" i="1"/>
  <c r="H38" i="1"/>
  <c r="H16" i="1"/>
  <c r="H32" i="1"/>
  <c r="H34" i="1"/>
  <c r="H11" i="1"/>
  <c r="H7" i="1"/>
  <c r="H15" i="1"/>
  <c r="H23" i="1"/>
  <c r="H31" i="1"/>
  <c r="H24" i="1"/>
  <c r="H10" i="1"/>
  <c r="H19" i="1"/>
  <c r="H9" i="1"/>
  <c r="H17" i="1"/>
  <c r="H25" i="1"/>
  <c r="H33" i="1"/>
  <c r="H41" i="1"/>
  <c r="I4" i="1"/>
  <c r="I12" i="1"/>
  <c r="I20" i="1"/>
  <c r="I28" i="1"/>
  <c r="I36" i="1"/>
  <c r="I21" i="1"/>
  <c r="I37" i="1"/>
  <c r="I35" i="1"/>
  <c r="I5" i="1"/>
  <c r="I13" i="1"/>
  <c r="I29" i="1"/>
  <c r="I27" i="1"/>
  <c r="I6" i="1"/>
  <c r="I14" i="1"/>
  <c r="I22" i="1"/>
  <c r="I30" i="1"/>
  <c r="I38" i="1"/>
  <c r="I15" i="1"/>
  <c r="I23" i="1"/>
  <c r="I31" i="1"/>
  <c r="I39" i="1"/>
  <c r="I40" i="1"/>
  <c r="I7" i="1"/>
  <c r="I8" i="1"/>
  <c r="I16" i="1"/>
  <c r="I24" i="1"/>
  <c r="I32" i="1"/>
  <c r="I9" i="1"/>
  <c r="I17" i="1"/>
  <c r="I25" i="1"/>
  <c r="I33" i="1"/>
  <c r="I41" i="1"/>
  <c r="I10" i="1"/>
  <c r="I18" i="1"/>
  <c r="I26" i="1"/>
  <c r="I34" i="1"/>
  <c r="I42" i="1"/>
  <c r="I11" i="1"/>
  <c r="I19" i="1"/>
  <c r="I3" i="1"/>
  <c r="P15" i="4" l="1"/>
  <c r="J17" i="4"/>
  <c r="L35" i="4"/>
  <c r="R30" i="4"/>
  <c r="N4" i="4"/>
  <c r="J32" i="4"/>
  <c r="J14" i="4"/>
  <c r="P29" i="4"/>
  <c r="L17" i="4"/>
  <c r="R29" i="4"/>
  <c r="L7" i="4"/>
  <c r="R27" i="4"/>
  <c r="N15" i="4"/>
  <c r="L20" i="4"/>
  <c r="J37" i="4"/>
  <c r="J6" i="4"/>
  <c r="N42" i="4"/>
  <c r="R20" i="4"/>
  <c r="P25" i="4"/>
  <c r="L11" i="4"/>
  <c r="R32" i="4"/>
  <c r="N18" i="4"/>
  <c r="J9" i="4"/>
  <c r="L41" i="4"/>
  <c r="J38" i="4"/>
  <c r="R4" i="4"/>
  <c r="L37" i="4"/>
  <c r="L40" i="4"/>
  <c r="R37" i="4"/>
  <c r="N29" i="4"/>
  <c r="N28" i="4"/>
  <c r="J22" i="4"/>
  <c r="N20" i="4"/>
  <c r="J33" i="4"/>
  <c r="N8" i="4"/>
  <c r="N37" i="4"/>
  <c r="J21" i="4"/>
  <c r="P40" i="4"/>
  <c r="N39" i="4"/>
  <c r="L25" i="4"/>
  <c r="R11" i="4"/>
  <c r="N34" i="4"/>
  <c r="R14" i="4"/>
  <c r="N32" i="4"/>
  <c r="L18" i="4"/>
  <c r="J4" i="4"/>
  <c r="R18" i="4"/>
  <c r="N35" i="4"/>
  <c r="J23" i="4"/>
  <c r="P9" i="4"/>
  <c r="P36" i="4"/>
  <c r="N6" i="4"/>
  <c r="R21" i="4"/>
  <c r="P27" i="4"/>
  <c r="N41" i="4"/>
  <c r="R17" i="4"/>
  <c r="L22" i="4"/>
  <c r="P8" i="4"/>
  <c r="R35" i="4"/>
  <c r="N5" i="4"/>
  <c r="P6" i="4"/>
  <c r="J42" i="4"/>
  <c r="R36" i="4"/>
  <c r="J16" i="4"/>
  <c r="P16" i="4"/>
  <c r="R23" i="4"/>
  <c r="J13" i="4"/>
  <c r="P37" i="4"/>
  <c r="N23" i="4"/>
  <c r="J11" i="4"/>
  <c r="J30" i="4"/>
  <c r="L12" i="4"/>
  <c r="P30" i="4"/>
  <c r="N16" i="4"/>
  <c r="N38" i="4"/>
  <c r="L16" i="4"/>
  <c r="P33" i="4"/>
  <c r="L21" i="4"/>
  <c r="R7" i="4"/>
  <c r="R34" i="4"/>
  <c r="P4" i="4"/>
  <c r="N9" i="4"/>
  <c r="P23" i="4"/>
  <c r="P3" i="4"/>
  <c r="L38" i="4"/>
  <c r="R16" i="4"/>
  <c r="J8" i="4"/>
  <c r="P31" i="4"/>
  <c r="L39" i="4"/>
  <c r="J24" i="4"/>
  <c r="J39" i="4"/>
  <c r="L8" i="4"/>
  <c r="J29" i="4"/>
  <c r="P13" i="4"/>
  <c r="J20" i="4"/>
  <c r="N11" i="4"/>
  <c r="J5" i="4"/>
  <c r="J35" i="4"/>
  <c r="L9" i="4"/>
  <c r="L28" i="4"/>
  <c r="N10" i="4"/>
  <c r="R28" i="4"/>
  <c r="P14" i="4"/>
  <c r="N30" i="4"/>
  <c r="N14" i="4"/>
  <c r="R31" i="4"/>
  <c r="N19" i="4"/>
  <c r="J7" i="4"/>
  <c r="J34" i="4"/>
  <c r="P35" i="4"/>
  <c r="P7" i="4"/>
  <c r="P18" i="4"/>
  <c r="L6" i="4"/>
  <c r="N36" i="4"/>
  <c r="N12" i="4"/>
  <c r="L15" i="4"/>
  <c r="R8" i="4"/>
  <c r="P26" i="4"/>
  <c r="J36" i="4"/>
  <c r="N22" i="4"/>
  <c r="L13" i="4"/>
  <c r="P12" i="4"/>
  <c r="L42" i="4"/>
  <c r="N25" i="4"/>
  <c r="R40" i="4"/>
  <c r="J27" i="4"/>
  <c r="L34" i="4"/>
  <c r="P20" i="4"/>
  <c r="J10" i="4"/>
  <c r="R38" i="4"/>
  <c r="L36" i="4"/>
  <c r="P21" i="4"/>
  <c r="J3" i="4"/>
  <c r="P32" i="4"/>
  <c r="L33" i="4"/>
  <c r="R19" i="4"/>
  <c r="N7" i="4"/>
  <c r="N26" i="4"/>
  <c r="L4" i="4"/>
  <c r="J28" i="4"/>
  <c r="R12" i="4"/>
  <c r="P28" i="4"/>
  <c r="R10" i="4"/>
  <c r="J31" i="4"/>
  <c r="P17" i="4"/>
  <c r="L5" i="4"/>
  <c r="L32" i="4"/>
  <c r="R41" i="4"/>
  <c r="R5" i="4"/>
  <c r="L14" i="4"/>
  <c r="L23" i="4"/>
  <c r="R33" i="4"/>
  <c r="N13" i="4"/>
  <c r="P38" i="4"/>
  <c r="R24" i="4"/>
  <c r="R25" i="4"/>
  <c r="J40" i="4"/>
  <c r="N31" i="4"/>
  <c r="J19" i="4"/>
  <c r="P5" i="4"/>
  <c r="P24" i="4"/>
  <c r="J41" i="4"/>
  <c r="N24" i="4"/>
  <c r="J12" i="4"/>
  <c r="R26" i="4"/>
  <c r="P41" i="4"/>
  <c r="L29" i="4"/>
  <c r="R15" i="4"/>
  <c r="N3" i="4"/>
  <c r="J26" i="4"/>
  <c r="L30" i="4"/>
  <c r="P39" i="4"/>
  <c r="L3" i="4"/>
  <c r="R13" i="4"/>
  <c r="L31" i="4"/>
  <c r="N33" i="4"/>
  <c r="L26" i="4"/>
  <c r="N21" i="4"/>
  <c r="L19" i="4"/>
  <c r="R3" i="4"/>
  <c r="R22" i="4"/>
  <c r="N40" i="4"/>
  <c r="P22" i="4"/>
  <c r="L10" i="4"/>
  <c r="L24" i="4"/>
  <c r="R39" i="4"/>
  <c r="N27" i="4"/>
  <c r="J15" i="4"/>
  <c r="R42" i="4"/>
  <c r="J18" i="4"/>
  <c r="J25" i="4"/>
  <c r="P34" i="4"/>
  <c r="P10" i="4"/>
  <c r="R6" i="4"/>
  <c r="L27" i="4"/>
  <c r="N17" i="4"/>
  <c r="R9" i="4"/>
  <c r="P42" i="4"/>
  <c r="P19" i="4"/>
  <c r="P11" i="4"/>
  <c r="K3" i="1"/>
  <c r="J41" i="1"/>
  <c r="J33" i="1"/>
  <c r="J25" i="1"/>
  <c r="J17" i="1"/>
  <c r="J9" i="1"/>
  <c r="J19" i="1"/>
  <c r="J10" i="1"/>
  <c r="J24" i="1"/>
  <c r="J31" i="1"/>
  <c r="J23" i="1"/>
  <c r="J15" i="1"/>
  <c r="J7" i="1"/>
  <c r="J11" i="1"/>
  <c r="J34" i="1"/>
  <c r="J32" i="1"/>
  <c r="J16" i="1"/>
  <c r="J38" i="1"/>
  <c r="J30" i="1"/>
  <c r="J22" i="1"/>
  <c r="J14" i="1"/>
  <c r="J6" i="1"/>
  <c r="J35" i="1"/>
  <c r="J42" i="1"/>
  <c r="J18" i="1"/>
  <c r="J40" i="1"/>
  <c r="J8" i="1"/>
  <c r="J37" i="1"/>
  <c r="J29" i="1"/>
  <c r="J21" i="1"/>
  <c r="J13" i="1"/>
  <c r="J5" i="1"/>
  <c r="J27" i="1"/>
  <c r="J26" i="1"/>
  <c r="J39" i="1"/>
  <c r="J36" i="1"/>
  <c r="J28" i="1"/>
  <c r="J20" i="1"/>
  <c r="J12" i="1"/>
  <c r="J4" i="1"/>
</calcChain>
</file>

<file path=xl/sharedStrings.xml><?xml version="1.0" encoding="utf-8"?>
<sst xmlns="http://schemas.openxmlformats.org/spreadsheetml/2006/main" count="534" uniqueCount="116">
  <si>
    <t>Tarining Data</t>
  </si>
  <si>
    <t>Somker</t>
  </si>
  <si>
    <t>Gender</t>
  </si>
  <si>
    <t>BP_Status</t>
  </si>
  <si>
    <t>3- Moderate</t>
  </si>
  <si>
    <t>Female</t>
  </si>
  <si>
    <t>High</t>
  </si>
  <si>
    <t>1- Non-smoker</t>
  </si>
  <si>
    <t>Normal</t>
  </si>
  <si>
    <t>Male</t>
  </si>
  <si>
    <t>5- Very Heavy</t>
  </si>
  <si>
    <t>4- Heavy</t>
  </si>
  <si>
    <t>2- Light</t>
  </si>
  <si>
    <t>Count of BP_Status</t>
  </si>
  <si>
    <t>Column Labels</t>
  </si>
  <si>
    <t>Row Labels</t>
  </si>
  <si>
    <t>Grand Total</t>
  </si>
  <si>
    <t>P(X1|BP1)</t>
  </si>
  <si>
    <t>P(X1|BP2)</t>
  </si>
  <si>
    <t>P(X2|BP1)</t>
  </si>
  <si>
    <t>P(X2|BP2)</t>
  </si>
  <si>
    <t>P(BP1,X1,X2)</t>
  </si>
  <si>
    <t>P(BP2,X1,X2)</t>
  </si>
  <si>
    <t>P(BP1|X1,X2)</t>
  </si>
  <si>
    <t>Prediction</t>
  </si>
  <si>
    <t>Key</t>
  </si>
  <si>
    <t>Value</t>
  </si>
  <si>
    <t>BP1</t>
  </si>
  <si>
    <t>BP2</t>
  </si>
  <si>
    <t>BP_Status=High</t>
  </si>
  <si>
    <t>BP_Status=Normal</t>
  </si>
  <si>
    <t>X2</t>
  </si>
  <si>
    <t>X1</t>
  </si>
  <si>
    <t>Test Data</t>
  </si>
  <si>
    <t xml:space="preserve">Measures and Scores for Testing Data </t>
  </si>
  <si>
    <t xml:space="preserve">Measures and Scores for Training Data </t>
  </si>
  <si>
    <t xml:space="preserve">All possible first level splits </t>
  </si>
  <si>
    <t>Entropy and Net Gain</t>
  </si>
  <si>
    <t>tL and tR</t>
  </si>
  <si>
    <t>BP_Status wise Level</t>
  </si>
  <si>
    <t>No of.</t>
  </si>
  <si>
    <t>pj</t>
  </si>
  <si>
    <t>log2(pj)</t>
  </si>
  <si>
    <t>-pj*log2(pj)</t>
  </si>
  <si>
    <t>Splits</t>
  </si>
  <si>
    <t>tL</t>
  </si>
  <si>
    <t>tR</t>
  </si>
  <si>
    <t>Level 1 (BP_Status=High)</t>
  </si>
  <si>
    <t>Gender: [Male]</t>
  </si>
  <si>
    <t>Gender: [Female]</t>
  </si>
  <si>
    <t>Level 2 (BP_Status=Normal)</t>
  </si>
  <si>
    <t>Smoker:[1- Non-smoker]</t>
  </si>
  <si>
    <t>Smoker:[2- Light, 3- Moderate, 4- Heavy, 5- Very Heavy]</t>
  </si>
  <si>
    <t>Entropy</t>
  </si>
  <si>
    <t>Smoker:[2- Light]</t>
  </si>
  <si>
    <t>Smoker:[1- Non-smoker, 3- Moderate, 4- Heavy, 5- Very Heavy]</t>
  </si>
  <si>
    <t>Smoker:[3- Moderate]</t>
  </si>
  <si>
    <t>Smoker:[1- Non-smoker, 2- Light, 4- Heavy, 5- Very Heavy]</t>
  </si>
  <si>
    <t>Q(s|t)</t>
  </si>
  <si>
    <t>Smoker:[4- Heavy]</t>
  </si>
  <si>
    <t>Smoker:[1- Non-smoker, 2- Light, 3- Moderate, 5- Very Heavy]</t>
  </si>
  <si>
    <t>PL</t>
  </si>
  <si>
    <t>PR</t>
  </si>
  <si>
    <t>Level</t>
  </si>
  <si>
    <t>P( j |tL )</t>
  </si>
  <si>
    <t>P( j |tR)</t>
  </si>
  <si>
    <t>2PL PR</t>
  </si>
  <si>
    <t>Φ(s|t)</t>
  </si>
  <si>
    <t>Smoker:[5- Very Heavy]</t>
  </si>
  <si>
    <t>Smoker:[1- Non-smoker, 2- Light, 3- Moderate, 4- Heavy]</t>
  </si>
  <si>
    <t>Smoker:[1- Non-smoker, 2- Light]</t>
  </si>
  <si>
    <t>Smoker:[3- Moderate, 4- Heavy, 5- Very Heavy]</t>
  </si>
  <si>
    <t>Smoker:[1- Non-smoker, 3- Moderate]</t>
  </si>
  <si>
    <t>Smoker:[2- Light, 4- Heavy, 5- Very Heavy]</t>
  </si>
  <si>
    <t>Smoker:[1- Non-smoker, 4- Heavy]</t>
  </si>
  <si>
    <t>Smoker:[2- Light, 3- Moderate, 5- Very Heavy]</t>
  </si>
  <si>
    <t>Smoker:[1- Non-smoker, 5- Very Heavy]</t>
  </si>
  <si>
    <t>Smoker:[2- Light, 3- Moderate, 4- Heavy]</t>
  </si>
  <si>
    <t>Smoker:[2- Light, 3- Moderate]</t>
  </si>
  <si>
    <t>Smoker:[1- Non-smoker, 4- Heavy, 5- Very Heavy]</t>
  </si>
  <si>
    <t>Smoker:[2- Light, 4- Heavy]</t>
  </si>
  <si>
    <t>Smoker:[1- Non-smoker, 3- Moderate, 5- Very Heavy]</t>
  </si>
  <si>
    <t>Smoker:[2- Light, 5- Very Heavy]</t>
  </si>
  <si>
    <t>Smoker:[1- Non-smoker, 3- Moderate, 4- Heavy]</t>
  </si>
  <si>
    <t>Smoker:[3- Moderate, 4- Heavy]</t>
  </si>
  <si>
    <t>Smoker:[1- Non-smoker, 2- Light, 5- Very Heavy]</t>
  </si>
  <si>
    <t>Smoker:[3- Moderate, 5- Very Heavy]</t>
  </si>
  <si>
    <t>Smoker:[1- Non-smoker, 2- Light, 4- Heavy]</t>
  </si>
  <si>
    <t>Smoker:[4- Heavy, 5- Very Heavy]</t>
  </si>
  <si>
    <t>Smoker:[1- Non-smoker, 2- Light, 3- Moderate]</t>
  </si>
  <si>
    <t>Age</t>
  </si>
  <si>
    <t>Height</t>
  </si>
  <si>
    <t>Weight</t>
  </si>
  <si>
    <t>Normalized Age</t>
  </si>
  <si>
    <t>Normalized Height</t>
  </si>
  <si>
    <t>Normalized Weight</t>
  </si>
  <si>
    <t>Weighted_distance_1</t>
  </si>
  <si>
    <t>RANK_1</t>
  </si>
  <si>
    <t>Weighted_distance_2</t>
  </si>
  <si>
    <t>RANK_2</t>
  </si>
  <si>
    <t>Weighted_distance_3</t>
  </si>
  <si>
    <t>RANK_3</t>
  </si>
  <si>
    <t>Weighted_distance_4</t>
  </si>
  <si>
    <t>RANK_4</t>
  </si>
  <si>
    <t>Weighted_distance_5</t>
  </si>
  <si>
    <t>RANK_5</t>
  </si>
  <si>
    <t>Note: If predicted result matches the actual result then 1 else 0</t>
  </si>
  <si>
    <t>Prediction based on k=2</t>
  </si>
  <si>
    <t>Calculating Accuracy</t>
  </si>
  <si>
    <t>Accuracy Score (%)</t>
  </si>
  <si>
    <t>Max</t>
  </si>
  <si>
    <t>Min</t>
  </si>
  <si>
    <t xml:space="preserve">K = 2 </t>
  </si>
  <si>
    <t xml:space="preserve">Test Data </t>
  </si>
  <si>
    <t>Training Data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</si>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</sst>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4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 tint="4.9989318521683403E-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10" fontId="13" fillId="0" borderId="3" xfId="0" applyNumberFormat="1" applyFont="1" applyFill="1" applyBorder="1" applyAlignment="1">
      <alignment horizontal="center"/>
    </xf>
    <xf numFmtId="10" fontId="13" fillId="0" borderId="8" xfId="0" applyNumberFormat="1" applyFont="1" applyFill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10" fontId="13" fillId="0" borderId="1" xfId="0" applyNumberFormat="1" applyFont="1" applyFill="1" applyBorder="1" applyAlignment="1">
      <alignment horizontal="center"/>
    </xf>
    <xf numFmtId="10" fontId="13" fillId="0" borderId="10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10" fontId="13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0" fillId="0" borderId="24" xfId="0" applyNumberFormat="1" applyFont="1" applyBorder="1" applyAlignment="1">
      <alignment horizontal="center"/>
    </xf>
    <xf numFmtId="49" fontId="10" fillId="0" borderId="25" xfId="0" applyNumberFormat="1" applyFont="1" applyBorder="1" applyAlignment="1">
      <alignment horizontal="center"/>
    </xf>
    <xf numFmtId="49" fontId="10" fillId="0" borderId="26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6" fillId="0" borderId="3" xfId="0" applyFont="1" applyBorder="1"/>
    <xf numFmtId="49" fontId="4" fillId="0" borderId="15" xfId="0" applyNumberFormat="1" applyFont="1" applyBorder="1" applyAlignment="1">
      <alignment horizontal="center"/>
    </xf>
    <xf numFmtId="49" fontId="4" fillId="0" borderId="27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5" fillId="0" borderId="2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0" xfId="0" applyFont="1"/>
    <xf numFmtId="0" fontId="8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5" fillId="0" borderId="0" xfId="0" applyFont="1"/>
    <xf numFmtId="0" fontId="8" fillId="0" borderId="3" xfId="0" applyFont="1" applyBorder="1"/>
    <xf numFmtId="0" fontId="5" fillId="0" borderId="24" xfId="0" applyFont="1" applyBorder="1"/>
    <xf numFmtId="0" fontId="5" fillId="0" borderId="26" xfId="0" applyFont="1" applyBorder="1"/>
    <xf numFmtId="0" fontId="18" fillId="0" borderId="28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5" fillId="0" borderId="17" xfId="0" applyFont="1" applyBorder="1"/>
    <xf numFmtId="0" fontId="8" fillId="0" borderId="17" xfId="0" applyFont="1" applyBorder="1"/>
    <xf numFmtId="0" fontId="8" fillId="0" borderId="18" xfId="0" applyFont="1" applyBorder="1"/>
    <xf numFmtId="0" fontId="5" fillId="0" borderId="19" xfId="0" applyFont="1" applyBorder="1"/>
    <xf numFmtId="0" fontId="5" fillId="0" borderId="2" xfId="0" applyFont="1" applyBorder="1"/>
    <xf numFmtId="0" fontId="5" fillId="0" borderId="20" xfId="0" applyFont="1" applyBorder="1"/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0" fillId="0" borderId="23" xfId="0" applyBorder="1"/>
    <xf numFmtId="0" fontId="0" fillId="0" borderId="21" xfId="0" applyBorder="1"/>
    <xf numFmtId="0" fontId="5" fillId="0" borderId="21" xfId="0" applyFont="1" applyBorder="1"/>
    <xf numFmtId="0" fontId="8" fillId="0" borderId="19" xfId="0" applyFont="1" applyBorder="1"/>
    <xf numFmtId="0" fontId="8" fillId="0" borderId="2" xfId="0" applyFont="1" applyBorder="1"/>
    <xf numFmtId="0" fontId="8" fillId="0" borderId="20" xfId="0" applyFont="1" applyBorder="1"/>
    <xf numFmtId="0" fontId="19" fillId="0" borderId="19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19" fillId="0" borderId="0" xfId="0" pivotButton="1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pivotButton="1" applyFont="1"/>
    <xf numFmtId="0" fontId="19" fillId="0" borderId="0" xfId="0" applyFont="1"/>
    <xf numFmtId="0" fontId="19" fillId="0" borderId="4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0" fillId="0" borderId="18" xfId="0" applyBorder="1"/>
    <xf numFmtId="0" fontId="16" fillId="0" borderId="18" xfId="0" applyFont="1" applyBorder="1"/>
    <xf numFmtId="49" fontId="15" fillId="2" borderId="19" xfId="0" applyNumberFormat="1" applyFont="1" applyFill="1" applyBorder="1" applyAlignment="1">
      <alignment horizontal="left" vertical="center"/>
    </xf>
    <xf numFmtId="49" fontId="15" fillId="2" borderId="20" xfId="0" applyNumberFormat="1" applyFont="1" applyFill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/>
    <xf numFmtId="0" fontId="0" fillId="0" borderId="22" xfId="0" applyBorder="1" applyAlignment="1">
      <alignment horizontal="left" vertical="center"/>
    </xf>
    <xf numFmtId="164" fontId="0" fillId="0" borderId="22" xfId="0" applyNumberFormat="1" applyBorder="1" applyAlignment="1">
      <alignment horizontal="left" vertical="center"/>
    </xf>
    <xf numFmtId="164" fontId="0" fillId="0" borderId="18" xfId="0" applyNumberFormat="1" applyBorder="1" applyAlignment="1">
      <alignment horizontal="left" vertical="center"/>
    </xf>
    <xf numFmtId="0" fontId="1" fillId="3" borderId="12" xfId="0" applyFont="1" applyFill="1" applyBorder="1" applyAlignment="1">
      <alignment horizontal="center"/>
    </xf>
    <xf numFmtId="164" fontId="0" fillId="0" borderId="23" xfId="0" applyNumberFormat="1" applyBorder="1" applyAlignment="1">
      <alignment horizontal="left" vertical="center"/>
    </xf>
    <xf numFmtId="0" fontId="0" fillId="0" borderId="17" xfId="0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2" xfId="0" applyFont="1" applyFill="1" applyBorder="1" applyAlignment="1">
      <alignment horizontal="left" vertical="center"/>
    </xf>
    <xf numFmtId="49" fontId="0" fillId="3" borderId="12" xfId="0" applyNumberFormat="1" applyFont="1" applyFill="1" applyBorder="1" applyAlignment="1">
      <alignment horizontal="left" vertical="center"/>
    </xf>
    <xf numFmtId="49" fontId="0" fillId="3" borderId="13" xfId="0" applyNumberFormat="1" applyFont="1" applyFill="1" applyBorder="1" applyAlignment="1">
      <alignment horizontal="left" vertical="center"/>
    </xf>
    <xf numFmtId="49" fontId="22" fillId="2" borderId="19" xfId="0" applyNumberFormat="1" applyFont="1" applyFill="1" applyBorder="1" applyAlignment="1">
      <alignment horizontal="left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20" xfId="0" applyNumberFormat="1" applyFont="1" applyFill="1" applyBorder="1" applyAlignment="1">
      <alignment horizontal="left" vertical="center"/>
    </xf>
    <xf numFmtId="49" fontId="21" fillId="9" borderId="0" xfId="0" applyNumberFormat="1" applyFont="1" applyFill="1" applyAlignment="1">
      <alignment horizontal="left" vertical="center"/>
    </xf>
    <xf numFmtId="0" fontId="8" fillId="0" borderId="0" xfId="0" applyFont="1" applyAlignment="1">
      <alignment wrapText="1"/>
    </xf>
  </cellXfs>
  <cellStyles count="1">
    <cellStyle name="Normal" xfId="0" builtinId="0"/>
  </cellStyles>
  <dxfs count="3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30" formatCode="@"/>
      <fill>
        <patternFill patternType="solid">
          <fgColor indexed="64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llege/Courses/CS513-KDD/reference/AshutoshNaresh_Matai_Midterm_Q1-Q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sha" refreshedDate="45238.011119907409" createdVersion="8" refreshedVersion="8" minRefreshableVersion="3" recordCount="40" xr:uid="{FE80FE12-3B30-4575-9502-8F61F7DA6DCA}">
  <cacheSource type="worksheet">
    <worksheetSource ref="A11:C51" sheet="Q2" r:id="rId2"/>
  </cacheSource>
  <cacheFields count="3">
    <cacheField name="Somker" numFmtId="0">
      <sharedItems count="5">
        <s v="3- Moderate"/>
        <s v="1- Non-smoker"/>
        <s v="5- Very Heavy"/>
        <s v="4- Heavy"/>
        <s v="2- Light"/>
      </sharedItems>
    </cacheField>
    <cacheField name="Gender" numFmtId="0">
      <sharedItems count="2">
        <s v="Female"/>
        <s v="Male"/>
      </sharedItems>
    </cacheField>
    <cacheField name="BP_Status" numFmtId="0">
      <sharedItems count="2">
        <s v="High"/>
        <s v="Norm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 Dadlani" refreshedDate="45238.866416087963" createdVersion="8" refreshedVersion="8" minRefreshableVersion="3" recordCount="40" xr:uid="{DA6DF7C4-F8F4-47D4-92CD-3B35D1ADC4BB}">
  <cacheSource type="worksheet">
    <worksheetSource ref="A2:K42" sheet="Q2_Solution"/>
  </cacheSource>
  <cacheFields count="11">
    <cacheField name="Somker" numFmtId="0">
      <sharedItems/>
    </cacheField>
    <cacheField name="Gender" numFmtId="0">
      <sharedItems/>
    </cacheField>
    <cacheField name="BP_Status" numFmtId="0">
      <sharedItems count="2">
        <s v="High"/>
        <s v="Normal"/>
      </sharedItems>
    </cacheField>
    <cacheField name="P(X1|BP1)" numFmtId="0">
      <sharedItems containsSemiMixedTypes="0" containsString="0" containsNumber="1" minValue="4.1666666666666664E-2" maxValue="0.54166666666666663"/>
    </cacheField>
    <cacheField name="P(X1|BP2)" numFmtId="0">
      <sharedItems containsSemiMixedTypes="0" containsString="0" containsNumber="1" minValue="0" maxValue="0.5"/>
    </cacheField>
    <cacheField name="P(X2|BP1)" numFmtId="0">
      <sharedItems containsSemiMixedTypes="0" containsString="0" containsNumber="1" minValue="0.45833333333333331" maxValue="0.54166666666666663"/>
    </cacheField>
    <cacheField name="P(X2|BP2)" numFmtId="0">
      <sharedItems containsSemiMixedTypes="0" containsString="0" containsNumber="1" minValue="0.3125" maxValue="0.6875"/>
    </cacheField>
    <cacheField name="P(BP1,X1,X2)" numFmtId="0">
      <sharedItems containsSemiMixedTypes="0" containsString="0" containsNumber="1" minValue="1.1458333333333333E-2" maxValue="0.17604166666666662"/>
    </cacheField>
    <cacheField name="P(BP2,X1,X2)" numFmtId="0">
      <sharedItems containsSemiMixedTypes="0" containsString="0" containsNumber="1" minValue="0" maxValue="0.13750000000000001"/>
    </cacheField>
    <cacheField name="P(BP1|X1,X2)" numFmtId="0">
      <sharedItems containsSemiMixedTypes="0" containsString="0" containsNumber="1" minValue="0.24999999999999997" maxValue="1"/>
    </cacheField>
    <cacheField name="Prediction" numFmtId="0">
      <sharedItems count="2">
        <s v="Normal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 Dadlani" refreshedDate="45238.876666782409" createdVersion="8" refreshedVersion="8" minRefreshableVersion="3" recordCount="5" xr:uid="{A813B45F-FA46-4BD1-8529-6DBEFA3FA706}">
  <cacheSource type="worksheet">
    <worksheetSource name="Table5"/>
  </cacheSource>
  <cacheFields count="11">
    <cacheField name="Somker" numFmtId="0">
      <sharedItems/>
    </cacheField>
    <cacheField name="Gender" numFmtId="0">
      <sharedItems/>
    </cacheField>
    <cacheField name="BP_Status" numFmtId="0">
      <sharedItems count="2">
        <s v="High"/>
        <s v="Normal"/>
      </sharedItems>
    </cacheField>
    <cacheField name="P(X1|BP1)" numFmtId="0">
      <sharedItems containsSemiMixedTypes="0" containsString="0" containsNumber="1" minValue="4.1666666666666664E-2" maxValue="0.54166666666666663"/>
    </cacheField>
    <cacheField name="P(X1|BP2)" numFmtId="0">
      <sharedItems containsSemiMixedTypes="0" containsString="0" containsNumber="1" minValue="0" maxValue="0.5"/>
    </cacheField>
    <cacheField name="P(X2|BP1)" numFmtId="0">
      <sharedItems containsSemiMixedTypes="0" containsString="0" containsNumber="1" minValue="0.45833333333333331" maxValue="0.54166666666666663"/>
    </cacheField>
    <cacheField name="P(X2|BP2)" numFmtId="0">
      <sharedItems containsSemiMixedTypes="0" containsString="0" containsNumber="1" minValue="0.3125" maxValue="0.6875"/>
    </cacheField>
    <cacheField name="P(BP1,X1,X2)" numFmtId="0">
      <sharedItems containsSemiMixedTypes="0" containsString="0" containsNumber="1" minValue="1.1458333333333333E-2" maxValue="0.1489583333333333"/>
    </cacheField>
    <cacheField name="P(BP2,X1,X2)" numFmtId="0">
      <sharedItems containsSemiMixedTypes="0" containsString="0" containsNumber="1" minValue="0" maxValue="0.13750000000000001"/>
    </cacheField>
    <cacheField name="P(BP1|X1,X2)" numFmtId="0">
      <sharedItems containsSemiMixedTypes="0" containsString="0" containsNumber="1" minValue="0.24999999999999997" maxValue="1"/>
    </cacheField>
    <cacheField name="Prediction" numFmtId="0">
      <sharedItems count="2">
        <s v="Normal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0"/>
    <x v="1"/>
  </r>
  <r>
    <x v="1"/>
    <x v="1"/>
    <x v="0"/>
  </r>
  <r>
    <x v="1"/>
    <x v="0"/>
    <x v="1"/>
  </r>
  <r>
    <x v="2"/>
    <x v="1"/>
    <x v="0"/>
  </r>
  <r>
    <x v="1"/>
    <x v="0"/>
    <x v="1"/>
  </r>
  <r>
    <x v="1"/>
    <x v="1"/>
    <x v="0"/>
  </r>
  <r>
    <x v="1"/>
    <x v="0"/>
    <x v="0"/>
  </r>
  <r>
    <x v="1"/>
    <x v="0"/>
    <x v="1"/>
  </r>
  <r>
    <x v="3"/>
    <x v="1"/>
    <x v="1"/>
  </r>
  <r>
    <x v="1"/>
    <x v="0"/>
    <x v="0"/>
  </r>
  <r>
    <x v="0"/>
    <x v="1"/>
    <x v="1"/>
  </r>
  <r>
    <x v="4"/>
    <x v="0"/>
    <x v="1"/>
  </r>
  <r>
    <x v="1"/>
    <x v="0"/>
    <x v="0"/>
  </r>
  <r>
    <x v="1"/>
    <x v="0"/>
    <x v="0"/>
  </r>
  <r>
    <x v="3"/>
    <x v="1"/>
    <x v="1"/>
  </r>
  <r>
    <x v="1"/>
    <x v="0"/>
    <x v="1"/>
  </r>
  <r>
    <x v="2"/>
    <x v="1"/>
    <x v="0"/>
  </r>
  <r>
    <x v="3"/>
    <x v="1"/>
    <x v="0"/>
  </r>
  <r>
    <x v="1"/>
    <x v="0"/>
    <x v="1"/>
  </r>
  <r>
    <x v="3"/>
    <x v="0"/>
    <x v="1"/>
  </r>
  <r>
    <x v="3"/>
    <x v="1"/>
    <x v="0"/>
  </r>
  <r>
    <x v="1"/>
    <x v="1"/>
    <x v="0"/>
  </r>
  <r>
    <x v="3"/>
    <x v="1"/>
    <x v="1"/>
  </r>
  <r>
    <x v="1"/>
    <x v="0"/>
    <x v="0"/>
  </r>
  <r>
    <x v="1"/>
    <x v="0"/>
    <x v="0"/>
  </r>
  <r>
    <x v="1"/>
    <x v="1"/>
    <x v="0"/>
  </r>
  <r>
    <x v="1"/>
    <x v="1"/>
    <x v="0"/>
  </r>
  <r>
    <x v="1"/>
    <x v="0"/>
    <x v="1"/>
  </r>
  <r>
    <x v="4"/>
    <x v="0"/>
    <x v="0"/>
  </r>
  <r>
    <x v="4"/>
    <x v="0"/>
    <x v="1"/>
  </r>
  <r>
    <x v="3"/>
    <x v="1"/>
    <x v="0"/>
  </r>
  <r>
    <x v="1"/>
    <x v="0"/>
    <x v="0"/>
  </r>
  <r>
    <x v="3"/>
    <x v="1"/>
    <x v="0"/>
  </r>
  <r>
    <x v="1"/>
    <x v="0"/>
    <x v="1"/>
  </r>
  <r>
    <x v="3"/>
    <x v="1"/>
    <x v="1"/>
  </r>
  <r>
    <x v="2"/>
    <x v="1"/>
    <x v="0"/>
  </r>
  <r>
    <x v="2"/>
    <x v="1"/>
    <x v="0"/>
  </r>
  <r>
    <x v="3"/>
    <x v="0"/>
    <x v="0"/>
  </r>
  <r>
    <x v="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3- Moderate"/>
    <s v="Female"/>
    <x v="0"/>
    <n v="4.1666666666666664E-2"/>
    <n v="6.25E-2"/>
    <n v="0.45833333333333331"/>
    <n v="0.6875"/>
    <n v="1.1458333333333333E-2"/>
    <n v="1.7187500000000001E-2"/>
    <n v="0.39999999999999997"/>
    <x v="0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1- Non-smoker"/>
    <s v="Male"/>
    <x v="0"/>
    <n v="0.54166666666666663"/>
    <n v="0.5"/>
    <n v="0.54166666666666663"/>
    <n v="0.3125"/>
    <n v="0.17604166666666662"/>
    <n v="6.25E-2"/>
    <n v="0.7379912663755458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5- Very Heavy"/>
    <s v="Male"/>
    <x v="0"/>
    <n v="0.16666666666666666"/>
    <n v="0"/>
    <n v="0.54166666666666663"/>
    <n v="0.3125"/>
    <n v="5.4166666666666655E-2"/>
    <n v="0"/>
    <n v="1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1- Non-smoker"/>
    <s v="Male"/>
    <x v="0"/>
    <n v="0.54166666666666663"/>
    <n v="0.5"/>
    <n v="0.54166666666666663"/>
    <n v="0.3125"/>
    <n v="0.17604166666666662"/>
    <n v="6.25E-2"/>
    <n v="0.7379912663755458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4- Heavy"/>
    <s v="Male"/>
    <x v="1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3- Moderate"/>
    <s v="Male"/>
    <x v="1"/>
    <n v="4.1666666666666664E-2"/>
    <n v="6.25E-2"/>
    <n v="0.54166666666666663"/>
    <n v="0.3125"/>
    <n v="1.3541666666666664E-2"/>
    <n v="7.8125E-3"/>
    <n v="0.63414634146341453"/>
    <x v="1"/>
  </r>
  <r>
    <s v="2- Light"/>
    <s v="Female"/>
    <x v="1"/>
    <n v="4.1666666666666664E-2"/>
    <n v="0.125"/>
    <n v="0.45833333333333331"/>
    <n v="0.6875"/>
    <n v="1.1458333333333333E-2"/>
    <n v="3.4375000000000003E-2"/>
    <n v="0.24999999999999997"/>
    <x v="0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4- Heavy"/>
    <s v="Male"/>
    <x v="1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5- Very Heavy"/>
    <s v="Male"/>
    <x v="0"/>
    <n v="0.16666666666666666"/>
    <n v="0"/>
    <n v="0.54166666666666663"/>
    <n v="0.3125"/>
    <n v="5.4166666666666655E-2"/>
    <n v="0"/>
    <n v="1"/>
    <x v="1"/>
  </r>
  <r>
    <s v="4- Heavy"/>
    <s v="Male"/>
    <x v="0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4- Heavy"/>
    <s v="Female"/>
    <x v="1"/>
    <n v="0.20833333333333334"/>
    <n v="0.3125"/>
    <n v="0.45833333333333331"/>
    <n v="0.6875"/>
    <n v="5.7291666666666657E-2"/>
    <n v="8.59375E-2"/>
    <n v="0.39999999999999997"/>
    <x v="0"/>
  </r>
  <r>
    <s v="4- Heavy"/>
    <s v="Male"/>
    <x v="0"/>
    <n v="0.20833333333333334"/>
    <n v="0.3125"/>
    <n v="0.54166666666666663"/>
    <n v="0.3125"/>
    <n v="6.7708333333333329E-2"/>
    <n v="3.90625E-2"/>
    <n v="0.63414634146341464"/>
    <x v="1"/>
  </r>
  <r>
    <s v="1- Non-smoker"/>
    <s v="Male"/>
    <x v="0"/>
    <n v="0.54166666666666663"/>
    <n v="0.5"/>
    <n v="0.54166666666666663"/>
    <n v="0.3125"/>
    <n v="0.17604166666666662"/>
    <n v="6.25E-2"/>
    <n v="0.7379912663755458"/>
    <x v="1"/>
  </r>
  <r>
    <s v="4- Heavy"/>
    <s v="Male"/>
    <x v="1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1- Non-smoker"/>
    <s v="Male"/>
    <x v="0"/>
    <n v="0.54166666666666663"/>
    <n v="0.5"/>
    <n v="0.54166666666666663"/>
    <n v="0.3125"/>
    <n v="0.17604166666666662"/>
    <n v="6.25E-2"/>
    <n v="0.7379912663755458"/>
    <x v="1"/>
  </r>
  <r>
    <s v="1- Non-smoker"/>
    <s v="Male"/>
    <x v="0"/>
    <n v="0.54166666666666663"/>
    <n v="0.5"/>
    <n v="0.54166666666666663"/>
    <n v="0.3125"/>
    <n v="0.17604166666666662"/>
    <n v="6.25E-2"/>
    <n v="0.7379912663755458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2- Light"/>
    <s v="Female"/>
    <x v="0"/>
    <n v="4.1666666666666664E-2"/>
    <n v="0.125"/>
    <n v="0.45833333333333331"/>
    <n v="0.6875"/>
    <n v="1.1458333333333333E-2"/>
    <n v="3.4375000000000003E-2"/>
    <n v="0.24999999999999997"/>
    <x v="0"/>
  </r>
  <r>
    <s v="2- Light"/>
    <s v="Female"/>
    <x v="1"/>
    <n v="4.1666666666666664E-2"/>
    <n v="0.125"/>
    <n v="0.45833333333333331"/>
    <n v="0.6875"/>
    <n v="1.1458333333333333E-2"/>
    <n v="3.4375000000000003E-2"/>
    <n v="0.24999999999999997"/>
    <x v="0"/>
  </r>
  <r>
    <s v="4- Heavy"/>
    <s v="Male"/>
    <x v="0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  <r>
    <s v="4- Heavy"/>
    <s v="Male"/>
    <x v="0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  <r>
    <s v="4- Heavy"/>
    <s v="Male"/>
    <x v="1"/>
    <n v="0.20833333333333334"/>
    <n v="0.3125"/>
    <n v="0.54166666666666663"/>
    <n v="0.3125"/>
    <n v="6.7708333333333329E-2"/>
    <n v="3.90625E-2"/>
    <n v="0.63414634146341464"/>
    <x v="1"/>
  </r>
  <r>
    <s v="5- Very Heavy"/>
    <s v="Male"/>
    <x v="0"/>
    <n v="0.16666666666666666"/>
    <n v="0"/>
    <n v="0.54166666666666663"/>
    <n v="0.3125"/>
    <n v="5.4166666666666655E-2"/>
    <n v="0"/>
    <n v="1"/>
    <x v="1"/>
  </r>
  <r>
    <s v="5- Very Heavy"/>
    <s v="Male"/>
    <x v="0"/>
    <n v="0.16666666666666666"/>
    <n v="0"/>
    <n v="0.54166666666666663"/>
    <n v="0.3125"/>
    <n v="5.4166666666666655E-2"/>
    <n v="0"/>
    <n v="1"/>
    <x v="1"/>
  </r>
  <r>
    <s v="4- Heavy"/>
    <s v="Female"/>
    <x v="0"/>
    <n v="0.20833333333333334"/>
    <n v="0.3125"/>
    <n v="0.45833333333333331"/>
    <n v="0.6875"/>
    <n v="5.7291666666666657E-2"/>
    <n v="8.59375E-2"/>
    <n v="0.39999999999999997"/>
    <x v="0"/>
  </r>
  <r>
    <s v="1- Non-smoker"/>
    <s v="Female"/>
    <x v="0"/>
    <n v="0.54166666666666663"/>
    <n v="0.5"/>
    <n v="0.45833333333333331"/>
    <n v="0.6875"/>
    <n v="0.1489583333333333"/>
    <n v="0.13750000000000001"/>
    <n v="0.5199999999999999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2- Light"/>
    <s v="Female"/>
    <x v="0"/>
    <n v="4.1666666666666664E-2"/>
    <n v="0.125"/>
    <n v="0.45833333333333331"/>
    <n v="0.6875"/>
    <n v="1.1458333333333333E-2"/>
    <n v="3.4375000000000003E-2"/>
    <n v="0.24999999999999997"/>
    <x v="0"/>
  </r>
  <r>
    <s v="5- Very Heavy"/>
    <s v="Female"/>
    <x v="0"/>
    <n v="0.16666666666666666"/>
    <n v="0"/>
    <n v="0.45833333333333331"/>
    <n v="0.6875"/>
    <n v="4.583333333333333E-2"/>
    <n v="0"/>
    <n v="1"/>
    <x v="1"/>
  </r>
  <r>
    <s v="3- Moderate"/>
    <s v="Female"/>
    <x v="1"/>
    <n v="4.1666666666666664E-2"/>
    <n v="6.25E-2"/>
    <n v="0.45833333333333331"/>
    <n v="0.6875"/>
    <n v="1.1458333333333333E-2"/>
    <n v="1.7187500000000001E-2"/>
    <n v="0.39999999999999997"/>
    <x v="0"/>
  </r>
  <r>
    <s v="4- Heavy"/>
    <s v="Male"/>
    <x v="1"/>
    <n v="0.20833333333333334"/>
    <n v="0.3125"/>
    <n v="0.54166666666666663"/>
    <n v="0.3125"/>
    <n v="6.7708333333333329E-2"/>
    <n v="3.90625E-2"/>
    <n v="0.63414634146341464"/>
    <x v="1"/>
  </r>
  <r>
    <s v="1- Non-smoker"/>
    <s v="Female"/>
    <x v="1"/>
    <n v="0.54166666666666663"/>
    <n v="0.5"/>
    <n v="0.45833333333333331"/>
    <n v="0.6875"/>
    <n v="0.1489583333333333"/>
    <n v="0.13750000000000001"/>
    <n v="0.5199999999999999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E2C42-0B22-435A-AE36-D0B83D6EAB3A}" name="PivotTable1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4:I68" firstHeaderRow="1" firstDataRow="2" firstDataCol="1"/>
  <pivotFields count="11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BP_Status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6">
    <format dxfId="242">
      <pivotArea type="all" dataOnly="0" outline="0" fieldPosition="0"/>
    </format>
    <format dxfId="241">
      <pivotArea outline="0" collapsedLevelsAreSubtotals="1" fieldPosition="0"/>
    </format>
    <format dxfId="240">
      <pivotArea dataOnly="0" labelOnly="1" fieldPosition="0">
        <references count="1">
          <reference field="10" count="0"/>
        </references>
      </pivotArea>
    </format>
    <format dxfId="239">
      <pivotArea dataOnly="0" labelOnly="1" grandRow="1" outline="0" fieldPosition="0"/>
    </format>
    <format dxfId="222">
      <pivotArea type="origin" dataOnly="0" labelOnly="1" outline="0" fieldPosition="0"/>
    </format>
    <format dxfId="221">
      <pivotArea field="2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10" type="button" dataOnly="0" labelOnly="1" outline="0" axis="axisRow" fieldPosition="0"/>
    </format>
    <format dxfId="218">
      <pivotArea dataOnly="0" labelOnly="1" fieldPosition="0">
        <references count="1">
          <reference field="2" count="0"/>
        </references>
      </pivotArea>
    </format>
    <format dxfId="217">
      <pivotArea dataOnly="0" labelOnly="1" grandCol="1" outline="0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type="origin" dataOnly="0" labelOnly="1" outline="0" fieldPosition="0"/>
    </format>
    <format dxfId="177">
      <pivotArea field="2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10" type="button" dataOnly="0" labelOnly="1" outline="0" axis="axisRow" fieldPosition="0"/>
    </format>
    <format dxfId="174">
      <pivotArea dataOnly="0" labelOnly="1" fieldPosition="0">
        <references count="1">
          <reference field="10" count="0"/>
        </references>
      </pivotArea>
    </format>
    <format dxfId="173">
      <pivotArea dataOnly="0" labelOnly="1" grandRow="1" outline="0" fieldPosition="0"/>
    </format>
    <format dxfId="172">
      <pivotArea dataOnly="0" labelOnly="1" fieldPosition="0">
        <references count="1">
          <reference field="2" count="0"/>
        </references>
      </pivotArea>
    </format>
    <format dxfId="171">
      <pivotArea dataOnly="0" labelOnly="1" grandCol="1" outline="0" fieldPosition="0"/>
    </format>
    <format dxfId="56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2">
      <pivotArea type="topRight" dataOnly="0" labelOnly="1" outline="0" fieldPosition="0"/>
    </format>
    <format dxfId="50">
      <pivotArea field="10" type="button" dataOnly="0" labelOnly="1" outline="0" axis="axisRow" fieldPosition="0"/>
    </format>
    <format dxfId="48">
      <pivotArea dataOnly="0" labelOnly="1" fieldPosition="0">
        <references count="1">
          <reference field="2" count="0"/>
        </references>
      </pivotArea>
    </format>
    <format dxfId="46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FD472-F0A6-465A-9481-BCBFD3AD71D1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6:I60" firstHeaderRow="1" firstDataRow="2" firstDataCol="1"/>
  <pivotFields count="11"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BP_Status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6">
    <format dxfId="292">
      <pivotArea type="all" dataOnly="0" outline="0" fieldPosition="0"/>
    </format>
    <format dxfId="291">
      <pivotArea outline="0" collapsedLevelsAreSubtotals="1" fieldPosition="0"/>
    </format>
    <format dxfId="290">
      <pivotArea type="origin" dataOnly="0" labelOnly="1" outline="0" fieldPosition="0"/>
    </format>
    <format dxfId="289">
      <pivotArea field="2" type="button" dataOnly="0" labelOnly="1" outline="0" axis="axisCol" fieldPosition="0"/>
    </format>
    <format dxfId="288">
      <pivotArea type="topRight" dataOnly="0" labelOnly="1" outline="0" fieldPosition="0"/>
    </format>
    <format dxfId="287">
      <pivotArea field="10" type="button" dataOnly="0" labelOnly="1" outline="0" axis="axisRow" fieldPosition="0"/>
    </format>
    <format dxfId="286">
      <pivotArea dataOnly="0" labelOnly="1" fieldPosition="0">
        <references count="1">
          <reference field="10" count="0"/>
        </references>
      </pivotArea>
    </format>
    <format dxfId="285">
      <pivotArea dataOnly="0" labelOnly="1" grandRow="1" outline="0" fieldPosition="0"/>
    </format>
    <format dxfId="284">
      <pivotArea dataOnly="0" labelOnly="1" fieldPosition="0">
        <references count="1">
          <reference field="2" count="0"/>
        </references>
      </pivotArea>
    </format>
    <format dxfId="283">
      <pivotArea dataOnly="0" labelOnly="1" grandCol="1" outline="0" fieldPosition="0"/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dataOnly="0" labelOnly="1" fieldPosition="0">
        <references count="1">
          <reference field="10" count="0"/>
        </references>
      </pivotArea>
    </format>
    <format dxfId="235">
      <pivotArea dataOnly="0" labelOnly="1" grandRow="1" outline="0" fieldPosition="0"/>
    </format>
    <format dxfId="216">
      <pivotArea type="origin" dataOnly="0" labelOnly="1" outline="0" fieldPosition="0"/>
    </format>
    <format dxfId="215">
      <pivotArea field="2" type="button" dataOnly="0" labelOnly="1" outline="0" axis="axisCol" fieldPosition="0"/>
    </format>
    <format dxfId="214">
      <pivotArea type="topRight" dataOnly="0" labelOnly="1" outline="0" fieldPosition="0"/>
    </format>
    <format dxfId="213">
      <pivotArea field="10" type="button" dataOnly="0" labelOnly="1" outline="0" axis="axisRow" fieldPosition="0"/>
    </format>
    <format dxfId="212">
      <pivotArea dataOnly="0" labelOnly="1" fieldPosition="0">
        <references count="1">
          <reference field="2" count="0"/>
        </references>
      </pivotArea>
    </format>
    <format dxfId="211">
      <pivotArea dataOnly="0" labelOnly="1" grandCol="1" outline="0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2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0" type="button" dataOnly="0" labelOnly="1" outline="0" axis="axisRow" fieldPosition="0"/>
    </format>
    <format dxfId="164">
      <pivotArea dataOnly="0" labelOnly="1" fieldPosition="0">
        <references count="1">
          <reference field="10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1">
          <reference field="2" count="0"/>
        </references>
      </pivotArea>
    </format>
    <format dxfId="161">
      <pivotArea dataOnly="0" labelOnly="1" grandCol="1" outline="0" fieldPosition="0"/>
    </format>
    <format dxfId="68">
      <pivotArea type="origin" dataOnly="0" labelOnly="1" outline="0" fieldPosition="0"/>
    </format>
    <format dxfId="66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2">
      <pivotArea field="10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8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39E1E-EB26-4295-B4ED-1BB2837D8F1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3:B66" firstHeaderRow="1" firstDataRow="1" firstDataCol="1"/>
  <pivotFields count="3">
    <pivotField showAll="0">
      <items count="6">
        <item x="1"/>
        <item x="4"/>
        <item x="0"/>
        <item x="3"/>
        <item x="2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BP_Status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8">
    <format dxfId="370">
      <pivotArea type="all" dataOnly="0" outline="0" fieldPosition="0"/>
    </format>
    <format dxfId="369">
      <pivotArea outline="0" collapsedLevelsAreSubtotals="1" fieldPosition="0"/>
    </format>
    <format dxfId="368">
      <pivotArea field="2" type="button" dataOnly="0" labelOnly="1" outline="0" axis="axisRow" fieldPosition="0"/>
    </format>
    <format dxfId="367">
      <pivotArea dataOnly="0" labelOnly="1" fieldPosition="0">
        <references count="1">
          <reference field="2" count="0"/>
        </references>
      </pivotArea>
    </format>
    <format dxfId="366">
      <pivotArea dataOnly="0" labelOnly="1" grandRow="1" outline="0" fieldPosition="0"/>
    </format>
    <format dxfId="365">
      <pivotArea dataOnly="0" labelOnly="1" outline="0" axis="axisValues" fieldPosition="0"/>
    </format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2" type="button" dataOnly="0" labelOnly="1" outline="0" axis="axisRow" fieldPosition="0"/>
    </format>
    <format dxfId="351">
      <pivotArea dataOnly="0" labelOnly="1" fieldPosition="0">
        <references count="1">
          <reference field="2" count="0"/>
        </references>
      </pivotArea>
    </format>
    <format dxfId="350">
      <pivotArea dataOnly="0" labelOnly="1" grandRow="1" outline="0" fieldPosition="0"/>
    </format>
    <format dxfId="349">
      <pivotArea dataOnly="0" labelOnly="1" outline="0" axis="axisValues" fieldPosition="0"/>
    </format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2" type="button" dataOnly="0" labelOnly="1" outline="0" axis="axisRow" fieldPosition="0"/>
    </format>
    <format dxfId="325">
      <pivotArea dataOnly="0" labelOnly="1" fieldPosition="0">
        <references count="1">
          <reference field="2" count="0"/>
        </references>
      </pivotArea>
    </format>
    <format dxfId="324">
      <pivotArea dataOnly="0" labelOnly="1" grandRow="1" outline="0" fieldPosition="0"/>
    </format>
    <format dxfId="323">
      <pivotArea dataOnly="0" labelOnly="1" outline="0" axis="axisValues" fieldPosition="0"/>
    </format>
    <format dxfId="282">
      <pivotArea type="all" dataOnly="0" outline="0" fieldPosition="0"/>
    </format>
    <format dxfId="281">
      <pivotArea outline="0" collapsedLevelsAreSubtotals="1" fieldPosition="0"/>
    </format>
    <format dxfId="280">
      <pivotArea field="2" type="button" dataOnly="0" labelOnly="1" outline="0" axis="axisRow" fieldPosition="0"/>
    </format>
    <format dxfId="279">
      <pivotArea dataOnly="0" labelOnly="1" fieldPosition="0">
        <references count="1">
          <reference field="2" count="0"/>
        </references>
      </pivotArea>
    </format>
    <format dxfId="278">
      <pivotArea dataOnly="0" labelOnly="1" grandRow="1" outline="0" fieldPosition="0"/>
    </format>
    <format dxfId="277">
      <pivotArea dataOnly="0" labelOnly="1" outline="0" axis="axisValues" fieldPosition="0"/>
    </format>
    <format dxfId="250">
      <pivotArea field="2" type="button" dataOnly="0" labelOnly="1" outline="0" axis="axisRow" fieldPosition="0"/>
    </format>
    <format dxfId="249">
      <pivotArea dataOnly="0" labelOnly="1" outline="0" axis="axisValues" fieldPosition="0"/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dataOnly="0" labelOnly="1" fieldPosition="0">
        <references count="1">
          <reference field="2" count="0"/>
        </references>
      </pivotArea>
    </format>
    <format dxfId="231">
      <pivotArea dataOnly="0" labelOnly="1" grandRow="1" outline="0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field="2" type="button" dataOnly="0" labelOnly="1" outline="0" axis="axisRow" fieldPosition="0"/>
    </format>
    <format dxfId="157">
      <pivotArea dataOnly="0" labelOnly="1" fieldPosition="0">
        <references count="1">
          <reference field="2" count="0"/>
        </references>
      </pivotArea>
    </format>
    <format dxfId="156">
      <pivotArea dataOnly="0" labelOnly="1" grandRow="1" outline="0" fieldPosition="0"/>
    </format>
    <format dxfId="155">
      <pivotArea dataOnly="0" labelOnly="1" outline="0" axis="axisValues" fieldPosition="0"/>
    </format>
    <format dxfId="32">
      <pivotArea field="2" type="button" dataOnly="0" labelOnly="1" outline="0" axis="axisRow" fieldPosition="0"/>
    </format>
    <format dxfId="29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5A1CD-4D91-4013-A112-3723EA1B2A7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D60" firstHeaderRow="1" firstDataRow="2" firstDataCol="1"/>
  <pivotFields count="3">
    <pivotField showAll="0">
      <items count="6">
        <item x="1"/>
        <item x="4"/>
        <item x="0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BP_Status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66">
    <format dxfId="364">
      <pivotArea type="all" dataOnly="0" outline="0" fieldPosition="0"/>
    </format>
    <format dxfId="363">
      <pivotArea outline="0" collapsedLevelsAreSubtotals="1" fieldPosition="0"/>
    </format>
    <format dxfId="362">
      <pivotArea type="origin" dataOnly="0" labelOnly="1" outline="0" fieldPosition="0"/>
    </format>
    <format dxfId="361">
      <pivotArea field="2" type="button" dataOnly="0" labelOnly="1" outline="0" axis="axisCol" fieldPosition="0"/>
    </format>
    <format dxfId="360">
      <pivotArea type="topRight" dataOnly="0" labelOnly="1" outline="0" fieldPosition="0"/>
    </format>
    <format dxfId="359">
      <pivotArea field="1" type="button" dataOnly="0" labelOnly="1" outline="0" axis="axisRow" fieldPosition="0"/>
    </format>
    <format dxfId="358">
      <pivotArea dataOnly="0" labelOnly="1" fieldPosition="0">
        <references count="1">
          <reference field="1" count="0"/>
        </references>
      </pivotArea>
    </format>
    <format dxfId="357">
      <pivotArea dataOnly="0" labelOnly="1" grandRow="1" outline="0" fieldPosition="0"/>
    </format>
    <format dxfId="356">
      <pivotArea dataOnly="0" labelOnly="1" fieldPosition="0">
        <references count="1">
          <reference field="2" count="0"/>
        </references>
      </pivotArea>
    </format>
    <format dxfId="355">
      <pivotArea dataOnly="0" labelOnly="1" grandCol="1" outline="0" fieldPosition="0"/>
    </format>
    <format dxfId="348">
      <pivotArea type="all" dataOnly="0" outline="0" fieldPosition="0"/>
    </format>
    <format dxfId="347">
      <pivotArea outline="0" collapsedLevelsAreSubtotals="1" fieldPosition="0"/>
    </format>
    <format dxfId="346">
      <pivotArea type="origin" dataOnly="0" labelOnly="1" outline="0" fieldPosition="0"/>
    </format>
    <format dxfId="345">
      <pivotArea field="2" type="button" dataOnly="0" labelOnly="1" outline="0" axis="axisCol" fieldPosition="0"/>
    </format>
    <format dxfId="344">
      <pivotArea type="topRight" dataOnly="0" labelOnly="1" outline="0" fieldPosition="0"/>
    </format>
    <format dxfId="343">
      <pivotArea field="1" type="button" dataOnly="0" labelOnly="1" outline="0" axis="axisRow" fieldPosition="0"/>
    </format>
    <format dxfId="342">
      <pivotArea dataOnly="0" labelOnly="1" fieldPosition="0">
        <references count="1">
          <reference field="1" count="0"/>
        </references>
      </pivotArea>
    </format>
    <format dxfId="341">
      <pivotArea dataOnly="0" labelOnly="1" grandRow="1" outline="0" fieldPosition="0"/>
    </format>
    <format dxfId="340">
      <pivotArea dataOnly="0" labelOnly="1" fieldPosition="0">
        <references count="1">
          <reference field="2" count="0"/>
        </references>
      </pivotArea>
    </format>
    <format dxfId="339">
      <pivotArea dataOnly="0" labelOnly="1" grandCol="1" outline="0" fieldPosition="0"/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type="origin" dataOnly="0" labelOnly="1" outline="0" fieldPosition="0"/>
    </format>
    <format dxfId="335">
      <pivotArea field="2" type="button" dataOnly="0" labelOnly="1" outline="0" axis="axisCol" fieldPosition="0"/>
    </format>
    <format dxfId="334">
      <pivotArea type="topRight" dataOnly="0" labelOnly="1" outline="0" fieldPosition="0"/>
    </format>
    <format dxfId="333">
      <pivotArea field="1" type="button" dataOnly="0" labelOnly="1" outline="0" axis="axisRow" fieldPosition="0"/>
    </format>
    <format dxfId="332">
      <pivotArea dataOnly="0" labelOnly="1" fieldPosition="0">
        <references count="1">
          <reference field="1" count="0"/>
        </references>
      </pivotArea>
    </format>
    <format dxfId="331">
      <pivotArea dataOnly="0" labelOnly="1" grandRow="1" outline="0" fieldPosition="0"/>
    </format>
    <format dxfId="330">
      <pivotArea dataOnly="0" labelOnly="1" fieldPosition="0">
        <references count="1">
          <reference field="2" count="0"/>
        </references>
      </pivotArea>
    </format>
    <format dxfId="329">
      <pivotArea dataOnly="0" labelOnly="1" grandCol="1" outline="0" fieldPosition="0"/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type="origin" dataOnly="0" labelOnly="1" outline="0" fieldPosition="0"/>
    </format>
    <format dxfId="273">
      <pivotArea field="2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1" count="0"/>
        </references>
      </pivotArea>
    </format>
    <format dxfId="269">
      <pivotArea dataOnly="0" labelOnly="1" grandRow="1" outline="0" fieldPosition="0"/>
    </format>
    <format dxfId="268">
      <pivotArea dataOnly="0" labelOnly="1" fieldPosition="0">
        <references count="1">
          <reference field="2" count="0"/>
        </references>
      </pivotArea>
    </format>
    <format dxfId="267">
      <pivotArea dataOnly="0" labelOnly="1" grandCol="1" outline="0" fieldPosition="0"/>
    </format>
    <format dxfId="248">
      <pivotArea type="origin" dataOnly="0" labelOnly="1" outline="0" fieldPosition="0"/>
    </format>
    <format dxfId="247">
      <pivotArea field="2" type="button" dataOnly="0" labelOnly="1" outline="0" axis="axisCol" fieldPosition="0"/>
    </format>
    <format dxfId="246">
      <pivotArea type="topRight" dataOnly="0" labelOnly="1" outline="0" fieldPosition="0"/>
    </format>
    <format dxfId="245">
      <pivotArea field="1" type="button" dataOnly="0" labelOnly="1" outline="0" axis="axisRow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grandCol="1" outline="0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dataOnly="0" labelOnly="1" fieldPosition="0">
        <references count="1">
          <reference field="1" count="0"/>
        </references>
      </pivotArea>
    </format>
    <format dxfId="227">
      <pivotArea dataOnly="0" labelOnly="1" grandRow="1" outline="0" fieldPosition="0"/>
    </format>
    <format dxfId="154">
      <pivotArea type="all" dataOnly="0" outline="0" fieldPosition="0"/>
    </format>
    <format dxfId="153">
      <pivotArea outline="0" collapsedLevelsAreSubtotals="1" fieldPosition="0"/>
    </format>
    <format dxfId="152">
      <pivotArea type="origin" dataOnly="0" labelOnly="1" outline="0" fieldPosition="0"/>
    </format>
    <format dxfId="151">
      <pivotArea field="2" type="button" dataOnly="0" labelOnly="1" outline="0" axis="axisCol" fieldPosition="0"/>
    </format>
    <format dxfId="150">
      <pivotArea type="topRight" dataOnly="0" labelOnly="1" outline="0" fieldPosition="0"/>
    </format>
    <format dxfId="149">
      <pivotArea field="1" type="button" dataOnly="0" labelOnly="1" outline="0" axis="axisRow" fieldPosition="0"/>
    </format>
    <format dxfId="148">
      <pivotArea dataOnly="0" labelOnly="1" fieldPosition="0">
        <references count="1">
          <reference field="1" count="0"/>
        </references>
      </pivotArea>
    </format>
    <format dxfId="147">
      <pivotArea dataOnly="0" labelOnly="1" grandRow="1" outline="0" fieldPosition="0"/>
    </format>
    <format dxfId="146">
      <pivotArea dataOnly="0" labelOnly="1" fieldPosition="0">
        <references count="1">
          <reference field="2" count="0"/>
        </references>
      </pivotArea>
    </format>
    <format dxfId="145">
      <pivotArea dataOnly="0" labelOnly="1" grandCol="1" outline="0" fieldPosition="0"/>
    </format>
    <format dxfId="44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0">
      <pivotArea type="topRight" dataOnly="0" labelOnly="1" outline="0" fieldPosition="0"/>
    </format>
    <format dxfId="38">
      <pivotArea field="1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B9D48-9523-43B1-A685-2DE13D82CD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D54" firstHeaderRow="1" firstDataRow="2" firstDataCol="1"/>
  <pivotFields count="3">
    <pivotField axis="axisRow" showAll="0">
      <items count="6">
        <item x="1"/>
        <item x="4"/>
        <item x="0"/>
        <item x="3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BP_Status" fld="2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60">
    <format dxfId="293">
      <pivotArea type="all" dataOnly="0" outline="0" fieldPosition="0"/>
    </format>
    <format dxfId="294">
      <pivotArea outline="0" collapsedLevelsAreSubtotals="1" fieldPosition="0"/>
    </format>
    <format dxfId="295">
      <pivotArea type="origin" dataOnly="0" labelOnly="1" outline="0" fieldPosition="0"/>
    </format>
    <format dxfId="296">
      <pivotArea field="2" type="button" dataOnly="0" labelOnly="1" outline="0" axis="axisCol" fieldPosition="0"/>
    </format>
    <format dxfId="297">
      <pivotArea type="topRight" dataOnly="0" labelOnly="1" outline="0" fieldPosition="0"/>
    </format>
    <format dxfId="298">
      <pivotArea field="0" type="button" dataOnly="0" labelOnly="1" outline="0" axis="axisRow" fieldPosition="0"/>
    </format>
    <format dxfId="299">
      <pivotArea dataOnly="0" labelOnly="1" fieldPosition="0">
        <references count="1">
          <reference field="0" count="0"/>
        </references>
      </pivotArea>
    </format>
    <format dxfId="300">
      <pivotArea dataOnly="0" labelOnly="1" grandRow="1" outline="0" fieldPosition="0"/>
    </format>
    <format dxfId="301">
      <pivotArea dataOnly="0" labelOnly="1" fieldPosition="0">
        <references count="1">
          <reference field="2" count="0"/>
        </references>
      </pivotArea>
    </format>
    <format dxfId="302">
      <pivotArea dataOnly="0" labelOnly="1" grandCol="1" outline="0" fieldPosition="0"/>
    </format>
    <format dxfId="303">
      <pivotArea type="all" dataOnly="0" outline="0" fieldPosition="0"/>
    </format>
    <format dxfId="304">
      <pivotArea outline="0" collapsedLevelsAreSubtotals="1" fieldPosition="0"/>
    </format>
    <format dxfId="305">
      <pivotArea type="origin" dataOnly="0" labelOnly="1" outline="0" fieldPosition="0"/>
    </format>
    <format dxfId="306">
      <pivotArea field="2" type="button" dataOnly="0" labelOnly="1" outline="0" axis="axisCol" fieldPosition="0"/>
    </format>
    <format dxfId="307">
      <pivotArea type="topRight" dataOnly="0" labelOnly="1" outline="0" fieldPosition="0"/>
    </format>
    <format dxfId="308">
      <pivotArea field="0" type="button" dataOnly="0" labelOnly="1" outline="0" axis="axisRow" fieldPosition="0"/>
    </format>
    <format dxfId="309">
      <pivotArea dataOnly="0" labelOnly="1" fieldPosition="0">
        <references count="1">
          <reference field="0" count="0"/>
        </references>
      </pivotArea>
    </format>
    <format dxfId="310">
      <pivotArea dataOnly="0" labelOnly="1" grandRow="1" outline="0" fieldPosition="0"/>
    </format>
    <format dxfId="311">
      <pivotArea dataOnly="0" labelOnly="1" fieldPosition="0">
        <references count="1">
          <reference field="2" count="0"/>
        </references>
      </pivotArea>
    </format>
    <format dxfId="312">
      <pivotArea dataOnly="0" labelOnly="1" grandCol="1" outline="0" fieldPosition="0"/>
    </format>
    <format dxfId="313">
      <pivotArea type="all" dataOnly="0" outline="0" fieldPosition="0"/>
    </format>
    <format dxfId="314">
      <pivotArea outline="0" collapsedLevelsAreSubtotals="1" fieldPosition="0"/>
    </format>
    <format dxfId="315">
      <pivotArea type="origin" dataOnly="0" labelOnly="1" outline="0" fieldPosition="0"/>
    </format>
    <format dxfId="316">
      <pivotArea field="2" type="button" dataOnly="0" labelOnly="1" outline="0" axis="axisCol" fieldPosition="0"/>
    </format>
    <format dxfId="317">
      <pivotArea type="topRight" dataOnly="0" labelOnly="1" outline="0" fieldPosition="0"/>
    </format>
    <format dxfId="318">
      <pivotArea field="0" type="button" dataOnly="0" labelOnly="1" outline="0" axis="axisRow" fieldPosition="0"/>
    </format>
    <format dxfId="319">
      <pivotArea dataOnly="0" labelOnly="1" fieldPosition="0">
        <references count="1">
          <reference field="0" count="0"/>
        </references>
      </pivotArea>
    </format>
    <format dxfId="320">
      <pivotArea dataOnly="0" labelOnly="1" grandRow="1" outline="0" fieldPosition="0"/>
    </format>
    <format dxfId="321">
      <pivotArea dataOnly="0" labelOnly="1" fieldPosition="0">
        <references count="1">
          <reference field="2" count="0"/>
        </references>
      </pivotArea>
    </format>
    <format dxfId="322">
      <pivotArea dataOnly="0" labelOnly="1" grandCol="1" outline="0" fieldPosition="0"/>
    </format>
    <format dxfId="266">
      <pivotArea type="all" dataOnly="0" outline="0" fieldPosition="0"/>
    </format>
    <format dxfId="265">
      <pivotArea outline="0" collapsedLevelsAreSubtotals="1" fieldPosition="0"/>
    </format>
    <format dxfId="264">
      <pivotArea type="origin" dataOnly="0" labelOnly="1" outline="0" fieldPosition="0"/>
    </format>
    <format dxfId="263">
      <pivotArea field="2" type="button" dataOnly="0" labelOnly="1" outline="0" axis="axisCol" fieldPosition="0"/>
    </format>
    <format dxfId="262">
      <pivotArea type="topRight" dataOnly="0" labelOnly="1" outline="0" fieldPosition="0"/>
    </format>
    <format dxfId="261">
      <pivotArea field="0" type="button" dataOnly="0" labelOnly="1" outline="0" axis="axisRow" fieldPosition="0"/>
    </format>
    <format dxfId="260">
      <pivotArea dataOnly="0" labelOnly="1" fieldPosition="0">
        <references count="1">
          <reference field="0" count="0"/>
        </references>
      </pivotArea>
    </format>
    <format dxfId="259">
      <pivotArea dataOnly="0" labelOnly="1" grandRow="1" outline="0" fieldPosition="0"/>
    </format>
    <format dxfId="258">
      <pivotArea dataOnly="0" labelOnly="1" fieldPosition="0">
        <references count="1">
          <reference field="2" count="0"/>
        </references>
      </pivotArea>
    </format>
    <format dxfId="257">
      <pivotArea dataOnly="0" labelOnly="1" grandCol="1" outline="0" fieldPosition="0"/>
    </format>
    <format dxfId="226">
      <pivotArea type="all" dataOnly="0" outline="0" fieldPosition="0"/>
    </format>
    <format dxfId="225">
      <pivotArea outline="0" collapsedLevelsAreSubtotals="1" fieldPosition="0"/>
    </format>
    <format dxfId="224">
      <pivotArea dataOnly="0" labelOnly="1" fieldPosition="0">
        <references count="1">
          <reference field="0" count="0"/>
        </references>
      </pivotArea>
    </format>
    <format dxfId="223">
      <pivotArea dataOnly="0" labelOnly="1" grandRow="1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2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1">
          <reference field="2" count="0"/>
        </references>
      </pivotArea>
    </format>
    <format dxfId="135">
      <pivotArea dataOnly="0" labelOnly="1" grandCol="1" outline="0" fieldPosition="0"/>
    </format>
    <format dxfId="81">
      <pivotArea type="origin" dataOnly="0" labelOnly="1" outline="0" fieldPosition="0"/>
    </format>
    <format dxfId="79">
      <pivotArea field="2" type="button" dataOnly="0" labelOnly="1" outline="0" axis="axisCol" fieldPosition="0"/>
    </format>
    <format dxfId="77">
      <pivotArea type="topRight" dataOnly="0" labelOnly="1" outline="0" fieldPosition="0"/>
    </format>
    <format dxfId="75">
      <pivotArea field="0" type="button" dataOnly="0" labelOnly="1" outline="0" axis="axisRow" fieldPosition="0"/>
    </format>
    <format dxfId="73">
      <pivotArea dataOnly="0" labelOnly="1" fieldPosition="0">
        <references count="1">
          <reference field="2" count="0"/>
        </references>
      </pivotArea>
    </format>
    <format dxfId="71">
      <pivotArea dataOnly="0" labelOnly="1" grandCol="1" outline="0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639AE1-76C5-4801-9605-9DA2C0EC0EAF}" name="Table2" displayName="Table2" ref="E5:I8" totalsRowShown="0" headerRowDxfId="0" dataDxfId="134" tableBorderDxfId="133">
  <tableColumns count="5">
    <tableColumn id="1" xr3:uid="{BCBCEED8-02D5-445C-80BC-E3D919945D6D}" name="BP_Status wise Level" dataDxfId="132"/>
    <tableColumn id="2" xr3:uid="{8A6DBE05-D693-444F-968F-22D1A14C7498}" name="No of." dataDxfId="131"/>
    <tableColumn id="3" xr3:uid="{CAF64C94-3FB5-4A4A-BE94-7F116A131A1F}" name="pj" dataDxfId="130"/>
    <tableColumn id="4" xr3:uid="{80BEA981-BD77-4B6A-B044-BF10A340D0CC}" name="log2(pj)" dataDxfId="129"/>
    <tableColumn id="5" xr3:uid="{10680776-FE83-48BF-9BCA-FD96006DC10D}" name="-pj*log2(pj)" dataDxfId="128"/>
  </tableColumns>
  <tableStyleInfo name="TableStyleMedium7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14A1FD-0C13-41D5-B614-CD4E2BF5FDB7}" name="Table11" displayName="Table11" ref="A55:D57" totalsRowShown="0" headerRowDxfId="99" headerRowBorderDxfId="105" tableBorderDxfId="106" totalsRowBorderDxfId="104">
  <autoFilter ref="A55:D57" xr:uid="{A814A1FD-0C13-41D5-B614-CD4E2BF5FDB7}"/>
  <tableColumns count="4">
    <tableColumn id="1" xr3:uid="{5968AAA1-8824-4864-BCB7-B09C21849A0C}" name="Column1" dataDxfId="103"/>
    <tableColumn id="2" xr3:uid="{0004DB69-DDFA-4F49-8802-43FB748B94F8}" name="Age" dataDxfId="102"/>
    <tableColumn id="3" xr3:uid="{6E84CC5D-69DE-4969-A9D6-D7745D1F1FD7}" name="Height" dataDxfId="101"/>
    <tableColumn id="4" xr3:uid="{94B7DB38-9064-4412-8CD7-2F31EC123D3A}" name="Weight" dataDxfId="100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759A31-6F50-417A-BC2C-3E96E0929BA3}" name="Table12" displayName="Table12" ref="O5:Q21" totalsRowShown="0" headerRowDxfId="21" headerRowBorderDxfId="26" tableBorderDxfId="27" totalsRowBorderDxfId="25">
  <autoFilter ref="O5:Q21" xr:uid="{08759A31-6F50-417A-BC2C-3E96E0929BA3}"/>
  <tableColumns count="3">
    <tableColumn id="1" xr3:uid="{43FAA0A0-C52E-4A0D-BC2E-8F32A0B7BB6A}" name="Splits" dataDxfId="24"/>
    <tableColumn id="2" xr3:uid="{0CDB58AD-1024-4304-9109-789700068F31}" name="tL" dataDxfId="23"/>
    <tableColumn id="3" xr3:uid="{ACD196F1-D26A-488C-A8AC-0029050BA123}" name="tR" dataDxfId="22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CCD216-51DA-4E03-AE35-6F9214440474}" name="Table14" displayName="Table14" ref="E11:M13" totalsRowShown="0" headerRowDxfId="1" dataDxfId="8" headerRowBorderDxfId="19" tableBorderDxfId="20" totalsRowBorderDxfId="18">
  <autoFilter ref="E11:M13" xr:uid="{B7CCD216-51DA-4E03-AE35-6F9214440474}"/>
  <tableColumns count="9">
    <tableColumn id="1" xr3:uid="{0F2AEDB0-DA0C-4781-A449-F318C158FED2}" name="Splits" dataDxfId="17"/>
    <tableColumn id="2" xr3:uid="{BE94F81C-57C7-4ABA-914C-ABDBBBC02D69}" name="PL" dataDxfId="16"/>
    <tableColumn id="3" xr3:uid="{966F6B5D-030F-4033-8B84-DB60C150405E}" name="PR" dataDxfId="15"/>
    <tableColumn id="4" xr3:uid="{D8FDB7BE-00ED-488B-9FC1-2FFFEE6EF325}" name="Level" dataDxfId="14"/>
    <tableColumn id="5" xr3:uid="{39C94D37-6AF0-4CCB-AC4B-EA31825E3667}" name="P( j |tL )" dataDxfId="13">
      <calculatedColumnFormula>5/16</calculatedColumnFormula>
    </tableColumn>
    <tableColumn id="6" xr3:uid="{E20B4CCB-E603-4894-91BE-0C19069CEAB3}" name="P( j |tR)" dataDxfId="12">
      <calculatedColumnFormula>11/16</calculatedColumnFormula>
    </tableColumn>
    <tableColumn id="7" xr3:uid="{752C6897-69EC-44FC-96F8-FF5C8FC83294}" name="2PL PR" dataDxfId="11"/>
    <tableColumn id="8" xr3:uid="{9AEBE760-FA5D-43DA-8189-B3400D99492E}" name="Q(s|t)" dataDxfId="10"/>
    <tableColumn id="9" xr3:uid="{9EBD5F0D-0D62-4829-9AAD-E1466C80040C}" name="Φ(s|t)" dataDxfId="9"/>
  </tableColumns>
  <tableStyleInfo name="TableStyleMedium7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7D2527-2F49-4978-B2F6-F12751AC8050}" name="Table15" displayName="Table15" ref="A1:C41" totalsRowShown="0" headerRowDxfId="2" headerRowBorderDxfId="6" tableBorderDxfId="7">
  <autoFilter ref="A1:C41" xr:uid="{067D2527-2F49-4978-B2F6-F12751AC8050}"/>
  <tableColumns count="3">
    <tableColumn id="1" xr3:uid="{3588E250-8825-423A-BDB7-86ED409B8373}" name="Somker" dataDxfId="5"/>
    <tableColumn id="2" xr3:uid="{C4DE9961-DF53-44D0-A937-D89EED713AB9}" name="Gender" dataDxfId="4"/>
    <tableColumn id="3" xr3:uid="{B77C1C28-11E3-4373-9C11-979E24515897}" name="BP_Status" dataDxfId="3"/>
  </tableColumns>
  <tableStyleInfo name="TableStyleMedium7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49B62E-08EF-47DA-B8CC-C91894060DDB}" name="Table5" displayName="Table5" ref="M2:W7" totalsRowShown="0" headerRowDxfId="83" dataDxfId="196" headerRowBorderDxfId="255" tableBorderDxfId="256" totalsRowBorderDxfId="254">
  <autoFilter ref="M2:W7" xr:uid="{D149B62E-08EF-47DA-B8CC-C91894060DDB}"/>
  <tableColumns count="11">
    <tableColumn id="1" xr3:uid="{E05B4AF7-5F12-4541-870B-06B34CA0670D}" name="Somker" dataDxfId="207"/>
    <tableColumn id="2" xr3:uid="{CBC37499-CA16-455C-A8ED-BF2024722691}" name="Gender" dataDxfId="206"/>
    <tableColumn id="3" xr3:uid="{93728C37-92F3-4CC2-9185-76C5C8CE18A7}" name="BP_Status" dataDxfId="205"/>
    <tableColumn id="4" xr3:uid="{D208D479-4A82-4AC4-8DD1-6D6B72BEA7E1}" name="P(X1|BP1)" dataDxfId="204">
      <calculatedColumnFormula>VLOOKUP(M3,$A$47:$D$54,2, FALSE)</calculatedColumnFormula>
    </tableColumn>
    <tableColumn id="5" xr3:uid="{52B26ACD-AFAD-467B-B93E-E4DE037941AE}" name="P(X1|BP2)" dataDxfId="203">
      <calculatedColumnFormula>VLOOKUP(M3,$A$47:$D$54,3, FALSE)</calculatedColumnFormula>
    </tableColumn>
    <tableColumn id="6" xr3:uid="{F6906EB3-C441-464E-986F-5364A305153D}" name="P(X2|BP1)" dataDxfId="202">
      <calculatedColumnFormula>VLOOKUP(N3,$A$56:$D$60,2, FALSE)</calculatedColumnFormula>
    </tableColumn>
    <tableColumn id="7" xr3:uid="{5F645BC2-C163-42A0-85CB-0F9496C47494}" name="P(X2|BP2)" dataDxfId="201">
      <calculatedColumnFormula>VLOOKUP(N3,$A$56:$D$60,3, FALSE)</calculatedColumnFormula>
    </tableColumn>
    <tableColumn id="8" xr3:uid="{AF0C1003-C2BB-4CF7-A3E0-43725CE9FBE5}" name="P(BP1,X1,X2)" dataDxfId="200">
      <calculatedColumnFormula>P3*R3*GETPIVOTDATA("BP_Status",$A$63,"BP_Status","High")</calculatedColumnFormula>
    </tableColumn>
    <tableColumn id="9" xr3:uid="{7E857095-D51A-4AEE-A451-DDDEA0B87C2B}" name="P(BP2,X1,X2)" dataDxfId="199">
      <calculatedColumnFormula>Q3*S3*GETPIVOTDATA("BP_Status",$A$63,"BP_Status","Normal")</calculatedColumnFormula>
    </tableColumn>
    <tableColumn id="10" xr3:uid="{829280D3-199E-42EA-AC97-DF25B36C45D7}" name="P(BP1|X1,X2)" dataDxfId="198">
      <calculatedColumnFormula>T3/(T3+U3)</calculatedColumnFormula>
    </tableColumn>
    <tableColumn id="11" xr3:uid="{92A99728-F7C4-4485-91FA-B9D5EE73912A}" name="Prediction" dataDxfId="197">
      <calculatedColumnFormula>IF(V3&gt;=0.5, "High", "Normal")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879520-BB28-4091-8677-9502F3CDD272}" name="Table6" displayName="Table6" ref="A2:K42" totalsRowShown="0" headerRowDxfId="82" dataDxfId="184" headerRowBorderDxfId="252" tableBorderDxfId="253" totalsRowBorderDxfId="251">
  <autoFilter ref="A2:K42" xr:uid="{2D879520-BB28-4091-8677-9502F3CDD272}"/>
  <tableColumns count="11">
    <tableColumn id="1" xr3:uid="{97FB698A-0EF2-47C6-A7A1-247DB056D768}" name="Somker" dataDxfId="195"/>
    <tableColumn id="2" xr3:uid="{B6D1E63D-DBAC-42A0-A48C-AE4DF24D65F8}" name="Gender" dataDxfId="194"/>
    <tableColumn id="3" xr3:uid="{3806A5BE-5E65-4FDF-9046-506BC03F63A3}" name="BP_Status" dataDxfId="193"/>
    <tableColumn id="4" xr3:uid="{4E12C09D-C02A-4F2E-B63B-68FB6231E9E5}" name="P(X1|BP1)" dataDxfId="192">
      <calculatedColumnFormula>VLOOKUP(A3,$A$47:$D$54,2, FALSE)</calculatedColumnFormula>
    </tableColumn>
    <tableColumn id="5" xr3:uid="{346499CB-A4A2-470D-8037-51527E9E817D}" name="P(X1|BP2)" dataDxfId="191">
      <calculatedColumnFormula>VLOOKUP(A3,$A$47:$D$54,3, FALSE)</calculatedColumnFormula>
    </tableColumn>
    <tableColumn id="6" xr3:uid="{F8707240-F7A0-4B18-B0C7-F695D00A473E}" name="P(X2|BP1)" dataDxfId="190">
      <calculatedColumnFormula>VLOOKUP(B3,$A$56:$D$60,2, FALSE)</calculatedColumnFormula>
    </tableColumn>
    <tableColumn id="7" xr3:uid="{33E8098C-91C0-4D33-9574-960442BC4B27}" name="P(X2|BP2)" dataDxfId="189">
      <calculatedColumnFormula>VLOOKUP(B3,$A$56:$D$60,3, FALSE)</calculatedColumnFormula>
    </tableColumn>
    <tableColumn id="8" xr3:uid="{BBF11124-CCF4-4EC4-9362-0B592524C4F7}" name="P(BP1,X1,X2)" dataDxfId="188">
      <calculatedColumnFormula>D3*F3*GETPIVOTDATA("BP_Status",$A$63,"BP_Status","High")</calculatedColumnFormula>
    </tableColumn>
    <tableColumn id="9" xr3:uid="{5800F862-7E68-4E5B-9197-C9EB749B6BE5}" name="P(BP2,X1,X2)" dataDxfId="187">
      <calculatedColumnFormula>E3*G3*GETPIVOTDATA("BP_Status",$A$63,"BP_Status","Normal")</calculatedColumnFormula>
    </tableColumn>
    <tableColumn id="10" xr3:uid="{8F18BC66-8A59-4FA9-8617-7FB3DF910852}" name="P(BP1|X1,X2)" dataDxfId="186">
      <calculatedColumnFormula>H3/(H3+I3)</calculatedColumnFormula>
    </tableColumn>
    <tableColumn id="11" xr3:uid="{703135EE-BAAC-4A69-A6F3-6D25F25646B6}" name="Prediction" dataDxfId="185">
      <calculatedColumnFormula>IF(J3&gt;=0.5, "High", "Normal")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3B2C94-B434-41B1-9DDB-F0F58CFAACAC}" name="Table7" displayName="Table7" ref="F47:G51" totalsRowShown="0" headerRowDxfId="69" dataDxfId="181" headerRowBorderDxfId="209" tableBorderDxfId="210" totalsRowBorderDxfId="208">
  <autoFilter ref="F47:G51" xr:uid="{A83B2C94-B434-41B1-9DDB-F0F58CFAACAC}"/>
  <tableColumns count="2">
    <tableColumn id="1" xr3:uid="{E7103513-6247-4208-BF41-42A32C8A9327}" name="Key" dataDxfId="183"/>
    <tableColumn id="2" xr3:uid="{B4493EF1-2C57-48C6-AD6C-1DB97B7D6D25}" name="Value" dataDxfId="18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0B9773-F0FC-4B68-A36A-A81B0EF76125}" name="Table9" displayName="Table9" ref="A2:R42" totalsRowShown="0" headerRowDxfId="107" dataDxfId="108" tableBorderDxfId="127">
  <autoFilter ref="A2:R42" xr:uid="{9C0B9773-F0FC-4B68-A36A-A81B0EF76125}"/>
  <tableColumns count="18">
    <tableColumn id="1" xr3:uid="{7D9B5D4E-3FAD-4FF0-AC44-78E6F5B902E7}" name="Gender" dataDxfId="126"/>
    <tableColumn id="2" xr3:uid="{9D6399E1-F4DD-48F7-BD5A-059B86D1823A}" name="Age" dataDxfId="125"/>
    <tableColumn id="3" xr3:uid="{245CE2DF-251E-4FCB-9AE3-DC80451B9DA9}" name="Height" dataDxfId="124"/>
    <tableColumn id="4" xr3:uid="{99E6852A-7E0B-4858-ABE5-85300348C43F}" name="Weight" dataDxfId="123"/>
    <tableColumn id="5" xr3:uid="{7567BE8C-BE39-4EB6-BD4B-99C658EC0AE8}" name="BP_Status" dataDxfId="122"/>
    <tableColumn id="6" xr3:uid="{264EA03D-7C18-4D8E-8C59-3D343824AD42}" name="Normalized Age" dataDxfId="121">
      <calculatedColumnFormula>(B3-$B$57)/($B$56-$B$57)</calculatedColumnFormula>
    </tableColumn>
    <tableColumn id="7" xr3:uid="{D57996DD-A5ED-4430-92FF-07AE8644C35E}" name="Normalized Height" dataDxfId="120">
      <calculatedColumnFormula>(C3-$C$57)/($C$56-$C$57)</calculatedColumnFormula>
    </tableColumn>
    <tableColumn id="8" xr3:uid="{3CF9A25B-D59F-4A67-A264-C54534EB2A28}" name="Normalized Weight" dataDxfId="119">
      <calculatedColumnFormula>(D3-$D$57)/($D$56-$D$57)</calculatedColumnFormula>
    </tableColumn>
    <tableColumn id="9" xr3:uid="{B93E9DFF-7B8E-44F4-B032-3CE552D2513B}" name="Weighted_distance_1" dataDxfId="118">
      <calculatedColumnFormula>SQRT((F3-$F$47)^2+(G3-$G$47)^2+(H3-$H$47)^2+IF(A3=$A$47,0,1))</calculatedColumnFormula>
    </tableColumn>
    <tableColumn id="10" xr3:uid="{38CB2C72-0E11-4EE1-A91B-5E773D9A3A08}" name="RANK_1" dataDxfId="117">
      <calculatedColumnFormula>RANK(I3, $I$3:$I$42,1)</calculatedColumnFormula>
    </tableColumn>
    <tableColumn id="11" xr3:uid="{87D3EF46-03A0-461E-AC49-CD1F2AA87759}" name="Weighted_distance_2" dataDxfId="116">
      <calculatedColumnFormula>SQRT((F3-$F$48)^2+(G3-$G$48)^2+(H3-$H$48)^2+IF(A3=$A$48, 0,1))</calculatedColumnFormula>
    </tableColumn>
    <tableColumn id="12" xr3:uid="{BE0ABF8E-3FDA-441B-AA4C-E9B8AC6464EF}" name="RANK_2" dataDxfId="115">
      <calculatedColumnFormula>RANK(K3, $K$3:$K$42,1)</calculatedColumnFormula>
    </tableColumn>
    <tableColumn id="13" xr3:uid="{C0B009B8-713F-445E-B430-C5E42D16E916}" name="Weighted_distance_3" dataDxfId="114">
      <calculatedColumnFormula>SQRT((F3-$F$49)^2+(G3-$G$49)^2+(H3-$H$49)^2+IF(A3=$A$49, 0,1))</calculatedColumnFormula>
    </tableColumn>
    <tableColumn id="14" xr3:uid="{BEFFB54E-0A3C-43A8-BB4B-559B8CB8B3DB}" name="RANK_3" dataDxfId="113">
      <calculatedColumnFormula>RANK(M3, $M$3:$M$42,1)</calculatedColumnFormula>
    </tableColumn>
    <tableColumn id="15" xr3:uid="{A8D7C376-F8E0-4C50-B6A4-9FA257024357}" name="Weighted_distance_4" dataDxfId="112">
      <calculatedColumnFormula>SQRT((F3-$F$50)^2+(G3-$G$50)^2+(H3-$H$50)^2+IF(A3=$A$50, 0,1))</calculatedColumnFormula>
    </tableColumn>
    <tableColumn id="16" xr3:uid="{9DD61D57-E3F3-493B-A050-43C4E4AB4B37}" name="RANK_4" dataDxfId="111">
      <calculatedColumnFormula>RANK(O3, $O$3:$O$42,1)</calculatedColumnFormula>
    </tableColumn>
    <tableColumn id="17" xr3:uid="{80FB6AFD-D09A-48A5-AB62-DE192909FEEC}" name="Weighted_distance_5" dataDxfId="110">
      <calculatedColumnFormula>SQRT((F3-$F$51)^2+(G3-$G$51)^2+(H3-$H$51)^2+IF(A3=$A$51, 0,1))</calculatedColumnFormula>
    </tableColumn>
    <tableColumn id="18" xr3:uid="{C8524498-1D7D-4062-BC6B-728FD6BB8DDD}" name="RANK_5" dataDxfId="109">
      <calculatedColumnFormula>RANK(Q3, $Q$3:$Q$42,1)</calculatedColumnFormula>
    </tableColumn>
  </tableColumns>
  <tableStyleInfo name="TableStyleMedium7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07C8E9-04A8-4E90-990F-51949AB486D9}" name="Table10" displayName="Table10" ref="A46:J51" totalsRowShown="0" headerRowDxfId="84" dataDxfId="98" headerRowBorderDxfId="96" tableBorderDxfId="97" totalsRowBorderDxfId="95">
  <autoFilter ref="A46:J51" xr:uid="{1F07C8E9-04A8-4E90-990F-51949AB486D9}"/>
  <tableColumns count="10">
    <tableColumn id="1" xr3:uid="{71157AB7-0130-4D9E-832C-707817DEE4C5}" name="Gender" dataDxfId="94"/>
    <tableColumn id="2" xr3:uid="{229C6A50-6906-49ED-9179-FC17EFEA1769}" name="Age" dataDxfId="93"/>
    <tableColumn id="3" xr3:uid="{98C4FE0A-4BC8-4F30-B3D7-88C3857E8F57}" name="Height" dataDxfId="92"/>
    <tableColumn id="4" xr3:uid="{08C7C399-455F-4040-8B13-171955FD1443}" name="Weight" dataDxfId="91"/>
    <tableColumn id="5" xr3:uid="{A0B38749-3334-47DB-9662-A8B0F7945A49}" name="BP_Status" dataDxfId="90"/>
    <tableColumn id="6" xr3:uid="{06866275-E4E7-49E7-BB82-BAC3AD764C0A}" name="Normalized Age" dataDxfId="89">
      <calculatedColumnFormula>(B47-$B$57)/($B$56-$B$57)</calculatedColumnFormula>
    </tableColumn>
    <tableColumn id="7" xr3:uid="{27A5D298-8FDF-4591-9A65-CB30118626AD}" name="Normalized Height" dataDxfId="88">
      <calculatedColumnFormula>(C47-$C$57)/($C$56-$C$57)</calculatedColumnFormula>
    </tableColumn>
    <tableColumn id="8" xr3:uid="{45BD64E7-9A03-4EDC-94FA-51B0DE409E0D}" name="Normalized Weight" dataDxfId="87">
      <calculatedColumnFormula>(D47-$D$57)/($D$56-$D$57)</calculatedColumnFormula>
    </tableColumn>
    <tableColumn id="9" xr3:uid="{5AE538BF-F940-44FF-9B31-A13987846B8F}" name="Prediction based on k=2" dataDxfId="86"/>
    <tableColumn id="10" xr3:uid="{1963B497-D312-41E5-8DB4-94056D9159B3}" name="Calculating Accuracy" dataDxfId="85">
      <calculatedColumnFormula>IF(I47=E47, 1,0)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0F6F-96B7-4600-9589-42C12528AD85}">
  <dimension ref="A1:R41"/>
  <sheetViews>
    <sheetView zoomScale="62" zoomScaleNormal="85" workbookViewId="0">
      <selection activeCell="I36" sqref="I36"/>
    </sheetView>
  </sheetViews>
  <sheetFormatPr defaultRowHeight="15"/>
  <cols>
    <col min="1" max="1" width="16.28515625" bestFit="1" customWidth="1"/>
    <col min="2" max="2" width="12.85546875" bestFit="1" customWidth="1"/>
    <col min="3" max="3" width="15.85546875" bestFit="1" customWidth="1"/>
    <col min="5" max="5" width="33.140625" bestFit="1" customWidth="1"/>
    <col min="6" max="6" width="15.85546875" bestFit="1" customWidth="1"/>
    <col min="7" max="7" width="18.5703125" bestFit="1" customWidth="1"/>
    <col min="8" max="8" width="17.7109375" bestFit="1" customWidth="1"/>
    <col min="9" max="9" width="17" bestFit="1" customWidth="1"/>
    <col min="10" max="10" width="13" bestFit="1" customWidth="1"/>
    <col min="11" max="11" width="12.85546875" bestFit="1" customWidth="1"/>
    <col min="12" max="13" width="10.7109375" bestFit="1" customWidth="1"/>
    <col min="14" max="14" width="6" customWidth="1"/>
    <col min="15" max="15" width="11.140625" bestFit="1" customWidth="1"/>
    <col min="16" max="16" width="42.5703125" bestFit="1" customWidth="1"/>
    <col min="17" max="17" width="67" bestFit="1" customWidth="1"/>
  </cols>
  <sheetData>
    <row r="1" spans="1:18" ht="15.75" thickBot="1">
      <c r="A1" s="127" t="s">
        <v>1</v>
      </c>
      <c r="B1" s="128" t="s">
        <v>2</v>
      </c>
      <c r="C1" s="129" t="s">
        <v>3</v>
      </c>
    </row>
    <row r="2" spans="1:18">
      <c r="A2" s="53" t="s">
        <v>4</v>
      </c>
      <c r="B2" s="1" t="s">
        <v>5</v>
      </c>
      <c r="C2" s="52" t="s">
        <v>6</v>
      </c>
    </row>
    <row r="3" spans="1:18" ht="24" thickBot="1">
      <c r="A3" s="126" t="s">
        <v>7</v>
      </c>
      <c r="B3" s="2" t="s">
        <v>5</v>
      </c>
      <c r="C3" s="115" t="s">
        <v>8</v>
      </c>
      <c r="O3" s="4" t="s">
        <v>36</v>
      </c>
      <c r="P3" s="4"/>
      <c r="Q3" s="4"/>
      <c r="R3" s="32"/>
    </row>
    <row r="4" spans="1:18" ht="16.5" thickBot="1">
      <c r="A4" s="126" t="s">
        <v>7</v>
      </c>
      <c r="B4" s="2" t="s">
        <v>9</v>
      </c>
      <c r="C4" s="115" t="s">
        <v>6</v>
      </c>
      <c r="E4" s="33" t="s">
        <v>37</v>
      </c>
      <c r="F4" s="34"/>
      <c r="G4" s="34"/>
      <c r="H4" s="34"/>
      <c r="I4" s="35"/>
      <c r="O4" s="36" t="s">
        <v>38</v>
      </c>
      <c r="P4" s="36"/>
      <c r="Q4" s="36"/>
    </row>
    <row r="5" spans="1:18" ht="15.75">
      <c r="A5" s="126" t="s">
        <v>7</v>
      </c>
      <c r="B5" s="2" t="s">
        <v>5</v>
      </c>
      <c r="C5" s="115" t="s">
        <v>8</v>
      </c>
      <c r="E5" s="138" t="s">
        <v>39</v>
      </c>
      <c r="F5" s="138" t="s">
        <v>40</v>
      </c>
      <c r="G5" s="138" t="s">
        <v>41</v>
      </c>
      <c r="H5" s="138" t="s">
        <v>42</v>
      </c>
      <c r="I5" s="138" t="s">
        <v>43</v>
      </c>
      <c r="O5" s="117" t="s">
        <v>44</v>
      </c>
      <c r="P5" s="45" t="s">
        <v>45</v>
      </c>
      <c r="Q5" s="118" t="s">
        <v>46</v>
      </c>
    </row>
    <row r="6" spans="1:18" ht="15.75">
      <c r="A6" s="126" t="s">
        <v>10</v>
      </c>
      <c r="B6" s="2" t="s">
        <v>9</v>
      </c>
      <c r="C6" s="115" t="s">
        <v>6</v>
      </c>
      <c r="E6" s="37" t="s">
        <v>47</v>
      </c>
      <c r="F6" s="38">
        <f>COUNTIF(C2:C41, "High")</f>
        <v>24</v>
      </c>
      <c r="G6" s="38">
        <f>F6/40</f>
        <v>0.6</v>
      </c>
      <c r="H6" s="38">
        <f>LOG(G6,2)</f>
        <v>-0.73696559416620622</v>
      </c>
      <c r="I6" s="38">
        <f>-G6*H6</f>
        <v>0.44217935649972373</v>
      </c>
      <c r="M6" s="39"/>
      <c r="N6" s="40"/>
      <c r="O6" s="113">
        <v>1</v>
      </c>
      <c r="P6" s="42" t="s">
        <v>48</v>
      </c>
      <c r="Q6" s="114" t="s">
        <v>49</v>
      </c>
    </row>
    <row r="7" spans="1:18" ht="15.75">
      <c r="A7" s="126" t="s">
        <v>7</v>
      </c>
      <c r="B7" s="2" t="s">
        <v>5</v>
      </c>
      <c r="C7" s="115" t="s">
        <v>8</v>
      </c>
      <c r="E7" s="37" t="s">
        <v>50</v>
      </c>
      <c r="F7" s="38">
        <f>COUNTIF(C2:C41, "Normal")</f>
        <v>16</v>
      </c>
      <c r="G7" s="38">
        <f>F7/40</f>
        <v>0.4</v>
      </c>
      <c r="H7" s="38">
        <f>LOG(G7,2)</f>
        <v>-1.3219280948873622</v>
      </c>
      <c r="I7" s="38">
        <f>-G7*H7</f>
        <v>0.52877123795494485</v>
      </c>
      <c r="M7" s="39"/>
      <c r="N7" s="40"/>
      <c r="O7" s="113">
        <v>2</v>
      </c>
      <c r="P7" s="2" t="s">
        <v>51</v>
      </c>
      <c r="Q7" s="115" t="s">
        <v>52</v>
      </c>
    </row>
    <row r="8" spans="1:18" ht="15.75">
      <c r="A8" s="126" t="s">
        <v>7</v>
      </c>
      <c r="B8" s="2" t="s">
        <v>9</v>
      </c>
      <c r="C8" s="115" t="s">
        <v>6</v>
      </c>
      <c r="E8" s="38"/>
      <c r="F8" s="38"/>
      <c r="G8" s="38"/>
      <c r="H8" s="43" t="s">
        <v>53</v>
      </c>
      <c r="I8" s="44">
        <f>SUM(I6:I7)</f>
        <v>0.97095059445466858</v>
      </c>
      <c r="M8" s="39"/>
      <c r="N8" s="40"/>
      <c r="O8" s="113">
        <v>3</v>
      </c>
      <c r="P8" s="2" t="s">
        <v>54</v>
      </c>
      <c r="Q8" s="115" t="s">
        <v>55</v>
      </c>
    </row>
    <row r="9" spans="1:18" ht="15.75" thickBot="1">
      <c r="A9" s="126" t="s">
        <v>7</v>
      </c>
      <c r="B9" s="2" t="s">
        <v>5</v>
      </c>
      <c r="C9" s="115" t="s">
        <v>6</v>
      </c>
      <c r="O9" s="113">
        <v>4</v>
      </c>
      <c r="P9" s="2" t="s">
        <v>56</v>
      </c>
      <c r="Q9" s="115" t="s">
        <v>57</v>
      </c>
    </row>
    <row r="10" spans="1:18">
      <c r="A10" s="126" t="s">
        <v>7</v>
      </c>
      <c r="B10" s="2" t="s">
        <v>5</v>
      </c>
      <c r="C10" s="115" t="s">
        <v>8</v>
      </c>
      <c r="E10" s="130"/>
      <c r="F10" s="131"/>
      <c r="G10" s="131"/>
      <c r="H10" s="124" t="s">
        <v>58</v>
      </c>
      <c r="I10" s="124"/>
      <c r="J10" s="131"/>
      <c r="K10" s="132"/>
      <c r="L10" s="133"/>
      <c r="M10" s="134"/>
      <c r="O10" s="113">
        <v>5</v>
      </c>
      <c r="P10" s="2" t="s">
        <v>59</v>
      </c>
      <c r="Q10" s="115" t="s">
        <v>60</v>
      </c>
    </row>
    <row r="11" spans="1:18">
      <c r="A11" s="126" t="s">
        <v>11</v>
      </c>
      <c r="B11" s="2" t="s">
        <v>9</v>
      </c>
      <c r="C11" s="115" t="s">
        <v>8</v>
      </c>
      <c r="E11" s="135" t="s">
        <v>44</v>
      </c>
      <c r="F11" s="136" t="s">
        <v>61</v>
      </c>
      <c r="G11" s="136" t="s">
        <v>62</v>
      </c>
      <c r="H11" s="136" t="s">
        <v>63</v>
      </c>
      <c r="I11" s="136" t="s">
        <v>64</v>
      </c>
      <c r="J11" s="136" t="s">
        <v>65</v>
      </c>
      <c r="K11" s="136" t="s">
        <v>66</v>
      </c>
      <c r="L11" s="136" t="s">
        <v>58</v>
      </c>
      <c r="M11" s="137" t="s">
        <v>67</v>
      </c>
      <c r="O11" s="113">
        <v>6</v>
      </c>
      <c r="P11" s="2" t="s">
        <v>68</v>
      </c>
      <c r="Q11" s="115" t="s">
        <v>69</v>
      </c>
    </row>
    <row r="12" spans="1:18">
      <c r="A12" s="126" t="s">
        <v>7</v>
      </c>
      <c r="B12" s="2" t="s">
        <v>5</v>
      </c>
      <c r="C12" s="115" t="s">
        <v>6</v>
      </c>
      <c r="E12" s="113">
        <v>1</v>
      </c>
      <c r="F12" s="46">
        <f>COUNTIF(B2:B41, "Male")/40</f>
        <v>0.45</v>
      </c>
      <c r="G12" s="46">
        <f>COUNTIF(B2:B41, "Female")/40</f>
        <v>0.55000000000000004</v>
      </c>
      <c r="H12" s="41">
        <v>1</v>
      </c>
      <c r="I12" s="46">
        <f>13/24</f>
        <v>0.54166666666666663</v>
      </c>
      <c r="J12" s="46">
        <f>11/24</f>
        <v>0.45833333333333331</v>
      </c>
      <c r="K12" s="46">
        <f>2*(F12*G12)</f>
        <v>0.49500000000000005</v>
      </c>
      <c r="L12" s="46">
        <f>ABS(I12-J12)+ABS(I13-J13)</f>
        <v>0.45833333333333331</v>
      </c>
      <c r="M12" s="123">
        <f>0.495*0.458</f>
        <v>0.22670999999999999</v>
      </c>
      <c r="O12" s="113">
        <v>7</v>
      </c>
      <c r="P12" s="2" t="s">
        <v>70</v>
      </c>
      <c r="Q12" s="115" t="s">
        <v>71</v>
      </c>
    </row>
    <row r="13" spans="1:18">
      <c r="A13" s="126" t="s">
        <v>4</v>
      </c>
      <c r="B13" s="2" t="s">
        <v>9</v>
      </c>
      <c r="C13" s="115" t="s">
        <v>8</v>
      </c>
      <c r="E13" s="119"/>
      <c r="F13" s="122"/>
      <c r="G13" s="122"/>
      <c r="H13" s="121">
        <v>2</v>
      </c>
      <c r="I13" s="122">
        <f>5/16</f>
        <v>0.3125</v>
      </c>
      <c r="J13" s="122">
        <f>11/16</f>
        <v>0.6875</v>
      </c>
      <c r="K13" s="122"/>
      <c r="L13" s="122"/>
      <c r="M13" s="125"/>
      <c r="O13" s="113">
        <v>8</v>
      </c>
      <c r="P13" s="2" t="s">
        <v>72</v>
      </c>
      <c r="Q13" s="115" t="s">
        <v>73</v>
      </c>
    </row>
    <row r="14" spans="1:18">
      <c r="A14" s="126" t="s">
        <v>12</v>
      </c>
      <c r="B14" s="2" t="s">
        <v>5</v>
      </c>
      <c r="C14" s="115" t="s">
        <v>8</v>
      </c>
      <c r="G14" s="39"/>
      <c r="H14" s="47"/>
      <c r="I14" s="47"/>
      <c r="J14" s="40"/>
      <c r="K14" s="47"/>
      <c r="L14" s="47"/>
      <c r="M14" s="47"/>
      <c r="N14" s="47"/>
      <c r="O14" s="113">
        <v>9</v>
      </c>
      <c r="P14" s="2" t="s">
        <v>74</v>
      </c>
      <c r="Q14" s="116" t="s">
        <v>75</v>
      </c>
    </row>
    <row r="15" spans="1:18">
      <c r="A15" s="126" t="s">
        <v>7</v>
      </c>
      <c r="B15" s="2" t="s">
        <v>5</v>
      </c>
      <c r="C15" s="115" t="s">
        <v>6</v>
      </c>
      <c r="G15" s="39"/>
      <c r="H15" s="47"/>
      <c r="I15" s="47"/>
      <c r="J15" s="40"/>
      <c r="K15" s="47"/>
      <c r="L15" s="47"/>
      <c r="M15" s="47"/>
      <c r="N15" s="47"/>
      <c r="O15" s="113">
        <v>10</v>
      </c>
      <c r="P15" s="2" t="s">
        <v>76</v>
      </c>
      <c r="Q15" s="115" t="s">
        <v>77</v>
      </c>
    </row>
    <row r="16" spans="1:18" ht="15.75" thickBot="1">
      <c r="A16" s="126" t="s">
        <v>7</v>
      </c>
      <c r="B16" s="2" t="s">
        <v>5</v>
      </c>
      <c r="C16" s="115" t="s">
        <v>6</v>
      </c>
      <c r="H16" s="3"/>
      <c r="O16" s="113">
        <v>11</v>
      </c>
      <c r="P16" s="2" t="s">
        <v>78</v>
      </c>
      <c r="Q16" s="115" t="s">
        <v>79</v>
      </c>
    </row>
    <row r="17" spans="1:17" ht="16.5" thickBot="1">
      <c r="A17" s="126" t="s">
        <v>11</v>
      </c>
      <c r="B17" s="2" t="s">
        <v>9</v>
      </c>
      <c r="C17" s="115" t="s">
        <v>8</v>
      </c>
      <c r="E17" s="49" t="s">
        <v>38</v>
      </c>
      <c r="F17" s="50"/>
      <c r="G17" s="51"/>
      <c r="O17" s="113">
        <v>12</v>
      </c>
      <c r="P17" s="2" t="s">
        <v>80</v>
      </c>
      <c r="Q17" s="115" t="s">
        <v>81</v>
      </c>
    </row>
    <row r="18" spans="1:17">
      <c r="A18" s="126" t="s">
        <v>7</v>
      </c>
      <c r="B18" s="2" t="s">
        <v>5</v>
      </c>
      <c r="C18" s="115" t="s">
        <v>8</v>
      </c>
      <c r="E18" s="45" t="s">
        <v>44</v>
      </c>
      <c r="F18" s="45" t="s">
        <v>45</v>
      </c>
      <c r="G18" s="45" t="s">
        <v>46</v>
      </c>
      <c r="O18" s="113">
        <v>13</v>
      </c>
      <c r="P18" s="2" t="s">
        <v>82</v>
      </c>
      <c r="Q18" s="115" t="s">
        <v>83</v>
      </c>
    </row>
    <row r="19" spans="1:17">
      <c r="A19" s="126" t="s">
        <v>10</v>
      </c>
      <c r="B19" s="2" t="s">
        <v>9</v>
      </c>
      <c r="C19" s="115" t="s">
        <v>6</v>
      </c>
      <c r="E19" s="41">
        <v>1</v>
      </c>
      <c r="F19" s="42" t="s">
        <v>48</v>
      </c>
      <c r="G19" s="42" t="s">
        <v>49</v>
      </c>
      <c r="O19" s="113">
        <v>14</v>
      </c>
      <c r="P19" s="48" t="s">
        <v>84</v>
      </c>
      <c r="Q19" s="115" t="s">
        <v>85</v>
      </c>
    </row>
    <row r="20" spans="1:17">
      <c r="A20" s="126" t="s">
        <v>11</v>
      </c>
      <c r="B20" s="2" t="s">
        <v>9</v>
      </c>
      <c r="C20" s="115" t="s">
        <v>6</v>
      </c>
      <c r="O20" s="113">
        <v>15</v>
      </c>
      <c r="P20" s="2" t="s">
        <v>86</v>
      </c>
      <c r="Q20" s="115" t="s">
        <v>87</v>
      </c>
    </row>
    <row r="21" spans="1:17">
      <c r="A21" s="126" t="s">
        <v>7</v>
      </c>
      <c r="B21" s="2" t="s">
        <v>5</v>
      </c>
      <c r="C21" s="115" t="s">
        <v>8</v>
      </c>
      <c r="O21" s="119">
        <v>16</v>
      </c>
      <c r="P21" s="120" t="s">
        <v>88</v>
      </c>
      <c r="Q21" s="87" t="s">
        <v>89</v>
      </c>
    </row>
    <row r="22" spans="1:17">
      <c r="A22" s="126" t="s">
        <v>11</v>
      </c>
      <c r="B22" s="2" t="s">
        <v>5</v>
      </c>
      <c r="C22" s="115" t="s">
        <v>8</v>
      </c>
      <c r="O22" s="39"/>
    </row>
    <row r="23" spans="1:17">
      <c r="A23" s="126" t="s">
        <v>11</v>
      </c>
      <c r="B23" s="2" t="s">
        <v>9</v>
      </c>
      <c r="C23" s="115" t="s">
        <v>6</v>
      </c>
      <c r="O23" s="39"/>
    </row>
    <row r="24" spans="1:17">
      <c r="A24" s="126" t="s">
        <v>7</v>
      </c>
      <c r="B24" s="2" t="s">
        <v>9</v>
      </c>
      <c r="C24" s="115" t="s">
        <v>6</v>
      </c>
      <c r="O24" s="39"/>
    </row>
    <row r="25" spans="1:17">
      <c r="A25" s="126" t="s">
        <v>11</v>
      </c>
      <c r="B25" s="2" t="s">
        <v>9</v>
      </c>
      <c r="C25" s="115" t="s">
        <v>8</v>
      </c>
      <c r="J25" s="3"/>
      <c r="O25" s="39"/>
    </row>
    <row r="26" spans="1:17">
      <c r="A26" s="126" t="s">
        <v>7</v>
      </c>
      <c r="B26" s="2" t="s">
        <v>5</v>
      </c>
      <c r="C26" s="115" t="s">
        <v>6</v>
      </c>
    </row>
    <row r="27" spans="1:17">
      <c r="A27" s="126" t="s">
        <v>7</v>
      </c>
      <c r="B27" s="2" t="s">
        <v>5</v>
      </c>
      <c r="C27" s="115" t="s">
        <v>6</v>
      </c>
    </row>
    <row r="28" spans="1:17">
      <c r="A28" s="126" t="s">
        <v>7</v>
      </c>
      <c r="B28" s="2" t="s">
        <v>9</v>
      </c>
      <c r="C28" s="115" t="s">
        <v>6</v>
      </c>
    </row>
    <row r="29" spans="1:17">
      <c r="A29" s="126" t="s">
        <v>7</v>
      </c>
      <c r="B29" s="2" t="s">
        <v>9</v>
      </c>
      <c r="C29" s="115" t="s">
        <v>6</v>
      </c>
    </row>
    <row r="30" spans="1:17">
      <c r="A30" s="126" t="s">
        <v>7</v>
      </c>
      <c r="B30" s="2" t="s">
        <v>5</v>
      </c>
      <c r="C30" s="115" t="s">
        <v>8</v>
      </c>
    </row>
    <row r="31" spans="1:17">
      <c r="A31" s="126" t="s">
        <v>12</v>
      </c>
      <c r="B31" s="2" t="s">
        <v>5</v>
      </c>
      <c r="C31" s="115" t="s">
        <v>6</v>
      </c>
    </row>
    <row r="32" spans="1:17">
      <c r="A32" s="126" t="s">
        <v>12</v>
      </c>
      <c r="B32" s="2" t="s">
        <v>5</v>
      </c>
      <c r="C32" s="115" t="s">
        <v>8</v>
      </c>
    </row>
    <row r="33" spans="1:3">
      <c r="A33" s="126" t="s">
        <v>11</v>
      </c>
      <c r="B33" s="2" t="s">
        <v>9</v>
      </c>
      <c r="C33" s="115" t="s">
        <v>6</v>
      </c>
    </row>
    <row r="34" spans="1:3">
      <c r="A34" s="126" t="s">
        <v>7</v>
      </c>
      <c r="B34" s="2" t="s">
        <v>5</v>
      </c>
      <c r="C34" s="115" t="s">
        <v>6</v>
      </c>
    </row>
    <row r="35" spans="1:3">
      <c r="A35" s="126" t="s">
        <v>11</v>
      </c>
      <c r="B35" s="2" t="s">
        <v>9</v>
      </c>
      <c r="C35" s="115" t="s">
        <v>6</v>
      </c>
    </row>
    <row r="36" spans="1:3">
      <c r="A36" s="126" t="s">
        <v>7</v>
      </c>
      <c r="B36" s="2" t="s">
        <v>5</v>
      </c>
      <c r="C36" s="115" t="s">
        <v>8</v>
      </c>
    </row>
    <row r="37" spans="1:3">
      <c r="A37" s="126" t="s">
        <v>11</v>
      </c>
      <c r="B37" s="2" t="s">
        <v>9</v>
      </c>
      <c r="C37" s="115" t="s">
        <v>8</v>
      </c>
    </row>
    <row r="38" spans="1:3">
      <c r="A38" s="126" t="s">
        <v>10</v>
      </c>
      <c r="B38" s="2" t="s">
        <v>9</v>
      </c>
      <c r="C38" s="115" t="s">
        <v>6</v>
      </c>
    </row>
    <row r="39" spans="1:3">
      <c r="A39" s="126" t="s">
        <v>10</v>
      </c>
      <c r="B39" s="2" t="s">
        <v>9</v>
      </c>
      <c r="C39" s="115" t="s">
        <v>6</v>
      </c>
    </row>
    <row r="40" spans="1:3">
      <c r="A40" s="126" t="s">
        <v>11</v>
      </c>
      <c r="B40" s="2" t="s">
        <v>5</v>
      </c>
      <c r="C40" s="115" t="s">
        <v>6</v>
      </c>
    </row>
    <row r="41" spans="1:3">
      <c r="A41" s="88" t="s">
        <v>7</v>
      </c>
      <c r="B41" s="120" t="s">
        <v>5</v>
      </c>
      <c r="C41" s="87" t="s">
        <v>6</v>
      </c>
    </row>
  </sheetData>
  <mergeCells count="4">
    <mergeCell ref="O3:Q3"/>
    <mergeCell ref="E4:I4"/>
    <mergeCell ref="O4:Q4"/>
    <mergeCell ref="E17:G1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AB7C-8E34-4E18-AB66-6A95242B1A7B}">
  <dimension ref="A1:W81"/>
  <sheetViews>
    <sheetView zoomScale="40" zoomScaleNormal="145" workbookViewId="0">
      <selection activeCell="O54" sqref="O54"/>
    </sheetView>
  </sheetViews>
  <sheetFormatPr defaultRowHeight="18.75"/>
  <cols>
    <col min="1" max="2" width="24" style="8" bestFit="1" customWidth="1"/>
    <col min="3" max="3" width="21" style="8" bestFit="1" customWidth="1"/>
    <col min="4" max="5" width="21.42578125" style="8" bestFit="1" customWidth="1"/>
    <col min="6" max="6" width="24" style="8" bestFit="1" customWidth="1"/>
    <col min="7" max="7" width="24.140625" style="8" bestFit="1" customWidth="1"/>
    <col min="8" max="9" width="25" style="8" bestFit="1" customWidth="1"/>
    <col min="10" max="10" width="25.42578125" style="8" bestFit="1" customWidth="1"/>
    <col min="11" max="11" width="22.140625" style="8" bestFit="1" customWidth="1"/>
    <col min="12" max="12" width="9.140625" style="8"/>
    <col min="13" max="13" width="19.140625" style="8" bestFit="1" customWidth="1"/>
    <col min="14" max="14" width="18.42578125" style="8" bestFit="1" customWidth="1"/>
    <col min="15" max="15" width="21" style="8" bestFit="1" customWidth="1"/>
    <col min="16" max="19" width="21.42578125" style="8" bestFit="1" customWidth="1"/>
    <col min="20" max="21" width="25" style="8" bestFit="1" customWidth="1"/>
    <col min="22" max="22" width="25.42578125" style="8" bestFit="1" customWidth="1"/>
    <col min="23" max="23" width="22.140625" style="8" bestFit="1" customWidth="1"/>
    <col min="24" max="16384" width="9.140625" style="8"/>
  </cols>
  <sheetData>
    <row r="1" spans="1:23" ht="26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31"/>
      <c r="M1" s="6" t="s">
        <v>33</v>
      </c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93" t="s">
        <v>1</v>
      </c>
      <c r="B2" s="94" t="s">
        <v>2</v>
      </c>
      <c r="C2" s="94" t="s">
        <v>3</v>
      </c>
      <c r="D2" s="94" t="s">
        <v>17</v>
      </c>
      <c r="E2" s="94" t="s">
        <v>18</v>
      </c>
      <c r="F2" s="94" t="s">
        <v>19</v>
      </c>
      <c r="G2" s="94" t="s">
        <v>20</v>
      </c>
      <c r="H2" s="94" t="s">
        <v>21</v>
      </c>
      <c r="I2" s="94" t="s">
        <v>22</v>
      </c>
      <c r="J2" s="94" t="s">
        <v>23</v>
      </c>
      <c r="K2" s="95" t="s">
        <v>24</v>
      </c>
      <c r="L2" s="96"/>
      <c r="M2" s="93" t="s">
        <v>1</v>
      </c>
      <c r="N2" s="94" t="s">
        <v>2</v>
      </c>
      <c r="O2" s="94" t="s">
        <v>3</v>
      </c>
      <c r="P2" s="94" t="s">
        <v>17</v>
      </c>
      <c r="Q2" s="94" t="s">
        <v>18</v>
      </c>
      <c r="R2" s="94" t="s">
        <v>19</v>
      </c>
      <c r="S2" s="94" t="s">
        <v>20</v>
      </c>
      <c r="T2" s="94" t="s">
        <v>21</v>
      </c>
      <c r="U2" s="94" t="s">
        <v>22</v>
      </c>
      <c r="V2" s="94" t="s">
        <v>23</v>
      </c>
      <c r="W2" s="95" t="s">
        <v>24</v>
      </c>
    </row>
    <row r="3" spans="1:23">
      <c r="A3" s="9" t="s">
        <v>4</v>
      </c>
      <c r="B3" s="10" t="s">
        <v>5</v>
      </c>
      <c r="C3" s="10" t="s">
        <v>6</v>
      </c>
      <c r="D3" s="10">
        <f>VLOOKUP(A3,$A$47:$D$54,2, FALSE)</f>
        <v>4.1666666666666664E-2</v>
      </c>
      <c r="E3" s="10">
        <f>VLOOKUP(A3,$A$47:$D$54,3, FALSE)</f>
        <v>6.25E-2</v>
      </c>
      <c r="F3" s="10">
        <f>VLOOKUP(B3,$A$56:$D$60,2, FALSE)</f>
        <v>0.45833333333333331</v>
      </c>
      <c r="G3" s="10">
        <f>VLOOKUP(B3,$A$56:$D$60,3, FALSE)</f>
        <v>0.6875</v>
      </c>
      <c r="H3" s="10">
        <f>D3*F3*GETPIVOTDATA("BP_Status",$A$63,"BP_Status","High")</f>
        <v>1.1458333333333333E-2</v>
      </c>
      <c r="I3" s="10">
        <f>E3*G3*GETPIVOTDATA("BP_Status",$A$63,"BP_Status","Normal")</f>
        <v>1.7187500000000001E-2</v>
      </c>
      <c r="J3" s="10">
        <f>H3/(H3+I3)</f>
        <v>0.39999999999999997</v>
      </c>
      <c r="K3" s="11" t="str">
        <f>IF(J3&gt;=0.5, "High", "Normal")</f>
        <v>Normal</v>
      </c>
      <c r="M3" s="9" t="s">
        <v>12</v>
      </c>
      <c r="N3" s="10" t="s">
        <v>5</v>
      </c>
      <c r="O3" s="10" t="s">
        <v>6</v>
      </c>
      <c r="P3" s="10">
        <f>VLOOKUP(M3,$A$47:$D$54,2, FALSE)</f>
        <v>4.1666666666666664E-2</v>
      </c>
      <c r="Q3" s="10">
        <f>VLOOKUP(M3,$A$47:$D$54,3, FALSE)</f>
        <v>0.125</v>
      </c>
      <c r="R3" s="10">
        <f>VLOOKUP(N3,$A$56:$D$60,2, FALSE)</f>
        <v>0.45833333333333331</v>
      </c>
      <c r="S3" s="10">
        <f>VLOOKUP(N3,$A$56:$D$60,3, FALSE)</f>
        <v>0.6875</v>
      </c>
      <c r="T3" s="10">
        <f>P3*R3*GETPIVOTDATA("BP_Status",$A$63,"BP_Status","High")</f>
        <v>1.1458333333333333E-2</v>
      </c>
      <c r="U3" s="10">
        <f>Q3*S3*GETPIVOTDATA("BP_Status",$A$63,"BP_Status","Normal")</f>
        <v>3.4375000000000003E-2</v>
      </c>
      <c r="V3" s="10">
        <f>T3/(T3+U3)</f>
        <v>0.24999999999999997</v>
      </c>
      <c r="W3" s="11" t="str">
        <f>IF(V3&gt;=0.5, "High", "Normal")</f>
        <v>Normal</v>
      </c>
    </row>
    <row r="4" spans="1:23">
      <c r="A4" s="9" t="s">
        <v>7</v>
      </c>
      <c r="B4" s="10" t="s">
        <v>5</v>
      </c>
      <c r="C4" s="10" t="s">
        <v>8</v>
      </c>
      <c r="D4" s="10">
        <f t="shared" ref="D4:D42" si="0">VLOOKUP(A4,$A$47:$D$54,2, FALSE)</f>
        <v>0.54166666666666663</v>
      </c>
      <c r="E4" s="10">
        <f t="shared" ref="E4:E42" si="1">VLOOKUP(A4,$A$47:$D$54,3, FALSE)</f>
        <v>0.5</v>
      </c>
      <c r="F4" s="10">
        <f t="shared" ref="F4:F42" si="2">VLOOKUP(B4,$A$56:$D$60,2, FALSE)</f>
        <v>0.45833333333333331</v>
      </c>
      <c r="G4" s="10">
        <f t="shared" ref="G4:G42" si="3">VLOOKUP(B4,$A$56:$D$60,3, FALSE)</f>
        <v>0.6875</v>
      </c>
      <c r="H4" s="10">
        <f t="shared" ref="H4:H42" si="4">D4*F4*GETPIVOTDATA("BP_Status",$A$63,"BP_Status","High")</f>
        <v>0.1489583333333333</v>
      </c>
      <c r="I4" s="10">
        <f t="shared" ref="I4:I42" si="5">E4*G4*GETPIVOTDATA("BP_Status",$A$63,"BP_Status","Normal")</f>
        <v>0.13750000000000001</v>
      </c>
      <c r="J4" s="10">
        <f t="shared" ref="J4:J42" si="6">H4/(H4+I4)</f>
        <v>0.51999999999999991</v>
      </c>
      <c r="K4" s="11" t="str">
        <f t="shared" ref="K4:K42" si="7">IF(J4&gt;=0.5, "High", "Normal")</f>
        <v>High</v>
      </c>
      <c r="M4" s="9" t="s">
        <v>10</v>
      </c>
      <c r="N4" s="10" t="s">
        <v>5</v>
      </c>
      <c r="O4" s="10" t="s">
        <v>6</v>
      </c>
      <c r="P4" s="10">
        <f t="shared" ref="P4:P7" si="8">VLOOKUP(M4,$A$47:$D$54,2, FALSE)</f>
        <v>0.16666666666666666</v>
      </c>
      <c r="Q4" s="10">
        <f t="shared" ref="Q4:Q7" si="9">VLOOKUP(M4,$A$47:$D$54,3, FALSE)</f>
        <v>0</v>
      </c>
      <c r="R4" s="10">
        <f t="shared" ref="R4:R7" si="10">VLOOKUP(N4,$A$56:$D$60,2, FALSE)</f>
        <v>0.45833333333333331</v>
      </c>
      <c r="S4" s="10">
        <f t="shared" ref="S4:S7" si="11">VLOOKUP(N4,$A$56:$D$60,3, FALSE)</f>
        <v>0.6875</v>
      </c>
      <c r="T4" s="10">
        <f t="shared" ref="T4:T7" si="12">P4*R4*GETPIVOTDATA("BP_Status",$A$63,"BP_Status","High")</f>
        <v>4.583333333333333E-2</v>
      </c>
      <c r="U4" s="10">
        <f t="shared" ref="U4:U7" si="13">Q4*S4*GETPIVOTDATA("BP_Status",$A$63,"BP_Status","Normal")</f>
        <v>0</v>
      </c>
      <c r="V4" s="10">
        <f t="shared" ref="V4:V7" si="14">T4/(T4+U4)</f>
        <v>1</v>
      </c>
      <c r="W4" s="11" t="str">
        <f t="shared" ref="W4:W7" si="15">IF(V4&gt;=0.5, "High", "Normal")</f>
        <v>High</v>
      </c>
    </row>
    <row r="5" spans="1:23">
      <c r="A5" s="9" t="s">
        <v>7</v>
      </c>
      <c r="B5" s="10" t="s">
        <v>9</v>
      </c>
      <c r="C5" s="10" t="s">
        <v>6</v>
      </c>
      <c r="D5" s="10">
        <f t="shared" si="0"/>
        <v>0.54166666666666663</v>
      </c>
      <c r="E5" s="10">
        <f t="shared" si="1"/>
        <v>0.5</v>
      </c>
      <c r="F5" s="10">
        <f t="shared" si="2"/>
        <v>0.54166666666666663</v>
      </c>
      <c r="G5" s="10">
        <f t="shared" si="3"/>
        <v>0.3125</v>
      </c>
      <c r="H5" s="10">
        <f t="shared" si="4"/>
        <v>0.17604166666666662</v>
      </c>
      <c r="I5" s="10">
        <f t="shared" si="5"/>
        <v>6.25E-2</v>
      </c>
      <c r="J5" s="10">
        <f t="shared" si="6"/>
        <v>0.7379912663755458</v>
      </c>
      <c r="K5" s="11" t="str">
        <f t="shared" si="7"/>
        <v>High</v>
      </c>
      <c r="M5" s="9" t="s">
        <v>4</v>
      </c>
      <c r="N5" s="10" t="s">
        <v>5</v>
      </c>
      <c r="O5" s="10" t="s">
        <v>8</v>
      </c>
      <c r="P5" s="10">
        <f t="shared" si="8"/>
        <v>4.1666666666666664E-2</v>
      </c>
      <c r="Q5" s="10">
        <f t="shared" si="9"/>
        <v>6.25E-2</v>
      </c>
      <c r="R5" s="10">
        <f t="shared" si="10"/>
        <v>0.45833333333333331</v>
      </c>
      <c r="S5" s="10">
        <f t="shared" si="11"/>
        <v>0.6875</v>
      </c>
      <c r="T5" s="10">
        <f t="shared" si="12"/>
        <v>1.1458333333333333E-2</v>
      </c>
      <c r="U5" s="10">
        <f t="shared" si="13"/>
        <v>1.7187500000000001E-2</v>
      </c>
      <c r="V5" s="10">
        <f t="shared" si="14"/>
        <v>0.39999999999999997</v>
      </c>
      <c r="W5" s="11" t="str">
        <f t="shared" si="15"/>
        <v>Normal</v>
      </c>
    </row>
    <row r="6" spans="1:23">
      <c r="A6" s="9" t="s">
        <v>7</v>
      </c>
      <c r="B6" s="10" t="s">
        <v>5</v>
      </c>
      <c r="C6" s="10" t="s">
        <v>8</v>
      </c>
      <c r="D6" s="10">
        <f t="shared" si="0"/>
        <v>0.54166666666666663</v>
      </c>
      <c r="E6" s="10">
        <f t="shared" si="1"/>
        <v>0.5</v>
      </c>
      <c r="F6" s="10">
        <f t="shared" si="2"/>
        <v>0.45833333333333331</v>
      </c>
      <c r="G6" s="10">
        <f t="shared" si="3"/>
        <v>0.6875</v>
      </c>
      <c r="H6" s="10">
        <f t="shared" si="4"/>
        <v>0.1489583333333333</v>
      </c>
      <c r="I6" s="10">
        <f t="shared" si="5"/>
        <v>0.13750000000000001</v>
      </c>
      <c r="J6" s="10">
        <f t="shared" si="6"/>
        <v>0.51999999999999991</v>
      </c>
      <c r="K6" s="11" t="str">
        <f t="shared" si="7"/>
        <v>High</v>
      </c>
      <c r="M6" s="9" t="s">
        <v>11</v>
      </c>
      <c r="N6" s="10" t="s">
        <v>9</v>
      </c>
      <c r="O6" s="10" t="s">
        <v>8</v>
      </c>
      <c r="P6" s="10">
        <f t="shared" si="8"/>
        <v>0.20833333333333334</v>
      </c>
      <c r="Q6" s="10">
        <f t="shared" si="9"/>
        <v>0.3125</v>
      </c>
      <c r="R6" s="10">
        <f t="shared" si="10"/>
        <v>0.54166666666666663</v>
      </c>
      <c r="S6" s="10">
        <f t="shared" si="11"/>
        <v>0.3125</v>
      </c>
      <c r="T6" s="10">
        <f t="shared" si="12"/>
        <v>6.7708333333333329E-2</v>
      </c>
      <c r="U6" s="10">
        <f t="shared" si="13"/>
        <v>3.90625E-2</v>
      </c>
      <c r="V6" s="10">
        <f t="shared" si="14"/>
        <v>0.63414634146341464</v>
      </c>
      <c r="W6" s="11" t="str">
        <f t="shared" si="15"/>
        <v>High</v>
      </c>
    </row>
    <row r="7" spans="1:23">
      <c r="A7" s="9" t="s">
        <v>10</v>
      </c>
      <c r="B7" s="10" t="s">
        <v>9</v>
      </c>
      <c r="C7" s="10" t="s">
        <v>6</v>
      </c>
      <c r="D7" s="10">
        <f t="shared" si="0"/>
        <v>0.16666666666666666</v>
      </c>
      <c r="E7" s="10">
        <f t="shared" si="1"/>
        <v>0</v>
      </c>
      <c r="F7" s="10">
        <f t="shared" si="2"/>
        <v>0.54166666666666663</v>
      </c>
      <c r="G7" s="10">
        <f t="shared" si="3"/>
        <v>0.3125</v>
      </c>
      <c r="H7" s="10">
        <f t="shared" si="4"/>
        <v>5.4166666666666655E-2</v>
      </c>
      <c r="I7" s="10">
        <f t="shared" si="5"/>
        <v>0</v>
      </c>
      <c r="J7" s="10">
        <f t="shared" si="6"/>
        <v>1</v>
      </c>
      <c r="K7" s="11" t="str">
        <f t="shared" si="7"/>
        <v>High</v>
      </c>
      <c r="M7" s="12" t="s">
        <v>7</v>
      </c>
      <c r="N7" s="13" t="s">
        <v>5</v>
      </c>
      <c r="O7" s="13" t="s">
        <v>8</v>
      </c>
      <c r="P7" s="13">
        <f t="shared" si="8"/>
        <v>0.54166666666666663</v>
      </c>
      <c r="Q7" s="13">
        <f t="shared" si="9"/>
        <v>0.5</v>
      </c>
      <c r="R7" s="13">
        <f t="shared" si="10"/>
        <v>0.45833333333333331</v>
      </c>
      <c r="S7" s="13">
        <f t="shared" si="11"/>
        <v>0.6875</v>
      </c>
      <c r="T7" s="13">
        <f t="shared" si="12"/>
        <v>0.1489583333333333</v>
      </c>
      <c r="U7" s="13">
        <f t="shared" si="13"/>
        <v>0.13750000000000001</v>
      </c>
      <c r="V7" s="13">
        <f t="shared" si="14"/>
        <v>0.51999999999999991</v>
      </c>
      <c r="W7" s="14" t="str">
        <f t="shared" si="15"/>
        <v>High</v>
      </c>
    </row>
    <row r="8" spans="1:23">
      <c r="A8" s="9" t="s">
        <v>7</v>
      </c>
      <c r="B8" s="10" t="s">
        <v>5</v>
      </c>
      <c r="C8" s="10" t="s">
        <v>8</v>
      </c>
      <c r="D8" s="10">
        <f t="shared" si="0"/>
        <v>0.54166666666666663</v>
      </c>
      <c r="E8" s="10">
        <f t="shared" si="1"/>
        <v>0.5</v>
      </c>
      <c r="F8" s="10">
        <f t="shared" si="2"/>
        <v>0.45833333333333331</v>
      </c>
      <c r="G8" s="10">
        <f t="shared" si="3"/>
        <v>0.6875</v>
      </c>
      <c r="H8" s="10">
        <f t="shared" si="4"/>
        <v>0.1489583333333333</v>
      </c>
      <c r="I8" s="10">
        <f t="shared" si="5"/>
        <v>0.13750000000000001</v>
      </c>
      <c r="J8" s="10">
        <f t="shared" si="6"/>
        <v>0.51999999999999991</v>
      </c>
      <c r="K8" s="11" t="str">
        <f t="shared" si="7"/>
        <v>High</v>
      </c>
      <c r="N8" s="15"/>
      <c r="O8" s="16"/>
    </row>
    <row r="9" spans="1:23">
      <c r="A9" s="9" t="s">
        <v>7</v>
      </c>
      <c r="B9" s="10" t="s">
        <v>9</v>
      </c>
      <c r="C9" s="10" t="s">
        <v>6</v>
      </c>
      <c r="D9" s="10">
        <f t="shared" si="0"/>
        <v>0.54166666666666663</v>
      </c>
      <c r="E9" s="10">
        <f t="shared" si="1"/>
        <v>0.5</v>
      </c>
      <c r="F9" s="10">
        <f t="shared" si="2"/>
        <v>0.54166666666666663</v>
      </c>
      <c r="G9" s="10">
        <f t="shared" si="3"/>
        <v>0.3125</v>
      </c>
      <c r="H9" s="10">
        <f t="shared" si="4"/>
        <v>0.17604166666666662</v>
      </c>
      <c r="I9" s="10">
        <f t="shared" si="5"/>
        <v>6.25E-2</v>
      </c>
      <c r="J9" s="10">
        <f t="shared" si="6"/>
        <v>0.7379912663755458</v>
      </c>
      <c r="K9" s="11" t="str">
        <f t="shared" si="7"/>
        <v>High</v>
      </c>
      <c r="N9" s="15"/>
      <c r="O9" s="16"/>
    </row>
    <row r="10" spans="1:23">
      <c r="A10" s="9" t="s">
        <v>7</v>
      </c>
      <c r="B10" s="10" t="s">
        <v>5</v>
      </c>
      <c r="C10" s="10" t="s">
        <v>6</v>
      </c>
      <c r="D10" s="10">
        <f t="shared" si="0"/>
        <v>0.54166666666666663</v>
      </c>
      <c r="E10" s="10">
        <f t="shared" si="1"/>
        <v>0.5</v>
      </c>
      <c r="F10" s="10">
        <f t="shared" si="2"/>
        <v>0.45833333333333331</v>
      </c>
      <c r="G10" s="10">
        <f t="shared" si="3"/>
        <v>0.6875</v>
      </c>
      <c r="H10" s="10">
        <f t="shared" si="4"/>
        <v>0.1489583333333333</v>
      </c>
      <c r="I10" s="10">
        <f t="shared" si="5"/>
        <v>0.13750000000000001</v>
      </c>
      <c r="J10" s="10">
        <f t="shared" si="6"/>
        <v>0.51999999999999991</v>
      </c>
      <c r="K10" s="11" t="str">
        <f t="shared" si="7"/>
        <v>High</v>
      </c>
    </row>
    <row r="11" spans="1:23">
      <c r="A11" s="9" t="s">
        <v>7</v>
      </c>
      <c r="B11" s="10" t="s">
        <v>5</v>
      </c>
      <c r="C11" s="10" t="s">
        <v>8</v>
      </c>
      <c r="D11" s="10">
        <f t="shared" si="0"/>
        <v>0.54166666666666663</v>
      </c>
      <c r="E11" s="10">
        <f t="shared" si="1"/>
        <v>0.5</v>
      </c>
      <c r="F11" s="10">
        <f t="shared" si="2"/>
        <v>0.45833333333333331</v>
      </c>
      <c r="G11" s="10">
        <f t="shared" si="3"/>
        <v>0.6875</v>
      </c>
      <c r="H11" s="10">
        <f t="shared" si="4"/>
        <v>0.1489583333333333</v>
      </c>
      <c r="I11" s="10">
        <f t="shared" si="5"/>
        <v>0.13750000000000001</v>
      </c>
      <c r="J11" s="10">
        <f t="shared" si="6"/>
        <v>0.51999999999999991</v>
      </c>
      <c r="K11" s="11" t="str">
        <f t="shared" si="7"/>
        <v>High</v>
      </c>
    </row>
    <row r="12" spans="1:23">
      <c r="A12" s="9" t="s">
        <v>11</v>
      </c>
      <c r="B12" s="10" t="s">
        <v>9</v>
      </c>
      <c r="C12" s="10" t="s">
        <v>8</v>
      </c>
      <c r="D12" s="10">
        <f t="shared" si="0"/>
        <v>0.20833333333333334</v>
      </c>
      <c r="E12" s="10">
        <f t="shared" si="1"/>
        <v>0.3125</v>
      </c>
      <c r="F12" s="10">
        <f t="shared" si="2"/>
        <v>0.54166666666666663</v>
      </c>
      <c r="G12" s="10">
        <f t="shared" si="3"/>
        <v>0.3125</v>
      </c>
      <c r="H12" s="10">
        <f t="shared" si="4"/>
        <v>6.7708333333333329E-2</v>
      </c>
      <c r="I12" s="10">
        <f t="shared" si="5"/>
        <v>3.90625E-2</v>
      </c>
      <c r="J12" s="10">
        <f t="shared" si="6"/>
        <v>0.63414634146341464</v>
      </c>
      <c r="K12" s="11" t="str">
        <f t="shared" si="7"/>
        <v>High</v>
      </c>
    </row>
    <row r="13" spans="1:23">
      <c r="A13" s="9" t="s">
        <v>7</v>
      </c>
      <c r="B13" s="10" t="s">
        <v>5</v>
      </c>
      <c r="C13" s="10" t="s">
        <v>6</v>
      </c>
      <c r="D13" s="10">
        <f t="shared" si="0"/>
        <v>0.54166666666666663</v>
      </c>
      <c r="E13" s="10">
        <f t="shared" si="1"/>
        <v>0.5</v>
      </c>
      <c r="F13" s="10">
        <f t="shared" si="2"/>
        <v>0.45833333333333331</v>
      </c>
      <c r="G13" s="10">
        <f t="shared" si="3"/>
        <v>0.6875</v>
      </c>
      <c r="H13" s="10">
        <f t="shared" si="4"/>
        <v>0.1489583333333333</v>
      </c>
      <c r="I13" s="10">
        <f t="shared" si="5"/>
        <v>0.13750000000000001</v>
      </c>
      <c r="J13" s="10">
        <f t="shared" si="6"/>
        <v>0.51999999999999991</v>
      </c>
      <c r="K13" s="11" t="str">
        <f t="shared" si="7"/>
        <v>High</v>
      </c>
    </row>
    <row r="14" spans="1:23">
      <c r="A14" s="9" t="s">
        <v>4</v>
      </c>
      <c r="B14" s="10" t="s">
        <v>9</v>
      </c>
      <c r="C14" s="10" t="s">
        <v>8</v>
      </c>
      <c r="D14" s="10">
        <f t="shared" si="0"/>
        <v>4.1666666666666664E-2</v>
      </c>
      <c r="E14" s="10">
        <f t="shared" si="1"/>
        <v>6.25E-2</v>
      </c>
      <c r="F14" s="10">
        <f t="shared" si="2"/>
        <v>0.54166666666666663</v>
      </c>
      <c r="G14" s="10">
        <f t="shared" si="3"/>
        <v>0.3125</v>
      </c>
      <c r="H14" s="10">
        <f t="shared" si="4"/>
        <v>1.3541666666666664E-2</v>
      </c>
      <c r="I14" s="10">
        <f t="shared" si="5"/>
        <v>7.8125E-3</v>
      </c>
      <c r="J14" s="10">
        <f t="shared" si="6"/>
        <v>0.63414634146341453</v>
      </c>
      <c r="K14" s="11" t="str">
        <f t="shared" si="7"/>
        <v>High</v>
      </c>
    </row>
    <row r="15" spans="1:23">
      <c r="A15" s="9" t="s">
        <v>12</v>
      </c>
      <c r="B15" s="10" t="s">
        <v>5</v>
      </c>
      <c r="C15" s="10" t="s">
        <v>8</v>
      </c>
      <c r="D15" s="10">
        <f t="shared" si="0"/>
        <v>4.1666666666666664E-2</v>
      </c>
      <c r="E15" s="10">
        <f t="shared" si="1"/>
        <v>0.125</v>
      </c>
      <c r="F15" s="10">
        <f t="shared" si="2"/>
        <v>0.45833333333333331</v>
      </c>
      <c r="G15" s="10">
        <f t="shared" si="3"/>
        <v>0.6875</v>
      </c>
      <c r="H15" s="10">
        <f t="shared" si="4"/>
        <v>1.1458333333333333E-2</v>
      </c>
      <c r="I15" s="10">
        <f t="shared" si="5"/>
        <v>3.4375000000000003E-2</v>
      </c>
      <c r="J15" s="10">
        <f t="shared" si="6"/>
        <v>0.24999999999999997</v>
      </c>
      <c r="K15" s="11" t="str">
        <f t="shared" si="7"/>
        <v>Normal</v>
      </c>
    </row>
    <row r="16" spans="1:23">
      <c r="A16" s="9" t="s">
        <v>7</v>
      </c>
      <c r="B16" s="10" t="s">
        <v>5</v>
      </c>
      <c r="C16" s="10" t="s">
        <v>6</v>
      </c>
      <c r="D16" s="10">
        <f t="shared" si="0"/>
        <v>0.54166666666666663</v>
      </c>
      <c r="E16" s="10">
        <f t="shared" si="1"/>
        <v>0.5</v>
      </c>
      <c r="F16" s="10">
        <f t="shared" si="2"/>
        <v>0.45833333333333331</v>
      </c>
      <c r="G16" s="10">
        <f t="shared" si="3"/>
        <v>0.6875</v>
      </c>
      <c r="H16" s="10">
        <f t="shared" si="4"/>
        <v>0.1489583333333333</v>
      </c>
      <c r="I16" s="10">
        <f t="shared" si="5"/>
        <v>0.13750000000000001</v>
      </c>
      <c r="J16" s="10">
        <f t="shared" si="6"/>
        <v>0.51999999999999991</v>
      </c>
      <c r="K16" s="11" t="str">
        <f t="shared" si="7"/>
        <v>High</v>
      </c>
    </row>
    <row r="17" spans="1:11">
      <c r="A17" s="9" t="s">
        <v>7</v>
      </c>
      <c r="B17" s="10" t="s">
        <v>5</v>
      </c>
      <c r="C17" s="10" t="s">
        <v>6</v>
      </c>
      <c r="D17" s="10">
        <f t="shared" si="0"/>
        <v>0.54166666666666663</v>
      </c>
      <c r="E17" s="10">
        <f t="shared" si="1"/>
        <v>0.5</v>
      </c>
      <c r="F17" s="10">
        <f t="shared" si="2"/>
        <v>0.45833333333333331</v>
      </c>
      <c r="G17" s="10">
        <f t="shared" si="3"/>
        <v>0.6875</v>
      </c>
      <c r="H17" s="10">
        <f t="shared" si="4"/>
        <v>0.1489583333333333</v>
      </c>
      <c r="I17" s="10">
        <f t="shared" si="5"/>
        <v>0.13750000000000001</v>
      </c>
      <c r="J17" s="10">
        <f t="shared" si="6"/>
        <v>0.51999999999999991</v>
      </c>
      <c r="K17" s="11" t="str">
        <f t="shared" si="7"/>
        <v>High</v>
      </c>
    </row>
    <row r="18" spans="1:11">
      <c r="A18" s="9" t="s">
        <v>11</v>
      </c>
      <c r="B18" s="10" t="s">
        <v>9</v>
      </c>
      <c r="C18" s="10" t="s">
        <v>8</v>
      </c>
      <c r="D18" s="10">
        <f t="shared" si="0"/>
        <v>0.20833333333333334</v>
      </c>
      <c r="E18" s="10">
        <f t="shared" si="1"/>
        <v>0.3125</v>
      </c>
      <c r="F18" s="10">
        <f t="shared" si="2"/>
        <v>0.54166666666666663</v>
      </c>
      <c r="G18" s="10">
        <f t="shared" si="3"/>
        <v>0.3125</v>
      </c>
      <c r="H18" s="10">
        <f t="shared" si="4"/>
        <v>6.7708333333333329E-2</v>
      </c>
      <c r="I18" s="10">
        <f t="shared" si="5"/>
        <v>3.90625E-2</v>
      </c>
      <c r="J18" s="10">
        <f t="shared" si="6"/>
        <v>0.63414634146341464</v>
      </c>
      <c r="K18" s="11" t="str">
        <f t="shared" si="7"/>
        <v>High</v>
      </c>
    </row>
    <row r="19" spans="1:11">
      <c r="A19" s="9" t="s">
        <v>7</v>
      </c>
      <c r="B19" s="10" t="s">
        <v>5</v>
      </c>
      <c r="C19" s="10" t="s">
        <v>8</v>
      </c>
      <c r="D19" s="10">
        <f t="shared" si="0"/>
        <v>0.54166666666666663</v>
      </c>
      <c r="E19" s="10">
        <f t="shared" si="1"/>
        <v>0.5</v>
      </c>
      <c r="F19" s="10">
        <f t="shared" si="2"/>
        <v>0.45833333333333331</v>
      </c>
      <c r="G19" s="10">
        <f t="shared" si="3"/>
        <v>0.6875</v>
      </c>
      <c r="H19" s="10">
        <f t="shared" si="4"/>
        <v>0.1489583333333333</v>
      </c>
      <c r="I19" s="10">
        <f t="shared" si="5"/>
        <v>0.13750000000000001</v>
      </c>
      <c r="J19" s="10">
        <f t="shared" si="6"/>
        <v>0.51999999999999991</v>
      </c>
      <c r="K19" s="11" t="str">
        <f t="shared" si="7"/>
        <v>High</v>
      </c>
    </row>
    <row r="20" spans="1:11">
      <c r="A20" s="9" t="s">
        <v>10</v>
      </c>
      <c r="B20" s="10" t="s">
        <v>9</v>
      </c>
      <c r="C20" s="10" t="s">
        <v>6</v>
      </c>
      <c r="D20" s="10">
        <f t="shared" si="0"/>
        <v>0.16666666666666666</v>
      </c>
      <c r="E20" s="10">
        <f t="shared" si="1"/>
        <v>0</v>
      </c>
      <c r="F20" s="10">
        <f t="shared" si="2"/>
        <v>0.54166666666666663</v>
      </c>
      <c r="G20" s="10">
        <f t="shared" si="3"/>
        <v>0.3125</v>
      </c>
      <c r="H20" s="10">
        <f t="shared" si="4"/>
        <v>5.4166666666666655E-2</v>
      </c>
      <c r="I20" s="10">
        <f t="shared" si="5"/>
        <v>0</v>
      </c>
      <c r="J20" s="10">
        <f t="shared" si="6"/>
        <v>1</v>
      </c>
      <c r="K20" s="11" t="str">
        <f t="shared" si="7"/>
        <v>High</v>
      </c>
    </row>
    <row r="21" spans="1:11">
      <c r="A21" s="9" t="s">
        <v>11</v>
      </c>
      <c r="B21" s="10" t="s">
        <v>9</v>
      </c>
      <c r="C21" s="10" t="s">
        <v>6</v>
      </c>
      <c r="D21" s="10">
        <f t="shared" si="0"/>
        <v>0.20833333333333334</v>
      </c>
      <c r="E21" s="10">
        <f t="shared" si="1"/>
        <v>0.3125</v>
      </c>
      <c r="F21" s="10">
        <f t="shared" si="2"/>
        <v>0.54166666666666663</v>
      </c>
      <c r="G21" s="10">
        <f t="shared" si="3"/>
        <v>0.3125</v>
      </c>
      <c r="H21" s="10">
        <f t="shared" si="4"/>
        <v>6.7708333333333329E-2</v>
      </c>
      <c r="I21" s="10">
        <f t="shared" si="5"/>
        <v>3.90625E-2</v>
      </c>
      <c r="J21" s="10">
        <f t="shared" si="6"/>
        <v>0.63414634146341464</v>
      </c>
      <c r="K21" s="11" t="str">
        <f t="shared" si="7"/>
        <v>High</v>
      </c>
    </row>
    <row r="22" spans="1:11">
      <c r="A22" s="9" t="s">
        <v>7</v>
      </c>
      <c r="B22" s="10" t="s">
        <v>5</v>
      </c>
      <c r="C22" s="10" t="s">
        <v>8</v>
      </c>
      <c r="D22" s="10">
        <f t="shared" si="0"/>
        <v>0.54166666666666663</v>
      </c>
      <c r="E22" s="10">
        <f t="shared" si="1"/>
        <v>0.5</v>
      </c>
      <c r="F22" s="10">
        <f t="shared" si="2"/>
        <v>0.45833333333333331</v>
      </c>
      <c r="G22" s="10">
        <f t="shared" si="3"/>
        <v>0.6875</v>
      </c>
      <c r="H22" s="10">
        <f t="shared" si="4"/>
        <v>0.1489583333333333</v>
      </c>
      <c r="I22" s="10">
        <f t="shared" si="5"/>
        <v>0.13750000000000001</v>
      </c>
      <c r="J22" s="10">
        <f t="shared" si="6"/>
        <v>0.51999999999999991</v>
      </c>
      <c r="K22" s="11" t="str">
        <f t="shared" si="7"/>
        <v>High</v>
      </c>
    </row>
    <row r="23" spans="1:11">
      <c r="A23" s="9" t="s">
        <v>11</v>
      </c>
      <c r="B23" s="10" t="s">
        <v>5</v>
      </c>
      <c r="C23" s="10" t="s">
        <v>8</v>
      </c>
      <c r="D23" s="10">
        <f t="shared" si="0"/>
        <v>0.20833333333333334</v>
      </c>
      <c r="E23" s="10">
        <f t="shared" si="1"/>
        <v>0.3125</v>
      </c>
      <c r="F23" s="10">
        <f t="shared" si="2"/>
        <v>0.45833333333333331</v>
      </c>
      <c r="G23" s="10">
        <f t="shared" si="3"/>
        <v>0.6875</v>
      </c>
      <c r="H23" s="10">
        <f t="shared" si="4"/>
        <v>5.7291666666666657E-2</v>
      </c>
      <c r="I23" s="10">
        <f t="shared" si="5"/>
        <v>8.59375E-2</v>
      </c>
      <c r="J23" s="10">
        <f t="shared" si="6"/>
        <v>0.39999999999999997</v>
      </c>
      <c r="K23" s="11" t="str">
        <f t="shared" si="7"/>
        <v>Normal</v>
      </c>
    </row>
    <row r="24" spans="1:11">
      <c r="A24" s="9" t="s">
        <v>11</v>
      </c>
      <c r="B24" s="10" t="s">
        <v>9</v>
      </c>
      <c r="C24" s="10" t="s">
        <v>6</v>
      </c>
      <c r="D24" s="10">
        <f t="shared" si="0"/>
        <v>0.20833333333333334</v>
      </c>
      <c r="E24" s="10">
        <f t="shared" si="1"/>
        <v>0.3125</v>
      </c>
      <c r="F24" s="10">
        <f t="shared" si="2"/>
        <v>0.54166666666666663</v>
      </c>
      <c r="G24" s="10">
        <f t="shared" si="3"/>
        <v>0.3125</v>
      </c>
      <c r="H24" s="10">
        <f t="shared" si="4"/>
        <v>6.7708333333333329E-2</v>
      </c>
      <c r="I24" s="10">
        <f t="shared" si="5"/>
        <v>3.90625E-2</v>
      </c>
      <c r="J24" s="10">
        <f t="shared" si="6"/>
        <v>0.63414634146341464</v>
      </c>
      <c r="K24" s="11" t="str">
        <f t="shared" si="7"/>
        <v>High</v>
      </c>
    </row>
    <row r="25" spans="1:11">
      <c r="A25" s="9" t="s">
        <v>7</v>
      </c>
      <c r="B25" s="10" t="s">
        <v>9</v>
      </c>
      <c r="C25" s="10" t="s">
        <v>6</v>
      </c>
      <c r="D25" s="10">
        <f t="shared" si="0"/>
        <v>0.54166666666666663</v>
      </c>
      <c r="E25" s="10">
        <f t="shared" si="1"/>
        <v>0.5</v>
      </c>
      <c r="F25" s="10">
        <f t="shared" si="2"/>
        <v>0.54166666666666663</v>
      </c>
      <c r="G25" s="10">
        <f t="shared" si="3"/>
        <v>0.3125</v>
      </c>
      <c r="H25" s="10">
        <f t="shared" si="4"/>
        <v>0.17604166666666662</v>
      </c>
      <c r="I25" s="10">
        <f t="shared" si="5"/>
        <v>6.25E-2</v>
      </c>
      <c r="J25" s="10">
        <f t="shared" si="6"/>
        <v>0.7379912663755458</v>
      </c>
      <c r="K25" s="11" t="str">
        <f t="shared" si="7"/>
        <v>High</v>
      </c>
    </row>
    <row r="26" spans="1:11">
      <c r="A26" s="9" t="s">
        <v>11</v>
      </c>
      <c r="B26" s="10" t="s">
        <v>9</v>
      </c>
      <c r="C26" s="10" t="s">
        <v>8</v>
      </c>
      <c r="D26" s="10">
        <f t="shared" si="0"/>
        <v>0.20833333333333334</v>
      </c>
      <c r="E26" s="10">
        <f t="shared" si="1"/>
        <v>0.3125</v>
      </c>
      <c r="F26" s="10">
        <f t="shared" si="2"/>
        <v>0.54166666666666663</v>
      </c>
      <c r="G26" s="10">
        <f t="shared" si="3"/>
        <v>0.3125</v>
      </c>
      <c r="H26" s="10">
        <f t="shared" si="4"/>
        <v>6.7708333333333329E-2</v>
      </c>
      <c r="I26" s="10">
        <f t="shared" si="5"/>
        <v>3.90625E-2</v>
      </c>
      <c r="J26" s="10">
        <f t="shared" si="6"/>
        <v>0.63414634146341464</v>
      </c>
      <c r="K26" s="11" t="str">
        <f t="shared" si="7"/>
        <v>High</v>
      </c>
    </row>
    <row r="27" spans="1:11">
      <c r="A27" s="9" t="s">
        <v>7</v>
      </c>
      <c r="B27" s="10" t="s">
        <v>5</v>
      </c>
      <c r="C27" s="10" t="s">
        <v>6</v>
      </c>
      <c r="D27" s="10">
        <f t="shared" si="0"/>
        <v>0.54166666666666663</v>
      </c>
      <c r="E27" s="10">
        <f t="shared" si="1"/>
        <v>0.5</v>
      </c>
      <c r="F27" s="10">
        <f t="shared" si="2"/>
        <v>0.45833333333333331</v>
      </c>
      <c r="G27" s="10">
        <f t="shared" si="3"/>
        <v>0.6875</v>
      </c>
      <c r="H27" s="10">
        <f t="shared" si="4"/>
        <v>0.1489583333333333</v>
      </c>
      <c r="I27" s="10">
        <f t="shared" si="5"/>
        <v>0.13750000000000001</v>
      </c>
      <c r="J27" s="10">
        <f t="shared" si="6"/>
        <v>0.51999999999999991</v>
      </c>
      <c r="K27" s="11" t="str">
        <f t="shared" si="7"/>
        <v>High</v>
      </c>
    </row>
    <row r="28" spans="1:11">
      <c r="A28" s="9" t="s">
        <v>7</v>
      </c>
      <c r="B28" s="10" t="s">
        <v>5</v>
      </c>
      <c r="C28" s="10" t="s">
        <v>6</v>
      </c>
      <c r="D28" s="10">
        <f t="shared" si="0"/>
        <v>0.54166666666666663</v>
      </c>
      <c r="E28" s="10">
        <f t="shared" si="1"/>
        <v>0.5</v>
      </c>
      <c r="F28" s="10">
        <f t="shared" si="2"/>
        <v>0.45833333333333331</v>
      </c>
      <c r="G28" s="10">
        <f t="shared" si="3"/>
        <v>0.6875</v>
      </c>
      <c r="H28" s="10">
        <f t="shared" si="4"/>
        <v>0.1489583333333333</v>
      </c>
      <c r="I28" s="10">
        <f t="shared" si="5"/>
        <v>0.13750000000000001</v>
      </c>
      <c r="J28" s="10">
        <f t="shared" si="6"/>
        <v>0.51999999999999991</v>
      </c>
      <c r="K28" s="11" t="str">
        <f t="shared" si="7"/>
        <v>High</v>
      </c>
    </row>
    <row r="29" spans="1:11">
      <c r="A29" s="9" t="s">
        <v>7</v>
      </c>
      <c r="B29" s="10" t="s">
        <v>9</v>
      </c>
      <c r="C29" s="10" t="s">
        <v>6</v>
      </c>
      <c r="D29" s="10">
        <f t="shared" si="0"/>
        <v>0.54166666666666663</v>
      </c>
      <c r="E29" s="10">
        <f t="shared" si="1"/>
        <v>0.5</v>
      </c>
      <c r="F29" s="10">
        <f t="shared" si="2"/>
        <v>0.54166666666666663</v>
      </c>
      <c r="G29" s="10">
        <f t="shared" si="3"/>
        <v>0.3125</v>
      </c>
      <c r="H29" s="10">
        <f t="shared" si="4"/>
        <v>0.17604166666666662</v>
      </c>
      <c r="I29" s="10">
        <f t="shared" si="5"/>
        <v>6.25E-2</v>
      </c>
      <c r="J29" s="10">
        <f t="shared" si="6"/>
        <v>0.7379912663755458</v>
      </c>
      <c r="K29" s="11" t="str">
        <f t="shared" si="7"/>
        <v>High</v>
      </c>
    </row>
    <row r="30" spans="1:11">
      <c r="A30" s="9" t="s">
        <v>7</v>
      </c>
      <c r="B30" s="10" t="s">
        <v>9</v>
      </c>
      <c r="C30" s="10" t="s">
        <v>6</v>
      </c>
      <c r="D30" s="10">
        <f t="shared" si="0"/>
        <v>0.54166666666666663</v>
      </c>
      <c r="E30" s="10">
        <f t="shared" si="1"/>
        <v>0.5</v>
      </c>
      <c r="F30" s="10">
        <f t="shared" si="2"/>
        <v>0.54166666666666663</v>
      </c>
      <c r="G30" s="10">
        <f t="shared" si="3"/>
        <v>0.3125</v>
      </c>
      <c r="H30" s="10">
        <f t="shared" si="4"/>
        <v>0.17604166666666662</v>
      </c>
      <c r="I30" s="10">
        <f t="shared" si="5"/>
        <v>6.25E-2</v>
      </c>
      <c r="J30" s="10">
        <f t="shared" si="6"/>
        <v>0.7379912663755458</v>
      </c>
      <c r="K30" s="11" t="str">
        <f t="shared" si="7"/>
        <v>High</v>
      </c>
    </row>
    <row r="31" spans="1:11">
      <c r="A31" s="9" t="s">
        <v>7</v>
      </c>
      <c r="B31" s="10" t="s">
        <v>5</v>
      </c>
      <c r="C31" s="10" t="s">
        <v>8</v>
      </c>
      <c r="D31" s="10">
        <f t="shared" si="0"/>
        <v>0.54166666666666663</v>
      </c>
      <c r="E31" s="10">
        <f t="shared" si="1"/>
        <v>0.5</v>
      </c>
      <c r="F31" s="10">
        <f t="shared" si="2"/>
        <v>0.45833333333333331</v>
      </c>
      <c r="G31" s="10">
        <f t="shared" si="3"/>
        <v>0.6875</v>
      </c>
      <c r="H31" s="10">
        <f t="shared" si="4"/>
        <v>0.1489583333333333</v>
      </c>
      <c r="I31" s="10">
        <f t="shared" si="5"/>
        <v>0.13750000000000001</v>
      </c>
      <c r="J31" s="10">
        <f t="shared" si="6"/>
        <v>0.51999999999999991</v>
      </c>
      <c r="K31" s="11" t="str">
        <f t="shared" si="7"/>
        <v>High</v>
      </c>
    </row>
    <row r="32" spans="1:11">
      <c r="A32" s="9" t="s">
        <v>12</v>
      </c>
      <c r="B32" s="10" t="s">
        <v>5</v>
      </c>
      <c r="C32" s="10" t="s">
        <v>6</v>
      </c>
      <c r="D32" s="10">
        <f t="shared" si="0"/>
        <v>4.1666666666666664E-2</v>
      </c>
      <c r="E32" s="10">
        <f t="shared" si="1"/>
        <v>0.125</v>
      </c>
      <c r="F32" s="10">
        <f t="shared" si="2"/>
        <v>0.45833333333333331</v>
      </c>
      <c r="G32" s="10">
        <f t="shared" si="3"/>
        <v>0.6875</v>
      </c>
      <c r="H32" s="10">
        <f t="shared" si="4"/>
        <v>1.1458333333333333E-2</v>
      </c>
      <c r="I32" s="10">
        <f t="shared" si="5"/>
        <v>3.4375000000000003E-2</v>
      </c>
      <c r="J32" s="10">
        <f t="shared" si="6"/>
        <v>0.24999999999999997</v>
      </c>
      <c r="K32" s="11" t="str">
        <f t="shared" si="7"/>
        <v>Normal</v>
      </c>
    </row>
    <row r="33" spans="1:11">
      <c r="A33" s="9" t="s">
        <v>12</v>
      </c>
      <c r="B33" s="10" t="s">
        <v>5</v>
      </c>
      <c r="C33" s="10" t="s">
        <v>8</v>
      </c>
      <c r="D33" s="10">
        <f t="shared" si="0"/>
        <v>4.1666666666666664E-2</v>
      </c>
      <c r="E33" s="10">
        <f t="shared" si="1"/>
        <v>0.125</v>
      </c>
      <c r="F33" s="10">
        <f t="shared" si="2"/>
        <v>0.45833333333333331</v>
      </c>
      <c r="G33" s="10">
        <f t="shared" si="3"/>
        <v>0.6875</v>
      </c>
      <c r="H33" s="10">
        <f t="shared" si="4"/>
        <v>1.1458333333333333E-2</v>
      </c>
      <c r="I33" s="10">
        <f t="shared" si="5"/>
        <v>3.4375000000000003E-2</v>
      </c>
      <c r="J33" s="10">
        <f t="shared" si="6"/>
        <v>0.24999999999999997</v>
      </c>
      <c r="K33" s="11" t="str">
        <f t="shared" si="7"/>
        <v>Normal</v>
      </c>
    </row>
    <row r="34" spans="1:11">
      <c r="A34" s="9" t="s">
        <v>11</v>
      </c>
      <c r="B34" s="10" t="s">
        <v>9</v>
      </c>
      <c r="C34" s="10" t="s">
        <v>6</v>
      </c>
      <c r="D34" s="10">
        <f t="shared" si="0"/>
        <v>0.20833333333333334</v>
      </c>
      <c r="E34" s="10">
        <f t="shared" si="1"/>
        <v>0.3125</v>
      </c>
      <c r="F34" s="10">
        <f t="shared" si="2"/>
        <v>0.54166666666666663</v>
      </c>
      <c r="G34" s="10">
        <f t="shared" si="3"/>
        <v>0.3125</v>
      </c>
      <c r="H34" s="10">
        <f t="shared" si="4"/>
        <v>6.7708333333333329E-2</v>
      </c>
      <c r="I34" s="10">
        <f t="shared" si="5"/>
        <v>3.90625E-2</v>
      </c>
      <c r="J34" s="10">
        <f t="shared" si="6"/>
        <v>0.63414634146341464</v>
      </c>
      <c r="K34" s="11" t="str">
        <f t="shared" si="7"/>
        <v>High</v>
      </c>
    </row>
    <row r="35" spans="1:11">
      <c r="A35" s="9" t="s">
        <v>7</v>
      </c>
      <c r="B35" s="10" t="s">
        <v>5</v>
      </c>
      <c r="C35" s="10" t="s">
        <v>6</v>
      </c>
      <c r="D35" s="10">
        <f t="shared" si="0"/>
        <v>0.54166666666666663</v>
      </c>
      <c r="E35" s="10">
        <f t="shared" si="1"/>
        <v>0.5</v>
      </c>
      <c r="F35" s="10">
        <f t="shared" si="2"/>
        <v>0.45833333333333331</v>
      </c>
      <c r="G35" s="10">
        <f t="shared" si="3"/>
        <v>0.6875</v>
      </c>
      <c r="H35" s="10">
        <f t="shared" si="4"/>
        <v>0.1489583333333333</v>
      </c>
      <c r="I35" s="10">
        <f t="shared" si="5"/>
        <v>0.13750000000000001</v>
      </c>
      <c r="J35" s="10">
        <f t="shared" si="6"/>
        <v>0.51999999999999991</v>
      </c>
      <c r="K35" s="11" t="str">
        <f t="shared" si="7"/>
        <v>High</v>
      </c>
    </row>
    <row r="36" spans="1:11">
      <c r="A36" s="9" t="s">
        <v>11</v>
      </c>
      <c r="B36" s="10" t="s">
        <v>9</v>
      </c>
      <c r="C36" s="10" t="s">
        <v>6</v>
      </c>
      <c r="D36" s="10">
        <f t="shared" si="0"/>
        <v>0.20833333333333334</v>
      </c>
      <c r="E36" s="10">
        <f t="shared" si="1"/>
        <v>0.3125</v>
      </c>
      <c r="F36" s="10">
        <f t="shared" si="2"/>
        <v>0.54166666666666663</v>
      </c>
      <c r="G36" s="10">
        <f t="shared" si="3"/>
        <v>0.3125</v>
      </c>
      <c r="H36" s="10">
        <f t="shared" si="4"/>
        <v>6.7708333333333329E-2</v>
      </c>
      <c r="I36" s="10">
        <f t="shared" si="5"/>
        <v>3.90625E-2</v>
      </c>
      <c r="J36" s="10">
        <f t="shared" si="6"/>
        <v>0.63414634146341464</v>
      </c>
      <c r="K36" s="11" t="str">
        <f t="shared" si="7"/>
        <v>High</v>
      </c>
    </row>
    <row r="37" spans="1:11">
      <c r="A37" s="9" t="s">
        <v>7</v>
      </c>
      <c r="B37" s="10" t="s">
        <v>5</v>
      </c>
      <c r="C37" s="10" t="s">
        <v>8</v>
      </c>
      <c r="D37" s="10">
        <f t="shared" si="0"/>
        <v>0.54166666666666663</v>
      </c>
      <c r="E37" s="10">
        <f t="shared" si="1"/>
        <v>0.5</v>
      </c>
      <c r="F37" s="10">
        <f t="shared" si="2"/>
        <v>0.45833333333333331</v>
      </c>
      <c r="G37" s="10">
        <f t="shared" si="3"/>
        <v>0.6875</v>
      </c>
      <c r="H37" s="10">
        <f t="shared" si="4"/>
        <v>0.1489583333333333</v>
      </c>
      <c r="I37" s="10">
        <f t="shared" si="5"/>
        <v>0.13750000000000001</v>
      </c>
      <c r="J37" s="10">
        <f t="shared" si="6"/>
        <v>0.51999999999999991</v>
      </c>
      <c r="K37" s="11" t="str">
        <f t="shared" si="7"/>
        <v>High</v>
      </c>
    </row>
    <row r="38" spans="1:11">
      <c r="A38" s="9" t="s">
        <v>11</v>
      </c>
      <c r="B38" s="10" t="s">
        <v>9</v>
      </c>
      <c r="C38" s="10" t="s">
        <v>8</v>
      </c>
      <c r="D38" s="10">
        <f t="shared" si="0"/>
        <v>0.20833333333333334</v>
      </c>
      <c r="E38" s="10">
        <f t="shared" si="1"/>
        <v>0.3125</v>
      </c>
      <c r="F38" s="10">
        <f t="shared" si="2"/>
        <v>0.54166666666666663</v>
      </c>
      <c r="G38" s="10">
        <f t="shared" si="3"/>
        <v>0.3125</v>
      </c>
      <c r="H38" s="10">
        <f t="shared" si="4"/>
        <v>6.7708333333333329E-2</v>
      </c>
      <c r="I38" s="10">
        <f t="shared" si="5"/>
        <v>3.90625E-2</v>
      </c>
      <c r="J38" s="10">
        <f t="shared" si="6"/>
        <v>0.63414634146341464</v>
      </c>
      <c r="K38" s="11" t="str">
        <f t="shared" si="7"/>
        <v>High</v>
      </c>
    </row>
    <row r="39" spans="1:11">
      <c r="A39" s="9" t="s">
        <v>10</v>
      </c>
      <c r="B39" s="10" t="s">
        <v>9</v>
      </c>
      <c r="C39" s="10" t="s">
        <v>6</v>
      </c>
      <c r="D39" s="10">
        <f t="shared" si="0"/>
        <v>0.16666666666666666</v>
      </c>
      <c r="E39" s="10">
        <f t="shared" si="1"/>
        <v>0</v>
      </c>
      <c r="F39" s="10">
        <f t="shared" si="2"/>
        <v>0.54166666666666663</v>
      </c>
      <c r="G39" s="10">
        <f t="shared" si="3"/>
        <v>0.3125</v>
      </c>
      <c r="H39" s="10">
        <f t="shared" si="4"/>
        <v>5.4166666666666655E-2</v>
      </c>
      <c r="I39" s="10">
        <f t="shared" si="5"/>
        <v>0</v>
      </c>
      <c r="J39" s="10">
        <f t="shared" si="6"/>
        <v>1</v>
      </c>
      <c r="K39" s="11" t="str">
        <f t="shared" si="7"/>
        <v>High</v>
      </c>
    </row>
    <row r="40" spans="1:11">
      <c r="A40" s="9" t="s">
        <v>10</v>
      </c>
      <c r="B40" s="10" t="s">
        <v>9</v>
      </c>
      <c r="C40" s="10" t="s">
        <v>6</v>
      </c>
      <c r="D40" s="10">
        <f t="shared" si="0"/>
        <v>0.16666666666666666</v>
      </c>
      <c r="E40" s="10">
        <f t="shared" si="1"/>
        <v>0</v>
      </c>
      <c r="F40" s="10">
        <f t="shared" si="2"/>
        <v>0.54166666666666663</v>
      </c>
      <c r="G40" s="10">
        <f t="shared" si="3"/>
        <v>0.3125</v>
      </c>
      <c r="H40" s="10">
        <f t="shared" si="4"/>
        <v>5.4166666666666655E-2</v>
      </c>
      <c r="I40" s="10">
        <f t="shared" si="5"/>
        <v>0</v>
      </c>
      <c r="J40" s="10">
        <f t="shared" si="6"/>
        <v>1</v>
      </c>
      <c r="K40" s="11" t="str">
        <f t="shared" si="7"/>
        <v>High</v>
      </c>
    </row>
    <row r="41" spans="1:11">
      <c r="A41" s="9" t="s">
        <v>11</v>
      </c>
      <c r="B41" s="10" t="s">
        <v>5</v>
      </c>
      <c r="C41" s="10" t="s">
        <v>6</v>
      </c>
      <c r="D41" s="10">
        <f t="shared" si="0"/>
        <v>0.20833333333333334</v>
      </c>
      <c r="E41" s="10">
        <f t="shared" si="1"/>
        <v>0.3125</v>
      </c>
      <c r="F41" s="10">
        <f t="shared" si="2"/>
        <v>0.45833333333333331</v>
      </c>
      <c r="G41" s="10">
        <f t="shared" si="3"/>
        <v>0.6875</v>
      </c>
      <c r="H41" s="10">
        <f t="shared" si="4"/>
        <v>5.7291666666666657E-2</v>
      </c>
      <c r="I41" s="10">
        <f t="shared" si="5"/>
        <v>8.59375E-2</v>
      </c>
      <c r="J41" s="10">
        <f t="shared" si="6"/>
        <v>0.39999999999999997</v>
      </c>
      <c r="K41" s="11" t="str">
        <f t="shared" si="7"/>
        <v>Normal</v>
      </c>
    </row>
    <row r="42" spans="1:11">
      <c r="A42" s="12" t="s">
        <v>7</v>
      </c>
      <c r="B42" s="13" t="s">
        <v>5</v>
      </c>
      <c r="C42" s="13" t="s">
        <v>6</v>
      </c>
      <c r="D42" s="13">
        <f t="shared" si="0"/>
        <v>0.54166666666666663</v>
      </c>
      <c r="E42" s="13">
        <f t="shared" si="1"/>
        <v>0.5</v>
      </c>
      <c r="F42" s="13">
        <f t="shared" si="2"/>
        <v>0.45833333333333331</v>
      </c>
      <c r="G42" s="13">
        <f t="shared" si="3"/>
        <v>0.6875</v>
      </c>
      <c r="H42" s="13">
        <f t="shared" si="4"/>
        <v>0.1489583333333333</v>
      </c>
      <c r="I42" s="13">
        <f t="shared" si="5"/>
        <v>0.13750000000000001</v>
      </c>
      <c r="J42" s="13">
        <f t="shared" si="6"/>
        <v>0.51999999999999991</v>
      </c>
      <c r="K42" s="14" t="str">
        <f t="shared" si="7"/>
        <v>High</v>
      </c>
    </row>
    <row r="46" spans="1:11" ht="19.5" thickBot="1"/>
    <row r="47" spans="1:11">
      <c r="A47" s="97" t="s">
        <v>13</v>
      </c>
      <c r="B47" s="98" t="s">
        <v>14</v>
      </c>
      <c r="C47" s="98"/>
      <c r="D47" s="99"/>
      <c r="F47" s="93" t="s">
        <v>25</v>
      </c>
      <c r="G47" s="95" t="s">
        <v>26</v>
      </c>
    </row>
    <row r="48" spans="1:11">
      <c r="A48" s="100" t="s">
        <v>15</v>
      </c>
      <c r="B48" s="101" t="s">
        <v>6</v>
      </c>
      <c r="C48" s="101" t="s">
        <v>8</v>
      </c>
      <c r="D48" s="102" t="s">
        <v>16</v>
      </c>
      <c r="F48" s="18" t="s">
        <v>27</v>
      </c>
      <c r="G48" s="11" t="s">
        <v>29</v>
      </c>
    </row>
    <row r="49" spans="1:15">
      <c r="A49" s="17" t="s">
        <v>7</v>
      </c>
      <c r="B49" s="19">
        <v>0.54166666666666663</v>
      </c>
      <c r="C49" s="19">
        <v>0.5</v>
      </c>
      <c r="D49" s="20">
        <v>0.52500000000000002</v>
      </c>
      <c r="F49" s="18" t="s">
        <v>28</v>
      </c>
      <c r="G49" s="11" t="s">
        <v>30</v>
      </c>
    </row>
    <row r="50" spans="1:15">
      <c r="A50" s="17" t="s">
        <v>12</v>
      </c>
      <c r="B50" s="19">
        <v>4.1666666666666664E-2</v>
      </c>
      <c r="C50" s="19">
        <v>0.125</v>
      </c>
      <c r="D50" s="20">
        <v>7.4999999999999997E-2</v>
      </c>
      <c r="F50" s="18" t="s">
        <v>32</v>
      </c>
      <c r="G50" s="11" t="s">
        <v>1</v>
      </c>
    </row>
    <row r="51" spans="1:15">
      <c r="A51" s="17" t="s">
        <v>4</v>
      </c>
      <c r="B51" s="19">
        <v>4.1666666666666664E-2</v>
      </c>
      <c r="C51" s="19">
        <v>6.25E-2</v>
      </c>
      <c r="D51" s="20">
        <v>0.05</v>
      </c>
      <c r="F51" s="21" t="s">
        <v>31</v>
      </c>
      <c r="G51" s="14" t="s">
        <v>2</v>
      </c>
    </row>
    <row r="52" spans="1:15">
      <c r="A52" s="17" t="s">
        <v>11</v>
      </c>
      <c r="B52" s="19">
        <v>0.20833333333333334</v>
      </c>
      <c r="C52" s="19">
        <v>0.3125</v>
      </c>
      <c r="D52" s="20">
        <v>0.25</v>
      </c>
    </row>
    <row r="53" spans="1:15">
      <c r="A53" s="17" t="s">
        <v>10</v>
      </c>
      <c r="B53" s="19">
        <v>0.16666666666666666</v>
      </c>
      <c r="C53" s="19">
        <v>0</v>
      </c>
      <c r="D53" s="20">
        <v>0.1</v>
      </c>
    </row>
    <row r="54" spans="1:15" ht="19.5" thickBot="1">
      <c r="A54" s="22" t="s">
        <v>16</v>
      </c>
      <c r="B54" s="23">
        <v>1</v>
      </c>
      <c r="C54" s="23">
        <v>1</v>
      </c>
      <c r="D54" s="24">
        <v>1</v>
      </c>
      <c r="O54" s="26"/>
    </row>
    <row r="55" spans="1:15" ht="19.5" thickBot="1">
      <c r="A55" s="25"/>
      <c r="B55" s="25"/>
      <c r="C55" s="25"/>
      <c r="D55" s="25"/>
      <c r="F55" s="7" t="s">
        <v>35</v>
      </c>
      <c r="G55" s="7"/>
      <c r="H55" s="7"/>
      <c r="I55" s="7"/>
    </row>
    <row r="56" spans="1:15">
      <c r="A56" s="107" t="s">
        <v>13</v>
      </c>
      <c r="B56" s="108" t="s">
        <v>14</v>
      </c>
      <c r="C56" s="108"/>
      <c r="D56" s="109"/>
      <c r="F56" s="103" t="s">
        <v>13</v>
      </c>
      <c r="G56" s="103" t="s">
        <v>14</v>
      </c>
      <c r="H56" s="104"/>
      <c r="I56" s="104"/>
    </row>
    <row r="57" spans="1:15">
      <c r="A57" s="110" t="s">
        <v>15</v>
      </c>
      <c r="B57" s="111" t="s">
        <v>6</v>
      </c>
      <c r="C57" s="111" t="s">
        <v>8</v>
      </c>
      <c r="D57" s="112" t="s">
        <v>16</v>
      </c>
      <c r="F57" s="103" t="s">
        <v>15</v>
      </c>
      <c r="G57" s="104" t="s">
        <v>6</v>
      </c>
      <c r="H57" s="104" t="s">
        <v>8</v>
      </c>
      <c r="I57" s="104" t="s">
        <v>16</v>
      </c>
    </row>
    <row r="58" spans="1:15">
      <c r="A58" s="17" t="s">
        <v>5</v>
      </c>
      <c r="B58" s="19">
        <v>0.45833333333333331</v>
      </c>
      <c r="C58" s="19">
        <v>0.6875</v>
      </c>
      <c r="D58" s="20">
        <v>0.55000000000000004</v>
      </c>
      <c r="F58" s="8" t="s">
        <v>6</v>
      </c>
      <c r="G58" s="27">
        <v>0.875</v>
      </c>
      <c r="H58" s="27">
        <v>0.8125</v>
      </c>
      <c r="I58" s="27">
        <v>0.85</v>
      </c>
    </row>
    <row r="59" spans="1:15">
      <c r="A59" s="17" t="s">
        <v>9</v>
      </c>
      <c r="B59" s="19">
        <v>0.54166666666666663</v>
      </c>
      <c r="C59" s="19">
        <v>0.3125</v>
      </c>
      <c r="D59" s="20">
        <v>0.45</v>
      </c>
      <c r="F59" s="8" t="s">
        <v>8</v>
      </c>
      <c r="G59" s="27">
        <v>0.125</v>
      </c>
      <c r="H59" s="27">
        <v>0.1875</v>
      </c>
      <c r="I59" s="27">
        <v>0.15</v>
      </c>
    </row>
    <row r="60" spans="1:15" ht="19.5" thickBot="1">
      <c r="A60" s="22" t="s">
        <v>16</v>
      </c>
      <c r="B60" s="23">
        <v>1</v>
      </c>
      <c r="C60" s="23">
        <v>1</v>
      </c>
      <c r="D60" s="24">
        <v>1</v>
      </c>
      <c r="F60" s="8" t="s">
        <v>16</v>
      </c>
      <c r="G60" s="27">
        <v>1</v>
      </c>
      <c r="H60" s="27">
        <v>1</v>
      </c>
      <c r="I60" s="27">
        <v>1</v>
      </c>
    </row>
    <row r="61" spans="1:15">
      <c r="A61" s="25"/>
      <c r="B61" s="25"/>
      <c r="C61" s="25"/>
      <c r="D61" s="25"/>
    </row>
    <row r="62" spans="1:15" ht="19.5" thickBot="1">
      <c r="A62" s="25"/>
      <c r="B62" s="25"/>
      <c r="C62" s="25"/>
      <c r="D62" s="25"/>
    </row>
    <row r="63" spans="1:15">
      <c r="A63" s="107" t="s">
        <v>15</v>
      </c>
      <c r="B63" s="109" t="s">
        <v>13</v>
      </c>
      <c r="C63" s="25"/>
      <c r="D63" s="25"/>
      <c r="F63" s="7" t="s">
        <v>34</v>
      </c>
      <c r="G63" s="7"/>
      <c r="H63" s="7"/>
      <c r="I63" s="7"/>
    </row>
    <row r="64" spans="1:15">
      <c r="A64" s="17" t="s">
        <v>6</v>
      </c>
      <c r="B64" s="20">
        <v>0.6</v>
      </c>
      <c r="C64" s="25"/>
      <c r="D64" s="25"/>
      <c r="F64" s="105" t="s">
        <v>13</v>
      </c>
      <c r="G64" s="105" t="s">
        <v>14</v>
      </c>
      <c r="H64" s="106"/>
      <c r="I64" s="106"/>
    </row>
    <row r="65" spans="1:9">
      <c r="A65" s="17" t="s">
        <v>8</v>
      </c>
      <c r="B65" s="20">
        <v>0.4</v>
      </c>
      <c r="C65" s="25"/>
      <c r="D65" s="25"/>
      <c r="F65" s="105" t="s">
        <v>15</v>
      </c>
      <c r="G65" s="106" t="s">
        <v>6</v>
      </c>
      <c r="H65" s="106" t="s">
        <v>8</v>
      </c>
      <c r="I65" s="106" t="s">
        <v>16</v>
      </c>
    </row>
    <row r="66" spans="1:9" ht="19.5" thickBot="1">
      <c r="A66" s="22" t="s">
        <v>16</v>
      </c>
      <c r="B66" s="24">
        <v>1</v>
      </c>
      <c r="C66" s="25"/>
      <c r="D66" s="25"/>
      <c r="F66" s="28" t="s">
        <v>6</v>
      </c>
      <c r="G66" s="29">
        <v>0.5</v>
      </c>
      <c r="H66" s="29">
        <v>0.66666666666666663</v>
      </c>
      <c r="I66" s="29">
        <v>0.6</v>
      </c>
    </row>
    <row r="67" spans="1:9">
      <c r="F67" s="28" t="s">
        <v>8</v>
      </c>
      <c r="G67" s="29">
        <v>0.5</v>
      </c>
      <c r="H67" s="29">
        <v>0.33333333333333331</v>
      </c>
      <c r="I67" s="29">
        <v>0.4</v>
      </c>
    </row>
    <row r="68" spans="1:9">
      <c r="F68" s="28" t="s">
        <v>16</v>
      </c>
      <c r="G68" s="29">
        <v>1</v>
      </c>
      <c r="H68" s="29">
        <v>1</v>
      </c>
      <c r="I68" s="29">
        <v>1</v>
      </c>
    </row>
    <row r="69" spans="1:9">
      <c r="F69" s="30"/>
      <c r="G69" s="30"/>
      <c r="H69" s="30"/>
    </row>
    <row r="70" spans="1:9">
      <c r="F70" s="30"/>
      <c r="G70" s="30"/>
      <c r="H70" s="30"/>
    </row>
    <row r="71" spans="1:9">
      <c r="F71" s="30"/>
      <c r="G71" s="30"/>
      <c r="H71" s="30"/>
    </row>
    <row r="72" spans="1:9">
      <c r="F72" s="30"/>
      <c r="G72" s="30"/>
      <c r="H72" s="30"/>
    </row>
    <row r="73" spans="1:9">
      <c r="F73" s="30"/>
      <c r="G73" s="30"/>
      <c r="H73" s="30"/>
    </row>
    <row r="74" spans="1:9">
      <c r="F74" s="30"/>
      <c r="G74" s="30"/>
      <c r="H74" s="30"/>
    </row>
    <row r="75" spans="1:9">
      <c r="F75" s="30"/>
      <c r="G75" s="30"/>
      <c r="H75" s="30"/>
    </row>
    <row r="76" spans="1:9">
      <c r="F76" s="30"/>
      <c r="G76" s="30"/>
      <c r="H76" s="30"/>
    </row>
    <row r="77" spans="1:9">
      <c r="F77" s="30"/>
      <c r="G77" s="30"/>
      <c r="H77" s="30"/>
    </row>
    <row r="78" spans="1:9">
      <c r="F78" s="30"/>
      <c r="G78" s="30"/>
      <c r="H78" s="30"/>
    </row>
    <row r="79" spans="1:9">
      <c r="F79" s="30"/>
      <c r="G79" s="30"/>
      <c r="H79" s="30"/>
    </row>
    <row r="80" spans="1:9">
      <c r="F80" s="30"/>
      <c r="G80" s="30"/>
      <c r="H80" s="30"/>
    </row>
    <row r="81" spans="6:8">
      <c r="F81" s="30"/>
      <c r="G81" s="30"/>
      <c r="H81" s="30"/>
    </row>
  </sheetData>
  <mergeCells count="4">
    <mergeCell ref="F55:I55"/>
    <mergeCell ref="A1:K1"/>
    <mergeCell ref="M1:W1"/>
    <mergeCell ref="F63:I63"/>
  </mergeCells>
  <phoneticPr fontId="3" type="noConversion"/>
  <pageMargins left="0.7" right="0.7" top="0.75" bottom="0.75" header="0.3" footer="0.3"/>
  <tableParts count="3"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3A90-37BA-422F-9BEA-4DD837131F7A}">
  <dimension ref="A1:S59"/>
  <sheetViews>
    <sheetView tabSelected="1" zoomScale="48" zoomScaleNormal="85" workbookViewId="0">
      <selection activeCell="K46" sqref="K46"/>
    </sheetView>
  </sheetViews>
  <sheetFormatPr defaultRowHeight="18.75"/>
  <cols>
    <col min="1" max="1" width="21.28515625" style="57" bestFit="1" customWidth="1"/>
    <col min="2" max="2" width="16.28515625" style="57" bestFit="1" customWidth="1"/>
    <col min="3" max="3" width="20.42578125" style="57" bestFit="1" customWidth="1"/>
    <col min="4" max="4" width="21" style="57" bestFit="1" customWidth="1"/>
    <col min="5" max="5" width="25.140625" style="57" bestFit="1" customWidth="1"/>
    <col min="6" max="6" width="33.140625" style="57" bestFit="1" customWidth="1"/>
    <col min="7" max="7" width="37.7109375" style="57" bestFit="1" customWidth="1"/>
    <col min="8" max="8" width="38.28515625" style="57" bestFit="1" customWidth="1"/>
    <col min="9" max="9" width="41.28515625" style="57" bestFit="1" customWidth="1"/>
    <col min="10" max="10" width="35.85546875" style="57" bestFit="1" customWidth="1"/>
    <col min="11" max="11" width="85.28515625" style="57" bestFit="1" customWidth="1"/>
    <col min="12" max="12" width="22.140625" style="57" bestFit="1" customWidth="1"/>
    <col min="13" max="13" width="41.28515625" style="57" bestFit="1" customWidth="1"/>
    <col min="14" max="14" width="22.140625" style="57" bestFit="1" customWidth="1"/>
    <col min="15" max="15" width="41.28515625" style="57" bestFit="1" customWidth="1"/>
    <col min="16" max="16" width="22.140625" style="57" bestFit="1" customWidth="1"/>
    <col min="17" max="17" width="41.28515625" style="57" bestFit="1" customWidth="1"/>
    <col min="18" max="18" width="22.140625" style="57" bestFit="1" customWidth="1"/>
    <col min="19" max="16384" width="9.140625" style="57"/>
  </cols>
  <sheetData>
    <row r="1" spans="1:19" ht="26.25">
      <c r="A1" s="5" t="s">
        <v>114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>
      <c r="A2" s="69" t="s">
        <v>2</v>
      </c>
      <c r="B2" s="54" t="s">
        <v>90</v>
      </c>
      <c r="C2" s="54" t="s">
        <v>91</v>
      </c>
      <c r="D2" s="54" t="s">
        <v>92</v>
      </c>
      <c r="E2" s="54" t="s">
        <v>3</v>
      </c>
      <c r="F2" s="55" t="s">
        <v>93</v>
      </c>
      <c r="G2" s="55" t="s">
        <v>94</v>
      </c>
      <c r="H2" s="55" t="s">
        <v>95</v>
      </c>
      <c r="I2" s="56" t="s">
        <v>96</v>
      </c>
      <c r="J2" s="56" t="s">
        <v>97</v>
      </c>
      <c r="K2" s="56" t="s">
        <v>98</v>
      </c>
      <c r="L2" s="56" t="s">
        <v>99</v>
      </c>
      <c r="M2" s="56" t="s">
        <v>100</v>
      </c>
      <c r="N2" s="56" t="s">
        <v>101</v>
      </c>
      <c r="O2" s="56" t="s">
        <v>102</v>
      </c>
      <c r="P2" s="56" t="s">
        <v>103</v>
      </c>
      <c r="Q2" s="56" t="s">
        <v>104</v>
      </c>
      <c r="R2" s="71" t="s">
        <v>105</v>
      </c>
    </row>
    <row r="3" spans="1:19">
      <c r="A3" s="70" t="s">
        <v>5</v>
      </c>
      <c r="B3" s="58">
        <v>57</v>
      </c>
      <c r="C3" s="58">
        <v>62.25</v>
      </c>
      <c r="D3" s="58">
        <v>132</v>
      </c>
      <c r="E3" s="58" t="s">
        <v>6</v>
      </c>
      <c r="F3" s="58">
        <f>(B3-$B$57)/($B$56-$B$57)</f>
        <v>0.8</v>
      </c>
      <c r="G3" s="58">
        <f>(C3-$C$57)/($C$56-$C$57)</f>
        <v>0.40833333333333333</v>
      </c>
      <c r="H3" s="58">
        <f>(D3-$D$57)/($D$56-$D$57)</f>
        <v>0.32800000000000001</v>
      </c>
      <c r="I3" s="58">
        <f>SQRT((F3-$F$47)^2+(G3-$G$47)^2+(H3-$H$47)^2+IF(A3=$A$47,0,1))</f>
        <v>0.47974310255015074</v>
      </c>
      <c r="J3" s="58">
        <f t="shared" ref="J3:J42" si="0">RANK(I3, $I$3:$I$42,1)</f>
        <v>22</v>
      </c>
      <c r="K3" s="58">
        <f>SQRT((F3-$F$48)^2+(G3-$G$48)^2+(H3-$H$48)^2+IF(A3=$A$48, 0,1))</f>
        <v>0.32379159964396853</v>
      </c>
      <c r="L3" s="58">
        <f t="shared" ref="L3:L42" si="1">RANK(K3, $K$3:$K$42,1)</f>
        <v>16</v>
      </c>
      <c r="M3" s="58">
        <f>SQRT((F3-$F$49)^2+(G3-$G$49)^2+(H3-$H$49)^2+IF(A3=$A$49, 0,1))</f>
        <v>0.45321076774498648</v>
      </c>
      <c r="N3" s="58">
        <f>RANK(M3, $M$3:$M$42,1)</f>
        <v>20</v>
      </c>
      <c r="O3" s="58">
        <f>SQRT((F3-$F$50)^2+(G3-$G$50)^2+(H3-$H$50)^2+IF(A3=$A$50, 0,1))</f>
        <v>1.0218367993199524</v>
      </c>
      <c r="P3" s="58">
        <f>RANK(O3, $O$3:$O$42,1)</f>
        <v>23</v>
      </c>
      <c r="Q3" s="58">
        <f>SQRT((F3-$F$51)^2+(G3-$G$51)^2+(H3-$H$51)^2+IF(A3=$A$51, 0,1))</f>
        <v>0.2771283296797914</v>
      </c>
      <c r="R3" s="72">
        <f>RANK(Q3, $Q$3:$Q$42,1)</f>
        <v>6</v>
      </c>
    </row>
    <row r="4" spans="1:19">
      <c r="A4" s="70" t="s">
        <v>5</v>
      </c>
      <c r="B4" s="58">
        <v>48</v>
      </c>
      <c r="C4" s="58">
        <v>59.5</v>
      </c>
      <c r="D4" s="58">
        <v>137</v>
      </c>
      <c r="E4" s="58" t="s">
        <v>8</v>
      </c>
      <c r="F4" s="58">
        <f>(B4-$B$57)/($B$56-$B$57)</f>
        <v>0.57499999999999996</v>
      </c>
      <c r="G4" s="58">
        <f>(C4-$C$57)/($C$56-$C$57)</f>
        <v>0.31666666666666665</v>
      </c>
      <c r="H4" s="58">
        <f>(D4-$D$57)/($D$56-$D$57)</f>
        <v>0.34799999999999998</v>
      </c>
      <c r="I4" s="58">
        <f>SQRT((F4-$F$47)^2+(G4-$G$47)^2+(H4-$H$47)^2+IF(A4=$A$47,0,1))</f>
        <v>0.3471152546345378</v>
      </c>
      <c r="J4" s="58">
        <f t="shared" si="0"/>
        <v>7</v>
      </c>
      <c r="K4" s="58">
        <f>SQRT((F4-$F$48)^2+(G4-$G$48)^2+(H4-$H$48)^2+IF(A4=$A$48, 0,1))</f>
        <v>0.10806839398167151</v>
      </c>
      <c r="L4" s="59">
        <f t="shared" si="1"/>
        <v>1</v>
      </c>
      <c r="M4" s="58">
        <f>SQRT((F4-$F$49)^2+(G4-$G$49)^2+(H4-$H$49)^2+IF(A4=$A$49, 0,1))</f>
        <v>0.22882550362909965</v>
      </c>
      <c r="N4" s="58">
        <f t="shared" ref="N4:N42" si="2">RANK(M4, $M$3:$M$42,1)</f>
        <v>10</v>
      </c>
      <c r="O4" s="58">
        <f>SQRT((F4-$F$50)^2+(G4-$G$50)^2+(H4-$H$50)^2+IF(A4=$A$50, 0,1))</f>
        <v>1.0778293000285342</v>
      </c>
      <c r="P4" s="58">
        <f t="shared" ref="P4:P42" si="3">RANK(O4, $O$3:$O$42,1)</f>
        <v>30</v>
      </c>
      <c r="Q4" s="58">
        <f>SQRT((F4-$F$51)^2+(G4-$G$51)^2+(H4-$H$51)^2+IF(A4=$A$51, 0,1))</f>
        <v>0.10681292056675537</v>
      </c>
      <c r="R4" s="73">
        <f t="shared" ref="R4:R42" si="4">RANK(Q4, $Q$3:$Q$42,1)</f>
        <v>1</v>
      </c>
    </row>
    <row r="5" spans="1:19">
      <c r="A5" s="70" t="s">
        <v>9</v>
      </c>
      <c r="B5" s="58">
        <v>45</v>
      </c>
      <c r="C5" s="58">
        <v>62</v>
      </c>
      <c r="D5" s="58">
        <v>150</v>
      </c>
      <c r="E5" s="58" t="s">
        <v>6</v>
      </c>
      <c r="F5" s="58">
        <f>(B5-$B$57)/($B$56-$B$57)</f>
        <v>0.5</v>
      </c>
      <c r="G5" s="58">
        <f>(C5-$C$57)/($C$56-$C$57)</f>
        <v>0.4</v>
      </c>
      <c r="H5" s="58">
        <f>(D5-$D$57)/($D$56-$D$57)</f>
        <v>0.4</v>
      </c>
      <c r="I5" s="58">
        <f>SQRT((F5-$F$47)^2+(G5-$G$47)^2+(H5-$H$47)^2+IF(A5=$A$47,0,1))</f>
        <v>1.0335926556326616</v>
      </c>
      <c r="J5" s="58">
        <f t="shared" si="0"/>
        <v>27</v>
      </c>
      <c r="K5" s="58">
        <f>SQRT((F5-$F$48)^2+(G5-$G$48)^2+(H5-$H$48)^2+IF(A5=$A$48, 0,1))</f>
        <v>1.0025070794984166</v>
      </c>
      <c r="L5" s="58">
        <f t="shared" si="1"/>
        <v>23</v>
      </c>
      <c r="M5" s="58">
        <f>SQRT((F5-$F$49)^2+(G5-$G$49)^2+(H5-$H$49)^2+IF(A5=$A$49, 0,1))</f>
        <v>1.013380536181306</v>
      </c>
      <c r="N5" s="58">
        <f t="shared" si="2"/>
        <v>24</v>
      </c>
      <c r="O5" s="58">
        <f>SQRT((F5-$F$50)^2+(G5-$G$50)^2+(H5-$H$50)^2+IF(A5=$A$50, 0,1))</f>
        <v>0.412721186490078</v>
      </c>
      <c r="P5" s="58">
        <f t="shared" si="3"/>
        <v>9</v>
      </c>
      <c r="Q5" s="58">
        <f>SQRT((F5-$F$51)^2+(G5-$G$51)^2+(H5-$H$51)^2+IF(A5=$A$51, 0,1))</f>
        <v>1.0247004982486887</v>
      </c>
      <c r="R5" s="72">
        <f t="shared" si="4"/>
        <v>23</v>
      </c>
    </row>
    <row r="6" spans="1:19">
      <c r="A6" s="70" t="s">
        <v>5</v>
      </c>
      <c r="B6" s="58">
        <v>35</v>
      </c>
      <c r="C6" s="58">
        <v>62.5</v>
      </c>
      <c r="D6" s="58">
        <v>107</v>
      </c>
      <c r="E6" s="58" t="s">
        <v>8</v>
      </c>
      <c r="F6" s="58">
        <f>(B6-$B$57)/($B$56-$B$57)</f>
        <v>0.25</v>
      </c>
      <c r="G6" s="58">
        <f>(C6-$C$57)/($C$56-$C$57)</f>
        <v>0.41666666666666669</v>
      </c>
      <c r="H6" s="58">
        <f>(D6-$D$57)/($D$56-$D$57)</f>
        <v>0.22800000000000001</v>
      </c>
      <c r="I6" s="58">
        <f>SQRT((F6-$F$47)^2+(G6-$G$47)^2+(H6-$H$47)^2+IF(A6=$A$47,0,1))</f>
        <v>0.47242353878696608</v>
      </c>
      <c r="J6" s="58">
        <f t="shared" si="0"/>
        <v>20</v>
      </c>
      <c r="K6" s="58">
        <f>SQRT((F6-$F$48)^2+(G6-$G$48)^2+(H6-$H$48)^2+IF(A6=$A$48, 0,1))</f>
        <v>0.32842113885139068</v>
      </c>
      <c r="L6" s="58">
        <f t="shared" si="1"/>
        <v>17</v>
      </c>
      <c r="M6" s="58">
        <f>SQRT((F6-$F$49)^2+(G6-$G$49)^2+(H6-$H$49)^2+IF(A6=$A$49, 0,1))</f>
        <v>0.16674164979925613</v>
      </c>
      <c r="N6" s="58">
        <f t="shared" si="2"/>
        <v>5</v>
      </c>
      <c r="O6" s="58">
        <f>SQRT((F6-$F$50)^2+(G6-$G$50)^2+(H6-$H$50)^2+IF(A6=$A$50, 0,1))</f>
        <v>1.2082139711160436</v>
      </c>
      <c r="P6" s="58">
        <f t="shared" si="3"/>
        <v>38</v>
      </c>
      <c r="Q6" s="58">
        <f>SQRT((F6-$F$51)^2+(G6-$G$51)^2+(H6-$H$51)^2+IF(A6=$A$51, 0,1))</f>
        <v>0.41347793169648123</v>
      </c>
      <c r="R6" s="72">
        <f t="shared" si="4"/>
        <v>17</v>
      </c>
    </row>
    <row r="7" spans="1:19">
      <c r="A7" s="70" t="s">
        <v>9</v>
      </c>
      <c r="B7" s="58">
        <v>48</v>
      </c>
      <c r="C7" s="58">
        <v>64.5</v>
      </c>
      <c r="D7" s="58">
        <v>154</v>
      </c>
      <c r="E7" s="58" t="s">
        <v>6</v>
      </c>
      <c r="F7" s="58">
        <f>(B7-$B$57)/($B$56-$B$57)</f>
        <v>0.57499999999999996</v>
      </c>
      <c r="G7" s="58">
        <f>(C7-$C$57)/($C$56-$C$57)</f>
        <v>0.48333333333333334</v>
      </c>
      <c r="H7" s="58">
        <f>(D7-$D$57)/($D$56-$D$57)</f>
        <v>0.41599999999999998</v>
      </c>
      <c r="I7" s="58">
        <f>SQRT((F7-$F$47)^2+(G7-$G$47)^2+(H7-$H$47)^2+IF(A7=$A$47,0,1))</f>
        <v>1.0381085899097668</v>
      </c>
      <c r="J7" s="58">
        <f t="shared" si="0"/>
        <v>30</v>
      </c>
      <c r="K7" s="58">
        <f>SQRT((F7-$F$48)^2+(G7-$G$48)^2+(H7-$H$48)^2+IF(A7=$A$48, 0,1))</f>
        <v>1.0139965483175966</v>
      </c>
      <c r="L7" s="58">
        <f t="shared" si="1"/>
        <v>24</v>
      </c>
      <c r="M7" s="58">
        <f>SQRT((F7-$F$49)^2+(G7-$G$49)^2+(H7-$H$49)^2+IF(A7=$A$49, 0,1))</f>
        <v>1.0348304208903021</v>
      </c>
      <c r="N7" s="58">
        <f t="shared" si="2"/>
        <v>29</v>
      </c>
      <c r="O7" s="58">
        <f>SQRT((F7-$F$50)^2+(G7-$G$50)^2+(H7-$H$50)^2+IF(A7=$A$50, 0,1))</f>
        <v>0.31261548977049181</v>
      </c>
      <c r="P7" s="60">
        <f t="shared" si="3"/>
        <v>2</v>
      </c>
      <c r="Q7" s="58">
        <f>SQRT((F7-$F$51)^2+(G7-$G$51)^2+(H7-$H$51)^2+IF(A7=$A$51, 0,1))</f>
        <v>1.0396884682976488</v>
      </c>
      <c r="R7" s="72">
        <f t="shared" si="4"/>
        <v>24</v>
      </c>
    </row>
    <row r="8" spans="1:19">
      <c r="A8" s="70" t="s">
        <v>5</v>
      </c>
      <c r="B8" s="58">
        <v>41</v>
      </c>
      <c r="C8" s="58">
        <v>63</v>
      </c>
      <c r="D8" s="58">
        <v>154</v>
      </c>
      <c r="E8" s="58" t="s">
        <v>8</v>
      </c>
      <c r="F8" s="58">
        <f>(B8-$B$57)/($B$56-$B$57)</f>
        <v>0.4</v>
      </c>
      <c r="G8" s="58">
        <f>(C8-$C$57)/($C$56-$C$57)</f>
        <v>0.43333333333333335</v>
      </c>
      <c r="H8" s="58">
        <f>(D8-$D$57)/($D$56-$D$57)</f>
        <v>0.41599999999999998</v>
      </c>
      <c r="I8" s="58">
        <f>SQRT((F8-$F$47)^2+(G8-$G$47)^2+(H8-$H$47)^2+IF(A8=$A$47,0,1))</f>
        <v>0.24571889991976156</v>
      </c>
      <c r="J8" s="61">
        <f t="shared" si="0"/>
        <v>2</v>
      </c>
      <c r="K8" s="58">
        <f>SQRT((F8-$F$48)^2+(G8-$G$48)^2+(H8-$H$48)^2+IF(A8=$A$48, 0,1))</f>
        <v>0.14164744967700621</v>
      </c>
      <c r="L8" s="58">
        <f t="shared" si="1"/>
        <v>3</v>
      </c>
      <c r="M8" s="58">
        <f>SQRT((F8-$F$49)^2+(G8-$G$49)^2+(H8-$H$49)^2+IF(A8=$A$49, 0,1))</f>
        <v>0.11291146974510609</v>
      </c>
      <c r="N8" s="62">
        <f t="shared" si="2"/>
        <v>1</v>
      </c>
      <c r="O8" s="58">
        <f>SQRT((F8-$F$50)^2+(G8-$G$50)^2+(H8-$H$50)^2+IF(A8=$A$50, 0,1))</f>
        <v>1.1154312071023376</v>
      </c>
      <c r="P8" s="58">
        <f t="shared" si="3"/>
        <v>34</v>
      </c>
      <c r="Q8" s="58">
        <f>SQRT((F8-$F$51)^2+(G8-$G$51)^2+(H8-$H$51)^2+IF(A8=$A$51, 0,1))</f>
        <v>0.31009747571440249</v>
      </c>
      <c r="R8" s="72">
        <f t="shared" si="4"/>
        <v>11</v>
      </c>
    </row>
    <row r="9" spans="1:19">
      <c r="A9" s="70" t="s">
        <v>9</v>
      </c>
      <c r="B9" s="58">
        <v>35</v>
      </c>
      <c r="C9" s="58">
        <v>67.5</v>
      </c>
      <c r="D9" s="58">
        <v>167</v>
      </c>
      <c r="E9" s="58" t="s">
        <v>6</v>
      </c>
      <c r="F9" s="58">
        <f>(B9-$B$57)/($B$56-$B$57)</f>
        <v>0.25</v>
      </c>
      <c r="G9" s="58">
        <f>(C9-$C$57)/($C$56-$C$57)</f>
        <v>0.58333333333333337</v>
      </c>
      <c r="H9" s="58">
        <f>(D9-$D$57)/($D$56-$D$57)</f>
        <v>0.46800000000000003</v>
      </c>
      <c r="I9" s="58">
        <f>SQRT((F9-$F$47)^2+(G9-$G$47)^2+(H9-$H$47)^2+IF(A9=$A$47,0,1))</f>
        <v>1.0502960429220791</v>
      </c>
      <c r="J9" s="58">
        <f t="shared" si="0"/>
        <v>35</v>
      </c>
      <c r="K9" s="58">
        <f>SQRT((F9-$F$48)^2+(G9-$G$48)^2+(H9-$H$48)^2+IF(A9=$A$48, 0,1))</f>
        <v>1.0615724186319084</v>
      </c>
      <c r="L9" s="58">
        <f t="shared" si="1"/>
        <v>38</v>
      </c>
      <c r="M9" s="58">
        <f>SQRT((F9-$F$49)^2+(G9-$G$49)^2+(H9-$H$49)^2+IF(A9=$A$49, 0,1))</f>
        <v>1.0368341236668477</v>
      </c>
      <c r="N9" s="58">
        <f t="shared" si="2"/>
        <v>31</v>
      </c>
      <c r="O9" s="58">
        <f>SQRT((F9-$F$50)^2+(G9-$G$50)^2+(H9-$H$50)^2+IF(A9=$A$50, 0,1))</f>
        <v>0.62568264941404428</v>
      </c>
      <c r="P9" s="58">
        <f t="shared" si="3"/>
        <v>16</v>
      </c>
      <c r="Q9" s="58">
        <f>SQRT((F9-$F$51)^2+(G9-$G$51)^2+(H9-$H$51)^2+IF(A9=$A$51, 0,1))</f>
        <v>1.1308618149201273</v>
      </c>
      <c r="R9" s="72">
        <f t="shared" si="4"/>
        <v>39</v>
      </c>
    </row>
    <row r="10" spans="1:19">
      <c r="A10" s="70" t="s">
        <v>5</v>
      </c>
      <c r="B10" s="58">
        <v>57</v>
      </c>
      <c r="C10" s="58">
        <v>64</v>
      </c>
      <c r="D10" s="58">
        <v>140</v>
      </c>
      <c r="E10" s="58" t="s">
        <v>6</v>
      </c>
      <c r="F10" s="58">
        <f>(B10-$B$57)/($B$56-$B$57)</f>
        <v>0.8</v>
      </c>
      <c r="G10" s="58">
        <f>(C10-$C$57)/($C$56-$C$57)</f>
        <v>0.46666666666666667</v>
      </c>
      <c r="H10" s="58">
        <f>(D10-$D$57)/($D$56-$D$57)</f>
        <v>0.36</v>
      </c>
      <c r="I10" s="58">
        <f>SQRT((F10-$F$47)^2+(G10-$G$47)^2+(H10-$H$47)^2+IF(A10=$A$47,0,1))</f>
        <v>0.46110302536418046</v>
      </c>
      <c r="J10" s="58">
        <f t="shared" si="0"/>
        <v>17</v>
      </c>
      <c r="K10" s="58">
        <f>SQRT((F10-$F$48)^2+(G10-$G$48)^2+(H10-$H$48)^2+IF(A10=$A$48, 0,1))</f>
        <v>0.33447537693794116</v>
      </c>
      <c r="L10" s="58">
        <f t="shared" si="1"/>
        <v>19</v>
      </c>
      <c r="M10" s="58">
        <f>SQRT((F10-$F$49)^2+(G10-$G$49)^2+(H10-$H$49)^2+IF(A10=$A$49, 0,1))</f>
        <v>0.46301199888459821</v>
      </c>
      <c r="N10" s="58">
        <f t="shared" si="2"/>
        <v>22</v>
      </c>
      <c r="O10" s="58">
        <f>SQRT((F10-$F$50)^2+(G10-$G$50)^2+(H10-$H$50)^2+IF(A10=$A$50, 0,1))</f>
        <v>1.0112769155874171</v>
      </c>
      <c r="P10" s="58">
        <f t="shared" si="3"/>
        <v>19</v>
      </c>
      <c r="Q10" s="58">
        <f>SQRT((F10-$F$51)^2+(G10-$G$51)^2+(H10-$H$51)^2+IF(A10=$A$51, 0,1))</f>
        <v>0.32264531609803365</v>
      </c>
      <c r="R10" s="72">
        <f t="shared" si="4"/>
        <v>13</v>
      </c>
    </row>
    <row r="11" spans="1:19">
      <c r="A11" s="70" t="s">
        <v>5</v>
      </c>
      <c r="B11" s="58">
        <v>47</v>
      </c>
      <c r="C11" s="58">
        <v>61.5</v>
      </c>
      <c r="D11" s="58">
        <v>104</v>
      </c>
      <c r="E11" s="58" t="s">
        <v>8</v>
      </c>
      <c r="F11" s="58">
        <f>(B11-$B$57)/($B$56-$B$57)</f>
        <v>0.55000000000000004</v>
      </c>
      <c r="G11" s="58">
        <f>(C11-$C$57)/($C$56-$C$57)</f>
        <v>0.38333333333333336</v>
      </c>
      <c r="H11" s="58">
        <f>(D11-$D$57)/($D$56-$D$57)</f>
        <v>0.216</v>
      </c>
      <c r="I11" s="58">
        <f>SQRT((F11-$F$47)^2+(G11-$G$47)^2+(H11-$H$47)^2+IF(A11=$A$47,0,1))</f>
        <v>0.45245012002552409</v>
      </c>
      <c r="J11" s="58">
        <f t="shared" si="0"/>
        <v>15</v>
      </c>
      <c r="K11" s="58">
        <f>SQRT((F11-$F$48)^2+(G11-$G$48)^2+(H11-$H$48)^2+IF(A11=$A$48, 0,1))</f>
        <v>0.2196906916553362</v>
      </c>
      <c r="L11" s="58">
        <f t="shared" si="1"/>
        <v>6</v>
      </c>
      <c r="M11" s="58">
        <f>SQRT((F11-$F$49)^2+(G11-$G$49)^2+(H11-$H$49)^2+IF(A11=$A$49, 0,1))</f>
        <v>0.24093360081150994</v>
      </c>
      <c r="N11" s="58">
        <f t="shared" si="2"/>
        <v>11</v>
      </c>
      <c r="O11" s="58">
        <f>SQRT((F11-$F$50)^2+(G11-$G$50)^2+(H11-$H$50)^2+IF(A11=$A$50, 0,1))</f>
        <v>1.0914303052009831</v>
      </c>
      <c r="P11" s="58">
        <f t="shared" si="3"/>
        <v>32</v>
      </c>
      <c r="Q11" s="58">
        <f>SQRT((F11-$F$51)^2+(G11-$G$51)^2+(H11-$H$51)^2+IF(A11=$A$51, 0,1))</f>
        <v>0.20271600276687035</v>
      </c>
      <c r="R11" s="72">
        <f t="shared" si="4"/>
        <v>4</v>
      </c>
    </row>
    <row r="12" spans="1:19">
      <c r="A12" s="70" t="s">
        <v>9</v>
      </c>
      <c r="B12" s="58">
        <v>37</v>
      </c>
      <c r="C12" s="58">
        <v>68.5</v>
      </c>
      <c r="D12" s="58">
        <v>151</v>
      </c>
      <c r="E12" s="58" t="s">
        <v>8</v>
      </c>
      <c r="F12" s="58">
        <f>(B12-$B$57)/($B$56-$B$57)</f>
        <v>0.3</v>
      </c>
      <c r="G12" s="58">
        <f>(C12-$C$57)/($C$56-$C$57)</f>
        <v>0.6166666666666667</v>
      </c>
      <c r="H12" s="58">
        <f>(D12-$D$57)/($D$56-$D$57)</f>
        <v>0.40400000000000003</v>
      </c>
      <c r="I12" s="58">
        <f>SQRT((F12-$F$47)^2+(G12-$G$47)^2+(H12-$H$47)^2+IF(A12=$A$47,0,1))</f>
        <v>1.0611333563694998</v>
      </c>
      <c r="J12" s="58">
        <f t="shared" si="0"/>
        <v>36</v>
      </c>
      <c r="K12" s="58">
        <f>SQRT((F12-$F$48)^2+(G12-$G$48)^2+(H12-$H$48)^2+IF(A12=$A$48, 0,1))</f>
        <v>1.0586206958952662</v>
      </c>
      <c r="L12" s="58">
        <f t="shared" si="1"/>
        <v>36</v>
      </c>
      <c r="M12" s="58">
        <f>SQRT((F12-$F$49)^2+(G12-$G$49)^2+(H12-$H$49)^2+IF(A12=$A$49, 0,1))</f>
        <v>1.0355540116822064</v>
      </c>
      <c r="N12" s="58">
        <f t="shared" si="2"/>
        <v>30</v>
      </c>
      <c r="O12" s="58">
        <f>SQRT((F12-$F$50)^2+(G12-$G$50)^2+(H12-$H$50)^2+IF(A12=$A$50, 0,1))</f>
        <v>0.57855423254868676</v>
      </c>
      <c r="P12" s="58">
        <f t="shared" si="3"/>
        <v>15</v>
      </c>
      <c r="Q12" s="58">
        <f>SQRT((F12-$F$51)^2+(G12-$G$51)^2+(H12-$H$51)^2+IF(A12=$A$51, 0,1))</f>
        <v>1.121185087307176</v>
      </c>
      <c r="R12" s="72">
        <f t="shared" si="4"/>
        <v>37</v>
      </c>
    </row>
    <row r="13" spans="1:19">
      <c r="A13" s="70" t="s">
        <v>5</v>
      </c>
      <c r="B13" s="58">
        <v>54</v>
      </c>
      <c r="C13" s="58">
        <v>63.5</v>
      </c>
      <c r="D13" s="58">
        <v>151</v>
      </c>
      <c r="E13" s="58" t="s">
        <v>6</v>
      </c>
      <c r="F13" s="58">
        <f>(B13-$B$57)/($B$56-$B$57)</f>
        <v>0.72499999999999998</v>
      </c>
      <c r="G13" s="58">
        <f>(C13-$C$57)/($C$56-$C$57)</f>
        <v>0.45</v>
      </c>
      <c r="H13" s="58">
        <f>(D13-$D$57)/($D$56-$D$57)</f>
        <v>0.40400000000000003</v>
      </c>
      <c r="I13" s="58">
        <f>SQRT((F13-$F$47)^2+(G13-$G$47)^2+(H13-$H$47)^2+IF(A13=$A$47,0,1))</f>
        <v>0.37448646318807183</v>
      </c>
      <c r="J13" s="58">
        <f t="shared" si="0"/>
        <v>10</v>
      </c>
      <c r="K13" s="58">
        <f>SQRT((F13-$F$48)^2+(G13-$G$48)^2+(H13-$H$48)^2+IF(A13=$A$48, 0,1))</f>
        <v>0.25423632925117351</v>
      </c>
      <c r="L13" s="58">
        <f t="shared" si="1"/>
        <v>9</v>
      </c>
      <c r="M13" s="58">
        <f>SQRT((F13-$F$49)^2+(G13-$G$49)^2+(H13-$H$49)^2+IF(A13=$A$49, 0,1))</f>
        <v>0.39008175781209992</v>
      </c>
      <c r="N13" s="58">
        <f t="shared" si="2"/>
        <v>15</v>
      </c>
      <c r="O13" s="58">
        <f>SQRT((F13-$F$50)^2+(G13-$G$50)^2+(H13-$H$50)^2+IF(A13=$A$50, 0,1))</f>
        <v>1.0186810644706767</v>
      </c>
      <c r="P13" s="58">
        <f t="shared" si="3"/>
        <v>21</v>
      </c>
      <c r="Q13" s="58">
        <f>SQRT((F13-$F$51)^2+(G13-$G$51)^2+(H13-$H$51)^2+IF(A13=$A$51, 0,1))</f>
        <v>0.27771468172288705</v>
      </c>
      <c r="R13" s="72">
        <f t="shared" si="4"/>
        <v>8</v>
      </c>
      <c r="S13" s="63"/>
    </row>
    <row r="14" spans="1:19">
      <c r="A14" s="70" t="s">
        <v>9</v>
      </c>
      <c r="B14" s="58">
        <v>32</v>
      </c>
      <c r="C14" s="58">
        <v>69.5</v>
      </c>
      <c r="D14" s="58">
        <v>171</v>
      </c>
      <c r="E14" s="58" t="s">
        <v>8</v>
      </c>
      <c r="F14" s="58">
        <f>(B14-$B$57)/($B$56-$B$57)</f>
        <v>0.17499999999999999</v>
      </c>
      <c r="G14" s="58">
        <f>(C14-$C$57)/($C$56-$C$57)</f>
        <v>0.65</v>
      </c>
      <c r="H14" s="58">
        <f>(D14-$D$57)/($D$56-$D$57)</f>
        <v>0.48399999999999999</v>
      </c>
      <c r="I14" s="58">
        <f>SQRT((F14-$F$47)^2+(G14-$G$47)^2+(H14-$H$47)^2+IF(A14=$A$47,0,1))</f>
        <v>1.0768720650311459</v>
      </c>
      <c r="J14" s="58">
        <f t="shared" si="0"/>
        <v>38</v>
      </c>
      <c r="K14" s="58">
        <f>SQRT((F14-$F$48)^2+(G14-$G$48)^2+(H14-$H$48)^2+IF(A14=$A$48, 0,1))</f>
        <v>1.0997739666757791</v>
      </c>
      <c r="L14" s="58">
        <f t="shared" si="1"/>
        <v>39</v>
      </c>
      <c r="M14" s="58">
        <f>SQRT((F14-$F$49)^2+(G14-$G$49)^2+(H14-$H$49)^2+IF(A14=$A$49, 0,1))</f>
        <v>1.0649837766109136</v>
      </c>
      <c r="N14" s="58">
        <f t="shared" si="2"/>
        <v>38</v>
      </c>
      <c r="O14" s="58">
        <f>SQRT((F14-$F$50)^2+(G14-$G$50)^2+(H14-$H$50)^2+IF(A14=$A$50, 0,1))</f>
        <v>0.70607679783749044</v>
      </c>
      <c r="P14" s="58">
        <f t="shared" si="3"/>
        <v>18</v>
      </c>
      <c r="Q14" s="58">
        <f>SQRT((F14-$F$51)^2+(G14-$G$51)^2+(H14-$H$51)^2+IF(A14=$A$51, 0,1))</f>
        <v>1.1812276570491302</v>
      </c>
      <c r="R14" s="72">
        <f t="shared" si="4"/>
        <v>40</v>
      </c>
      <c r="S14" s="63"/>
    </row>
    <row r="15" spans="1:19">
      <c r="A15" s="70" t="s">
        <v>5</v>
      </c>
      <c r="B15" s="58">
        <v>45</v>
      </c>
      <c r="C15" s="58">
        <v>61</v>
      </c>
      <c r="D15" s="58">
        <v>130</v>
      </c>
      <c r="E15" s="58" t="s">
        <v>8</v>
      </c>
      <c r="F15" s="58">
        <f>(B15-$B$57)/($B$56-$B$57)</f>
        <v>0.5</v>
      </c>
      <c r="G15" s="58">
        <f>(C15-$C$57)/($C$56-$C$57)</f>
        <v>0.36666666666666664</v>
      </c>
      <c r="H15" s="58">
        <f>(D15-$D$57)/($D$56-$D$57)</f>
        <v>0.32</v>
      </c>
      <c r="I15" s="58">
        <f>SQRT((F15-$F$47)^2+(G15-$G$47)^2+(H15-$H$47)^2+IF(A15=$A$47,0,1))</f>
        <v>0.34335986952467235</v>
      </c>
      <c r="J15" s="58">
        <f t="shared" si="0"/>
        <v>6</v>
      </c>
      <c r="K15" s="58">
        <f>SQRT((F15-$F$48)^2+(G15-$G$48)^2+(H15-$H$48)^2+IF(A15=$A$48, 0,1))</f>
        <v>0.10921131402520119</v>
      </c>
      <c r="L15" s="59">
        <f t="shared" si="1"/>
        <v>2</v>
      </c>
      <c r="M15" s="58">
        <f>SQRT((F15-$F$49)^2+(G15-$G$49)^2+(H15-$H$49)^2+IF(A15=$A$49, 0,1))</f>
        <v>0.15281833805026296</v>
      </c>
      <c r="N15" s="58">
        <f t="shared" si="2"/>
        <v>4</v>
      </c>
      <c r="O15" s="58">
        <f>SQRT((F15-$F$50)^2+(G15-$G$50)^2+(H15-$H$50)^2+IF(A15=$A$50, 0,1))</f>
        <v>1.0936183063573872</v>
      </c>
      <c r="P15" s="58">
        <f t="shared" si="3"/>
        <v>33</v>
      </c>
      <c r="Q15" s="58">
        <f>SQRT((F15-$F$51)^2+(G15-$G$51)^2+(H15-$H$51)^2+IF(A15=$A$51, 0,1))</f>
        <v>0.18027756377319942</v>
      </c>
      <c r="R15" s="72">
        <f t="shared" si="4"/>
        <v>3</v>
      </c>
      <c r="S15" s="63"/>
    </row>
    <row r="16" spans="1:19">
      <c r="A16" s="70" t="s">
        <v>5</v>
      </c>
      <c r="B16" s="58">
        <v>51</v>
      </c>
      <c r="C16" s="58">
        <v>64.25</v>
      </c>
      <c r="D16" s="58">
        <v>182</v>
      </c>
      <c r="E16" s="58" t="s">
        <v>6</v>
      </c>
      <c r="F16" s="58">
        <f>(B16-$B$57)/($B$56-$B$57)</f>
        <v>0.65</v>
      </c>
      <c r="G16" s="58">
        <f>(C16-$C$57)/($C$56-$C$57)</f>
        <v>0.47499999999999998</v>
      </c>
      <c r="H16" s="58">
        <f>(D16-$D$57)/($D$56-$D$57)</f>
        <v>0.52800000000000002</v>
      </c>
      <c r="I16" s="58">
        <f>SQRT((F16-$F$47)^2+(G16-$G$47)^2+(H16-$H$47)^2+IF(A16=$A$47,0,1))</f>
        <v>0.24451334887440765</v>
      </c>
      <c r="J16" s="61">
        <f t="shared" si="0"/>
        <v>1</v>
      </c>
      <c r="K16" s="58">
        <f>SQRT((F16-$F$48)^2+(G16-$G$48)^2+(H16-$H$48)^2+IF(A16=$A$48, 0,1))</f>
        <v>0.23105290399483072</v>
      </c>
      <c r="L16" s="58">
        <f t="shared" si="1"/>
        <v>8</v>
      </c>
      <c r="M16" s="58">
        <f>SQRT((F16-$F$49)^2+(G16-$G$49)^2+(H16-$H$49)^2+IF(A16=$A$49, 0,1))</f>
        <v>0.36879684259916207</v>
      </c>
      <c r="N16" s="58">
        <f t="shared" si="2"/>
        <v>14</v>
      </c>
      <c r="O16" s="58">
        <f>SQRT((F16-$F$50)^2+(G16-$G$50)^2+(H16-$H$50)^2+IF(A16=$A$50, 0,1))</f>
        <v>1.0325133305569365</v>
      </c>
      <c r="P16" s="58">
        <f t="shared" si="3"/>
        <v>26</v>
      </c>
      <c r="Q16" s="58">
        <f>SQRT((F16-$F$51)^2+(G16-$G$51)^2+(H16-$H$51)^2+IF(A16=$A$51, 0,1))</f>
        <v>0.33541036225959253</v>
      </c>
      <c r="R16" s="72">
        <f t="shared" si="4"/>
        <v>14</v>
      </c>
      <c r="S16" s="63"/>
    </row>
    <row r="17" spans="1:19">
      <c r="A17" s="70" t="s">
        <v>5</v>
      </c>
      <c r="B17" s="58">
        <v>57</v>
      </c>
      <c r="C17" s="58">
        <v>61</v>
      </c>
      <c r="D17" s="58">
        <v>160</v>
      </c>
      <c r="E17" s="58" t="s">
        <v>6</v>
      </c>
      <c r="F17" s="58">
        <f>(B17-$B$57)/($B$56-$B$57)</f>
        <v>0.8</v>
      </c>
      <c r="G17" s="58">
        <f>(C17-$C$57)/($C$56-$C$57)</f>
        <v>0.36666666666666664</v>
      </c>
      <c r="H17" s="58">
        <f>(D17-$D$57)/($D$56-$D$57)</f>
        <v>0.44</v>
      </c>
      <c r="I17" s="58">
        <f>SQRT((F17-$F$47)^2+(G17-$G$47)^2+(H17-$H$47)^2+IF(A17=$A$47,0,1))</f>
        <v>0.41431389066745039</v>
      </c>
      <c r="J17" s="58">
        <f t="shared" si="0"/>
        <v>12</v>
      </c>
      <c r="K17" s="58">
        <f>SQRT((F17-$F$48)^2+(G17-$G$48)^2+(H17-$H$48)^2+IF(A17=$A$48, 0,1))</f>
        <v>0.30226993087489057</v>
      </c>
      <c r="L17" s="58">
        <f t="shared" si="1"/>
        <v>14</v>
      </c>
      <c r="M17" s="58">
        <f>SQRT((F17-$F$49)^2+(G17-$G$49)^2+(H17-$H$49)^2+IF(A17=$A$49, 0,1))</f>
        <v>0.45938376597834246</v>
      </c>
      <c r="N17" s="58">
        <f t="shared" si="2"/>
        <v>21</v>
      </c>
      <c r="O17" s="58">
        <f>SQRT((F17-$F$50)^2+(G17-$G$50)^2+(H17-$H$50)^2+IF(A17=$A$50, 0,1))</f>
        <v>1.0225658902975396</v>
      </c>
      <c r="P17" s="58">
        <f t="shared" si="3"/>
        <v>24</v>
      </c>
      <c r="Q17" s="58">
        <f>SQRT((F17-$F$51)^2+(G17-$G$51)^2+(H17-$H$51)^2+IF(A17=$A$51, 0,1))</f>
        <v>0.27730849247724099</v>
      </c>
      <c r="R17" s="72">
        <f t="shared" si="4"/>
        <v>7</v>
      </c>
      <c r="S17" s="63"/>
    </row>
    <row r="18" spans="1:19">
      <c r="A18" s="70" t="s">
        <v>9</v>
      </c>
      <c r="B18" s="58">
        <v>47</v>
      </c>
      <c r="C18" s="58">
        <v>67.25</v>
      </c>
      <c r="D18" s="58">
        <v>153</v>
      </c>
      <c r="E18" s="58" t="s">
        <v>8</v>
      </c>
      <c r="F18" s="58">
        <f>(B18-$B$57)/($B$56-$B$57)</f>
        <v>0.55000000000000004</v>
      </c>
      <c r="G18" s="58">
        <f>(C18-$C$57)/($C$56-$C$57)</f>
        <v>0.57499999999999996</v>
      </c>
      <c r="H18" s="58">
        <f>(D18-$D$57)/($D$56-$D$57)</f>
        <v>0.41199999999999998</v>
      </c>
      <c r="I18" s="58">
        <f>SQRT((F18-$F$47)^2+(G18-$G$47)^2+(H18-$H$47)^2+IF(A18=$A$47,0,1))</f>
        <v>1.0462339339002746</v>
      </c>
      <c r="J18" s="58">
        <f t="shared" si="0"/>
        <v>32</v>
      </c>
      <c r="K18" s="58">
        <f>SQRT((F18-$F$48)^2+(G18-$G$48)^2+(H18-$H$48)^2+IF(A18=$A$48, 0,1))</f>
        <v>1.0300712488841621</v>
      </c>
      <c r="L18" s="58">
        <f t="shared" si="1"/>
        <v>28</v>
      </c>
      <c r="M18" s="58">
        <f>SQRT((F18-$F$49)^2+(G18-$G$49)^2+(H18-$H$49)^2+IF(A18=$A$49, 0,1))</f>
        <v>1.0445288145591984</v>
      </c>
      <c r="N18" s="58">
        <f t="shared" si="2"/>
        <v>34</v>
      </c>
      <c r="O18" s="58">
        <f>SQRT((F18-$F$50)^2+(G18-$G$50)^2+(H18-$H$50)^2+IF(A18=$A$50, 0,1))</f>
        <v>0.32667789096362859</v>
      </c>
      <c r="P18" s="58">
        <f t="shared" si="3"/>
        <v>3</v>
      </c>
      <c r="Q18" s="58">
        <f>SQRT((F18-$F$51)^2+(G18-$G$51)^2+(H18-$H$51)^2+IF(A18=$A$51, 0,1))</f>
        <v>1.0674112505392557</v>
      </c>
      <c r="R18" s="72">
        <f t="shared" si="4"/>
        <v>28</v>
      </c>
      <c r="S18" s="63"/>
    </row>
    <row r="19" spans="1:19">
      <c r="A19" s="70" t="s">
        <v>5</v>
      </c>
      <c r="B19" s="58">
        <v>52</v>
      </c>
      <c r="C19" s="58">
        <v>59.25</v>
      </c>
      <c r="D19" s="58">
        <v>124</v>
      </c>
      <c r="E19" s="58" t="s">
        <v>8</v>
      </c>
      <c r="F19" s="58">
        <f>(B19-$B$57)/($B$56-$B$57)</f>
        <v>0.67500000000000004</v>
      </c>
      <c r="G19" s="58">
        <f>(C19-$C$57)/($C$56-$C$57)</f>
        <v>0.30833333333333335</v>
      </c>
      <c r="H19" s="58">
        <f>(D19-$D$57)/($D$56-$D$57)</f>
        <v>0.29599999999999999</v>
      </c>
      <c r="I19" s="58">
        <f>SQRT((F19-$F$47)^2+(G19-$G$47)^2+(H19-$H$47)^2+IF(A19=$A$47,0,1))</f>
        <v>0.43813366808670517</v>
      </c>
      <c r="J19" s="58">
        <f t="shared" si="0"/>
        <v>14</v>
      </c>
      <c r="K19" s="58">
        <f>SQRT((F19-$F$48)^2+(G19-$G$48)^2+(H19-$H$48)^2+IF(A19=$A$48, 0,1))</f>
        <v>0.21825214775575522</v>
      </c>
      <c r="L19" s="58">
        <f t="shared" si="1"/>
        <v>5</v>
      </c>
      <c r="M19" s="58">
        <f>SQRT((F19-$F$49)^2+(G19-$G$49)^2+(H19-$H$49)^2+IF(A19=$A$49, 0,1))</f>
        <v>0.33290989772008889</v>
      </c>
      <c r="N19" s="58">
        <f t="shared" si="2"/>
        <v>13</v>
      </c>
      <c r="O19" s="58">
        <f>SQRT((F19-$F$50)^2+(G19-$G$50)^2+(H19-$H$50)^2+IF(A19=$A$50, 0,1))</f>
        <v>1.0623747507876451</v>
      </c>
      <c r="P19" s="58">
        <f t="shared" si="3"/>
        <v>29</v>
      </c>
      <c r="Q19" s="58">
        <f>SQRT((F19-$F$51)^2+(G19-$G$51)^2+(H19-$H$51)^2+IF(A19=$A$51, 0,1))</f>
        <v>0.12084609128051181</v>
      </c>
      <c r="R19" s="73">
        <f t="shared" si="4"/>
        <v>2</v>
      </c>
      <c r="S19" s="63"/>
    </row>
    <row r="20" spans="1:19">
      <c r="A20" s="70" t="s">
        <v>9</v>
      </c>
      <c r="B20" s="58">
        <v>45</v>
      </c>
      <c r="C20" s="58">
        <v>66.25</v>
      </c>
      <c r="D20" s="58">
        <v>192</v>
      </c>
      <c r="E20" s="58" t="s">
        <v>6</v>
      </c>
      <c r="F20" s="58">
        <f>(B20-$B$57)/($B$56-$B$57)</f>
        <v>0.5</v>
      </c>
      <c r="G20" s="58">
        <f>(C20-$C$57)/($C$56-$C$57)</f>
        <v>0.54166666666666663</v>
      </c>
      <c r="H20" s="58">
        <f>(D20-$D$57)/($D$56-$D$57)</f>
        <v>0.56799999999999995</v>
      </c>
      <c r="I20" s="58">
        <f>SQRT((F20-$F$47)^2+(G20-$G$47)^2+(H20-$H$47)^2+IF(A20=$A$47,0,1))</f>
        <v>1.0128519141513235</v>
      </c>
      <c r="J20" s="58">
        <f t="shared" si="0"/>
        <v>24</v>
      </c>
      <c r="K20" s="58">
        <f>SQRT((F20-$F$48)^2+(G20-$G$48)^2+(H20-$H$48)^2+IF(A20=$A$48, 0,1))</f>
        <v>1.0315710241072971</v>
      </c>
      <c r="L20" s="58">
        <f t="shared" si="1"/>
        <v>29</v>
      </c>
      <c r="M20" s="58">
        <f>SQRT((F20-$F$49)^2+(G20-$G$49)^2+(H20-$H$49)^2+IF(A20=$A$49, 0,1))</f>
        <v>1.0509572356243193</v>
      </c>
      <c r="N20" s="58">
        <f t="shared" si="2"/>
        <v>35</v>
      </c>
      <c r="O20" s="58">
        <f>SQRT((F20-$F$50)^2+(G20-$G$50)^2+(H20-$H$50)^2+IF(A20=$A$50, 0,1))</f>
        <v>0.39576002829997875</v>
      </c>
      <c r="P20" s="58">
        <f t="shared" si="3"/>
        <v>7</v>
      </c>
      <c r="Q20" s="58">
        <f>SQRT((F20-$F$51)^2+(G20-$G$51)^2+(H20-$H$51)^2+IF(A20=$A$51, 0,1))</f>
        <v>1.0849557594667165</v>
      </c>
      <c r="R20" s="72">
        <f t="shared" si="4"/>
        <v>29</v>
      </c>
    </row>
    <row r="21" spans="1:19">
      <c r="A21" s="70" t="s">
        <v>9</v>
      </c>
      <c r="B21" s="58">
        <v>38</v>
      </c>
      <c r="C21" s="58">
        <v>67.75</v>
      </c>
      <c r="D21" s="58">
        <v>158</v>
      </c>
      <c r="E21" s="58" t="s">
        <v>6</v>
      </c>
      <c r="F21" s="58">
        <f>(B21-$B$57)/($B$56-$B$57)</f>
        <v>0.32500000000000001</v>
      </c>
      <c r="G21" s="58">
        <f>(C21-$C$57)/($C$56-$C$57)</f>
        <v>0.59166666666666667</v>
      </c>
      <c r="H21" s="58">
        <f>(D21-$D$57)/($D$56-$D$57)</f>
        <v>0.432</v>
      </c>
      <c r="I21" s="58">
        <f>SQRT((F21-$F$47)^2+(G21-$G$47)^2+(H21-$H$47)^2+IF(A21=$A$47,0,1))</f>
        <v>1.0471036242894014</v>
      </c>
      <c r="J21" s="58">
        <f t="shared" si="0"/>
        <v>33</v>
      </c>
      <c r="K21" s="58">
        <f>SQRT((F21-$F$48)^2+(G21-$G$48)^2+(H21-$H$48)^2+IF(A21=$A$48, 0,1))</f>
        <v>1.0475805988615439</v>
      </c>
      <c r="L21" s="58">
        <f t="shared" si="1"/>
        <v>33</v>
      </c>
      <c r="M21" s="58">
        <f>SQRT((F21-$F$49)^2+(G21-$G$49)^2+(H21-$H$49)^2+IF(A21=$A$49, 0,1))</f>
        <v>1.0305947042579078</v>
      </c>
      <c r="N21" s="58">
        <f t="shared" si="2"/>
        <v>28</v>
      </c>
      <c r="O21" s="58">
        <f>SQRT((F21-$F$50)^2+(G21-$G$50)^2+(H21-$H$50)^2+IF(A21=$A$50, 0,1))</f>
        <v>0.55069864717465944</v>
      </c>
      <c r="P21" s="58">
        <f t="shared" si="3"/>
        <v>12</v>
      </c>
      <c r="Q21" s="58">
        <f>SQRT((F21-$F$51)^2+(G21-$G$51)^2+(H21-$H$51)^2+IF(A21=$A$51, 0,1))</f>
        <v>1.1085098105113911</v>
      </c>
      <c r="R21" s="72">
        <f t="shared" si="4"/>
        <v>34</v>
      </c>
    </row>
    <row r="22" spans="1:19">
      <c r="A22" s="70" t="s">
        <v>5</v>
      </c>
      <c r="B22" s="58">
        <v>44</v>
      </c>
      <c r="C22" s="58">
        <v>64.5</v>
      </c>
      <c r="D22" s="58">
        <v>128</v>
      </c>
      <c r="E22" s="58" t="s">
        <v>8</v>
      </c>
      <c r="F22" s="58">
        <f>(B22-$B$57)/($B$56-$B$57)</f>
        <v>0.47499999999999998</v>
      </c>
      <c r="G22" s="58">
        <f>(C22-$C$57)/($C$56-$C$57)</f>
        <v>0.48333333333333334</v>
      </c>
      <c r="H22" s="58">
        <f>(D22-$D$57)/($D$56-$D$57)</f>
        <v>0.312</v>
      </c>
      <c r="I22" s="58">
        <f>SQRT((F22-$F$47)^2+(G22-$G$47)^2+(H22-$H$47)^2+IF(A22=$A$47,0,1))</f>
        <v>0.35129111068235769</v>
      </c>
      <c r="J22" s="58">
        <f t="shared" si="0"/>
        <v>8</v>
      </c>
      <c r="K22" s="58">
        <f>SQRT((F22-$F$48)^2+(G22-$G$48)^2+(H22-$H$48)^2+IF(A22=$A$48, 0,1))</f>
        <v>0.18886238376129855</v>
      </c>
      <c r="L22" s="58">
        <f t="shared" si="1"/>
        <v>4</v>
      </c>
      <c r="M22" s="58">
        <f>SQRT((F22-$F$49)^2+(G22-$G$49)^2+(H22-$H$49)^2+IF(A22=$A$49, 0,1))</f>
        <v>0.18040509970618901</v>
      </c>
      <c r="N22" s="58">
        <f t="shared" si="2"/>
        <v>7</v>
      </c>
      <c r="O22" s="58">
        <f>SQRT((F22-$F$50)^2+(G22-$G$50)^2+(H22-$H$50)^2+IF(A22=$A$50, 0,1))</f>
        <v>1.0882869311190153</v>
      </c>
      <c r="P22" s="58">
        <f t="shared" si="3"/>
        <v>31</v>
      </c>
      <c r="Q22" s="58">
        <f>SQRT((F22-$F$51)^2+(G22-$G$51)^2+(H22-$H$51)^2+IF(A22=$A$51, 0,1))</f>
        <v>0.29461858582090694</v>
      </c>
      <c r="R22" s="72">
        <f t="shared" si="4"/>
        <v>10</v>
      </c>
    </row>
    <row r="23" spans="1:19">
      <c r="A23" s="70" t="s">
        <v>5</v>
      </c>
      <c r="B23" s="58">
        <v>35</v>
      </c>
      <c r="C23" s="58">
        <v>63</v>
      </c>
      <c r="D23" s="58">
        <v>108</v>
      </c>
      <c r="E23" s="58" t="s">
        <v>8</v>
      </c>
      <c r="F23" s="58">
        <f>(B23-$B$57)/($B$56-$B$57)</f>
        <v>0.25</v>
      </c>
      <c r="G23" s="58">
        <f>(C23-$C$57)/($C$56-$C$57)</f>
        <v>0.43333333333333335</v>
      </c>
      <c r="H23" s="58">
        <f>(D23-$D$57)/($D$56-$D$57)</f>
        <v>0.23200000000000001</v>
      </c>
      <c r="I23" s="58">
        <f>SQRT((F23-$F$47)^2+(G23-$G$47)^2+(H23-$H$47)^2+IF(A23=$A$47,0,1))</f>
        <v>0.4690988997831671</v>
      </c>
      <c r="J23" s="58">
        <f t="shared" si="0"/>
        <v>18</v>
      </c>
      <c r="K23" s="58">
        <f>SQRT((F23-$F$48)^2+(G23-$G$48)^2+(H23-$H$48)^2+IF(A23=$A$48, 0,1))</f>
        <v>0.33070228302810367</v>
      </c>
      <c r="L23" s="58">
        <f t="shared" si="1"/>
        <v>18</v>
      </c>
      <c r="M23" s="58">
        <f>SQRT((F23-$F$49)^2+(G23-$G$49)^2+(H23-$H$49)^2+IF(A23=$A$49, 0,1))</f>
        <v>0.17053152201279384</v>
      </c>
      <c r="N23" s="58">
        <f t="shared" si="2"/>
        <v>6</v>
      </c>
      <c r="O23" s="58">
        <f>SQRT((F23-$F$50)^2+(G23-$G$50)^2+(H23-$H$50)^2+IF(A23=$A$50, 0,1))</f>
        <v>1.2055483307515207</v>
      </c>
      <c r="P23" s="58">
        <f t="shared" si="3"/>
        <v>36</v>
      </c>
      <c r="Q23" s="58">
        <f>SQRT((F23-$F$51)^2+(G23-$G$51)^2+(H23-$H$51)^2+IF(A23=$A$51, 0,1))</f>
        <v>0.42093757784788521</v>
      </c>
      <c r="R23" s="72">
        <f t="shared" si="4"/>
        <v>19</v>
      </c>
    </row>
    <row r="24" spans="1:19">
      <c r="A24" s="70" t="s">
        <v>9</v>
      </c>
      <c r="B24" s="58">
        <v>38</v>
      </c>
      <c r="C24" s="58">
        <v>66.75</v>
      </c>
      <c r="D24" s="58">
        <v>150</v>
      </c>
      <c r="E24" s="58" t="s">
        <v>6</v>
      </c>
      <c r="F24" s="58">
        <f>(B24-$B$57)/($B$56-$B$57)</f>
        <v>0.32500000000000001</v>
      </c>
      <c r="G24" s="58">
        <f>(C24-$C$57)/($C$56-$C$57)</f>
        <v>0.55833333333333335</v>
      </c>
      <c r="H24" s="58">
        <f>(D24-$D$57)/($D$56-$D$57)</f>
        <v>0.4</v>
      </c>
      <c r="I24" s="58">
        <f>SQRT((F24-$F$47)^2+(G24-$G$47)^2+(H24-$H$47)^2+IF(A24=$A$47,0,1))</f>
        <v>1.0493952755965907</v>
      </c>
      <c r="J24" s="58">
        <f t="shared" si="0"/>
        <v>34</v>
      </c>
      <c r="K24" s="58">
        <f>SQRT((F24-$F$48)^2+(G24-$G$48)^2+(H24-$H$48)^2+IF(A24=$A$48, 0,1))</f>
        <v>1.0401086481709494</v>
      </c>
      <c r="L24" s="58">
        <f t="shared" si="1"/>
        <v>31</v>
      </c>
      <c r="M24" s="58">
        <f>SQRT((F24-$F$49)^2+(G24-$G$49)^2+(H24-$H$49)^2+IF(A24=$A$49, 0,1))</f>
        <v>1.0214347752059354</v>
      </c>
      <c r="N24" s="58">
        <f t="shared" si="2"/>
        <v>26</v>
      </c>
      <c r="O24" s="58">
        <f>SQRT((F24-$F$50)^2+(G24-$G$50)^2+(H24-$H$50)^2+IF(A24=$A$50, 0,1))</f>
        <v>0.55182011964447664</v>
      </c>
      <c r="P24" s="58">
        <f t="shared" si="3"/>
        <v>13</v>
      </c>
      <c r="Q24" s="58">
        <f>SQRT((F24-$F$51)^2+(G24-$G$51)^2+(H24-$H$51)^2+IF(A24=$A$51, 0,1))</f>
        <v>1.0948794961597881</v>
      </c>
      <c r="R24" s="72">
        <f t="shared" si="4"/>
        <v>32</v>
      </c>
    </row>
    <row r="25" spans="1:19">
      <c r="A25" s="70" t="s">
        <v>9</v>
      </c>
      <c r="B25" s="58">
        <v>48</v>
      </c>
      <c r="C25" s="58">
        <v>64.5</v>
      </c>
      <c r="D25" s="58">
        <v>187</v>
      </c>
      <c r="E25" s="58" t="s">
        <v>6</v>
      </c>
      <c r="F25" s="58">
        <f>(B25-$B$57)/($B$56-$B$57)</f>
        <v>0.57499999999999996</v>
      </c>
      <c r="G25" s="58">
        <f>(C25-$C$57)/($C$56-$C$57)</f>
        <v>0.48333333333333334</v>
      </c>
      <c r="H25" s="58">
        <f>(D25-$D$57)/($D$56-$D$57)</f>
        <v>0.54800000000000004</v>
      </c>
      <c r="I25" s="58">
        <f>SQRT((F25-$F$47)^2+(G25-$G$47)^2+(H25-$H$47)^2+IF(A25=$A$47,0,1))</f>
        <v>1.0157428042789396</v>
      </c>
      <c r="J25" s="58">
        <f t="shared" si="0"/>
        <v>25</v>
      </c>
      <c r="K25" s="58">
        <f>SQRT((F25-$F$48)^2+(G25-$G$48)^2+(H25-$H$48)^2+IF(A25=$A$48, 0,1))</f>
        <v>1.0215189670290024</v>
      </c>
      <c r="L25" s="58">
        <f t="shared" si="1"/>
        <v>26</v>
      </c>
      <c r="M25" s="58">
        <f>SQRT((F25-$F$49)^2+(G25-$G$49)^2+(H25-$H$49)^2+IF(A25=$A$49, 0,1))</f>
        <v>1.0517841983981315</v>
      </c>
      <c r="N25" s="58">
        <f t="shared" si="2"/>
        <v>36</v>
      </c>
      <c r="O25" s="58">
        <f>SQRT((F25-$F$50)^2+(G25-$G$50)^2+(H25-$H$50)^2+IF(A25=$A$50, 0,1))</f>
        <v>0.32826885999808825</v>
      </c>
      <c r="P25" s="58">
        <f t="shared" si="3"/>
        <v>4</v>
      </c>
      <c r="Q25" s="58">
        <f>SQRT((F25-$F$51)^2+(G25-$G$51)^2+(H25-$H$51)^2+IF(A25=$A$51, 0,1))</f>
        <v>1.0600566546704526</v>
      </c>
      <c r="R25" s="72">
        <f t="shared" si="4"/>
        <v>27</v>
      </c>
    </row>
    <row r="26" spans="1:19">
      <c r="A26" s="70" t="s">
        <v>9</v>
      </c>
      <c r="B26" s="58">
        <v>45</v>
      </c>
      <c r="C26" s="58">
        <v>69.75</v>
      </c>
      <c r="D26" s="58">
        <v>187</v>
      </c>
      <c r="E26" s="58" t="s">
        <v>8</v>
      </c>
      <c r="F26" s="58">
        <f>(B26-$B$57)/($B$56-$B$57)</f>
        <v>0.5</v>
      </c>
      <c r="G26" s="58">
        <f>(C26-$C$57)/($C$56-$C$57)</f>
        <v>0.65833333333333333</v>
      </c>
      <c r="H26" s="58">
        <f>(D26-$D$57)/($D$56-$D$57)</f>
        <v>0.54800000000000004</v>
      </c>
      <c r="I26" s="58">
        <f>SQRT((F26-$F$47)^2+(G26-$G$47)^2+(H26-$H$47)^2+IF(A26=$A$47,0,1))</f>
        <v>1.0356479989734821</v>
      </c>
      <c r="J26" s="58">
        <f t="shared" si="0"/>
        <v>28</v>
      </c>
      <c r="K26" s="58">
        <f>SQRT((F26-$F$48)^2+(G26-$G$48)^2+(H26-$H$48)^2+IF(A26=$A$48, 0,1))</f>
        <v>1.0587733468500236</v>
      </c>
      <c r="L26" s="58">
        <f t="shared" si="1"/>
        <v>37</v>
      </c>
      <c r="M26" s="58">
        <f>SQRT((F26-$F$49)^2+(G26-$G$49)^2+(H26-$H$49)^2+IF(A26=$A$49, 0,1))</f>
        <v>1.0735455276791945</v>
      </c>
      <c r="N26" s="58">
        <f t="shared" si="2"/>
        <v>39</v>
      </c>
      <c r="O26" s="58">
        <f>SQRT((F26-$F$50)^2+(G26-$G$50)^2+(H26-$H$50)^2+IF(A26=$A$50, 0,1))</f>
        <v>0.39980467453217428</v>
      </c>
      <c r="P26" s="58">
        <f t="shared" si="3"/>
        <v>8</v>
      </c>
      <c r="Q26" s="58">
        <f>SQRT((F26-$F$51)^2+(G26-$G$51)^2+(H26-$H$51)^2+IF(A26=$A$51, 0,1))</f>
        <v>1.1211839476394783</v>
      </c>
      <c r="R26" s="72">
        <f t="shared" si="4"/>
        <v>36</v>
      </c>
    </row>
    <row r="27" spans="1:19">
      <c r="A27" s="70" t="s">
        <v>5</v>
      </c>
      <c r="B27" s="58">
        <v>48</v>
      </c>
      <c r="C27" s="58">
        <v>69.75</v>
      </c>
      <c r="D27" s="58">
        <v>198</v>
      </c>
      <c r="E27" s="58" t="s">
        <v>6</v>
      </c>
      <c r="F27" s="58">
        <f>(B27-$B$57)/($B$56-$B$57)</f>
        <v>0.57499999999999996</v>
      </c>
      <c r="G27" s="58">
        <f>(C27-$C$57)/($C$56-$C$57)</f>
        <v>0.65833333333333333</v>
      </c>
      <c r="H27" s="58">
        <f>(D27-$D$57)/($D$56-$D$57)</f>
        <v>0.59199999999999997</v>
      </c>
      <c r="I27" s="58">
        <f>SQRT((F27-$F$47)^2+(G27-$G$47)^2+(H27-$H$47)^2+IF(A27=$A$47,0,1))</f>
        <v>0.27950631080134442</v>
      </c>
      <c r="J27" s="58">
        <f t="shared" si="0"/>
        <v>3</v>
      </c>
      <c r="K27" s="58">
        <f>SQRT((F27-$F$48)^2+(G27-$G$48)^2+(H27-$H$48)^2+IF(A27=$A$48, 0,1))</f>
        <v>0.37346218014679877</v>
      </c>
      <c r="L27" s="58">
        <f t="shared" si="1"/>
        <v>22</v>
      </c>
      <c r="M27" s="58">
        <f>SQRT((F27-$F$49)^2+(G27-$G$49)^2+(H27-$H$49)^2+IF(A27=$A$49, 0,1))</f>
        <v>0.44739356276102143</v>
      </c>
      <c r="N27" s="58">
        <f t="shared" si="2"/>
        <v>18</v>
      </c>
      <c r="O27" s="58">
        <f>SQRT((F27-$F$50)^2+(G27-$G$50)^2+(H27-$H$50)^2+IF(A27=$A$50, 0,1))</f>
        <v>1.0584454533785752</v>
      </c>
      <c r="P27" s="58">
        <f t="shared" si="3"/>
        <v>28</v>
      </c>
      <c r="Q27" s="58">
        <f>SQRT((F27-$F$51)^2+(G27-$G$51)^2+(H27-$H$51)^2+IF(A27=$A$51, 0,1))</f>
        <v>0.51930573311339867</v>
      </c>
      <c r="R27" s="72">
        <f t="shared" si="4"/>
        <v>22</v>
      </c>
    </row>
    <row r="28" spans="1:19">
      <c r="A28" s="70" t="s">
        <v>5</v>
      </c>
      <c r="B28" s="58">
        <v>57</v>
      </c>
      <c r="C28" s="58">
        <v>62.25</v>
      </c>
      <c r="D28" s="58">
        <v>135</v>
      </c>
      <c r="E28" s="58" t="s">
        <v>6</v>
      </c>
      <c r="F28" s="58">
        <f>(B28-$B$57)/($B$56-$B$57)</f>
        <v>0.8</v>
      </c>
      <c r="G28" s="58">
        <f>(C28-$C$57)/($C$56-$C$57)</f>
        <v>0.40833333333333333</v>
      </c>
      <c r="H28" s="58">
        <f>(D28-$D$57)/($D$56-$D$57)</f>
        <v>0.34</v>
      </c>
      <c r="I28" s="58">
        <f>SQRT((F28-$F$47)^2+(G28-$G$47)^2+(H28-$H$47)^2+IF(A28=$A$47,0,1))</f>
        <v>0.47162002125062974</v>
      </c>
      <c r="J28" s="58">
        <f t="shared" si="0"/>
        <v>19</v>
      </c>
      <c r="K28" s="58">
        <f>SQRT((F28-$F$48)^2+(G28-$G$48)^2+(H28-$H$48)^2+IF(A28=$A$48, 0,1))</f>
        <v>0.32043876170026625</v>
      </c>
      <c r="L28" s="58">
        <f t="shared" si="1"/>
        <v>15</v>
      </c>
      <c r="M28" s="58">
        <f>SQRT((F28-$F$49)^2+(G28-$G$49)^2+(H28-$H$49)^2+IF(A28=$A$49, 0,1))</f>
        <v>0.45283992756823033</v>
      </c>
      <c r="N28" s="58">
        <f t="shared" si="2"/>
        <v>19</v>
      </c>
      <c r="O28" s="58">
        <f>SQRT((F28-$F$50)^2+(G28-$G$50)^2+(H28-$H$50)^2+IF(A28=$A$50, 0,1))</f>
        <v>1.0205441903437815</v>
      </c>
      <c r="P28" s="58">
        <f t="shared" si="3"/>
        <v>22</v>
      </c>
      <c r="Q28" s="58">
        <f>SQRT((F28-$F$51)^2+(G28-$G$51)^2+(H28-$H$51)^2+IF(A28=$A$51, 0,1))</f>
        <v>0.27773388542111876</v>
      </c>
      <c r="R28" s="72">
        <f t="shared" si="4"/>
        <v>9</v>
      </c>
    </row>
    <row r="29" spans="1:19">
      <c r="A29" s="70" t="s">
        <v>9</v>
      </c>
      <c r="B29" s="58">
        <v>40</v>
      </c>
      <c r="C29" s="58">
        <v>66.5</v>
      </c>
      <c r="D29" s="58">
        <v>171</v>
      </c>
      <c r="E29" s="58" t="s">
        <v>6</v>
      </c>
      <c r="F29" s="58">
        <f>(B29-$B$57)/($B$56-$B$57)</f>
        <v>0.375</v>
      </c>
      <c r="G29" s="58">
        <f>(C29-$C$57)/($C$56-$C$57)</f>
        <v>0.55000000000000004</v>
      </c>
      <c r="H29" s="58">
        <f>(D29-$D$57)/($D$56-$D$57)</f>
        <v>0.48399999999999999</v>
      </c>
      <c r="I29" s="58">
        <f>SQRT((F29-$F$47)^2+(G29-$G$47)^2+(H29-$H$47)^2+IF(A29=$A$47,0,1))</f>
        <v>1.0261514399823146</v>
      </c>
      <c r="J29" s="58">
        <f t="shared" si="0"/>
        <v>26</v>
      </c>
      <c r="K29" s="58">
        <f>SQRT((F29-$F$48)^2+(G29-$G$48)^2+(H29-$H$48)^2+IF(A29=$A$48, 0,1))</f>
        <v>1.0325548142565819</v>
      </c>
      <c r="L29" s="58">
        <f t="shared" si="1"/>
        <v>30</v>
      </c>
      <c r="M29" s="58">
        <f>SQRT((F29-$F$49)^2+(G29-$G$49)^2+(H29-$H$49)^2+IF(A29=$A$49, 0,1))</f>
        <v>1.0275490796604856</v>
      </c>
      <c r="N29" s="58">
        <f t="shared" si="2"/>
        <v>27</v>
      </c>
      <c r="O29" s="58">
        <f>SQRT((F29-$F$50)^2+(G29-$G$50)^2+(H29-$H$50)^2+IF(A29=$A$50, 0,1))</f>
        <v>0.50187426490882925</v>
      </c>
      <c r="P29" s="58">
        <f t="shared" si="3"/>
        <v>11</v>
      </c>
      <c r="Q29" s="58">
        <f>SQRT((F29-$F$51)^2+(G29-$G$51)^2+(H29-$H$51)^2+IF(A29=$A$51, 0,1))</f>
        <v>1.090244060342046</v>
      </c>
      <c r="R29" s="72">
        <f t="shared" si="4"/>
        <v>30</v>
      </c>
    </row>
    <row r="30" spans="1:19">
      <c r="A30" s="70" t="s">
        <v>9</v>
      </c>
      <c r="B30" s="58">
        <v>60</v>
      </c>
      <c r="C30" s="58">
        <v>64.25</v>
      </c>
      <c r="D30" s="58">
        <v>222</v>
      </c>
      <c r="E30" s="58" t="s">
        <v>6</v>
      </c>
      <c r="F30" s="58">
        <f>(B30-$B$57)/($B$56-$B$57)</f>
        <v>0.875</v>
      </c>
      <c r="G30" s="58">
        <f>(C30-$C$57)/($C$56-$C$57)</f>
        <v>0.47499999999999998</v>
      </c>
      <c r="H30" s="58">
        <f>(D30-$D$57)/($D$56-$D$57)</f>
        <v>0.68799999999999994</v>
      </c>
      <c r="I30" s="58">
        <f>SQRT((F30-$F$47)^2+(G30-$G$47)^2+(H30-$H$47)^2+IF(A30=$A$47,0,1))</f>
        <v>1.0886008349150655</v>
      </c>
      <c r="J30" s="58">
        <f t="shared" si="0"/>
        <v>39</v>
      </c>
      <c r="K30" s="58">
        <f>SQRT((F30-$F$48)^2+(G30-$G$48)^2+(H30-$H$48)^2+IF(A30=$A$48, 0,1))</f>
        <v>1.1092296626237708</v>
      </c>
      <c r="L30" s="58">
        <f t="shared" si="1"/>
        <v>40</v>
      </c>
      <c r="M30" s="58">
        <f>SQRT((F30-$F$49)^2+(G30-$G$49)^2+(H30-$H$49)^2+IF(A30=$A$49, 0,1))</f>
        <v>1.185257824741567</v>
      </c>
      <c r="N30" s="58">
        <f t="shared" si="2"/>
        <v>40</v>
      </c>
      <c r="O30" s="58">
        <f>SQRT((F30-$F$50)^2+(G30-$G$50)^2+(H30-$H$50)^2+IF(A30=$A$50, 0,1))</f>
        <v>0.26065068152179799</v>
      </c>
      <c r="P30" s="60">
        <f t="shared" si="3"/>
        <v>1</v>
      </c>
      <c r="Q30" s="58">
        <f>SQRT((F30-$F$51)^2+(G30-$G$51)^2+(H30-$H$51)^2+IF(A30=$A$51, 0,1))</f>
        <v>1.1303915742392594</v>
      </c>
      <c r="R30" s="72">
        <f t="shared" si="4"/>
        <v>38</v>
      </c>
    </row>
    <row r="31" spans="1:19">
      <c r="A31" s="70" t="s">
        <v>5</v>
      </c>
      <c r="B31" s="58">
        <v>31</v>
      </c>
      <c r="C31" s="58">
        <v>59</v>
      </c>
      <c r="D31" s="58">
        <v>126</v>
      </c>
      <c r="E31" s="58" t="s">
        <v>8</v>
      </c>
      <c r="F31" s="58">
        <f>(B31-$B$57)/($B$56-$B$57)</f>
        <v>0.15</v>
      </c>
      <c r="G31" s="58">
        <f>(C31-$C$57)/($C$56-$C$57)</f>
        <v>0.3</v>
      </c>
      <c r="H31" s="58">
        <f>(D31-$D$57)/($D$56-$D$57)</f>
        <v>0.30399999999999999</v>
      </c>
      <c r="I31" s="58">
        <f>SQRT((F31-$F$47)^2+(G31-$G$47)^2+(H31-$H$47)^2+IF(A31=$A$47,0,1))</f>
        <v>0.47698544119408004</v>
      </c>
      <c r="J31" s="58">
        <f t="shared" si="0"/>
        <v>21</v>
      </c>
      <c r="K31" s="58">
        <f>SQRT((F31-$F$48)^2+(G31-$G$48)^2+(H31-$H$48)^2+IF(A31=$A$48, 0,1))</f>
        <v>0.37149846717195362</v>
      </c>
      <c r="L31" s="58">
        <f t="shared" si="1"/>
        <v>21</v>
      </c>
      <c r="M31" s="58">
        <f>SQRT((F31-$F$49)^2+(G31-$G$49)^2+(H31-$H$49)^2+IF(A31=$A$49, 0,1))</f>
        <v>0.21292904399770779</v>
      </c>
      <c r="N31" s="58">
        <f t="shared" si="2"/>
        <v>9</v>
      </c>
      <c r="O31" s="58">
        <f>SQRT((F31-$F$50)^2+(G31-$G$50)^2+(H31-$H$50)^2+IF(A31=$A$50, 0,1))</f>
        <v>1.2713520799177194</v>
      </c>
      <c r="P31" s="58">
        <f t="shared" si="3"/>
        <v>40</v>
      </c>
      <c r="Q31" s="58">
        <f>SQRT((F31-$F$51)^2+(G31-$G$51)^2+(H31-$H$51)^2+IF(A31=$A$51, 0,1))</f>
        <v>0.45793061094934939</v>
      </c>
      <c r="R31" s="72">
        <f t="shared" si="4"/>
        <v>20</v>
      </c>
    </row>
    <row r="32" spans="1:19">
      <c r="A32" s="70" t="s">
        <v>5</v>
      </c>
      <c r="B32" s="58">
        <v>53</v>
      </c>
      <c r="C32" s="58">
        <v>66.25</v>
      </c>
      <c r="D32" s="58">
        <v>167</v>
      </c>
      <c r="E32" s="58" t="s">
        <v>6</v>
      </c>
      <c r="F32" s="58">
        <f>(B32-$B$57)/($B$56-$B$57)</f>
        <v>0.7</v>
      </c>
      <c r="G32" s="58">
        <f>(C32-$C$57)/($C$56-$C$57)</f>
        <v>0.54166666666666663</v>
      </c>
      <c r="H32" s="58">
        <f>(D32-$D$57)/($D$56-$D$57)</f>
        <v>0.46800000000000003</v>
      </c>
      <c r="I32" s="58">
        <f>SQRT((F32-$F$47)^2+(G32-$G$47)^2+(H32-$H$47)^2+IF(A32=$A$47,0,1))</f>
        <v>0.33685159937278014</v>
      </c>
      <c r="J32" s="58">
        <f t="shared" si="0"/>
        <v>4</v>
      </c>
      <c r="K32" s="58">
        <f>SQRT((F32-$F$48)^2+(G32-$G$48)^2+(H32-$H$48)^2+IF(A32=$A$48, 0,1))</f>
        <v>0.29212801607818745</v>
      </c>
      <c r="L32" s="58">
        <f t="shared" si="1"/>
        <v>13</v>
      </c>
      <c r="M32" s="58">
        <f>SQRT((F32-$F$49)^2+(G32-$G$49)^2+(H32-$H$49)^2+IF(A32=$A$49, 0,1))</f>
        <v>0.41292991065205137</v>
      </c>
      <c r="N32" s="58">
        <f t="shared" si="2"/>
        <v>16</v>
      </c>
      <c r="O32" s="58">
        <f>SQRT((F32-$F$50)^2+(G32-$G$50)^2+(H32-$H$50)^2+IF(A32=$A$50, 0,1))</f>
        <v>1.0157883637845042</v>
      </c>
      <c r="P32" s="58">
        <f t="shared" si="3"/>
        <v>20</v>
      </c>
      <c r="Q32" s="58">
        <f>SQRT((F32-$F$51)^2+(G32-$G$51)^2+(H32-$H$51)^2+IF(A32=$A$51, 0,1))</f>
        <v>0.37084902588519758</v>
      </c>
      <c r="R32" s="72">
        <f t="shared" si="4"/>
        <v>15</v>
      </c>
    </row>
    <row r="33" spans="1:18">
      <c r="A33" s="70" t="s">
        <v>5</v>
      </c>
      <c r="B33" s="58">
        <v>31</v>
      </c>
      <c r="C33" s="58">
        <v>61.25</v>
      </c>
      <c r="D33" s="58">
        <v>128</v>
      </c>
      <c r="E33" s="58" t="s">
        <v>8</v>
      </c>
      <c r="F33" s="58">
        <f>(B33-$B$57)/($B$56-$B$57)</f>
        <v>0.15</v>
      </c>
      <c r="G33" s="58">
        <f>(C33-$C$57)/($C$56-$C$57)</f>
        <v>0.375</v>
      </c>
      <c r="H33" s="58">
        <f>(D33-$D$57)/($D$56-$D$57)</f>
        <v>0.312</v>
      </c>
      <c r="I33" s="58">
        <f>SQRT((F33-$F$47)^2+(G33-$G$47)^2+(H33-$H$47)^2+IF(A33=$A$47,0,1))</f>
        <v>0.45833624241501042</v>
      </c>
      <c r="J33" s="58">
        <f t="shared" si="0"/>
        <v>16</v>
      </c>
      <c r="K33" s="58">
        <f>SQRT((F33-$F$48)^2+(G33-$G$48)^2+(H33-$H$48)^2+IF(A33=$A$48, 0,1))</f>
        <v>0.36983795250232376</v>
      </c>
      <c r="L33" s="58">
        <f t="shared" si="1"/>
        <v>20</v>
      </c>
      <c r="M33" s="58">
        <f>SQRT((F33-$F$49)^2+(G33-$G$49)^2+(H33-$H$49)^2+IF(A33=$A$49, 0,1))</f>
        <v>0.20389648789956577</v>
      </c>
      <c r="N33" s="58">
        <f t="shared" si="2"/>
        <v>8</v>
      </c>
      <c r="O33" s="58">
        <f>SQRT((F33-$F$50)^2+(G33-$G$50)^2+(H33-$H$50)^2+IF(A33=$A$50, 0,1))</f>
        <v>1.2568950278806545</v>
      </c>
      <c r="P33" s="58">
        <f t="shared" si="3"/>
        <v>39</v>
      </c>
      <c r="Q33" s="58">
        <f>SQRT((F33-$F$51)^2+(G33-$G$51)^2+(H33-$H$51)^2+IF(A33=$A$51, 0,1))</f>
        <v>0.47710946798868331</v>
      </c>
      <c r="R33" s="72">
        <f t="shared" si="4"/>
        <v>21</v>
      </c>
    </row>
    <row r="34" spans="1:18">
      <c r="A34" s="70" t="s">
        <v>9</v>
      </c>
      <c r="B34" s="58">
        <v>42</v>
      </c>
      <c r="C34" s="58">
        <v>63.75</v>
      </c>
      <c r="D34" s="58">
        <v>117</v>
      </c>
      <c r="E34" s="58" t="s">
        <v>6</v>
      </c>
      <c r="F34" s="58">
        <f>(B34-$B$57)/($B$56-$B$57)</f>
        <v>0.42499999999999999</v>
      </c>
      <c r="G34" s="58">
        <f>(C34-$C$57)/($C$56-$C$57)</f>
        <v>0.45833333333333331</v>
      </c>
      <c r="H34" s="58">
        <f>(D34-$D$57)/($D$56-$D$57)</f>
        <v>0.26800000000000002</v>
      </c>
      <c r="I34" s="58">
        <f>SQRT((F34-$F$47)^2+(G34-$G$47)^2+(H34-$H$47)^2+IF(A34=$A$47,0,1))</f>
        <v>1.0737341901565354</v>
      </c>
      <c r="J34" s="58">
        <f t="shared" si="0"/>
        <v>37</v>
      </c>
      <c r="K34" s="58">
        <f>SQRT((F34-$F$48)^2+(G34-$G$48)^2+(H34-$H$48)^2+IF(A34=$A$48, 0,1))</f>
        <v>1.0225389968113685</v>
      </c>
      <c r="L34" s="58">
        <f t="shared" si="1"/>
        <v>27</v>
      </c>
      <c r="M34" s="58">
        <f>SQRT((F34-$F$49)^2+(G34-$G$49)^2+(H34-$H$49)^2+IF(A34=$A$49, 0,1))</f>
        <v>1.0109525211403352</v>
      </c>
      <c r="N34" s="58">
        <f t="shared" si="2"/>
        <v>23</v>
      </c>
      <c r="O34" s="58">
        <f>SQRT((F34-$F$50)^2+(G34-$G$50)^2+(H34-$H$50)^2+IF(A34=$A$50, 0,1))</f>
        <v>0.49518896505385812</v>
      </c>
      <c r="P34" s="58">
        <f t="shared" si="3"/>
        <v>10</v>
      </c>
      <c r="Q34" s="58">
        <f>SQRT((F34-$F$51)^2+(G34-$G$51)^2+(H34-$H$51)^2+IF(A34=$A$51, 0,1))</f>
        <v>1.0448596928668354</v>
      </c>
      <c r="R34" s="72">
        <f t="shared" si="4"/>
        <v>25</v>
      </c>
    </row>
    <row r="35" spans="1:18">
      <c r="A35" s="70" t="s">
        <v>5</v>
      </c>
      <c r="B35" s="58">
        <v>49</v>
      </c>
      <c r="C35" s="58">
        <v>65.75</v>
      </c>
      <c r="D35" s="58">
        <v>142</v>
      </c>
      <c r="E35" s="58" t="s">
        <v>6</v>
      </c>
      <c r="F35" s="58">
        <f>(B35-$B$57)/($B$56-$B$57)</f>
        <v>0.6</v>
      </c>
      <c r="G35" s="58">
        <f>(C35-$C$57)/($C$56-$C$57)</f>
        <v>0.52500000000000002</v>
      </c>
      <c r="H35" s="58">
        <f>(D35-$D$57)/($D$56-$D$57)</f>
        <v>0.36799999999999999</v>
      </c>
      <c r="I35" s="58">
        <f>SQRT((F35-$F$47)^2+(G35-$G$47)^2+(H35-$H$47)^2+IF(A35=$A$47,0,1))</f>
        <v>0.34231580610762208</v>
      </c>
      <c r="J35" s="58">
        <f t="shared" si="0"/>
        <v>5</v>
      </c>
      <c r="K35" s="58">
        <f>SQRT((F35-$F$48)^2+(G35-$G$48)^2+(H35-$H$48)^2+IF(A35=$A$48, 0,1))</f>
        <v>0.22332064640581517</v>
      </c>
      <c r="L35" s="58">
        <f t="shared" si="1"/>
        <v>7</v>
      </c>
      <c r="M35" s="58">
        <f>SQRT((F35-$F$49)^2+(G35-$G$49)^2+(H35-$H$49)^2+IF(A35=$A$49, 0,1))</f>
        <v>0.30112751082851563</v>
      </c>
      <c r="N35" s="58">
        <f t="shared" si="2"/>
        <v>12</v>
      </c>
      <c r="O35" s="58">
        <f>SQRT((F35-$F$50)^2+(G35-$G$50)^2+(H35-$H$50)^2+IF(A35=$A$50, 0,1))</f>
        <v>1.0407387333577582</v>
      </c>
      <c r="P35" s="58">
        <f t="shared" si="3"/>
        <v>27</v>
      </c>
      <c r="Q35" s="58">
        <f>SQRT((F35-$F$51)^2+(G35-$G$51)^2+(H35-$H$51)^2+IF(A35=$A$51, 0,1))</f>
        <v>0.31204718304199519</v>
      </c>
      <c r="R35" s="72">
        <f t="shared" si="4"/>
        <v>12</v>
      </c>
    </row>
    <row r="36" spans="1:18">
      <c r="A36" s="70" t="s">
        <v>9</v>
      </c>
      <c r="B36" s="58">
        <v>38</v>
      </c>
      <c r="C36" s="58">
        <v>68.25</v>
      </c>
      <c r="D36" s="58">
        <v>171</v>
      </c>
      <c r="E36" s="58" t="s">
        <v>6</v>
      </c>
      <c r="F36" s="58">
        <f>(B36-$B$57)/($B$56-$B$57)</f>
        <v>0.32500000000000001</v>
      </c>
      <c r="G36" s="58">
        <f>(C36-$C$57)/($C$56-$C$57)</f>
        <v>0.60833333333333328</v>
      </c>
      <c r="H36" s="58">
        <f>(D36-$D$57)/($D$56-$D$57)</f>
        <v>0.48399999999999999</v>
      </c>
      <c r="I36" s="58">
        <f>SQRT((F36-$F$47)^2+(G36-$G$47)^2+(H36-$H$47)^2+IF(A36=$A$47,0,1))</f>
        <v>1.04016590557041</v>
      </c>
      <c r="J36" s="58">
        <f t="shared" si="0"/>
        <v>31</v>
      </c>
      <c r="K36" s="58">
        <f>SQRT((F36-$F$48)^2+(G36-$G$48)^2+(H36-$H$48)^2+IF(A36=$A$48, 0,1))</f>
        <v>1.0534941860304687</v>
      </c>
      <c r="L36" s="58">
        <f t="shared" si="1"/>
        <v>34</v>
      </c>
      <c r="M36" s="58">
        <f>SQRT((F36-$F$49)^2+(G36-$G$49)^2+(H36-$H$49)^2+IF(A36=$A$49, 0,1))</f>
        <v>1.0400100961048406</v>
      </c>
      <c r="N36" s="58">
        <f t="shared" si="2"/>
        <v>32</v>
      </c>
      <c r="O36" s="58">
        <f>SQRT((F36-$F$50)^2+(G36-$G$50)^2+(H36-$H$50)^2+IF(A36=$A$50, 0,1))</f>
        <v>0.55302451221542714</v>
      </c>
      <c r="P36" s="58">
        <f t="shared" si="3"/>
        <v>14</v>
      </c>
      <c r="Q36" s="58">
        <f>SQRT((F36-$F$51)^2+(G36-$G$51)^2+(H36-$H$51)^2+IF(A36=$A$51, 0,1))</f>
        <v>1.1206800514766815</v>
      </c>
      <c r="R36" s="72">
        <f t="shared" si="4"/>
        <v>35</v>
      </c>
    </row>
    <row r="37" spans="1:18">
      <c r="A37" s="70" t="s">
        <v>5</v>
      </c>
      <c r="B37" s="58">
        <v>56</v>
      </c>
      <c r="C37" s="58">
        <v>60.25</v>
      </c>
      <c r="D37" s="58">
        <v>154</v>
      </c>
      <c r="E37" s="58" t="s">
        <v>8</v>
      </c>
      <c r="F37" s="58">
        <f>(B37-$B$57)/($B$56-$B$57)</f>
        <v>0.77500000000000002</v>
      </c>
      <c r="G37" s="58">
        <f>(C37-$C$57)/($C$56-$C$57)</f>
        <v>0.34166666666666667</v>
      </c>
      <c r="H37" s="58">
        <f>(D37-$D$57)/($D$56-$D$57)</f>
        <v>0.41599999999999998</v>
      </c>
      <c r="I37" s="58">
        <f>SQRT((F37-$F$47)^2+(G37-$G$47)^2+(H37-$H$47)^2+IF(A37=$A$47,0,1))</f>
        <v>0.41091361622608713</v>
      </c>
      <c r="J37" s="58">
        <f t="shared" si="0"/>
        <v>11</v>
      </c>
      <c r="K37" s="58">
        <f>SQRT((F37-$F$48)^2+(G37-$G$48)^2+(H37-$H$48)^2+IF(A37=$A$48, 0,1))</f>
        <v>0.27524251932512978</v>
      </c>
      <c r="L37" s="58">
        <f t="shared" si="1"/>
        <v>10</v>
      </c>
      <c r="M37" s="58">
        <f>SQRT((F37-$F$49)^2+(G37-$G$49)^2+(H37-$H$49)^2+IF(A37=$A$49, 0,1))</f>
        <v>0.43072819477923407</v>
      </c>
      <c r="N37" s="58">
        <f t="shared" si="2"/>
        <v>17</v>
      </c>
      <c r="O37" s="58">
        <f>SQRT((F37-$F$50)^2+(G37-$G$50)^2+(H37-$H$50)^2+IF(A37=$A$50, 0,1))</f>
        <v>1.0302470577487712</v>
      </c>
      <c r="P37" s="58">
        <f t="shared" si="3"/>
        <v>25</v>
      </c>
      <c r="Q37" s="58">
        <f>SQRT((F37-$F$51)^2+(G37-$G$51)^2+(H37-$H$51)^2+IF(A37=$A$51, 0,1))</f>
        <v>0.23551220775153039</v>
      </c>
      <c r="R37" s="72">
        <f t="shared" si="4"/>
        <v>5</v>
      </c>
    </row>
    <row r="38" spans="1:18">
      <c r="A38" s="70" t="s">
        <v>9</v>
      </c>
      <c r="B38" s="58">
        <v>34</v>
      </c>
      <c r="C38" s="58">
        <v>63.5</v>
      </c>
      <c r="D38" s="58">
        <v>120</v>
      </c>
      <c r="E38" s="58" t="s">
        <v>8</v>
      </c>
      <c r="F38" s="58">
        <f>(B38-$B$57)/($B$56-$B$57)</f>
        <v>0.22500000000000001</v>
      </c>
      <c r="G38" s="58">
        <f>(C38-$C$57)/($C$56-$C$57)</f>
        <v>0.45</v>
      </c>
      <c r="H38" s="58">
        <f>(D38-$D$57)/($D$56-$D$57)</f>
        <v>0.28000000000000003</v>
      </c>
      <c r="I38" s="58">
        <f>SQRT((F38-$F$47)^2+(G38-$G$47)^2+(H38-$H$47)^2+IF(A38=$A$47,0,1))</f>
        <v>1.092296713860804</v>
      </c>
      <c r="J38" s="58">
        <f t="shared" si="0"/>
        <v>40</v>
      </c>
      <c r="K38" s="58">
        <f>SQRT((F38-$F$48)^2+(G38-$G$48)^2+(H38-$H$48)^2+IF(A38=$A$48, 0,1))</f>
        <v>1.0535521397211962</v>
      </c>
      <c r="L38" s="58">
        <f t="shared" si="1"/>
        <v>35</v>
      </c>
      <c r="M38" s="58">
        <f>SQRT((F38-$F$49)^2+(G38-$G$49)^2+(H38-$H$49)^2+IF(A38=$A$49, 0,1))</f>
        <v>1.0142247175935803</v>
      </c>
      <c r="N38" s="58">
        <f t="shared" si="2"/>
        <v>25</v>
      </c>
      <c r="O38" s="58">
        <f>SQRT((F38-$F$50)^2+(G38-$G$50)^2+(H38-$H$50)^2+IF(A38=$A$50, 0,1))</f>
        <v>0.68044625879720377</v>
      </c>
      <c r="P38" s="58">
        <f t="shared" si="3"/>
        <v>17</v>
      </c>
      <c r="Q38" s="58">
        <f>SQRT((F38-$F$51)^2+(G38-$G$51)^2+(H38-$H$51)^2+IF(A38=$A$51, 0,1))</f>
        <v>1.0939238750682994</v>
      </c>
      <c r="R38" s="72">
        <f t="shared" si="4"/>
        <v>31</v>
      </c>
    </row>
    <row r="39" spans="1:18">
      <c r="A39" s="70" t="s">
        <v>9</v>
      </c>
      <c r="B39" s="58">
        <v>47</v>
      </c>
      <c r="C39" s="58">
        <v>63.5</v>
      </c>
      <c r="D39" s="58">
        <v>185</v>
      </c>
      <c r="E39" s="58" t="s">
        <v>6</v>
      </c>
      <c r="F39" s="58">
        <f>(B39-$B$57)/($B$56-$B$57)</f>
        <v>0.55000000000000004</v>
      </c>
      <c r="G39" s="58">
        <f>(C39-$C$57)/($C$56-$C$57)</f>
        <v>0.45</v>
      </c>
      <c r="H39" s="58">
        <f>(D39-$D$57)/($D$56-$D$57)</f>
        <v>0.54</v>
      </c>
      <c r="I39" s="58">
        <f>SQRT((F39-$F$47)^2+(G39-$G$47)^2+(H39-$H$47)^2+IF(A39=$A$47,0,1))</f>
        <v>1.012209025404887</v>
      </c>
      <c r="J39" s="58">
        <f t="shared" si="0"/>
        <v>23</v>
      </c>
      <c r="K39" s="58">
        <f>SQRT((F39-$F$48)^2+(G39-$G$48)^2+(H39-$H$48)^2+IF(A39=$A$48, 0,1))</f>
        <v>1.0146758650481005</v>
      </c>
      <c r="L39" s="58">
        <f t="shared" si="1"/>
        <v>25</v>
      </c>
      <c r="M39" s="58">
        <f>SQRT((F39-$F$49)^2+(G39-$G$49)^2+(H39-$H$49)^2+IF(A39=$A$49, 0,1))</f>
        <v>1.0417613823605565</v>
      </c>
      <c r="N39" s="58">
        <f t="shared" si="2"/>
        <v>33</v>
      </c>
      <c r="O39" s="58">
        <f>SQRT((F39-$F$50)^2+(G39-$G$50)^2+(H39-$H$50)^2+IF(A39=$A$50, 0,1))</f>
        <v>0.35840216393195934</v>
      </c>
      <c r="P39" s="58">
        <f t="shared" si="3"/>
        <v>5</v>
      </c>
      <c r="Q39" s="58">
        <f>SQRT((F39-$F$51)^2+(G39-$G$51)^2+(H39-$H$51)^2+IF(A39=$A$51, 0,1))</f>
        <v>1.0513536248306012</v>
      </c>
      <c r="R39" s="72">
        <f t="shared" si="4"/>
        <v>26</v>
      </c>
    </row>
    <row r="40" spans="1:18">
      <c r="A40" s="70" t="s">
        <v>9</v>
      </c>
      <c r="B40" s="58">
        <v>46</v>
      </c>
      <c r="C40" s="58">
        <v>68.75</v>
      </c>
      <c r="D40" s="58">
        <v>174</v>
      </c>
      <c r="E40" s="58" t="s">
        <v>6</v>
      </c>
      <c r="F40" s="58">
        <f>(B40-$B$57)/($B$56-$B$57)</f>
        <v>0.52500000000000002</v>
      </c>
      <c r="G40" s="58">
        <f>(C40-$C$57)/($C$56-$C$57)</f>
        <v>0.625</v>
      </c>
      <c r="H40" s="58">
        <f>(D40-$D$57)/($D$56-$D$57)</f>
        <v>0.496</v>
      </c>
      <c r="I40" s="58">
        <f>SQRT((F40-$F$47)^2+(G40-$G$47)^2+(H40-$H$47)^2+IF(A40=$A$47,0,1))</f>
        <v>1.0366425506305332</v>
      </c>
      <c r="J40" s="58">
        <f t="shared" si="0"/>
        <v>29</v>
      </c>
      <c r="K40" s="58">
        <f>SQRT((F40-$F$48)^2+(G40-$G$48)^2+(H40-$H$48)^2+IF(A40=$A$48, 0,1))</f>
        <v>1.044451264753145</v>
      </c>
      <c r="L40" s="58">
        <f t="shared" si="1"/>
        <v>32</v>
      </c>
      <c r="M40" s="58">
        <f>SQRT((F40-$F$49)^2+(G40-$G$49)^2+(H40-$H$49)^2+IF(A40=$A$49, 0,1))</f>
        <v>1.0600189201665748</v>
      </c>
      <c r="N40" s="58">
        <f t="shared" si="2"/>
        <v>37</v>
      </c>
      <c r="O40" s="58">
        <f>SQRT((F40-$F$50)^2+(G40-$G$50)^2+(H40-$H$50)^2+IF(A40=$A$50, 0,1))</f>
        <v>0.35861787152591512</v>
      </c>
      <c r="P40" s="58">
        <f t="shared" si="3"/>
        <v>6</v>
      </c>
      <c r="Q40" s="58">
        <f>SQRT((F40-$F$51)^2+(G40-$G$51)^2+(H40-$H$51)^2+IF(A40=$A$51, 0,1))</f>
        <v>1.0969672333807929</v>
      </c>
      <c r="R40" s="72">
        <f t="shared" si="4"/>
        <v>33</v>
      </c>
    </row>
    <row r="41" spans="1:18">
      <c r="A41" s="70" t="s">
        <v>5</v>
      </c>
      <c r="B41" s="58">
        <v>34</v>
      </c>
      <c r="C41" s="58">
        <v>61.75</v>
      </c>
      <c r="D41" s="58">
        <v>142</v>
      </c>
      <c r="E41" s="58" t="s">
        <v>6</v>
      </c>
      <c r="F41" s="58">
        <f>(B41-$B$57)/($B$56-$B$57)</f>
        <v>0.22500000000000001</v>
      </c>
      <c r="G41" s="58">
        <f>(C41-$C$57)/($C$56-$C$57)</f>
        <v>0.39166666666666666</v>
      </c>
      <c r="H41" s="58">
        <f>(D41-$D$57)/($D$56-$D$57)</f>
        <v>0.36799999999999999</v>
      </c>
      <c r="I41" s="58">
        <f>SQRT((F41-$F$47)^2+(G41-$G$47)^2+(H41-$H$47)^2+IF(A41=$A$47,0,1))</f>
        <v>0.3663249923223913</v>
      </c>
      <c r="J41" s="58">
        <f t="shared" si="0"/>
        <v>9</v>
      </c>
      <c r="K41" s="58">
        <f>SQRT((F41-$F$48)^2+(G41-$G$48)^2+(H41-$H$48)^2+IF(A41=$A$48, 0,1))</f>
        <v>0.28664224702192415</v>
      </c>
      <c r="L41" s="58">
        <f t="shared" si="1"/>
        <v>11</v>
      </c>
      <c r="M41" s="58">
        <f>SQRT((F41-$F$49)^2+(G41-$G$49)^2+(H41-$H$49)^2+IF(A41=$A$49, 0,1))</f>
        <v>0.13090496977239294</v>
      </c>
      <c r="N41" s="58">
        <f t="shared" si="2"/>
        <v>3</v>
      </c>
      <c r="O41" s="58">
        <f>SQRT((F41-$F$50)^2+(G41-$G$50)^2+(H41-$H$50)^2+IF(A41=$A$50, 0,1))</f>
        <v>1.20784974231069</v>
      </c>
      <c r="P41" s="58">
        <f t="shared" si="3"/>
        <v>37</v>
      </c>
      <c r="Q41" s="58">
        <f>SQRT((F41-$F$51)^2+(G41-$G$51)^2+(H41-$H$51)^2+IF(A41=$A$51, 0,1))</f>
        <v>0.41659812769622473</v>
      </c>
      <c r="R41" s="72">
        <f t="shared" si="4"/>
        <v>18</v>
      </c>
    </row>
    <row r="42" spans="1:18">
      <c r="A42" s="74" t="s">
        <v>5</v>
      </c>
      <c r="B42" s="75">
        <v>36</v>
      </c>
      <c r="C42" s="75">
        <v>62.5</v>
      </c>
      <c r="D42" s="75">
        <v>116</v>
      </c>
      <c r="E42" s="75" t="s">
        <v>6</v>
      </c>
      <c r="F42" s="75">
        <f>(B42-$B$57)/($B$56-$B$57)</f>
        <v>0.27500000000000002</v>
      </c>
      <c r="G42" s="75">
        <f>(C42-$C$57)/($C$56-$C$57)</f>
        <v>0.41666666666666669</v>
      </c>
      <c r="H42" s="75">
        <f>(D42-$D$57)/($D$56-$D$57)</f>
        <v>0.26400000000000001</v>
      </c>
      <c r="I42" s="75">
        <f>SQRT((F42-$F$47)^2+(G42-$G$47)^2+(H42-$H$47)^2+IF(A42=$A$47,0,1))</f>
        <v>0.429288946980935</v>
      </c>
      <c r="J42" s="75">
        <f t="shared" si="0"/>
        <v>13</v>
      </c>
      <c r="K42" s="75">
        <f>SQRT((F42-$F$48)^2+(G42-$G$48)^2+(H42-$H$48)^2+IF(A42=$A$48, 0,1))</f>
        <v>0.28839113100864328</v>
      </c>
      <c r="L42" s="75">
        <f t="shared" si="1"/>
        <v>12</v>
      </c>
      <c r="M42" s="75">
        <f>SQRT((F42-$F$49)^2+(G42-$G$49)^2+(H42-$H$49)^2+IF(A42=$A$49, 0,1))</f>
        <v>0.12682183478320191</v>
      </c>
      <c r="N42" s="76">
        <f t="shared" si="2"/>
        <v>2</v>
      </c>
      <c r="O42" s="75">
        <f>SQRT((F42-$F$50)^2+(G42-$G$50)^2+(H42-$H$50)^2+IF(A42=$A$50, 0,1))</f>
        <v>1.1894956914591999</v>
      </c>
      <c r="P42" s="75">
        <f t="shared" si="3"/>
        <v>35</v>
      </c>
      <c r="Q42" s="75">
        <f>SQRT((F42-$F$51)^2+(G42-$G$51)^2+(H42-$H$51)^2+IF(A42=$A$51, 0,1))</f>
        <v>0.3856954757318265</v>
      </c>
      <c r="R42" s="77">
        <f t="shared" si="4"/>
        <v>16</v>
      </c>
    </row>
    <row r="45" spans="1:18" ht="28.5">
      <c r="A45" s="68" t="s">
        <v>113</v>
      </c>
      <c r="B45" s="68"/>
      <c r="C45" s="68"/>
      <c r="D45" s="68"/>
      <c r="E45" s="68"/>
      <c r="F45" s="68"/>
      <c r="G45" s="68"/>
      <c r="H45" s="68"/>
      <c r="I45" s="68"/>
      <c r="J45" s="68"/>
      <c r="K45" s="139" t="s">
        <v>106</v>
      </c>
    </row>
    <row r="46" spans="1:18">
      <c r="A46" s="90" t="s">
        <v>2</v>
      </c>
      <c r="B46" s="91" t="s">
        <v>90</v>
      </c>
      <c r="C46" s="91" t="s">
        <v>91</v>
      </c>
      <c r="D46" s="91" t="s">
        <v>92</v>
      </c>
      <c r="E46" s="91" t="s">
        <v>3</v>
      </c>
      <c r="F46" s="91" t="s">
        <v>93</v>
      </c>
      <c r="G46" s="91" t="s">
        <v>94</v>
      </c>
      <c r="H46" s="91" t="s">
        <v>95</v>
      </c>
      <c r="I46" s="91" t="s">
        <v>107</v>
      </c>
      <c r="J46" s="92" t="s">
        <v>108</v>
      </c>
    </row>
    <row r="47" spans="1:18">
      <c r="A47" s="79" t="s">
        <v>5</v>
      </c>
      <c r="B47" s="65">
        <v>43</v>
      </c>
      <c r="C47" s="65">
        <v>62.5</v>
      </c>
      <c r="D47" s="65">
        <v>214</v>
      </c>
      <c r="E47" s="65" t="s">
        <v>6</v>
      </c>
      <c r="F47" s="65">
        <f>(B47-$B$57)/($B$56-$B$57)</f>
        <v>0.45</v>
      </c>
      <c r="G47" s="65">
        <f>(C47-$C$57)/($C$56-$C$57)</f>
        <v>0.41666666666666669</v>
      </c>
      <c r="H47" s="65">
        <f>(D47-$D$57)/($D$56-$D$57)</f>
        <v>0.65600000000000003</v>
      </c>
      <c r="I47" s="65" t="s">
        <v>6</v>
      </c>
      <c r="J47" s="80">
        <f>IF(I47=E47, 1,0)</f>
        <v>1</v>
      </c>
    </row>
    <row r="48" spans="1:18">
      <c r="A48" s="79" t="s">
        <v>5</v>
      </c>
      <c r="B48" s="65">
        <v>45</v>
      </c>
      <c r="C48" s="65">
        <v>60</v>
      </c>
      <c r="D48" s="65">
        <v>156</v>
      </c>
      <c r="E48" s="65" t="s">
        <v>6</v>
      </c>
      <c r="F48" s="65">
        <f>(B48-$B$57)/($B$56-$B$57)</f>
        <v>0.5</v>
      </c>
      <c r="G48" s="65">
        <f>(C48-$C$57)/($C$56-$C$57)</f>
        <v>0.33333333333333331</v>
      </c>
      <c r="H48" s="65">
        <f>(D48-$D$57)/($D$56-$D$57)</f>
        <v>0.42399999999999999</v>
      </c>
      <c r="I48" s="65" t="s">
        <v>8</v>
      </c>
      <c r="J48" s="80">
        <f t="shared" ref="J48:J51" si="5">IF(I48=E48, 1,0)</f>
        <v>0</v>
      </c>
    </row>
    <row r="49" spans="1:10">
      <c r="A49" s="79" t="s">
        <v>5</v>
      </c>
      <c r="B49" s="65">
        <v>39</v>
      </c>
      <c r="C49" s="65">
        <v>60.75</v>
      </c>
      <c r="D49" s="65">
        <v>137</v>
      </c>
      <c r="E49" s="65" t="s">
        <v>8</v>
      </c>
      <c r="F49" s="65">
        <f>(B49-$B$57)/($B$56-$B$57)</f>
        <v>0.35</v>
      </c>
      <c r="G49" s="65">
        <f>(C49-$C$57)/($C$56-$C$57)</f>
        <v>0.35833333333333334</v>
      </c>
      <c r="H49" s="65">
        <f>(D49-$D$57)/($D$56-$D$57)</f>
        <v>0.34799999999999998</v>
      </c>
      <c r="I49" s="65" t="s">
        <v>8</v>
      </c>
      <c r="J49" s="80">
        <f t="shared" si="5"/>
        <v>1</v>
      </c>
    </row>
    <row r="50" spans="1:10">
      <c r="A50" s="79" t="s">
        <v>9</v>
      </c>
      <c r="B50" s="65">
        <v>60</v>
      </c>
      <c r="C50" s="65">
        <v>67</v>
      </c>
      <c r="D50" s="65">
        <v>161</v>
      </c>
      <c r="E50" s="65" t="s">
        <v>8</v>
      </c>
      <c r="F50" s="65">
        <f>(B50-$B$57)/($B$56-$B$57)</f>
        <v>0.875</v>
      </c>
      <c r="G50" s="65">
        <f>(C50-$C$57)/($C$56-$C$57)</f>
        <v>0.56666666666666665</v>
      </c>
      <c r="H50" s="65">
        <f>(D50-$D$57)/($D$56-$D$57)</f>
        <v>0.44400000000000001</v>
      </c>
      <c r="I50" s="65" t="s">
        <v>6</v>
      </c>
      <c r="J50" s="80">
        <f t="shared" si="5"/>
        <v>0</v>
      </c>
    </row>
    <row r="51" spans="1:10">
      <c r="A51" s="84" t="s">
        <v>5</v>
      </c>
      <c r="B51" s="85">
        <v>49</v>
      </c>
      <c r="C51" s="85">
        <v>56.5</v>
      </c>
      <c r="D51" s="85">
        <v>130</v>
      </c>
      <c r="E51" s="85" t="s">
        <v>8</v>
      </c>
      <c r="F51" s="85">
        <f>(B51-$B$57)/($B$56-$B$57)</f>
        <v>0.6</v>
      </c>
      <c r="G51" s="85">
        <f>(C51-$C$57)/($C$56-$C$57)</f>
        <v>0.21666666666666667</v>
      </c>
      <c r="H51" s="85">
        <f>(D51-$D$57)/($D$56-$D$57)</f>
        <v>0.32</v>
      </c>
      <c r="I51" s="85" t="s">
        <v>8</v>
      </c>
      <c r="J51" s="86">
        <f t="shared" si="5"/>
        <v>1</v>
      </c>
    </row>
    <row r="52" spans="1:10" ht="19.5" thickBot="1">
      <c r="J52" s="57">
        <f>COUNTIF(J47:J51, 1)/5</f>
        <v>0.6</v>
      </c>
    </row>
    <row r="53" spans="1:10" ht="19.5" thickBot="1">
      <c r="I53" s="66" t="s">
        <v>109</v>
      </c>
      <c r="J53" s="67">
        <f>100*J52</f>
        <v>60</v>
      </c>
    </row>
    <row r="55" spans="1:10">
      <c r="A55" s="81" t="s">
        <v>115</v>
      </c>
      <c r="B55" s="82" t="s">
        <v>90</v>
      </c>
      <c r="C55" s="82" t="s">
        <v>91</v>
      </c>
      <c r="D55" s="83" t="s">
        <v>92</v>
      </c>
    </row>
    <row r="56" spans="1:10">
      <c r="A56" s="78" t="s">
        <v>110</v>
      </c>
      <c r="B56" s="65">
        <v>65</v>
      </c>
      <c r="C56" s="65">
        <v>80</v>
      </c>
      <c r="D56" s="80">
        <v>300</v>
      </c>
    </row>
    <row r="57" spans="1:10">
      <c r="A57" s="89" t="s">
        <v>111</v>
      </c>
      <c r="B57" s="85">
        <v>25</v>
      </c>
      <c r="C57" s="85">
        <v>50</v>
      </c>
      <c r="D57" s="86">
        <v>50</v>
      </c>
    </row>
    <row r="59" spans="1:10">
      <c r="B59" s="64" t="s">
        <v>112</v>
      </c>
    </row>
  </sheetData>
  <mergeCells count="2">
    <mergeCell ref="A45:J45"/>
    <mergeCell ref="A1:R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Q1_Solution</vt:lpstr>
      <vt:lpstr>Q2_Solution</vt:lpstr>
      <vt:lpstr>Q3_Solution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Dadlani</dc:creator>
  <cp:lastModifiedBy>Tarun Dadlani</cp:lastModifiedBy>
  <dcterms:created xsi:type="dcterms:W3CDTF">2023-11-08T21:09:33Z</dcterms:created>
  <dcterms:modified xsi:type="dcterms:W3CDTF">2023-11-09T03:47:20Z</dcterms:modified>
</cp:coreProperties>
</file>