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G:\My Drive\KG TM - Joint projects\HCES\Across survey analysis\LPG and firewood statistics\"/>
    </mc:Choice>
  </mc:AlternateContent>
  <bookViews>
    <workbookView xWindow="0" yWindow="0" windowWidth="9770" windowHeight="6930"/>
  </bookViews>
  <sheets>
    <sheet name="Overall Analysis" sheetId="1" r:id="rId1"/>
    <sheet name="PNG" sheetId="8" r:id="rId2"/>
    <sheet name="LPG Imports" sheetId="7" r:id="rId3"/>
    <sheet name="PMUY Active Consumer Base" sheetId="6" r:id="rId4"/>
    <sheet name="PMUY + PMGKY Consumption" sheetId="5" r:id="rId5"/>
    <sheet name="Sheet1" sheetId="2" r:id="rId6"/>
    <sheet name="Sheet2" sheetId="3" r:id="rId7"/>
    <sheet name="Delhi" sheetId="4" r:id="rId8"/>
  </sheets>
  <calcPr calcId="162913"/>
</workbook>
</file>

<file path=xl/calcChain.xml><?xml version="1.0" encoding="utf-8"?>
<calcChain xmlns="http://schemas.openxmlformats.org/spreadsheetml/2006/main">
  <c r="K13" i="8" l="1"/>
  <c r="M13" i="8" s="1"/>
  <c r="K15" i="8"/>
  <c r="M15" i="8" s="1"/>
  <c r="K16" i="8"/>
  <c r="M16" i="8" s="1"/>
  <c r="K14" i="8"/>
  <c r="M14" i="8" s="1"/>
  <c r="K17" i="8"/>
  <c r="M17" i="8" s="1"/>
  <c r="H17" i="8"/>
  <c r="H16" i="8" l="1"/>
  <c r="H15" i="8"/>
  <c r="H14" i="8"/>
  <c r="G4" i="8"/>
  <c r="H4" i="8"/>
  <c r="I4" i="8"/>
  <c r="J4" i="8"/>
  <c r="G5" i="8"/>
  <c r="H5" i="8"/>
  <c r="I5" i="8"/>
  <c r="J5" i="8"/>
  <c r="G6" i="8"/>
  <c r="H6" i="8"/>
  <c r="I6" i="8"/>
  <c r="J6" i="8"/>
  <c r="G7" i="8"/>
  <c r="H7" i="8"/>
  <c r="I7" i="8"/>
  <c r="J7" i="8"/>
  <c r="G8" i="8"/>
  <c r="H8" i="8"/>
  <c r="I8" i="8"/>
  <c r="J8" i="8"/>
  <c r="G9" i="8"/>
  <c r="H9" i="8"/>
  <c r="I9" i="8"/>
  <c r="J9" i="8"/>
  <c r="G10" i="8"/>
  <c r="H10" i="8"/>
  <c r="G17" i="8" s="1"/>
  <c r="I17" i="8" s="1"/>
  <c r="I10" i="8"/>
  <c r="J10" i="8"/>
  <c r="H3" i="8"/>
  <c r="G13" i="8" s="1"/>
  <c r="I3" i="8"/>
  <c r="J3" i="8"/>
  <c r="G3" i="8"/>
  <c r="G15" i="8" l="1"/>
  <c r="I15" i="8" s="1"/>
  <c r="G16" i="8"/>
  <c r="I16" i="8" s="1"/>
  <c r="G14" i="8"/>
  <c r="I14" i="8" s="1"/>
  <c r="L9" i="8"/>
  <c r="L5" i="8"/>
  <c r="O8" i="8"/>
  <c r="N10" i="8"/>
  <c r="N6" i="8"/>
  <c r="L8" i="8"/>
  <c r="L3" i="8"/>
  <c r="O5" i="8"/>
  <c r="N5" i="8"/>
  <c r="L7" i="8"/>
  <c r="O10" i="8"/>
  <c r="O6" i="8"/>
  <c r="O4" i="8"/>
  <c r="N8" i="8"/>
  <c r="N4" i="8"/>
  <c r="L10" i="8"/>
  <c r="L6" i="8"/>
  <c r="L4" i="8"/>
  <c r="O9" i="8"/>
  <c r="O7" i="8"/>
  <c r="O3" i="8"/>
  <c r="N9" i="8"/>
  <c r="N7" i="8"/>
  <c r="N3" i="8"/>
  <c r="M9" i="8"/>
  <c r="M7" i="8"/>
  <c r="M5" i="8"/>
  <c r="M10" i="8"/>
  <c r="M4" i="8"/>
  <c r="M8" i="8"/>
  <c r="M6" i="8"/>
  <c r="M3" i="8"/>
  <c r="V9" i="1"/>
  <c r="U9" i="1"/>
  <c r="M9" i="1"/>
  <c r="N9" i="1"/>
  <c r="O9" i="1"/>
  <c r="P9" i="1"/>
  <c r="Q9" i="1"/>
  <c r="R9" i="1"/>
  <c r="S9" i="1"/>
  <c r="T9" i="1"/>
  <c r="L9" i="1"/>
  <c r="W9" i="1" l="1"/>
  <c r="J4" i="7"/>
  <c r="J5" i="7"/>
  <c r="J6" i="7"/>
  <c r="J7" i="7"/>
  <c r="J8" i="7"/>
  <c r="J9" i="7"/>
  <c r="J10" i="7"/>
  <c r="J3" i="7"/>
  <c r="I4" i="7"/>
  <c r="I5" i="7"/>
  <c r="I6" i="7"/>
  <c r="I7" i="7"/>
  <c r="I8" i="7"/>
  <c r="I9" i="7"/>
  <c r="I10" i="7"/>
  <c r="I3" i="7"/>
  <c r="H11" i="7" l="1"/>
  <c r="E11" i="7"/>
  <c r="F11" i="7" s="1"/>
  <c r="W12" i="1" l="1"/>
  <c r="G11" i="1" l="1"/>
  <c r="H11" i="1"/>
  <c r="I11" i="1"/>
  <c r="J11" i="1"/>
  <c r="K11" i="1"/>
  <c r="L11" i="1"/>
  <c r="M11" i="1"/>
  <c r="O11" i="1"/>
  <c r="P11" i="1"/>
  <c r="Q11" i="1"/>
  <c r="R11" i="1"/>
  <c r="S11" i="1"/>
  <c r="T11" i="1"/>
  <c r="N13" i="1"/>
  <c r="O13" i="1" s="1"/>
  <c r="P13" i="1" s="1"/>
  <c r="Q13" i="1" s="1"/>
  <c r="R13" i="1" s="1"/>
  <c r="S13" i="1" s="1"/>
  <c r="T13" i="1" s="1"/>
  <c r="C14" i="1"/>
  <c r="D14" i="1"/>
  <c r="E14" i="1"/>
  <c r="F14" i="1"/>
  <c r="G14" i="1"/>
  <c r="H14" i="1"/>
  <c r="I14" i="1"/>
  <c r="J14" i="1"/>
  <c r="K14" i="1"/>
  <c r="L14" i="1"/>
  <c r="M14" i="1"/>
  <c r="N14" i="1" s="1"/>
  <c r="O14" i="1" s="1"/>
  <c r="N15" i="1"/>
  <c r="O15" i="1"/>
  <c r="P15" i="1"/>
  <c r="Q15" i="1"/>
  <c r="R15" i="1"/>
  <c r="K16" i="1"/>
  <c r="L16" i="1"/>
  <c r="M17" i="1"/>
  <c r="N17" i="1" s="1"/>
  <c r="O17" i="1" s="1"/>
  <c r="N16" i="1" l="1"/>
  <c r="O16" i="1"/>
  <c r="M15" i="1"/>
  <c r="M16" i="1" s="1"/>
  <c r="T8" i="1"/>
  <c r="I37" i="1" l="1"/>
  <c r="L21" i="1" l="1"/>
  <c r="M21" i="1"/>
  <c r="K21" i="1"/>
  <c r="J21" i="1"/>
  <c r="I21" i="1"/>
  <c r="Q44" i="1" l="1"/>
  <c r="T42" i="1"/>
  <c r="P42" i="1"/>
  <c r="P44" i="1" s="1"/>
  <c r="R42" i="1"/>
  <c r="R44" i="1" s="1"/>
  <c r="T34" i="1"/>
  <c r="S34" i="1"/>
  <c r="S35" i="1"/>
  <c r="T35" i="1"/>
  <c r="Q49" i="1" l="1"/>
  <c r="R49" i="1"/>
  <c r="S49" i="1"/>
  <c r="T49" i="1"/>
  <c r="P49" i="1"/>
  <c r="S50" i="1"/>
  <c r="T37" i="1"/>
  <c r="T48" i="1" s="1"/>
  <c r="T40" i="1" l="1"/>
  <c r="H2" i="7"/>
  <c r="T22" i="1" l="1"/>
  <c r="T3" i="1" l="1"/>
  <c r="H10" i="7"/>
  <c r="E10" i="7"/>
  <c r="F10" i="7" s="1"/>
  <c r="S37" i="1"/>
  <c r="Q52" i="1" l="1"/>
  <c r="K34" i="1" l="1"/>
  <c r="R53" i="1" l="1"/>
  <c r="R31" i="1" l="1"/>
  <c r="F14" i="7" l="1"/>
  <c r="F13" i="7"/>
  <c r="X39" i="6" l="1"/>
  <c r="H3" i="7" l="1"/>
  <c r="H4" i="7"/>
  <c r="H5" i="7"/>
  <c r="H6" i="7"/>
  <c r="H7" i="7"/>
  <c r="H8" i="7"/>
  <c r="H9" i="7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2" i="7"/>
  <c r="F2" i="7" s="1"/>
  <c r="Q34" i="1" l="1"/>
  <c r="M8" i="1" l="1"/>
  <c r="N8" i="1"/>
  <c r="O8" i="1"/>
  <c r="P8" i="1"/>
  <c r="Q8" i="1"/>
  <c r="R8" i="1"/>
  <c r="S8" i="1"/>
  <c r="L8" i="1"/>
  <c r="O10" i="1" l="1"/>
  <c r="Q10" i="1"/>
  <c r="R10" i="1"/>
  <c r="N10" i="1"/>
  <c r="S10" i="1"/>
  <c r="T10" i="1"/>
  <c r="P10" i="1"/>
  <c r="M10" i="1"/>
  <c r="O37" i="1"/>
  <c r="O42" i="1"/>
  <c r="N42" i="1"/>
  <c r="O48" i="1" l="1"/>
  <c r="O40" i="1"/>
  <c r="O38" i="1" s="1"/>
  <c r="W37" i="6"/>
  <c r="Q37" i="6"/>
  <c r="M37" i="6"/>
  <c r="I37" i="6"/>
  <c r="E37" i="6"/>
  <c r="W36" i="6"/>
  <c r="Q36" i="6"/>
  <c r="M36" i="6"/>
  <c r="I36" i="6"/>
  <c r="E36" i="6"/>
  <c r="W35" i="6"/>
  <c r="Q35" i="6"/>
  <c r="M35" i="6"/>
  <c r="I35" i="6"/>
  <c r="E35" i="6"/>
  <c r="W34" i="6"/>
  <c r="Q34" i="6"/>
  <c r="M34" i="6"/>
  <c r="I34" i="6"/>
  <c r="E34" i="6"/>
  <c r="W33" i="6"/>
  <c r="Q33" i="6"/>
  <c r="M33" i="6"/>
  <c r="I33" i="6"/>
  <c r="E33" i="6"/>
  <c r="W32" i="6"/>
  <c r="Q32" i="6"/>
  <c r="M32" i="6"/>
  <c r="I32" i="6"/>
  <c r="E32" i="6"/>
  <c r="W31" i="6"/>
  <c r="Q31" i="6"/>
  <c r="M31" i="6"/>
  <c r="I31" i="6"/>
  <c r="E31" i="6"/>
  <c r="W30" i="6"/>
  <c r="Q30" i="6"/>
  <c r="M30" i="6"/>
  <c r="I30" i="6"/>
  <c r="E30" i="6"/>
  <c r="W29" i="6"/>
  <c r="Q29" i="6"/>
  <c r="M29" i="6"/>
  <c r="I29" i="6"/>
  <c r="E29" i="6"/>
  <c r="W28" i="6"/>
  <c r="Q28" i="6"/>
  <c r="M28" i="6"/>
  <c r="I28" i="6"/>
  <c r="E28" i="6"/>
  <c r="W27" i="6"/>
  <c r="Q27" i="6"/>
  <c r="M27" i="6"/>
  <c r="I27" i="6"/>
  <c r="E27" i="6"/>
  <c r="W26" i="6"/>
  <c r="Q26" i="6"/>
  <c r="M26" i="6"/>
  <c r="I26" i="6"/>
  <c r="E26" i="6"/>
  <c r="W25" i="6"/>
  <c r="Q25" i="6"/>
  <c r="M25" i="6"/>
  <c r="I25" i="6"/>
  <c r="E25" i="6"/>
  <c r="W24" i="6"/>
  <c r="Q24" i="6"/>
  <c r="M24" i="6"/>
  <c r="I24" i="6"/>
  <c r="E24" i="6"/>
  <c r="W23" i="6"/>
  <c r="Q23" i="6"/>
  <c r="M23" i="6"/>
  <c r="I23" i="6"/>
  <c r="E23" i="6"/>
  <c r="W22" i="6"/>
  <c r="Q22" i="6"/>
  <c r="M22" i="6"/>
  <c r="I22" i="6"/>
  <c r="E22" i="6"/>
  <c r="W21" i="6"/>
  <c r="Q21" i="6"/>
  <c r="M21" i="6"/>
  <c r="I21" i="6"/>
  <c r="E21" i="6"/>
  <c r="W20" i="6"/>
  <c r="Q20" i="6"/>
  <c r="M20" i="6"/>
  <c r="I20" i="6"/>
  <c r="E20" i="6"/>
  <c r="W19" i="6"/>
  <c r="Q19" i="6"/>
  <c r="M19" i="6"/>
  <c r="I19" i="6"/>
  <c r="E19" i="6"/>
  <c r="W18" i="6"/>
  <c r="Q18" i="6"/>
  <c r="M18" i="6"/>
  <c r="I18" i="6"/>
  <c r="E18" i="6"/>
  <c r="W17" i="6"/>
  <c r="Q17" i="6"/>
  <c r="M17" i="6"/>
  <c r="I17" i="6"/>
  <c r="E17" i="6"/>
  <c r="W16" i="6"/>
  <c r="Q16" i="6"/>
  <c r="M16" i="6"/>
  <c r="I16" i="6"/>
  <c r="E16" i="6"/>
  <c r="W15" i="6"/>
  <c r="Q15" i="6"/>
  <c r="S15" i="6" s="1"/>
  <c r="M15" i="6"/>
  <c r="I15" i="6"/>
  <c r="E15" i="6"/>
  <c r="W14" i="6"/>
  <c r="Q14" i="6"/>
  <c r="M14" i="6"/>
  <c r="I14" i="6"/>
  <c r="E14" i="6"/>
  <c r="W13" i="6"/>
  <c r="Q13" i="6"/>
  <c r="M13" i="6"/>
  <c r="I13" i="6"/>
  <c r="E13" i="6"/>
  <c r="W12" i="6"/>
  <c r="Q12" i="6"/>
  <c r="M12" i="6"/>
  <c r="I12" i="6"/>
  <c r="E12" i="6"/>
  <c r="W11" i="6"/>
  <c r="Q11" i="6"/>
  <c r="M11" i="6"/>
  <c r="I11" i="6"/>
  <c r="E11" i="6"/>
  <c r="W10" i="6"/>
  <c r="Q10" i="6"/>
  <c r="M10" i="6"/>
  <c r="I10" i="6"/>
  <c r="E10" i="6"/>
  <c r="W9" i="6"/>
  <c r="Q9" i="6"/>
  <c r="M9" i="6"/>
  <c r="I9" i="6"/>
  <c r="E9" i="6"/>
  <c r="W8" i="6"/>
  <c r="Q8" i="6"/>
  <c r="M8" i="6"/>
  <c r="I8" i="6"/>
  <c r="E8" i="6"/>
  <c r="W7" i="6"/>
  <c r="Q7" i="6"/>
  <c r="M7" i="6"/>
  <c r="I7" i="6"/>
  <c r="E7" i="6"/>
  <c r="W6" i="6"/>
  <c r="Q6" i="6"/>
  <c r="M6" i="6"/>
  <c r="I6" i="6"/>
  <c r="E6" i="6"/>
  <c r="W5" i="6"/>
  <c r="Q5" i="6"/>
  <c r="M5" i="6"/>
  <c r="I5" i="6"/>
  <c r="E5" i="6"/>
  <c r="W4" i="6"/>
  <c r="Q4" i="6"/>
  <c r="M4" i="6"/>
  <c r="I4" i="6"/>
  <c r="E4" i="6"/>
  <c r="W3" i="6"/>
  <c r="Q3" i="6"/>
  <c r="M3" i="6"/>
  <c r="I3" i="6"/>
  <c r="E3" i="6"/>
  <c r="W2" i="6"/>
  <c r="Q2" i="6"/>
  <c r="M2" i="6"/>
  <c r="I2" i="6"/>
  <c r="E2" i="6"/>
  <c r="W38" i="6" l="1"/>
  <c r="I38" i="6"/>
  <c r="E38" i="6"/>
  <c r="M38" i="6"/>
  <c r="Q38" i="6"/>
  <c r="C6" i="5"/>
  <c r="E6" i="5"/>
  <c r="E38" i="5" s="1"/>
  <c r="B6" i="5"/>
  <c r="B38" i="5" s="1"/>
  <c r="C3" i="5"/>
  <c r="R10" i="6" s="1"/>
  <c r="S10" i="6" s="1"/>
  <c r="C4" i="5"/>
  <c r="R13" i="6" s="1"/>
  <c r="S13" i="6" s="1"/>
  <c r="C5" i="5"/>
  <c r="R14" i="6" s="1"/>
  <c r="S14" i="6" s="1"/>
  <c r="C8" i="5"/>
  <c r="R29" i="6" s="1"/>
  <c r="S29" i="6" s="1"/>
  <c r="C9" i="5"/>
  <c r="R30" i="6" s="1"/>
  <c r="S30" i="6" s="1"/>
  <c r="C10" i="5"/>
  <c r="R35" i="6" s="1"/>
  <c r="S35" i="6" s="1"/>
  <c r="C11" i="5"/>
  <c r="R36" i="6" s="1"/>
  <c r="S36" i="6" s="1"/>
  <c r="C12" i="5"/>
  <c r="R2" i="6" s="1"/>
  <c r="S2" i="6" s="1"/>
  <c r="C13" i="5"/>
  <c r="R4" i="6" s="1"/>
  <c r="S4" i="6" s="1"/>
  <c r="C14" i="5"/>
  <c r="R5" i="6" s="1"/>
  <c r="S5" i="6" s="1"/>
  <c r="C15" i="5"/>
  <c r="R6" i="6" s="1"/>
  <c r="S6" i="6" s="1"/>
  <c r="C16" i="5"/>
  <c r="R16" i="6" s="1"/>
  <c r="S16" i="6" s="1"/>
  <c r="C17" i="5"/>
  <c r="R23" i="6" s="1"/>
  <c r="S23" i="6" s="1"/>
  <c r="C18" i="5"/>
  <c r="R24" i="6" s="1"/>
  <c r="S24" i="6" s="1"/>
  <c r="C19" i="5"/>
  <c r="R25" i="6" s="1"/>
  <c r="S25" i="6" s="1"/>
  <c r="C20" i="5"/>
  <c r="R26" i="6" s="1"/>
  <c r="S26" i="6" s="1"/>
  <c r="C21" i="5"/>
  <c r="R27" i="6" s="1"/>
  <c r="S27" i="6" s="1"/>
  <c r="C22" i="5"/>
  <c r="R31" i="6" s="1"/>
  <c r="S31" i="6" s="1"/>
  <c r="C23" i="5"/>
  <c r="R34" i="6" s="1"/>
  <c r="S34" i="6" s="1"/>
  <c r="C24" i="5"/>
  <c r="R37" i="6" s="1"/>
  <c r="S37" i="6" s="1"/>
  <c r="C25" i="5"/>
  <c r="R8" i="6" s="1"/>
  <c r="S8" i="6" s="1"/>
  <c r="C26" i="5"/>
  <c r="R9" i="6" s="1"/>
  <c r="S9" i="6" s="1"/>
  <c r="C27" i="5"/>
  <c r="R11" i="6" s="1"/>
  <c r="S11" i="6" s="1"/>
  <c r="C28" i="5"/>
  <c r="R12" i="6" s="1"/>
  <c r="S12" i="6" s="1"/>
  <c r="C29" i="5"/>
  <c r="R21" i="6" s="1"/>
  <c r="S21" i="6" s="1"/>
  <c r="C30" i="5"/>
  <c r="R22" i="6" s="1"/>
  <c r="S22" i="6" s="1"/>
  <c r="C31" i="5"/>
  <c r="R3" i="6" s="1"/>
  <c r="S3" i="6" s="1"/>
  <c r="C32" i="5"/>
  <c r="R17" i="6" s="1"/>
  <c r="S17" i="6" s="1"/>
  <c r="C33" i="5"/>
  <c r="R18" i="6" s="1"/>
  <c r="S18" i="6" s="1"/>
  <c r="C34" i="5"/>
  <c r="R20" i="6" s="1"/>
  <c r="S20" i="6" s="1"/>
  <c r="C35" i="5"/>
  <c r="R28" i="6" s="1"/>
  <c r="S28" i="6" s="1"/>
  <c r="C36" i="5"/>
  <c r="R32" i="6" s="1"/>
  <c r="S32" i="6" s="1"/>
  <c r="C37" i="5"/>
  <c r="R33" i="6" s="1"/>
  <c r="S33" i="6" s="1"/>
  <c r="C2" i="5"/>
  <c r="R7" i="6" s="1"/>
  <c r="S7" i="6" s="1"/>
  <c r="J37" i="1"/>
  <c r="K37" i="1"/>
  <c r="K43" i="1" s="1"/>
  <c r="L37" i="1"/>
  <c r="L43" i="1" s="1"/>
  <c r="N46" i="1"/>
  <c r="D17" i="5" l="1"/>
  <c r="D22" i="5"/>
  <c r="D18" i="5"/>
  <c r="D34" i="5"/>
  <c r="D9" i="5"/>
  <c r="D33" i="5"/>
  <c r="D26" i="5"/>
  <c r="D25" i="5"/>
  <c r="D23" i="5"/>
  <c r="D8" i="5"/>
  <c r="D5" i="5"/>
  <c r="D32" i="5"/>
  <c r="D14" i="5"/>
  <c r="D31" i="5"/>
  <c r="D4" i="5"/>
  <c r="D30" i="5"/>
  <c r="D16" i="5"/>
  <c r="D15" i="5"/>
  <c r="D2" i="5"/>
  <c r="D24" i="5"/>
  <c r="D10" i="5"/>
  <c r="D37" i="5"/>
  <c r="D21" i="5"/>
  <c r="D13" i="5"/>
  <c r="D36" i="5"/>
  <c r="D28" i="5"/>
  <c r="D20" i="5"/>
  <c r="D12" i="5"/>
  <c r="D3" i="5"/>
  <c r="D6" i="5"/>
  <c r="D29" i="5"/>
  <c r="D35" i="5"/>
  <c r="D27" i="5"/>
  <c r="D19" i="5"/>
  <c r="D11" i="5"/>
  <c r="O46" i="1"/>
  <c r="N19" i="1"/>
  <c r="O43" i="1" l="1"/>
  <c r="O19" i="1"/>
  <c r="S3" i="1"/>
  <c r="G6" i="4"/>
  <c r="G5" i="4"/>
  <c r="G4" i="4"/>
  <c r="E4" i="4"/>
  <c r="E5" i="4" s="1"/>
  <c r="E6" i="4" s="1"/>
  <c r="G3" i="4"/>
  <c r="O26" i="2"/>
  <c r="N26" i="2"/>
  <c r="M26" i="2"/>
  <c r="L26" i="2"/>
  <c r="K26" i="2"/>
  <c r="J26" i="2"/>
  <c r="I26" i="2"/>
  <c r="H26" i="2"/>
  <c r="G26" i="2"/>
  <c r="F26" i="2"/>
  <c r="E26" i="2"/>
  <c r="D26" i="2"/>
  <c r="O25" i="2"/>
  <c r="N25" i="2"/>
  <c r="M25" i="2"/>
  <c r="L25" i="2"/>
  <c r="K25" i="2"/>
  <c r="J25" i="2"/>
  <c r="I25" i="2"/>
  <c r="H25" i="2"/>
  <c r="G25" i="2"/>
  <c r="F25" i="2"/>
  <c r="E25" i="2"/>
  <c r="D25" i="2"/>
  <c r="O21" i="2"/>
  <c r="O23" i="2" s="1"/>
  <c r="N21" i="2"/>
  <c r="N23" i="2" s="1"/>
  <c r="M21" i="2"/>
  <c r="M23" i="2" s="1"/>
  <c r="L21" i="2"/>
  <c r="L23" i="2" s="1"/>
  <c r="K21" i="2"/>
  <c r="K23" i="2" s="1"/>
  <c r="J21" i="2"/>
  <c r="J23" i="2" s="1"/>
  <c r="I21" i="2"/>
  <c r="I23" i="2" s="1"/>
  <c r="H21" i="2"/>
  <c r="H23" i="2" s="1"/>
  <c r="G21" i="2"/>
  <c r="G23" i="2" s="1"/>
  <c r="F21" i="2"/>
  <c r="F23" i="2" s="1"/>
  <c r="E21" i="2"/>
  <c r="E23" i="2" s="1"/>
  <c r="D21" i="2"/>
  <c r="D23" i="2" s="1"/>
  <c r="O19" i="2"/>
  <c r="N19" i="2"/>
  <c r="M19" i="2"/>
  <c r="L19" i="2"/>
  <c r="K19" i="2"/>
  <c r="J17" i="2"/>
  <c r="J19" i="2" s="1"/>
  <c r="I17" i="2"/>
  <c r="I19" i="2" s="1"/>
  <c r="H17" i="2"/>
  <c r="H19" i="2" s="1"/>
  <c r="G17" i="2"/>
  <c r="G19" i="2" s="1"/>
  <c r="F17" i="2"/>
  <c r="F19" i="2" s="1"/>
  <c r="E17" i="2"/>
  <c r="E19" i="2" s="1"/>
  <c r="D17" i="2"/>
  <c r="D19" i="2" s="1"/>
  <c r="O15" i="2"/>
  <c r="N15" i="2"/>
  <c r="M15" i="2"/>
  <c r="L15" i="2"/>
  <c r="K15" i="2"/>
  <c r="J15" i="2"/>
  <c r="I15" i="2"/>
  <c r="H15" i="2"/>
  <c r="G15" i="2"/>
  <c r="F15" i="2"/>
  <c r="E15" i="2"/>
  <c r="D15" i="2"/>
  <c r="O11" i="2"/>
  <c r="N11" i="2"/>
  <c r="M11" i="2"/>
  <c r="L11" i="2"/>
  <c r="K11" i="2"/>
  <c r="J11" i="2"/>
  <c r="I11" i="2"/>
  <c r="H11" i="2"/>
  <c r="G11" i="2"/>
  <c r="F11" i="2"/>
  <c r="E11" i="2"/>
  <c r="D11" i="2"/>
  <c r="AF8" i="2"/>
  <c r="AE8" i="2"/>
  <c r="AD8" i="2"/>
  <c r="AC8" i="2"/>
  <c r="AB8" i="2"/>
  <c r="AA8" i="2"/>
  <c r="Z8" i="2"/>
  <c r="Y8" i="2"/>
  <c r="X8" i="2"/>
  <c r="W8" i="2"/>
  <c r="V8" i="2"/>
  <c r="U8" i="2"/>
  <c r="AF7" i="2"/>
  <c r="AE7" i="2"/>
  <c r="AD7" i="2"/>
  <c r="AC7" i="2"/>
  <c r="AB7" i="2"/>
  <c r="AA7" i="2"/>
  <c r="Z7" i="2"/>
  <c r="Y7" i="2"/>
  <c r="X7" i="2"/>
  <c r="W7" i="2"/>
  <c r="V7" i="2"/>
  <c r="U7" i="2"/>
  <c r="K7" i="2"/>
  <c r="AA6" i="2"/>
  <c r="Z6" i="2"/>
  <c r="Y6" i="2"/>
  <c r="X6" i="2"/>
  <c r="W6" i="2"/>
  <c r="V6" i="2"/>
  <c r="U6" i="2"/>
  <c r="L6" i="2"/>
  <c r="L7" i="2" s="1"/>
  <c r="J6" i="2"/>
  <c r="I6" i="2"/>
  <c r="H6" i="2"/>
  <c r="G6" i="2"/>
  <c r="F6" i="2"/>
  <c r="E6" i="2"/>
  <c r="D6" i="2"/>
  <c r="Q41" i="1"/>
  <c r="O41" i="1"/>
  <c r="N41" i="1"/>
  <c r="M41" i="1"/>
  <c r="R37" i="1"/>
  <c r="Q37" i="1"/>
  <c r="Q48" i="1" s="1"/>
  <c r="P37" i="1"/>
  <c r="M37" i="1"/>
  <c r="J34" i="1"/>
  <c r="I34" i="1"/>
  <c r="H34" i="1"/>
  <c r="G34" i="1"/>
  <c r="F34" i="1"/>
  <c r="E34" i="1"/>
  <c r="D34" i="1"/>
  <c r="C34" i="1"/>
  <c r="P32" i="1"/>
  <c r="P34" i="1" s="1"/>
  <c r="O32" i="1"/>
  <c r="O34" i="1" s="1"/>
  <c r="N32" i="1"/>
  <c r="N34" i="1" s="1"/>
  <c r="M32" i="1"/>
  <c r="M34" i="1" s="1"/>
  <c r="L32" i="1"/>
  <c r="L34" i="1" s="1"/>
  <c r="I30" i="1"/>
  <c r="H30" i="1"/>
  <c r="G30" i="1"/>
  <c r="F30" i="1"/>
  <c r="F23" i="1" s="1"/>
  <c r="E30" i="1"/>
  <c r="E23" i="1" s="1"/>
  <c r="D30" i="1"/>
  <c r="D23" i="1" s="1"/>
  <c r="C30" i="1"/>
  <c r="C23" i="1" s="1"/>
  <c r="R25" i="1"/>
  <c r="R41" i="1" s="1"/>
  <c r="P25" i="1"/>
  <c r="N20" i="1"/>
  <c r="C20" i="1"/>
  <c r="R22" i="1"/>
  <c r="Q22" i="1"/>
  <c r="P22" i="1"/>
  <c r="M22" i="1"/>
  <c r="L23" i="1"/>
  <c r="K22" i="1"/>
  <c r="J23" i="1"/>
  <c r="I23" i="1"/>
  <c r="H23" i="1"/>
  <c r="G23" i="1"/>
  <c r="R3" i="1"/>
  <c r="Q3" i="1"/>
  <c r="P3" i="1"/>
  <c r="M3" i="1"/>
  <c r="L3" i="1"/>
  <c r="K3" i="1"/>
  <c r="J3" i="1"/>
  <c r="I3" i="1"/>
  <c r="H3" i="1"/>
  <c r="N2" i="1"/>
  <c r="D27" i="2" l="1"/>
  <c r="L27" i="2"/>
  <c r="M27" i="2"/>
  <c r="F27" i="2"/>
  <c r="N27" i="2"/>
  <c r="P41" i="1"/>
  <c r="P17" i="1"/>
  <c r="Q17" i="1" s="1"/>
  <c r="R17" i="1" s="1"/>
  <c r="S17" i="1" s="1"/>
  <c r="P14" i="1"/>
  <c r="O3" i="1"/>
  <c r="N11" i="1"/>
  <c r="N22" i="1" s="1"/>
  <c r="E27" i="2"/>
  <c r="G27" i="2"/>
  <c r="O27" i="2"/>
  <c r="O20" i="1"/>
  <c r="N21" i="1"/>
  <c r="Q38" i="1"/>
  <c r="S22" i="1"/>
  <c r="R40" i="1"/>
  <c r="R38" i="1" s="1"/>
  <c r="R48" i="1"/>
  <c r="P40" i="1"/>
  <c r="P38" i="1" s="1"/>
  <c r="P48" i="1"/>
  <c r="H27" i="2"/>
  <c r="I27" i="2"/>
  <c r="J27" i="2"/>
  <c r="K27" i="2"/>
  <c r="I24" i="1"/>
  <c r="D24" i="1"/>
  <c r="N3" i="1"/>
  <c r="F24" i="1"/>
  <c r="K23" i="1"/>
  <c r="M23" i="1"/>
  <c r="Y23" i="1" s="1"/>
  <c r="J24" i="1"/>
  <c r="H24" i="1"/>
  <c r="N37" i="1"/>
  <c r="G24" i="1"/>
  <c r="O23" i="1"/>
  <c r="K24" i="1"/>
  <c r="X23" i="1"/>
  <c r="P23" i="1"/>
  <c r="T23" i="1"/>
  <c r="L22" i="1"/>
  <c r="X22" i="1" s="1"/>
  <c r="M40" i="1"/>
  <c r="O22" i="1"/>
  <c r="M31" i="1"/>
  <c r="E24" i="1"/>
  <c r="Q14" i="1" l="1"/>
  <c r="P16" i="1"/>
  <c r="T17" i="1"/>
  <c r="P46" i="1"/>
  <c r="N23" i="1"/>
  <c r="P20" i="1"/>
  <c r="O21" i="1"/>
  <c r="S23" i="1"/>
  <c r="N40" i="1"/>
  <c r="N43" i="1" s="1"/>
  <c r="N48" i="1"/>
  <c r="Q23" i="1"/>
  <c r="M42" i="1"/>
  <c r="M38" i="1"/>
  <c r="Q46" i="1"/>
  <c r="P43" i="1"/>
  <c r="P19" i="1"/>
  <c r="R23" i="1"/>
  <c r="M39" i="1"/>
  <c r="Y22" i="1"/>
  <c r="M36" i="1"/>
  <c r="R14" i="1" l="1"/>
  <c r="Q16" i="1"/>
  <c r="Q20" i="1"/>
  <c r="P21" i="1"/>
  <c r="N38" i="1"/>
  <c r="M45" i="1"/>
  <c r="M48" i="1"/>
  <c r="R46" i="1"/>
  <c r="Q43" i="1"/>
  <c r="Q19" i="1"/>
  <c r="N31" i="1"/>
  <c r="O31" i="1"/>
  <c r="S14" i="1" l="1"/>
  <c r="T14" i="1" s="1"/>
  <c r="R16" i="1"/>
  <c r="R20" i="1"/>
  <c r="Q21" i="1"/>
  <c r="T46" i="1"/>
  <c r="R43" i="1"/>
  <c r="R19" i="1"/>
  <c r="S19" i="1" s="1"/>
  <c r="S18" i="1" s="1"/>
  <c r="S15" i="1" s="1"/>
  <c r="P31" i="1"/>
  <c r="S16" i="1" l="1"/>
  <c r="S20" i="1"/>
  <c r="R21" i="1"/>
  <c r="T19" i="1"/>
  <c r="T18" i="1" s="1"/>
  <c r="T15" i="1" s="1"/>
  <c r="T16" i="1" s="1"/>
  <c r="Q31" i="1"/>
  <c r="T44" i="1" l="1"/>
  <c r="T20" i="1"/>
  <c r="S21" i="1"/>
  <c r="T45" i="1"/>
  <c r="S31" i="1"/>
  <c r="Q39" i="1"/>
  <c r="Q36" i="1"/>
  <c r="T21" i="1" l="1"/>
  <c r="W20" i="1"/>
  <c r="T31" i="1"/>
  <c r="T43" i="1"/>
  <c r="R39" i="1"/>
  <c r="N39" i="1" l="1"/>
  <c r="N36" i="1"/>
  <c r="P39" i="1" l="1"/>
  <c r="P36" i="1"/>
  <c r="O36" i="1"/>
  <c r="O39" i="1"/>
  <c r="S42" i="1"/>
  <c r="S44" i="1" s="1"/>
  <c r="S46" i="1" l="1"/>
  <c r="S48" i="1"/>
  <c r="W42" i="1"/>
  <c r="S40" i="1"/>
  <c r="S45" i="1"/>
  <c r="S43" i="1" l="1"/>
  <c r="S38" i="1"/>
  <c r="W40" i="1"/>
</calcChain>
</file>

<file path=xl/comments1.xml><?xml version="1.0" encoding="utf-8"?>
<comments xmlns="http://schemas.openxmlformats.org/spreadsheetml/2006/main">
  <authors>
    <author/>
    <author>Karthik Ganesan</author>
  </authors>
  <commentList>
    <comment ref="A2" authorId="0" shapeId="0">
      <text>
        <r>
          <rPr>
            <sz val="11"/>
            <color theme="1"/>
            <rFont val="Calibri"/>
            <family val="2"/>
            <scheme val="minor"/>
          </rPr>
          <t>======
ID#AAAAkFtisJM
Karthik    (2022-11-15 16:17:03)
PPAC Document from data.gov.in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======
ID#AAAAkFtisJ0
Karthik    (2022-11-15 16:17:03)
estimated assuming all of doemstic distribution is by way of 14kg cylinder</t>
        </r>
      </text>
    </comment>
    <comment ref="A12" authorId="0" shapeId="0">
      <text>
        <r>
          <rPr>
            <sz val="11"/>
            <color theme="1"/>
            <rFont val="Calibri"/>
            <family val="2"/>
            <scheme val="minor"/>
          </rPr>
          <t>======
ID#AAAAkFtisJU
Karthik    (2022-11-15 16:17:03)
PPAC LPG report available only from October 2015</t>
        </r>
      </text>
    </comment>
    <comment ref="A13" authorId="0" shapeId="0">
      <text>
        <r>
          <rPr>
            <sz val="11"/>
            <color theme="1"/>
            <rFont val="Calibri"/>
            <family val="2"/>
            <scheme val="minor"/>
          </rPr>
          <t>======
ID#AAAAkFtisJk
Karthik    (2022-11-15 16:17:03)
PPAC</t>
        </r>
      </text>
    </comment>
    <comment ref="L16" authorId="0" shapeId="0">
      <text>
        <r>
          <rPr>
            <sz val="11"/>
            <color theme="1"/>
            <rFont val="Calibri"/>
            <family val="2"/>
            <scheme val="minor"/>
          </rPr>
          <t>======
ID#AAAAkFtisJ4
Karthik    (2022-11-15 16:17:03)
key assumption that the share of active to total of the non-PMUY connections increases at the rate we observe for the one year we have data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Karthik Ganesan:</t>
        </r>
        <r>
          <rPr>
            <sz val="9"/>
            <color indexed="81"/>
            <rFont val="Tahoma"/>
            <family val="2"/>
          </rPr>
          <t xml:space="preserve">
from 2017-18 to 2021-22 LS question on consumers for each refill threshold
</t>
        </r>
      </text>
    </comment>
    <comment ref="A20" authorId="0" shapeId="0">
      <text>
        <r>
          <rPr>
            <sz val="11"/>
            <color theme="1"/>
            <rFont val="Calibri"/>
            <family val="2"/>
            <scheme val="minor"/>
          </rPr>
          <t>======
ID#AAAAkFtisJc
Karthik    (2022-11-15 16:17:03)
PPAC</t>
        </r>
      </text>
    </comment>
    <comment ref="X23" authorId="0" shapeId="0">
      <text>
        <r>
          <rPr>
            <sz val="11"/>
            <color theme="1"/>
            <rFont val="Calibri"/>
            <family val="2"/>
            <scheme val="minor"/>
          </rPr>
          <t>======
ID#AAAAkFtisJs
Karthik    (2022-11-15 16:17:03)
CAGR (-ve) of cylinder / consumer pre PMUY</t>
        </r>
      </text>
    </comment>
    <comment ref="Y23" authorId="0" shapeId="0">
      <text>
        <r>
          <rPr>
            <sz val="11"/>
            <color theme="1"/>
            <rFont val="Calibri"/>
            <family val="2"/>
            <scheme val="minor"/>
          </rPr>
          <t>======
ID#AAAAkFtisJ8
Karthik    (2022-11-15 16:17:03)
CAGR (-ve) for first year of PMUY</t>
        </r>
      </text>
    </comment>
    <comment ref="A24" authorId="0" shapeId="0">
      <text>
        <r>
          <rPr>
            <sz val="11"/>
            <color theme="1"/>
            <rFont val="Calibri"/>
            <family val="2"/>
            <scheme val="minor"/>
          </rPr>
          <t>======
ID#AAAAkFtisJw
Karthik    (2022-11-15 16:17:03)
PPAC</t>
        </r>
      </text>
    </comment>
    <comment ref="A25" authorId="0" shapeId="0">
      <text>
        <r>
          <rPr>
            <sz val="11"/>
            <color theme="1"/>
            <rFont val="Calibri"/>
            <family val="2"/>
            <scheme val="minor"/>
          </rPr>
          <t>======
ID#AAAAkFtisJY
Karthik    (2022-11-15 16:17:03)
PPAC</t>
        </r>
      </text>
    </comment>
    <comment ref="A26" authorId="0" shapeId="0">
      <text>
        <r>
          <rPr>
            <sz val="11"/>
            <color theme="1"/>
            <rFont val="Calibri"/>
            <family val="2"/>
            <scheme val="minor"/>
          </rPr>
          <t>======
ID#AAAAkFtisJo
Karthik    (2022-11-15 16:17:03)
PPAC</t>
        </r>
      </text>
    </comment>
    <comment ref="A27" authorId="0" shapeId="0">
      <text>
        <r>
          <rPr>
            <sz val="11"/>
            <color theme="1"/>
            <rFont val="Calibri"/>
            <family val="2"/>
            <scheme val="minor"/>
          </rPr>
          <t>======
ID#AAAAkFtisJQ
Karthik    (2022-11-15 16:17:03)
PPAC</t>
        </r>
      </text>
    </comment>
    <comment ref="A28" authorId="0" shapeId="0">
      <text>
        <r>
          <rPr>
            <sz val="11"/>
            <color theme="1"/>
            <rFont val="Calibri"/>
            <family val="2"/>
            <scheme val="minor"/>
          </rPr>
          <t>======
ID#AAAAkFtisKA
Karthik    (2022-11-15 16:17:03)
PPAC</t>
        </r>
      </text>
    </comment>
    <comment ref="A29" authorId="0" shapeId="0">
      <text>
        <r>
          <rPr>
            <sz val="11"/>
            <color theme="1"/>
            <rFont val="Calibri"/>
            <family val="2"/>
            <scheme val="minor"/>
          </rPr>
          <t>======
ID#AAAAkFtisJg
Karthik    (2022-11-15 16:17:03)
PPAC</t>
        </r>
      </text>
    </comment>
    <comment ref="Q42" authorId="1" shapeId="0">
      <text>
        <r>
          <rPr>
            <b/>
            <sz val="9"/>
            <color indexed="81"/>
            <rFont val="Tahoma"/>
            <family val="2"/>
          </rPr>
          <t>Karthik Ganesan:</t>
        </r>
        <r>
          <rPr>
            <sz val="9"/>
            <color indexed="81"/>
            <rFont val="Tahoma"/>
            <family val="2"/>
          </rPr>
          <t xml:space="preserve">
35.1 is based on adjoining formula
</t>
        </r>
      </text>
    </comment>
    <comment ref="N45" authorId="1" shapeId="0">
      <text>
        <r>
          <rPr>
            <b/>
            <sz val="9"/>
            <color indexed="81"/>
            <rFont val="Tahoma"/>
            <family val="2"/>
          </rPr>
          <t>Karthik Ganesan:</t>
        </r>
        <r>
          <rPr>
            <sz val="9"/>
            <color indexed="81"/>
            <rFont val="Tahoma"/>
            <family val="2"/>
          </rPr>
          <t xml:space="preserve">
CAG Audit - 3.66 in March 2018 and 3.21 in Dec 2018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Karthik Ganesan:</t>
        </r>
        <r>
          <rPr>
            <sz val="9"/>
            <color indexed="81"/>
            <rFont val="Tahoma"/>
            <family val="2"/>
          </rPr>
          <t xml:space="preserve">
CAG Report Dec 2018 Data Point
</t>
        </r>
      </text>
    </comment>
    <comment ref="P45" authorId="1" shapeId="0">
      <text>
        <r>
          <rPr>
            <b/>
            <sz val="9"/>
            <color indexed="81"/>
            <rFont val="Tahoma"/>
            <family val="2"/>
          </rPr>
          <t>Karthik Ganesan:</t>
        </r>
        <r>
          <rPr>
            <sz val="9"/>
            <color indexed="81"/>
            <rFont val="Tahoma"/>
            <family val="2"/>
          </rPr>
          <t xml:space="preserve">
LS AU81
</t>
        </r>
      </text>
    </comment>
    <comment ref="R45" authorId="1" shapeId="0">
      <text>
        <r>
          <rPr>
            <b/>
            <sz val="9"/>
            <color indexed="81"/>
            <rFont val="Tahoma"/>
            <family val="2"/>
          </rPr>
          <t>Karthik Ganesan:</t>
        </r>
        <r>
          <rPr>
            <sz val="9"/>
            <color indexed="81"/>
            <rFont val="Tahoma"/>
            <family val="2"/>
          </rPr>
          <t xml:space="preserve">
LS AU81
</t>
        </r>
      </text>
    </comment>
  </commentList>
</comments>
</file>

<file path=xl/sharedStrings.xml><?xml version="1.0" encoding="utf-8"?>
<sst xmlns="http://schemas.openxmlformats.org/spreadsheetml/2006/main" count="511" uniqueCount="341">
  <si>
    <t>Sector</t>
  </si>
  <si>
    <t>Sector/ Sub-Sector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</si>
  <si>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</si>
  <si>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</si>
  <si>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</si>
  <si>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</si>
  <si>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</si>
  <si>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</si>
  <si>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</si>
  <si>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</si>
  <si>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</si>
  <si>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</si>
  <si>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 (P)</t>
  </si>
  <si>
    <t>2017-18</t>
  </si>
  <si>
    <t>2018-19</t>
  </si>
  <si>
    <t>2019-20</t>
  </si>
  <si>
    <t>2020-21</t>
  </si>
  <si>
    <t>2021-22</t>
  </si>
  <si>
    <t>1. Domestic Distribution</t>
  </si>
  <si>
    <t>Cylinders distributed (Crore)</t>
  </si>
  <si>
    <t>Active Consumer base (lakh)</t>
  </si>
  <si>
    <t>Total Domestic consumers (lakh)</t>
  </si>
  <si>
    <t>Total Domestic consumers (lakh) - nonPMUY</t>
  </si>
  <si>
    <t>Active Consumer base (lakh) - nonPMUY</t>
  </si>
  <si>
    <t>Active to Total Share - nonPMUY</t>
  </si>
  <si>
    <t>Active Consumer base (lakh) - PMUY</t>
  </si>
  <si>
    <t>Double Bottle Connections (lakh)</t>
  </si>
  <si>
    <t>Cylinders/ active connection</t>
  </si>
  <si>
    <t>Cylinders/ total</t>
  </si>
  <si>
    <t>-</t>
  </si>
  <si>
    <t>Total Subsidy Given (INR Crore) - includes UR</t>
  </si>
  <si>
    <t>Fiscal Subsidy (INR Crore)</t>
  </si>
  <si>
    <t>Fiscal subsidy per Cylinder (INR)</t>
  </si>
  <si>
    <t>Number of subsidised cylinders (Crore)</t>
  </si>
  <si>
    <t>Share of PMUY consumers</t>
  </si>
  <si>
    <t>Non- PMUY Consumption (Crore Cylinder)</t>
  </si>
  <si>
    <t>~ 2 Crore consumers don't get subsidy is the figure from an article but the data says more like 1.04 Crore</t>
  </si>
  <si>
    <t>The unsubsidised consumers could explain the difference between row 13 and row 3</t>
  </si>
  <si>
    <t>Non- PMUY Consumption V2 (Crore Cylinder)</t>
  </si>
  <si>
    <t>PMUY (Crore Cylinder)</t>
  </si>
  <si>
    <t>PMUY V2 (Crore Cylinder)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</si>
  <si>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</si>
  <si>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</si>
  <si>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</si>
  <si>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</si>
  <si>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</si>
  <si>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</si>
  <si>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</si>
  <si>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</si>
  <si>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</si>
  <si>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</si>
  <si>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</si>
  <si>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</si>
  <si>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FY21 Subsidy</t>
  </si>
  <si>
    <t>Unsubsidised Price</t>
  </si>
  <si>
    <t>Consumer Price</t>
  </si>
  <si>
    <t>FY 20 Subsid</t>
  </si>
  <si>
    <t>FY 19 Subsidy</t>
  </si>
  <si>
    <t>March 01,2016</t>
  </si>
  <si>
    <t>February 01,2016</t>
  </si>
  <si>
    <t>January 01, 2016</t>
  </si>
  <si>
    <t>December 09, 2015</t>
  </si>
  <si>
    <t>FY18 Subsidy</t>
  </si>
  <si>
    <t>November 01, 2015</t>
  </si>
  <si>
    <t>October 1, 2015</t>
  </si>
  <si>
    <t>September 1, 2015</t>
  </si>
  <si>
    <t>August 1, 2015</t>
  </si>
  <si>
    <t>FY17 Subsidy</t>
  </si>
  <si>
    <t>July 1, 2015</t>
  </si>
  <si>
    <t>June 1, 2015</t>
  </si>
  <si>
    <t>May 1, 2015</t>
  </si>
  <si>
    <t>April 1, 2015</t>
  </si>
  <si>
    <t>FY16 Subsidy</t>
  </si>
  <si>
    <t>March 01 , 2020</t>
  </si>
  <si>
    <t>March 01, 2019</t>
  </si>
  <si>
    <t>December 15 , 2020</t>
  </si>
  <si>
    <t>Month</t>
  </si>
  <si>
    <t>Delhi</t>
  </si>
  <si>
    <t>Kolkata</t>
  </si>
  <si>
    <t>Mumbai</t>
  </si>
  <si>
    <t>Chennai</t>
  </si>
  <si>
    <t>February 12, 2020</t>
  </si>
  <si>
    <t>February 01, 2019</t>
  </si>
  <si>
    <t>December 01 , 2020</t>
  </si>
  <si>
    <t>January 01, 2020</t>
  </si>
  <si>
    <t>January 01, 2019</t>
  </si>
  <si>
    <t>November 01 , 2020</t>
  </si>
  <si>
    <t>December 01, 2019</t>
  </si>
  <si>
    <t>December 01, 2018</t>
  </si>
  <si>
    <t>October 01 , 2020</t>
  </si>
  <si>
    <t>November 01, 2019</t>
  </si>
  <si>
    <t>November 07, 2018</t>
  </si>
  <si>
    <t>September 01 , 2020</t>
  </si>
  <si>
    <t>October 01, 2019</t>
  </si>
  <si>
    <t>November 01, 2018</t>
  </si>
  <si>
    <t>August 01 , 2020</t>
  </si>
  <si>
    <t>September 01, 2019</t>
  </si>
  <si>
    <t>October 01, 2018</t>
  </si>
  <si>
    <t>July 01 , 2020</t>
  </si>
  <si>
    <t>August 01, 2019</t>
  </si>
  <si>
    <t>September 01, 2018</t>
  </si>
  <si>
    <t>June 01 , 2020</t>
  </si>
  <si>
    <t>July 01, 2019</t>
  </si>
  <si>
    <t>August 01, 2018</t>
  </si>
  <si>
    <t>May 01 , 2020</t>
  </si>
  <si>
    <t>June 01, 2019</t>
  </si>
  <si>
    <t>July 01, 2018</t>
  </si>
  <si>
    <t>April 01 , 2020</t>
  </si>
  <si>
    <t>May 01, 2019</t>
  </si>
  <si>
    <t>June 01, 2018</t>
  </si>
  <si>
    <t>April 01, 2019</t>
  </si>
  <si>
    <t>May 01, 2018</t>
  </si>
  <si>
    <t>April 01, 2018</t>
  </si>
  <si>
    <t>March 01, 2018</t>
  </si>
  <si>
    <t>February 01, 2018</t>
  </si>
  <si>
    <t>January 01, 2018</t>
  </si>
  <si>
    <t>Decemder 01, 2017</t>
  </si>
  <si>
    <t>November 15, 2017</t>
  </si>
  <si>
    <t>No Change</t>
  </si>
  <si>
    <t>November 01, 2017</t>
  </si>
  <si>
    <t>October 01, 2017</t>
  </si>
  <si>
    <t>Sepetember 30,2017</t>
  </si>
  <si>
    <t>Sepetember 01,2017</t>
  </si>
  <si>
    <t>August 01,2017</t>
  </si>
  <si>
    <t>July 11,2017</t>
  </si>
  <si>
    <t>July 01,2017</t>
  </si>
  <si>
    <t>June 01,2017</t>
  </si>
  <si>
    <t>May 01,2017</t>
  </si>
  <si>
    <t>April 01,2017</t>
  </si>
  <si>
    <t>March 01,2017</t>
  </si>
  <si>
    <t>February 01,2017</t>
  </si>
  <si>
    <t>January 01,2017</t>
  </si>
  <si>
    <t>December 01,2016</t>
  </si>
  <si>
    <t>November 01,2016</t>
  </si>
  <si>
    <t>October 28,2016</t>
  </si>
  <si>
    <t>October 01,2016</t>
  </si>
  <si>
    <t>September 01,2016</t>
  </si>
  <si>
    <t>August 16,2016</t>
  </si>
  <si>
    <t>No change</t>
  </si>
  <si>
    <t>August 01,2016</t>
  </si>
  <si>
    <t>July 01,2016</t>
  </si>
  <si>
    <t>June 01,2016</t>
  </si>
  <si>
    <t>May 17,2016</t>
  </si>
  <si>
    <t>May 01,2016</t>
  </si>
  <si>
    <t>April 09,2016</t>
  </si>
  <si>
    <t>April 01,2016</t>
  </si>
  <si>
    <t>December 01, 2015</t>
  </si>
  <si>
    <t>Total Connections (lakh)</t>
  </si>
  <si>
    <t>Total Households Estimate(lakhs)</t>
  </si>
  <si>
    <t>Active Connections (Lakh)</t>
  </si>
  <si>
    <t>Total DBC (lakh)</t>
  </si>
  <si>
    <t>Total subsidised LPG Sale ('000 Ton)</t>
  </si>
  <si>
    <t>Cylinders per HH</t>
  </si>
  <si>
    <t>2016-17</t>
  </si>
  <si>
    <t>2022-23</t>
  </si>
  <si>
    <t>Total Consumption (estimated)</t>
  </si>
  <si>
    <t>Total Domestic Consumers (Lakhs) - PMUY</t>
  </si>
  <si>
    <t>Annual PMUY Addition (lakhs)</t>
  </si>
  <si>
    <t>Annual consumers added (Lakhs)</t>
  </si>
  <si>
    <t>Active to Total Share - PMUY</t>
  </si>
  <si>
    <r>
      <rPr>
        <b/>
        <sz val="12"/>
        <rFont val="Times New Roman"/>
        <family val="1"/>
      </rPr>
      <t>STATE/UT</t>
    </r>
  </si>
  <si>
    <r>
      <rPr>
        <b/>
        <sz val="12"/>
        <rFont val="Times New Roman"/>
        <family val="1"/>
      </rPr>
      <t>FY 2020-21 *</t>
    </r>
  </si>
  <si>
    <r>
      <rPr>
        <b/>
        <sz val="12"/>
        <rFont val="Times New Roman"/>
        <family val="1"/>
      </rPr>
      <t>FY 2021-22</t>
    </r>
  </si>
  <si>
    <r>
      <rPr>
        <sz val="12"/>
        <rFont val="Times New Roman"/>
        <family val="1"/>
      </rPr>
      <t>Chandigarh</t>
    </r>
  </si>
  <si>
    <r>
      <rPr>
        <sz val="12"/>
        <rFont val="Times New Roman"/>
        <family val="1"/>
      </rPr>
      <t>Delhi</t>
    </r>
  </si>
  <si>
    <r>
      <rPr>
        <sz val="12"/>
        <rFont val="Times New Roman"/>
        <family val="1"/>
      </rPr>
      <t>Haryana</t>
    </r>
  </si>
  <si>
    <r>
      <rPr>
        <sz val="12"/>
        <rFont val="Times New Roman"/>
        <family val="1"/>
      </rPr>
      <t>Himachal Pradesh</t>
    </r>
  </si>
  <si>
    <r>
      <rPr>
        <sz val="12"/>
        <rFont val="Times New Roman"/>
        <family val="1"/>
      </rPr>
      <t>UT Of  Ladakh</t>
    </r>
  </si>
  <si>
    <r>
      <rPr>
        <sz val="12"/>
        <rFont val="Times New Roman"/>
        <family val="1"/>
      </rPr>
      <t>Punjab</t>
    </r>
  </si>
  <si>
    <r>
      <rPr>
        <sz val="12"/>
        <rFont val="Times New Roman"/>
        <family val="1"/>
      </rPr>
      <t>Rajasthan</t>
    </r>
  </si>
  <si>
    <r>
      <rPr>
        <sz val="12"/>
        <rFont val="Times New Roman"/>
        <family val="1"/>
      </rPr>
      <t>Uttar Pradesh</t>
    </r>
  </si>
  <si>
    <r>
      <rPr>
        <sz val="12"/>
        <rFont val="Times New Roman"/>
        <family val="1"/>
      </rPr>
      <t>Uttarakhand</t>
    </r>
  </si>
  <si>
    <r>
      <rPr>
        <sz val="12"/>
        <rFont val="Times New Roman"/>
        <family val="1"/>
      </rPr>
      <t>Arunachal Pradesh</t>
    </r>
  </si>
  <si>
    <r>
      <rPr>
        <sz val="12"/>
        <rFont val="Times New Roman"/>
        <family val="1"/>
      </rPr>
      <t>Assam</t>
    </r>
  </si>
  <si>
    <r>
      <rPr>
        <sz val="12"/>
        <rFont val="Times New Roman"/>
        <family val="1"/>
      </rPr>
      <t>Bihar</t>
    </r>
  </si>
  <si>
    <r>
      <rPr>
        <sz val="12"/>
        <rFont val="Times New Roman"/>
        <family val="1"/>
      </rPr>
      <t>Jharkhand</t>
    </r>
  </si>
  <si>
    <r>
      <rPr>
        <sz val="12"/>
        <rFont val="Times New Roman"/>
        <family val="1"/>
      </rPr>
      <t>Manipur</t>
    </r>
  </si>
  <si>
    <r>
      <rPr>
        <sz val="12"/>
        <rFont val="Times New Roman"/>
        <family val="1"/>
      </rPr>
      <t>Meghalaya</t>
    </r>
  </si>
  <si>
    <r>
      <rPr>
        <sz val="12"/>
        <rFont val="Times New Roman"/>
        <family val="1"/>
      </rPr>
      <t>Mizoram</t>
    </r>
  </si>
  <si>
    <r>
      <rPr>
        <sz val="12"/>
        <rFont val="Times New Roman"/>
        <family val="1"/>
      </rPr>
      <t>Nagaland</t>
    </r>
  </si>
  <si>
    <r>
      <rPr>
        <sz val="12"/>
        <rFont val="Times New Roman"/>
        <family val="1"/>
      </rPr>
      <t>Odisha</t>
    </r>
  </si>
  <si>
    <r>
      <rPr>
        <sz val="12"/>
        <rFont val="Times New Roman"/>
        <family val="1"/>
      </rPr>
      <t>Sikkim</t>
    </r>
  </si>
  <si>
    <r>
      <rPr>
        <sz val="12"/>
        <rFont val="Times New Roman"/>
        <family val="1"/>
      </rPr>
      <t>Tripura</t>
    </r>
  </si>
  <si>
    <r>
      <rPr>
        <sz val="12"/>
        <rFont val="Times New Roman"/>
        <family val="1"/>
      </rPr>
      <t>West Bengal</t>
    </r>
  </si>
  <si>
    <r>
      <rPr>
        <sz val="12"/>
        <rFont val="Times New Roman"/>
        <family val="1"/>
      </rPr>
      <t>Chhattisgarh</t>
    </r>
  </si>
  <si>
    <r>
      <rPr>
        <sz val="12"/>
        <rFont val="Times New Roman"/>
        <family val="1"/>
      </rPr>
      <t>Goa</t>
    </r>
  </si>
  <si>
    <r>
      <rPr>
        <sz val="12"/>
        <rFont val="Times New Roman"/>
        <family val="1"/>
      </rPr>
      <t>Gujarat</t>
    </r>
  </si>
  <si>
    <r>
      <rPr>
        <sz val="12"/>
        <rFont val="Times New Roman"/>
        <family val="1"/>
      </rPr>
      <t>Madhya Pradesh</t>
    </r>
  </si>
  <si>
    <r>
      <rPr>
        <sz val="12"/>
        <rFont val="Times New Roman"/>
        <family val="1"/>
      </rPr>
      <t>Maharashtra</t>
    </r>
  </si>
  <si>
    <r>
      <rPr>
        <sz val="12"/>
        <rFont val="Times New Roman"/>
        <family val="1"/>
      </rPr>
      <t>Andhra Pradesh</t>
    </r>
  </si>
  <si>
    <r>
      <rPr>
        <sz val="12"/>
        <rFont val="Times New Roman"/>
        <family val="1"/>
      </rPr>
      <t>Karnataka</t>
    </r>
  </si>
  <si>
    <r>
      <rPr>
        <sz val="12"/>
        <rFont val="Times New Roman"/>
        <family val="1"/>
      </rPr>
      <t>Kerala</t>
    </r>
  </si>
  <si>
    <r>
      <rPr>
        <sz val="12"/>
        <rFont val="Times New Roman"/>
        <family val="1"/>
      </rPr>
      <t>Lakshadweep</t>
    </r>
  </si>
  <si>
    <r>
      <rPr>
        <sz val="12"/>
        <rFont val="Times New Roman"/>
        <family val="1"/>
      </rPr>
      <t>Puducherry</t>
    </r>
  </si>
  <si>
    <r>
      <rPr>
        <sz val="12"/>
        <rFont val="Times New Roman"/>
        <family val="1"/>
      </rPr>
      <t>Tamil Nadu</t>
    </r>
  </si>
  <si>
    <r>
      <rPr>
        <sz val="12"/>
        <rFont val="Times New Roman"/>
        <family val="1"/>
      </rPr>
      <t>Telangana</t>
    </r>
  </si>
  <si>
    <r>
      <rPr>
        <b/>
        <sz val="11"/>
        <rFont val="Times New Roman"/>
        <family val="1"/>
      </rPr>
      <t>State/UT</t>
    </r>
  </si>
  <si>
    <r>
      <rPr>
        <b/>
        <sz val="11"/>
        <rFont val="Times New Roman"/>
        <family val="1"/>
      </rPr>
      <t>Number of free refills taken by PMUY Beneficiaries</t>
    </r>
  </si>
  <si>
    <r>
      <rPr>
        <sz val="11"/>
        <rFont val="Times New Roman"/>
        <family val="1"/>
      </rPr>
      <t>Andaman and Nicobar Islands</t>
    </r>
  </si>
  <si>
    <r>
      <rPr>
        <sz val="11"/>
        <rFont val="Times New Roman"/>
        <family val="1"/>
      </rPr>
      <t>Andhra Pradesh</t>
    </r>
  </si>
  <si>
    <r>
      <rPr>
        <sz val="11"/>
        <rFont val="Times New Roman"/>
        <family val="1"/>
      </rPr>
      <t>Arunachal Pradesh</t>
    </r>
  </si>
  <si>
    <r>
      <rPr>
        <sz val="11"/>
        <rFont val="Times New Roman"/>
        <family val="1"/>
      </rPr>
      <t>Assam</t>
    </r>
  </si>
  <si>
    <r>
      <rPr>
        <sz val="11"/>
        <rFont val="Times New Roman"/>
        <family val="1"/>
      </rPr>
      <t>Bihar</t>
    </r>
  </si>
  <si>
    <r>
      <rPr>
        <sz val="11"/>
        <rFont val="Times New Roman"/>
        <family val="1"/>
      </rPr>
      <t>Chandigarh</t>
    </r>
  </si>
  <si>
    <r>
      <rPr>
        <sz val="11"/>
        <rFont val="Times New Roman"/>
        <family val="1"/>
      </rPr>
      <t>Chhattisgarh</t>
    </r>
  </si>
  <si>
    <r>
      <rPr>
        <sz val="11"/>
        <rFont val="Times New Roman"/>
        <family val="1"/>
      </rPr>
      <t>Dadra &amp; Nagar Haveli and Daman &amp; Diu</t>
    </r>
  </si>
  <si>
    <r>
      <rPr>
        <sz val="11"/>
        <rFont val="Times New Roman"/>
        <family val="1"/>
      </rPr>
      <t>Delhi</t>
    </r>
  </si>
  <si>
    <r>
      <rPr>
        <sz val="11"/>
        <rFont val="Times New Roman"/>
        <family val="1"/>
      </rPr>
      <t>Goa</t>
    </r>
  </si>
  <si>
    <r>
      <rPr>
        <sz val="11"/>
        <rFont val="Times New Roman"/>
        <family val="1"/>
      </rPr>
      <t>Gujarat</t>
    </r>
  </si>
  <si>
    <r>
      <rPr>
        <sz val="11"/>
        <rFont val="Times New Roman"/>
        <family val="1"/>
      </rPr>
      <t>Haryana</t>
    </r>
  </si>
  <si>
    <r>
      <rPr>
        <sz val="11"/>
        <rFont val="Times New Roman"/>
        <family val="1"/>
      </rPr>
      <t>Himachal Pradesh</t>
    </r>
  </si>
  <si>
    <r>
      <rPr>
        <sz val="11"/>
        <rFont val="Times New Roman"/>
        <family val="1"/>
      </rPr>
      <t>Jammu and Kashmir</t>
    </r>
  </si>
  <si>
    <r>
      <rPr>
        <sz val="11"/>
        <rFont val="Times New Roman"/>
        <family val="1"/>
      </rPr>
      <t>Jharkhand</t>
    </r>
  </si>
  <si>
    <r>
      <rPr>
        <sz val="11"/>
        <rFont val="Times New Roman"/>
        <family val="1"/>
      </rPr>
      <t>Karnataka</t>
    </r>
  </si>
  <si>
    <r>
      <rPr>
        <sz val="11"/>
        <rFont val="Times New Roman"/>
        <family val="1"/>
      </rPr>
      <t>Kerala</t>
    </r>
  </si>
  <si>
    <r>
      <rPr>
        <sz val="11"/>
        <rFont val="Times New Roman"/>
        <family val="1"/>
      </rPr>
      <t>Ladakh</t>
    </r>
  </si>
  <si>
    <r>
      <rPr>
        <sz val="11"/>
        <rFont val="Times New Roman"/>
        <family val="1"/>
      </rPr>
      <t>Lakshadweep</t>
    </r>
  </si>
  <si>
    <r>
      <rPr>
        <sz val="11"/>
        <rFont val="Times New Roman"/>
        <family val="1"/>
      </rPr>
      <t>Madhya Pradesh</t>
    </r>
  </si>
  <si>
    <r>
      <rPr>
        <sz val="11"/>
        <rFont val="Times New Roman"/>
        <family val="1"/>
      </rPr>
      <t>Maharashtra</t>
    </r>
  </si>
  <si>
    <r>
      <rPr>
        <sz val="11"/>
        <rFont val="Times New Roman"/>
        <family val="1"/>
      </rPr>
      <t>Manipur</t>
    </r>
  </si>
  <si>
    <r>
      <rPr>
        <sz val="11"/>
        <rFont val="Times New Roman"/>
        <family val="1"/>
      </rPr>
      <t>Meghalaya</t>
    </r>
  </si>
  <si>
    <r>
      <rPr>
        <sz val="11"/>
        <rFont val="Times New Roman"/>
        <family val="1"/>
      </rPr>
      <t>Mizoram</t>
    </r>
  </si>
  <si>
    <r>
      <rPr>
        <sz val="11"/>
        <rFont val="Times New Roman"/>
        <family val="1"/>
      </rPr>
      <t>Nagaland</t>
    </r>
  </si>
  <si>
    <r>
      <rPr>
        <sz val="11"/>
        <rFont val="Times New Roman"/>
        <family val="1"/>
      </rPr>
      <t>Odisha</t>
    </r>
  </si>
  <si>
    <r>
      <rPr>
        <sz val="11"/>
        <rFont val="Times New Roman"/>
        <family val="1"/>
      </rPr>
      <t>Puducherry</t>
    </r>
  </si>
  <si>
    <r>
      <rPr>
        <sz val="11"/>
        <rFont val="Times New Roman"/>
        <family val="1"/>
      </rPr>
      <t>Punjab</t>
    </r>
  </si>
  <si>
    <r>
      <rPr>
        <sz val="11"/>
        <rFont val="Times New Roman"/>
        <family val="1"/>
      </rPr>
      <t>Rajasthan</t>
    </r>
  </si>
  <si>
    <r>
      <rPr>
        <sz val="11"/>
        <rFont val="Times New Roman"/>
        <family val="1"/>
      </rPr>
      <t>Sikkim</t>
    </r>
  </si>
  <si>
    <r>
      <rPr>
        <sz val="11"/>
        <rFont val="Times New Roman"/>
        <family val="1"/>
      </rPr>
      <t>Tamil Nadu</t>
    </r>
  </si>
  <si>
    <r>
      <rPr>
        <sz val="11"/>
        <rFont val="Times New Roman"/>
        <family val="1"/>
      </rPr>
      <t>Telangana</t>
    </r>
  </si>
  <si>
    <r>
      <rPr>
        <sz val="11"/>
        <rFont val="Times New Roman"/>
        <family val="1"/>
      </rPr>
      <t>Tripura</t>
    </r>
  </si>
  <si>
    <r>
      <rPr>
        <sz val="11"/>
        <rFont val="Times New Roman"/>
        <family val="1"/>
      </rPr>
      <t>Uttar Pradesh</t>
    </r>
  </si>
  <si>
    <r>
      <rPr>
        <sz val="11"/>
        <rFont val="Times New Roman"/>
        <family val="1"/>
      </rPr>
      <t>Uttarakhand</t>
    </r>
  </si>
  <si>
    <r>
      <rPr>
        <sz val="11"/>
        <rFont val="Times New Roman"/>
        <family val="1"/>
      </rPr>
      <t>West Bengal</t>
    </r>
  </si>
  <si>
    <t>FY 2020-21 * (PMGKY)</t>
  </si>
  <si>
    <t>Andaman and Nicobar Islands</t>
  </si>
  <si>
    <t>Jammu and Kashmir</t>
  </si>
  <si>
    <t>Non PMGKY</t>
  </si>
  <si>
    <t>Total Active</t>
  </si>
  <si>
    <t>Andhra Pradesh</t>
  </si>
  <si>
    <t>Arunachal Pradesh</t>
  </si>
  <si>
    <t>Assam</t>
  </si>
  <si>
    <t>Bihar</t>
  </si>
  <si>
    <t>Chandigarh</t>
  </si>
  <si>
    <t>---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</si>
  <si>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</si>
  <si>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</si>
  <si>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</si>
  <si>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</si>
  <si>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</si>
  <si>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</si>
  <si>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</si>
  <si>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</si>
  <si>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</si>
  <si>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</si>
  <si>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</si>
  <si>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</si>
  <si>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</si>
  <si>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</si>
  <si>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</si>
  <si>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</si>
  <si>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</si>
  <si>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</si>
  <si>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</si>
  <si>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</si>
  <si>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</si>
  <si>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</si>
  <si>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</si>
  <si>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</si>
  <si>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</si>
  <si>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</si>
  <si>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2.66 (4.45)</t>
  </si>
  <si>
    <t>Total Consumption V2.0 (Crore Cylider)</t>
  </si>
  <si>
    <t>Total Consumption per Connection</t>
  </si>
  <si>
    <t>Consumption Growth</t>
  </si>
  <si>
    <t>Average Consumer Price (nominal)</t>
  </si>
  <si>
    <t>PMGKY Consumption (cylinders based on subsidy)</t>
  </si>
  <si>
    <t>Prod</t>
  </si>
  <si>
    <t>Cons</t>
  </si>
  <si>
    <t>Import</t>
  </si>
  <si>
    <t>Import Share</t>
  </si>
  <si>
    <t>Total Production</t>
  </si>
  <si>
    <t>LPG Share</t>
  </si>
  <si>
    <t>International Price</t>
  </si>
  <si>
    <t>PMGKY</t>
  </si>
  <si>
    <t>Lakshadweep</t>
  </si>
  <si>
    <t>Refill</t>
  </si>
  <si>
    <t>State</t>
  </si>
  <si>
    <t>2005-06</t>
  </si>
  <si>
    <t>2002-03</t>
  </si>
  <si>
    <t>Non- PMUY Consumption (Cylinder /consumer)</t>
  </si>
  <si>
    <t>PMUY (Cylinder/consumer) - on total consumers</t>
  </si>
  <si>
    <t>PMUY Subsidy Not accounted above (INR Crore)</t>
  </si>
  <si>
    <t>2023-24</t>
  </si>
  <si>
    <t>PMUY Subsidised Consumption  (TMT)</t>
  </si>
  <si>
    <t>Total PMUY Consumption (cylinder)</t>
  </si>
  <si>
    <t>PMUY to Total (on cylinder)</t>
  </si>
  <si>
    <t>PMUY to Total (on TMT)</t>
  </si>
  <si>
    <t>2024-25</t>
  </si>
  <si>
    <t>PMGKY  (Crore Cylinder)</t>
  </si>
  <si>
    <t>Subsidised Cylinders to non-PMUY (Crore)</t>
  </si>
  <si>
    <t>Subsidised Cylinders to PMUY (Crore Cylinder)</t>
  </si>
  <si>
    <t>Subsidy per cylinder non-PMUY (avg INR)</t>
  </si>
  <si>
    <t>Subsidy per cylinder PMUY (avg INR)</t>
  </si>
  <si>
    <t>PMUY (Cylinder/ consumer) - mixed data</t>
  </si>
  <si>
    <t>PMUY (Cylinder/ consumer) - on TMT</t>
  </si>
  <si>
    <t>21 (35.11)</t>
  </si>
  <si>
    <t>DBC Share</t>
  </si>
  <si>
    <t>Consumer Price Growth (Real)</t>
  </si>
  <si>
    <t>CPI (2011-12 = 100)</t>
  </si>
  <si>
    <t>GDP Deflator (2011-12 = 1)</t>
  </si>
  <si>
    <t>Average Consumer Price (real - 2015-16) GDPF</t>
  </si>
  <si>
    <t>2024-25 (as of Feb)</t>
  </si>
  <si>
    <t>LPG Cons Growth</t>
  </si>
  <si>
    <t>LPG Prod Growth</t>
  </si>
  <si>
    <t>Average Consumer Price (real - 2011-12) CPI</t>
  </si>
  <si>
    <t>CAGR post covid</t>
  </si>
  <si>
    <t>2025-26</t>
  </si>
  <si>
    <t>FY22</t>
  </si>
  <si>
    <t>FY23</t>
  </si>
  <si>
    <t>FY24</t>
  </si>
  <si>
    <t>H1 FY25</t>
  </si>
  <si>
    <t>CNG</t>
  </si>
  <si>
    <t>H1 FY22</t>
  </si>
  <si>
    <t>H2 FY22</t>
  </si>
  <si>
    <t>PNG - D</t>
  </si>
  <si>
    <t>PNG - C</t>
  </si>
  <si>
    <t>PNG - I</t>
  </si>
  <si>
    <t>H2 FY24</t>
  </si>
  <si>
    <t>H2 FY23</t>
  </si>
  <si>
    <t>H2 FY21</t>
  </si>
  <si>
    <t>H1 FY23</t>
  </si>
  <si>
    <t>H1 FY24</t>
  </si>
  <si>
    <t>SCMD</t>
  </si>
  <si>
    <t>MSCM</t>
  </si>
  <si>
    <t>Share</t>
  </si>
  <si>
    <t>H1 FY21</t>
  </si>
  <si>
    <t>CNG (Mkcal)</t>
  </si>
  <si>
    <t>LPG (Mkcal)</t>
  </si>
  <si>
    <t>CNG (lakh)</t>
  </si>
  <si>
    <t>LPG (lakh)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</si>
</sst>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64" formatCode="0.0%"/>
    <numFmt numFmtId="165" formatCode="0.00000000000000%"/>
    <numFmt numFmtId="166" formatCode="0.0"/>
    <numFmt numFmtId="167" formatCode="0_ ;\-0\ "/>
    <numFmt numFmtId="168" formatCode="0.000"/>
  </numFmts>
  <fonts count="3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rgb="FF686868"/>
      <name val="Arial"/>
      <family val="2"/>
    </font>
    <font>
      <sz val="14"/>
      <color rgb="FFFFFFFF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color rgb="FF000000"/>
      <name val="Times New Roman"/>
      <family val="1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EDEDED"/>
        <bgColor rgb="FFEDEDED"/>
      </patternFill>
    </fill>
    <fill>
      <patternFill patternType="solid">
        <fgColor rgb="FF2A3359"/>
        <bgColor rgb="FF2A3359"/>
      </patternFill>
    </fill>
    <fill>
      <patternFill patternType="solid">
        <fgColor rgb="FFF8F8F8"/>
        <bgColor rgb="FFF8F8F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DDDDDD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9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" fillId="0" borderId="1"/>
  </cellStyleXfs>
  <cellXfs count="123">
    <xf numFmtId="0" fontId="0" fillId="0" borderId="0" xfId="0" applyFont="1" applyAlignment="1"/>
    <xf numFmtId="0" fontId="12" fillId="0" borderId="0" xfId="0" applyFont="1"/>
    <xf numFmtId="9" fontId="13" fillId="0" borderId="0" xfId="0" applyNumberFormat="1" applyFont="1"/>
    <xf numFmtId="2" fontId="14" fillId="0" borderId="0" xfId="0" applyNumberFormat="1" applyFont="1"/>
    <xf numFmtId="0" fontId="13" fillId="0" borderId="0" xfId="0" applyFont="1"/>
    <xf numFmtId="0" fontId="15" fillId="0" borderId="0" xfId="0" applyFont="1"/>
    <xf numFmtId="164" fontId="13" fillId="0" borderId="0" xfId="0" applyNumberFormat="1" applyFont="1"/>
    <xf numFmtId="164" fontId="13" fillId="2" borderId="1" xfId="0" applyNumberFormat="1" applyFont="1" applyFill="1" applyBorder="1"/>
    <xf numFmtId="165" fontId="13" fillId="0" borderId="0" xfId="0" applyNumberFormat="1" applyFont="1"/>
    <xf numFmtId="166" fontId="13" fillId="2" borderId="1" xfId="0" applyNumberFormat="1" applyFont="1" applyFill="1" applyBorder="1"/>
    <xf numFmtId="2" fontId="13" fillId="0" borderId="0" xfId="0" applyNumberFormat="1" applyFont="1"/>
    <xf numFmtId="10" fontId="13" fillId="0" borderId="0" xfId="0" applyNumberFormat="1" applyFont="1"/>
    <xf numFmtId="167" fontId="13" fillId="0" borderId="0" xfId="0" applyNumberFormat="1" applyFont="1"/>
    <xf numFmtId="166" fontId="14" fillId="0" borderId="0" xfId="0" applyNumberFormat="1" applyFont="1"/>
    <xf numFmtId="166" fontId="16" fillId="0" borderId="0" xfId="0" applyNumberFormat="1" applyFont="1"/>
    <xf numFmtId="166" fontId="13" fillId="0" borderId="0" xfId="0" applyNumberFormat="1" applyFont="1"/>
    <xf numFmtId="1" fontId="12" fillId="0" borderId="0" xfId="0" applyNumberFormat="1" applyFont="1"/>
    <xf numFmtId="0" fontId="13" fillId="2" borderId="1" xfId="0" applyFont="1" applyFill="1" applyBorder="1"/>
    <xf numFmtId="166" fontId="14" fillId="3" borderId="1" xfId="0" applyNumberFormat="1" applyFont="1" applyFill="1" applyBorder="1"/>
    <xf numFmtId="0" fontId="13" fillId="0" borderId="0" xfId="0" applyFont="1" applyAlignment="1">
      <alignment wrapText="1"/>
    </xf>
    <xf numFmtId="2" fontId="14" fillId="3" borderId="1" xfId="0" applyNumberFormat="1" applyFont="1" applyFill="1" applyBorder="1"/>
    <xf numFmtId="0" fontId="17" fillId="4" borderId="2" xfId="0" applyFont="1" applyFill="1" applyBorder="1" applyAlignment="1">
      <alignment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17" fillId="6" borderId="2" xfId="0" applyFont="1" applyFill="1" applyBorder="1" applyAlignment="1">
      <alignment vertical="center" wrapText="1"/>
    </xf>
    <xf numFmtId="0" fontId="17" fillId="6" borderId="2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0" fillId="0" borderId="0" xfId="0" applyFont="1"/>
    <xf numFmtId="0" fontId="11" fillId="0" borderId="0" xfId="0" applyFont="1"/>
    <xf numFmtId="0" fontId="20" fillId="0" borderId="0" xfId="0" applyFont="1" applyAlignment="1"/>
    <xf numFmtId="164" fontId="13" fillId="2" borderId="1" xfId="1" applyNumberFormat="1" applyFont="1" applyFill="1" applyBorder="1"/>
    <xf numFmtId="0" fontId="11" fillId="0" borderId="0" xfId="0" applyFont="1" applyAlignment="1"/>
    <xf numFmtId="0" fontId="23" fillId="0" borderId="3" xfId="0" applyFont="1" applyFill="1" applyBorder="1" applyAlignment="1">
      <alignment horizontal="left" vertical="top" wrapText="1"/>
    </xf>
    <xf numFmtId="0" fontId="23" fillId="0" borderId="3" xfId="0" applyFont="1" applyFill="1" applyBorder="1" applyAlignment="1">
      <alignment horizontal="center" vertical="top" wrapText="1"/>
    </xf>
    <xf numFmtId="0" fontId="23" fillId="0" borderId="3" xfId="0" applyFont="1" applyFill="1" applyBorder="1" applyAlignment="1">
      <alignment horizontal="left" vertical="top" wrapText="1" indent="6"/>
    </xf>
    <xf numFmtId="0" fontId="24" fillId="0" borderId="3" xfId="0" applyFont="1" applyFill="1" applyBorder="1" applyAlignment="1">
      <alignment horizontal="left" vertical="top" wrapText="1"/>
    </xf>
    <xf numFmtId="1" fontId="25" fillId="0" borderId="3" xfId="0" applyNumberFormat="1" applyFont="1" applyFill="1" applyBorder="1" applyAlignment="1">
      <alignment vertical="top" shrinkToFit="1"/>
    </xf>
    <xf numFmtId="0" fontId="24" fillId="0" borderId="3" xfId="0" applyFont="1" applyFill="1" applyBorder="1" applyAlignment="1">
      <alignment vertical="top" wrapText="1"/>
    </xf>
    <xf numFmtId="3" fontId="25" fillId="0" borderId="3" xfId="0" applyNumberFormat="1" applyFont="1" applyFill="1" applyBorder="1" applyAlignment="1">
      <alignment vertical="top" shrinkToFit="1"/>
    </xf>
    <xf numFmtId="3" fontId="24" fillId="0" borderId="3" xfId="0" applyNumberFormat="1" applyFont="1" applyFill="1" applyBorder="1" applyAlignment="1">
      <alignment vertical="top" wrapText="1"/>
    </xf>
    <xf numFmtId="0" fontId="26" fillId="0" borderId="3" xfId="0" applyFont="1" applyFill="1" applyBorder="1" applyAlignment="1">
      <alignment horizontal="left" vertical="top" wrapText="1"/>
    </xf>
    <xf numFmtId="0" fontId="26" fillId="0" borderId="3" xfId="0" applyFont="1" applyFill="1" applyBorder="1" applyAlignment="1">
      <alignment horizontal="center" vertical="top" wrapText="1"/>
    </xf>
    <xf numFmtId="0" fontId="27" fillId="0" borderId="3" xfId="0" applyFont="1" applyFill="1" applyBorder="1" applyAlignment="1">
      <alignment horizontal="left" vertical="top" wrapText="1"/>
    </xf>
    <xf numFmtId="3" fontId="28" fillId="0" borderId="3" xfId="0" applyNumberFormat="1" applyFont="1" applyFill="1" applyBorder="1" applyAlignment="1">
      <alignment horizontal="center" vertical="top" shrinkToFit="1"/>
    </xf>
    <xf numFmtId="0" fontId="27" fillId="0" borderId="3" xfId="0" applyFont="1" applyFill="1" applyBorder="1" applyAlignment="1">
      <alignment horizontal="center" vertical="top" wrapText="1"/>
    </xf>
    <xf numFmtId="1" fontId="28" fillId="0" borderId="3" xfId="0" applyNumberFormat="1" applyFont="1" applyFill="1" applyBorder="1" applyAlignment="1">
      <alignment horizontal="center" vertical="top" shrinkToFit="1"/>
    </xf>
    <xf numFmtId="1" fontId="0" fillId="0" borderId="0" xfId="0" applyNumberFormat="1" applyFont="1" applyAlignment="1"/>
    <xf numFmtId="0" fontId="0" fillId="0" borderId="1" xfId="0" applyFill="1" applyBorder="1" applyAlignment="1">
      <alignment horizontal="left" vertical="top"/>
    </xf>
    <xf numFmtId="0" fontId="29" fillId="0" borderId="1" xfId="0" applyFont="1" applyFill="1" applyBorder="1" applyAlignment="1">
      <alignment horizontal="center" vertical="top"/>
    </xf>
    <xf numFmtId="0" fontId="30" fillId="0" borderId="5" xfId="0" applyFont="1" applyFill="1" applyBorder="1" applyAlignment="1">
      <alignment horizontal="left" vertical="top" wrapText="1"/>
    </xf>
    <xf numFmtId="1" fontId="31" fillId="0" borderId="5" xfId="0" applyNumberFormat="1" applyFont="1" applyFill="1" applyBorder="1" applyAlignment="1">
      <alignment horizontal="left" vertical="top" shrinkToFit="1"/>
    </xf>
    <xf numFmtId="1" fontId="31" fillId="0" borderId="6" xfId="0" applyNumberFormat="1" applyFont="1" applyFill="1" applyBorder="1" applyAlignment="1">
      <alignment horizontal="left" vertical="top" shrinkToFit="1"/>
    </xf>
    <xf numFmtId="1" fontId="31" fillId="0" borderId="3" xfId="0" applyNumberFormat="1" applyFont="1" applyFill="1" applyBorder="1" applyAlignment="1">
      <alignment horizontal="left" vertical="top" shrinkToFit="1"/>
    </xf>
    <xf numFmtId="3" fontId="31" fillId="0" borderId="3" xfId="0" applyNumberFormat="1" applyFont="1" applyFill="1" applyBorder="1" applyAlignment="1">
      <alignment horizontal="left" vertical="top" shrinkToFit="1"/>
    </xf>
    <xf numFmtId="3" fontId="31" fillId="0" borderId="5" xfId="0" applyNumberFormat="1" applyFont="1" applyFill="1" applyBorder="1" applyAlignment="1">
      <alignment horizontal="left" vertical="top" shrinkToFit="1"/>
    </xf>
    <xf numFmtId="0" fontId="30" fillId="0" borderId="3" xfId="0" applyFont="1" applyFill="1" applyBorder="1" applyAlignment="1">
      <alignment horizontal="left" vertical="top" wrapText="1"/>
    </xf>
    <xf numFmtId="0" fontId="31" fillId="0" borderId="3" xfId="0" applyFont="1" applyFill="1" applyBorder="1" applyAlignment="1">
      <alignment horizontal="left" vertical="top" wrapText="1"/>
    </xf>
    <xf numFmtId="3" fontId="31" fillId="0" borderId="4" xfId="0" applyNumberFormat="1" applyFont="1" applyFill="1" applyBorder="1" applyAlignment="1">
      <alignment horizontal="left" vertical="top" shrinkToFit="1"/>
    </xf>
    <xf numFmtId="0" fontId="30" fillId="0" borderId="3" xfId="0" applyFont="1" applyFill="1" applyBorder="1" applyAlignment="1">
      <alignment horizontal="left" vertical="center" wrapText="1"/>
    </xf>
    <xf numFmtId="0" fontId="31" fillId="0" borderId="4" xfId="0" applyFont="1" applyFill="1" applyBorder="1" applyAlignment="1">
      <alignment horizontal="left" vertical="top" wrapText="1"/>
    </xf>
    <xf numFmtId="0" fontId="30" fillId="0" borderId="4" xfId="0" applyFont="1" applyFill="1" applyBorder="1" applyAlignment="1">
      <alignment horizontal="left" vertical="top" wrapText="1"/>
    </xf>
    <xf numFmtId="1" fontId="31" fillId="0" borderId="4" xfId="0" applyNumberFormat="1" applyFont="1" applyFill="1" applyBorder="1" applyAlignment="1">
      <alignment horizontal="left" vertical="top" shrinkToFit="1"/>
    </xf>
    <xf numFmtId="0" fontId="30" fillId="0" borderId="5" xfId="0" applyFont="1" applyFill="1" applyBorder="1" applyAlignment="1">
      <alignment horizontal="left" vertical="center" wrapText="1"/>
    </xf>
    <xf numFmtId="0" fontId="31" fillId="0" borderId="5" xfId="0" applyFont="1" applyFill="1" applyBorder="1" applyAlignment="1">
      <alignment horizontal="left" vertical="top" wrapText="1"/>
    </xf>
    <xf numFmtId="0" fontId="31" fillId="0" borderId="6" xfId="0" applyFont="1" applyFill="1" applyBorder="1" applyAlignment="1">
      <alignment horizontal="left" vertical="top" wrapText="1"/>
    </xf>
    <xf numFmtId="0" fontId="30" fillId="0" borderId="5" xfId="0" applyFont="1" applyFill="1" applyBorder="1" applyAlignment="1">
      <alignment horizontal="center" vertical="top" wrapText="1"/>
    </xf>
    <xf numFmtId="3" fontId="31" fillId="0" borderId="3" xfId="0" applyNumberFormat="1" applyFont="1" applyFill="1" applyBorder="1" applyAlignment="1">
      <alignment horizontal="center" vertical="top" shrinkToFit="1"/>
    </xf>
    <xf numFmtId="0" fontId="30" fillId="0" borderId="3" xfId="0" applyFont="1" applyFill="1" applyBorder="1" applyAlignment="1">
      <alignment horizontal="center" vertical="top" wrapText="1"/>
    </xf>
    <xf numFmtId="1" fontId="0" fillId="0" borderId="1" xfId="0" applyNumberFormat="1" applyFill="1" applyBorder="1" applyAlignment="1">
      <alignment horizontal="left" vertical="top"/>
    </xf>
    <xf numFmtId="2" fontId="0" fillId="0" borderId="0" xfId="0" applyNumberFormat="1" applyFont="1" applyAlignment="1"/>
    <xf numFmtId="166" fontId="16" fillId="3" borderId="1" xfId="0" applyNumberFormat="1" applyFont="1" applyFill="1" applyBorder="1"/>
    <xf numFmtId="0" fontId="11" fillId="7" borderId="0" xfId="0" applyFont="1" applyFill="1" applyAlignment="1"/>
    <xf numFmtId="166" fontId="15" fillId="2" borderId="1" xfId="0" applyNumberFormat="1" applyFont="1" applyFill="1" applyBorder="1"/>
    <xf numFmtId="10" fontId="12" fillId="0" borderId="0" xfId="1" applyNumberFormat="1" applyFont="1"/>
    <xf numFmtId="10" fontId="15" fillId="2" borderId="1" xfId="1" applyNumberFormat="1" applyFont="1" applyFill="1" applyBorder="1"/>
    <xf numFmtId="0" fontId="10" fillId="0" borderId="0" xfId="0" applyFont="1" applyAlignment="1"/>
    <xf numFmtId="164" fontId="0" fillId="0" borderId="0" xfId="1" applyNumberFormat="1" applyFont="1" applyAlignment="1"/>
    <xf numFmtId="10" fontId="0" fillId="0" borderId="0" xfId="1" applyNumberFormat="1" applyFont="1" applyAlignment="1"/>
    <xf numFmtId="0" fontId="10" fillId="0" borderId="0" xfId="0" applyFont="1"/>
    <xf numFmtId="0" fontId="29" fillId="0" borderId="1" xfId="0" applyFont="1" applyFill="1" applyBorder="1" applyAlignment="1">
      <alignment horizontal="center" vertical="top"/>
    </xf>
    <xf numFmtId="1" fontId="13" fillId="0" borderId="0" xfId="0" applyNumberFormat="1" applyFont="1"/>
    <xf numFmtId="1" fontId="31" fillId="0" borderId="1" xfId="0" applyNumberFormat="1" applyFont="1" applyFill="1" applyBorder="1" applyAlignment="1">
      <alignment horizontal="left" vertical="top" shrinkToFit="1"/>
    </xf>
    <xf numFmtId="166" fontId="31" fillId="0" borderId="6" xfId="0" applyNumberFormat="1" applyFont="1" applyFill="1" applyBorder="1" applyAlignment="1">
      <alignment horizontal="left" vertical="top" shrinkToFit="1"/>
    </xf>
    <xf numFmtId="2" fontId="31" fillId="0" borderId="6" xfId="0" applyNumberFormat="1" applyFont="1" applyFill="1" applyBorder="1" applyAlignment="1">
      <alignment horizontal="left" vertical="top" shrinkToFit="1"/>
    </xf>
    <xf numFmtId="0" fontId="9" fillId="7" borderId="0" xfId="0" applyFont="1" applyFill="1"/>
    <xf numFmtId="168" fontId="0" fillId="0" borderId="0" xfId="0" applyNumberFormat="1" applyFont="1" applyAlignment="1"/>
    <xf numFmtId="2" fontId="20" fillId="9" borderId="0" xfId="0" applyNumberFormat="1" applyFont="1" applyFill="1" applyAlignment="1"/>
    <xf numFmtId="0" fontId="8" fillId="0" borderId="0" xfId="0" applyFont="1"/>
    <xf numFmtId="0" fontId="7" fillId="0" borderId="0" xfId="0" applyFont="1"/>
    <xf numFmtId="0" fontId="7" fillId="0" borderId="0" xfId="0" applyFont="1" applyAlignment="1"/>
    <xf numFmtId="0" fontId="6" fillId="0" borderId="0" xfId="0" applyFont="1" applyAlignment="1"/>
    <xf numFmtId="0" fontId="5" fillId="0" borderId="0" xfId="0" applyFont="1"/>
    <xf numFmtId="168" fontId="13" fillId="0" borderId="0" xfId="0" applyNumberFormat="1" applyFont="1"/>
    <xf numFmtId="43" fontId="0" fillId="0" borderId="1" xfId="2" applyFont="1" applyFill="1" applyBorder="1" applyAlignment="1">
      <alignment horizontal="left" vertical="top"/>
    </xf>
    <xf numFmtId="0" fontId="5" fillId="0" borderId="0" xfId="0" applyFont="1" applyAlignment="1"/>
    <xf numFmtId="9" fontId="0" fillId="0" borderId="0" xfId="1" applyFont="1" applyAlignment="1"/>
    <xf numFmtId="166" fontId="32" fillId="8" borderId="0" xfId="0" applyNumberFormat="1" applyFont="1" applyFill="1"/>
    <xf numFmtId="0" fontId="4" fillId="0" borderId="0" xfId="0" applyFont="1" applyAlignment="1"/>
    <xf numFmtId="0" fontId="4" fillId="0" borderId="0" xfId="0" applyFont="1"/>
    <xf numFmtId="1" fontId="4" fillId="0" borderId="0" xfId="0" applyNumberFormat="1" applyFont="1" applyAlignment="1"/>
    <xf numFmtId="2" fontId="14" fillId="3" borderId="1" xfId="0" quotePrefix="1" applyNumberFormat="1" applyFont="1" applyFill="1" applyBorder="1"/>
    <xf numFmtId="9" fontId="34" fillId="0" borderId="0" xfId="1" applyFont="1" applyAlignment="1"/>
    <xf numFmtId="164" fontId="34" fillId="0" borderId="0" xfId="1" applyNumberFormat="1" applyFont="1" applyAlignment="1"/>
    <xf numFmtId="9" fontId="15" fillId="0" borderId="0" xfId="0" applyNumberFormat="1" applyFont="1"/>
    <xf numFmtId="0" fontId="3" fillId="0" borderId="0" xfId="0" applyFont="1"/>
    <xf numFmtId="164" fontId="12" fillId="0" borderId="0" xfId="1" applyNumberFormat="1" applyFont="1"/>
    <xf numFmtId="0" fontId="0" fillId="0" borderId="0" xfId="0"/>
    <xf numFmtId="1" fontId="10" fillId="0" borderId="0" xfId="0" applyNumberFormat="1" applyFont="1"/>
    <xf numFmtId="1" fontId="32" fillId="8" borderId="0" xfId="0" applyNumberFormat="1" applyFont="1" applyFill="1"/>
    <xf numFmtId="166" fontId="32" fillId="8" borderId="7" xfId="0" applyNumberFormat="1" applyFont="1" applyFill="1" applyBorder="1" applyAlignment="1">
      <alignment horizontal="right" vertical="center" wrapText="1"/>
    </xf>
    <xf numFmtId="0" fontId="0" fillId="10" borderId="0" xfId="0" applyFont="1" applyFill="1" applyAlignment="1"/>
    <xf numFmtId="2" fontId="16" fillId="3" borderId="1" xfId="0" applyNumberFormat="1" applyFont="1" applyFill="1" applyBorder="1"/>
    <xf numFmtId="0" fontId="2" fillId="0" borderId="0" xfId="0" applyFont="1" applyAlignment="1"/>
    <xf numFmtId="0" fontId="1" fillId="0" borderId="0" xfId="0" applyFont="1"/>
    <xf numFmtId="10" fontId="1" fillId="0" borderId="0" xfId="1" applyNumberFormat="1" applyFont="1" applyAlignment="1"/>
    <xf numFmtId="0" fontId="34" fillId="0" borderId="0" xfId="0" applyFont="1" applyAlignment="1"/>
    <xf numFmtId="166" fontId="35" fillId="8" borderId="8" xfId="0" applyNumberFormat="1" applyFont="1" applyFill="1" applyBorder="1" applyAlignment="1">
      <alignment horizontal="right" vertical="center" wrapText="1"/>
    </xf>
    <xf numFmtId="166" fontId="32" fillId="8" borderId="0" xfId="0" applyNumberFormat="1" applyFont="1" applyFill="1" applyAlignment="1"/>
    <xf numFmtId="166" fontId="35" fillId="8" borderId="1" xfId="0" applyNumberFormat="1" applyFont="1" applyFill="1" applyBorder="1" applyAlignment="1">
      <alignment horizontal="right" vertical="center" wrapText="1"/>
    </xf>
    <xf numFmtId="0" fontId="1" fillId="0" borderId="0" xfId="0" applyFont="1" applyAlignment="1"/>
    <xf numFmtId="0" fontId="1" fillId="0" borderId="1" xfId="3"/>
    <xf numFmtId="0" fontId="29" fillId="0" borderId="1" xfId="0" applyFont="1" applyFill="1" applyBorder="1" applyAlignment="1">
      <alignment horizontal="center" vertical="top"/>
    </xf>
  </cellXfs>
  <cellStyles count="4">
    <cellStyle name="Comma" xfId="2" builtinId="3"/>
    <cellStyle name="Normal" xfId="0" builtinId="0"/>
    <cellStyle name="Normal 2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17"/>
  <sheetViews>
    <sheetView tabSelected="1" zoomScale="89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T2"/>
    </sheetView>
  </sheetViews>
  <sheetFormatPr defaultColWidth="14.453125" defaultRowHeight="15" customHeight="1" x14ac:dyDescent="0.35"/>
  <cols>
    <col min="1" max="1" width="46.1796875" customWidth="1"/>
    <col min="2" max="6" width="16.453125" customWidth="1"/>
    <col min="7" max="8" width="11.54296875" customWidth="1"/>
    <col min="9" max="9" width="9.1796875" customWidth="1"/>
    <col min="10" max="10" width="11.54296875" customWidth="1"/>
    <col min="11" max="12" width="8.54296875" customWidth="1"/>
    <col min="13" max="14" width="11.453125" customWidth="1"/>
    <col min="15" max="15" width="8.1796875" customWidth="1"/>
    <col min="16" max="17" width="10" customWidth="1"/>
    <col min="18" max="20" width="8.54296875" customWidth="1"/>
    <col min="21" max="22" width="9.1796875" customWidth="1"/>
    <col min="23" max="23" width="25" customWidth="1"/>
    <col min="24" max="29" width="8.54296875" customWidth="1"/>
  </cols>
  <sheetData>
    <row r="1" spans="1:24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8" t="s">
        <v>154</v>
      </c>
      <c r="T1" s="28" t="s">
        <v>293</v>
      </c>
      <c r="U1" t="s">
        <v>298</v>
      </c>
      <c r="V1" s="120" t="s">
        <v>317</v>
      </c>
    </row>
    <row r="2" spans="1:24" ht="14.25" customHeight="1" x14ac:dyDescent="0.35">
      <c r="A2" s="1" t="s">
        <v>18</v>
      </c>
      <c r="B2" s="1" t="s">
        <v>18</v>
      </c>
      <c r="G2" s="1">
        <v>12368.68</v>
      </c>
      <c r="H2" s="1">
        <v>13295.91</v>
      </c>
      <c r="I2" s="1">
        <v>13568.03</v>
      </c>
      <c r="J2" s="1">
        <v>14411.6</v>
      </c>
      <c r="K2" s="1">
        <v>16040.388000000001</v>
      </c>
      <c r="L2" s="1">
        <v>17181.721000000001</v>
      </c>
      <c r="M2" s="1">
        <v>18871.361000000001</v>
      </c>
      <c r="N2" s="1">
        <f>20344</f>
        <v>20344</v>
      </c>
      <c r="O2" s="1">
        <v>21728</v>
      </c>
      <c r="P2" s="1">
        <v>23077</v>
      </c>
      <c r="Q2" s="1">
        <v>25128</v>
      </c>
      <c r="R2" s="1">
        <v>25501</v>
      </c>
      <c r="S2" s="28">
        <v>25381</v>
      </c>
      <c r="T2" s="28">
        <v>26207</v>
      </c>
    </row>
    <row r="3" spans="1:24" ht="14.25" customHeight="1" x14ac:dyDescent="0.35">
      <c r="A3" s="29" t="s">
        <v>274</v>
      </c>
      <c r="H3" s="2">
        <f t="shared" ref="H3:T3" si="0">(H2-G2)/G2</f>
        <v>7.4965962414744305E-2</v>
      </c>
      <c r="I3" s="2">
        <f t="shared" si="0"/>
        <v>2.0466444192236619E-2</v>
      </c>
      <c r="J3" s="2">
        <f t="shared" si="0"/>
        <v>6.2173358991688528E-2</v>
      </c>
      <c r="K3" s="2">
        <f t="shared" si="0"/>
        <v>0.11301923450553723</v>
      </c>
      <c r="L3" s="2">
        <f t="shared" si="0"/>
        <v>7.115370276579347E-2</v>
      </c>
      <c r="M3" s="2">
        <f t="shared" si="0"/>
        <v>9.8339392194763217E-2</v>
      </c>
      <c r="N3" s="2">
        <f t="shared" si="0"/>
        <v>7.8035654132205895E-2</v>
      </c>
      <c r="O3" s="2">
        <f t="shared" si="0"/>
        <v>6.8029885961462838E-2</v>
      </c>
      <c r="P3" s="2">
        <f t="shared" si="0"/>
        <v>6.2085787923416791E-2</v>
      </c>
      <c r="Q3" s="2">
        <f t="shared" si="0"/>
        <v>8.8876370412098629E-2</v>
      </c>
      <c r="R3" s="6">
        <f t="shared" si="0"/>
        <v>1.4843998726520216E-2</v>
      </c>
      <c r="S3" s="6">
        <f t="shared" si="0"/>
        <v>-4.7056978157719309E-3</v>
      </c>
      <c r="T3" s="6">
        <f t="shared" si="0"/>
        <v>3.2544028998069421E-2</v>
      </c>
    </row>
    <row r="4" spans="1:24" ht="14.25" customHeight="1" x14ac:dyDescent="0.35">
      <c r="A4" s="29" t="s">
        <v>275</v>
      </c>
      <c r="B4" s="1"/>
      <c r="G4" s="1"/>
      <c r="H4" s="1"/>
      <c r="I4" s="1"/>
      <c r="J4" s="1"/>
      <c r="K4" s="1"/>
      <c r="L4" s="1">
        <v>418.81</v>
      </c>
      <c r="M4" s="1">
        <v>436</v>
      </c>
      <c r="N4" s="1">
        <v>478</v>
      </c>
      <c r="O4" s="1">
        <v>496</v>
      </c>
      <c r="P4" s="1">
        <v>522</v>
      </c>
      <c r="Q4" s="1">
        <v>633</v>
      </c>
      <c r="R4" s="1">
        <v>867</v>
      </c>
      <c r="S4" s="28">
        <v>1044</v>
      </c>
      <c r="T4" s="28">
        <v>978</v>
      </c>
      <c r="U4">
        <v>803</v>
      </c>
      <c r="V4">
        <v>853</v>
      </c>
    </row>
    <row r="5" spans="1:24" ht="14.25" customHeight="1" x14ac:dyDescent="0.35">
      <c r="A5" s="79" t="s">
        <v>283</v>
      </c>
      <c r="B5" s="1"/>
      <c r="G5" s="1"/>
      <c r="H5" s="1"/>
      <c r="I5" s="1"/>
      <c r="J5" s="1"/>
      <c r="K5" s="1"/>
      <c r="L5" s="16">
        <v>407.45</v>
      </c>
      <c r="M5" s="16">
        <v>459.99</v>
      </c>
      <c r="N5" s="16">
        <v>526.03</v>
      </c>
      <c r="O5" s="108">
        <v>605.70000000000005</v>
      </c>
      <c r="P5" s="108">
        <v>541.15</v>
      </c>
      <c r="Q5" s="108">
        <v>506.44</v>
      </c>
      <c r="R5" s="108">
        <v>815.93</v>
      </c>
      <c r="S5" s="108">
        <v>925.82</v>
      </c>
      <c r="T5" s="109">
        <v>766.46</v>
      </c>
    </row>
    <row r="6" spans="1:24" ht="14.25" customHeight="1" x14ac:dyDescent="0.35">
      <c r="A6" s="105" t="s">
        <v>310</v>
      </c>
      <c r="B6" s="1"/>
      <c r="G6" s="1"/>
      <c r="H6" s="1"/>
      <c r="I6" s="1"/>
      <c r="J6" s="1"/>
      <c r="K6" s="1"/>
      <c r="L6" s="107">
        <v>1.1964419345145949</v>
      </c>
      <c r="M6" s="107">
        <v>1.2327726571144706</v>
      </c>
      <c r="N6" s="107">
        <v>1.2884697250853423</v>
      </c>
      <c r="O6" s="107">
        <v>1.3487828219043525</v>
      </c>
      <c r="P6" s="107">
        <v>1.3887109495999577</v>
      </c>
      <c r="Q6" s="107">
        <v>1.4353670527600535</v>
      </c>
      <c r="R6" s="107">
        <v>1.5591146111074279</v>
      </c>
      <c r="S6" s="107">
        <v>1.6655998577768267</v>
      </c>
      <c r="T6" s="107">
        <v>1.6859371801913738</v>
      </c>
      <c r="U6" s="116">
        <v>1.7</v>
      </c>
      <c r="V6" s="116"/>
    </row>
    <row r="7" spans="1:24" ht="14.25" customHeight="1" x14ac:dyDescent="0.35">
      <c r="A7" s="105" t="s">
        <v>309</v>
      </c>
      <c r="B7" s="1"/>
      <c r="G7" s="1"/>
      <c r="H7" s="1"/>
      <c r="I7" s="1"/>
      <c r="J7" s="1"/>
      <c r="K7" s="1"/>
      <c r="L7" s="110">
        <v>124.7</v>
      </c>
      <c r="M7" s="110">
        <v>130.30000000000001</v>
      </c>
      <c r="N7" s="110">
        <v>135</v>
      </c>
      <c r="O7" s="110">
        <v>139.6</v>
      </c>
      <c r="P7" s="110">
        <v>146.30000000000001</v>
      </c>
      <c r="Q7" s="110">
        <v>155.30000000000001</v>
      </c>
      <c r="R7" s="110">
        <v>163.80000000000001</v>
      </c>
      <c r="S7" s="110">
        <v>174.7</v>
      </c>
      <c r="T7" s="110">
        <v>184.1</v>
      </c>
      <c r="U7" s="117">
        <v>191</v>
      </c>
      <c r="V7" s="119">
        <v>200</v>
      </c>
    </row>
    <row r="8" spans="1:24" ht="14.25" customHeight="1" x14ac:dyDescent="0.35">
      <c r="A8" s="105" t="s">
        <v>311</v>
      </c>
      <c r="B8" s="1"/>
      <c r="G8" s="1"/>
      <c r="H8" s="1"/>
      <c r="I8" s="1"/>
      <c r="J8" s="1"/>
      <c r="K8" s="1"/>
      <c r="L8" s="97">
        <f>L4*$L$6/L6</f>
        <v>418.81</v>
      </c>
      <c r="M8" s="97">
        <f t="shared" ref="M8:T8" si="1">M4*$L$6/M6</f>
        <v>423.15075730944369</v>
      </c>
      <c r="N8" s="97">
        <f t="shared" si="1"/>
        <v>443.85928017058865</v>
      </c>
      <c r="O8" s="97">
        <f t="shared" si="1"/>
        <v>439.97831962403353</v>
      </c>
      <c r="P8" s="97">
        <f t="shared" si="1"/>
        <v>449.72835419532692</v>
      </c>
      <c r="Q8" s="97">
        <f t="shared" si="1"/>
        <v>527.63350189168818</v>
      </c>
      <c r="R8" s="97">
        <f t="shared" si="1"/>
        <v>665.3232224456907</v>
      </c>
      <c r="S8" s="97">
        <f t="shared" si="1"/>
        <v>749.9312477730781</v>
      </c>
      <c r="T8" s="97">
        <f t="shared" si="1"/>
        <v>694.04733800487827</v>
      </c>
    </row>
    <row r="9" spans="1:24" ht="14.25" customHeight="1" x14ac:dyDescent="0.35">
      <c r="A9" s="114" t="s">
        <v>315</v>
      </c>
      <c r="B9" s="1"/>
      <c r="G9" s="1"/>
      <c r="H9" s="1"/>
      <c r="I9" s="1"/>
      <c r="J9" s="1"/>
      <c r="K9" s="1"/>
      <c r="L9" s="97">
        <f>L4*100/L7</f>
        <v>335.85404971932638</v>
      </c>
      <c r="M9" s="97">
        <f t="shared" ref="M9:T9" si="2">M4*100/M7</f>
        <v>334.6124328472755</v>
      </c>
      <c r="N9" s="97">
        <f t="shared" si="2"/>
        <v>354.07407407407408</v>
      </c>
      <c r="O9" s="97">
        <f t="shared" si="2"/>
        <v>355.30085959885389</v>
      </c>
      <c r="P9" s="97">
        <f t="shared" si="2"/>
        <v>356.8010936431989</v>
      </c>
      <c r="Q9" s="97">
        <f t="shared" si="2"/>
        <v>407.59819703799093</v>
      </c>
      <c r="R9" s="97">
        <f t="shared" si="2"/>
        <v>529.30402930402931</v>
      </c>
      <c r="S9" s="97">
        <f t="shared" si="2"/>
        <v>597.59587864911282</v>
      </c>
      <c r="T9" s="97">
        <f t="shared" si="2"/>
        <v>531.23302552960354</v>
      </c>
      <c r="U9" s="118">
        <f>U4*100/U7</f>
        <v>420.41884816753929</v>
      </c>
      <c r="V9" s="118">
        <f>V4*100/V7</f>
        <v>426.5</v>
      </c>
      <c r="W9" s="115">
        <f>(T9/P9)^(1/4) -1</f>
        <v>0.10462462954062257</v>
      </c>
      <c r="X9" t="s">
        <v>316</v>
      </c>
    </row>
    <row r="10" spans="1:24" ht="14.25" customHeight="1" x14ac:dyDescent="0.35">
      <c r="A10" s="105" t="s">
        <v>308</v>
      </c>
      <c r="B10" s="1"/>
      <c r="G10" s="1"/>
      <c r="H10" s="1"/>
      <c r="I10" s="1"/>
      <c r="J10" s="1"/>
      <c r="K10" s="1"/>
      <c r="L10" s="1"/>
      <c r="M10" s="74">
        <f>M8/L8 -1</f>
        <v>1.0364502541590825E-2</v>
      </c>
      <c r="N10" s="74">
        <f t="shared" ref="N10:T10" si="3">N8/M8 -1</f>
        <v>4.8938876992251634E-2</v>
      </c>
      <c r="O10" s="74">
        <f t="shared" si="3"/>
        <v>-8.7436733215615625E-3</v>
      </c>
      <c r="P10" s="74">
        <f t="shared" si="3"/>
        <v>2.2160261395663516E-2</v>
      </c>
      <c r="Q10" s="74">
        <f t="shared" si="3"/>
        <v>0.17322712025963427</v>
      </c>
      <c r="R10" s="74">
        <f t="shared" si="3"/>
        <v>0.26095712281413719</v>
      </c>
      <c r="S10" s="74">
        <f t="shared" si="3"/>
        <v>0.12716830327426876</v>
      </c>
      <c r="T10" s="74">
        <f t="shared" si="3"/>
        <v>-7.4518710794019061E-2</v>
      </c>
    </row>
    <row r="11" spans="1:24" ht="14.25" customHeight="1" x14ac:dyDescent="0.35">
      <c r="A11" s="1" t="s">
        <v>19</v>
      </c>
      <c r="G11" s="3">
        <f t="shared" ref="G11:T11" si="4">G2/142</f>
        <v>87.10338028169015</v>
      </c>
      <c r="H11" s="3">
        <f t="shared" si="4"/>
        <v>93.633169014084501</v>
      </c>
      <c r="I11" s="3">
        <f t="shared" si="4"/>
        <v>95.549507042253524</v>
      </c>
      <c r="J11" s="3">
        <f t="shared" si="4"/>
        <v>101.49014084507043</v>
      </c>
      <c r="K11" s="3">
        <f t="shared" si="4"/>
        <v>112.96047887323944</v>
      </c>
      <c r="L11" s="3">
        <f t="shared" si="4"/>
        <v>120.99803521126762</v>
      </c>
      <c r="M11" s="3">
        <f t="shared" si="4"/>
        <v>132.89690845070422</v>
      </c>
      <c r="N11" s="3">
        <f t="shared" si="4"/>
        <v>143.26760563380282</v>
      </c>
      <c r="O11" s="3">
        <f t="shared" si="4"/>
        <v>153.01408450704224</v>
      </c>
      <c r="P11" s="3">
        <f t="shared" si="4"/>
        <v>162.51408450704224</v>
      </c>
      <c r="Q11" s="3">
        <f t="shared" si="4"/>
        <v>176.95774647887325</v>
      </c>
      <c r="R11" s="3">
        <f t="shared" si="4"/>
        <v>179.58450704225353</v>
      </c>
      <c r="S11" s="3">
        <f t="shared" si="4"/>
        <v>178.7394366197183</v>
      </c>
      <c r="T11" s="3">
        <f t="shared" si="4"/>
        <v>184.55633802816902</v>
      </c>
    </row>
    <row r="12" spans="1:24" ht="14.25" customHeight="1" x14ac:dyDescent="0.35">
      <c r="A12" s="1" t="s">
        <v>20</v>
      </c>
      <c r="K12" s="1">
        <v>1486</v>
      </c>
      <c r="L12" s="1">
        <v>1663</v>
      </c>
      <c r="M12" s="1">
        <v>1988</v>
      </c>
      <c r="N12" s="1">
        <v>2243</v>
      </c>
      <c r="O12" s="1">
        <v>2654</v>
      </c>
      <c r="P12" s="1">
        <v>2787</v>
      </c>
      <c r="Q12" s="1">
        <v>2895</v>
      </c>
      <c r="R12" s="1">
        <v>3053</v>
      </c>
      <c r="S12" s="29">
        <v>3140</v>
      </c>
      <c r="T12" s="92">
        <v>3242</v>
      </c>
      <c r="W12">
        <f>T12/M12</f>
        <v>1.6307847082494971</v>
      </c>
    </row>
    <row r="13" spans="1:24" ht="14.25" customHeight="1" x14ac:dyDescent="0.35">
      <c r="A13" s="1" t="s">
        <v>21</v>
      </c>
      <c r="C13" s="1">
        <v>942</v>
      </c>
      <c r="D13" s="1">
        <v>1009</v>
      </c>
      <c r="E13" s="1">
        <v>1057</v>
      </c>
      <c r="F13" s="1">
        <v>1150</v>
      </c>
      <c r="G13" s="1">
        <v>1254</v>
      </c>
      <c r="H13" s="1">
        <v>1371</v>
      </c>
      <c r="I13" s="1">
        <v>1504</v>
      </c>
      <c r="J13" s="1">
        <v>1663</v>
      </c>
      <c r="K13" s="1">
        <v>1819</v>
      </c>
      <c r="L13" s="1">
        <v>2018</v>
      </c>
      <c r="M13" s="4">
        <v>2346</v>
      </c>
      <c r="N13" s="5">
        <f t="shared" ref="N13:T13" si="5">M13+N24</f>
        <v>2630</v>
      </c>
      <c r="O13" s="5">
        <f t="shared" si="5"/>
        <v>3085</v>
      </c>
      <c r="P13" s="5">
        <f t="shared" si="5"/>
        <v>3246</v>
      </c>
      <c r="Q13" s="5">
        <f t="shared" si="5"/>
        <v>3331</v>
      </c>
      <c r="R13" s="5">
        <f t="shared" si="5"/>
        <v>3489</v>
      </c>
      <c r="S13" s="5">
        <f t="shared" si="5"/>
        <v>3590.2</v>
      </c>
      <c r="T13" s="5">
        <f t="shared" si="5"/>
        <v>3702.7</v>
      </c>
    </row>
    <row r="14" spans="1:24" ht="14.25" customHeight="1" x14ac:dyDescent="0.35">
      <c r="A14" s="1" t="s">
        <v>22</v>
      </c>
      <c r="C14" s="1">
        <f t="shared" ref="C14:L14" si="6">C13</f>
        <v>942</v>
      </c>
      <c r="D14" s="1">
        <f t="shared" si="6"/>
        <v>1009</v>
      </c>
      <c r="E14" s="1">
        <f t="shared" si="6"/>
        <v>1057</v>
      </c>
      <c r="F14" s="1">
        <f t="shared" si="6"/>
        <v>1150</v>
      </c>
      <c r="G14" s="1">
        <f t="shared" si="6"/>
        <v>1254</v>
      </c>
      <c r="H14" s="1">
        <f t="shared" si="6"/>
        <v>1371</v>
      </c>
      <c r="I14" s="1">
        <f t="shared" si="6"/>
        <v>1504</v>
      </c>
      <c r="J14" s="1">
        <f t="shared" si="6"/>
        <v>1663</v>
      </c>
      <c r="K14" s="1">
        <f t="shared" si="6"/>
        <v>1819</v>
      </c>
      <c r="L14" s="1">
        <f t="shared" si="6"/>
        <v>2018</v>
      </c>
      <c r="M14" s="4">
        <f>M13-M25</f>
        <v>2146</v>
      </c>
      <c r="N14" s="5">
        <f t="shared" ref="N14:T14" si="7">M14+N24-N25</f>
        <v>2274</v>
      </c>
      <c r="O14" s="5">
        <f t="shared" si="7"/>
        <v>2367</v>
      </c>
      <c r="P14" s="5">
        <f t="shared" si="7"/>
        <v>2446</v>
      </c>
      <c r="Q14" s="5">
        <f>P14+Q24-Q25</f>
        <v>2531</v>
      </c>
      <c r="R14" s="5">
        <f t="shared" si="7"/>
        <v>2590.4</v>
      </c>
      <c r="S14" s="5">
        <f t="shared" si="7"/>
        <v>2632</v>
      </c>
      <c r="T14" s="5">
        <f t="shared" si="7"/>
        <v>2670.3</v>
      </c>
    </row>
    <row r="15" spans="1:24" ht="14.25" customHeight="1" x14ac:dyDescent="0.35">
      <c r="A15" s="1" t="s">
        <v>23</v>
      </c>
      <c r="M15" s="81">
        <f>M12-M17</f>
        <v>1788</v>
      </c>
      <c r="N15" s="81">
        <f t="shared" ref="N15:S15" si="8">N12-N18</f>
        <v>1943.07</v>
      </c>
      <c r="O15" s="81">
        <f t="shared" si="8"/>
        <v>2059.02</v>
      </c>
      <c r="P15" s="81">
        <f t="shared" si="8"/>
        <v>2132.08</v>
      </c>
      <c r="Q15" s="81">
        <f t="shared" si="8"/>
        <v>2105.19</v>
      </c>
      <c r="R15" s="81">
        <f t="shared" si="8"/>
        <v>2247.7799999999997</v>
      </c>
      <c r="S15" s="81">
        <f t="shared" si="8"/>
        <v>2281.3734653906076</v>
      </c>
      <c r="T15" s="81">
        <f>T12-T18</f>
        <v>2316.8841219675051</v>
      </c>
    </row>
    <row r="16" spans="1:24" ht="14.25" customHeight="1" x14ac:dyDescent="0.35">
      <c r="A16" s="1" t="s">
        <v>24</v>
      </c>
      <c r="K16" s="6">
        <f>K12/K13</f>
        <v>0.816932380428807</v>
      </c>
      <c r="L16" s="7">
        <f>L12/L13</f>
        <v>0.82408325074331024</v>
      </c>
      <c r="M16" s="7">
        <f t="shared" ref="M16:T16" si="9">M15/M14</f>
        <v>0.83317800559179866</v>
      </c>
      <c r="N16" s="7">
        <f t="shared" si="9"/>
        <v>0.85447229551451187</v>
      </c>
      <c r="O16" s="7">
        <f t="shared" si="9"/>
        <v>0.86988593155893534</v>
      </c>
      <c r="P16" s="7">
        <f t="shared" si="9"/>
        <v>0.87165985282093206</v>
      </c>
      <c r="Q16" s="7">
        <f t="shared" si="9"/>
        <v>0.83176214934808379</v>
      </c>
      <c r="R16" s="7">
        <f t="shared" si="9"/>
        <v>0.86773471278567005</v>
      </c>
      <c r="S16" s="7">
        <f t="shared" si="9"/>
        <v>0.86678323153138592</v>
      </c>
      <c r="T16" s="7">
        <f t="shared" si="9"/>
        <v>0.86764937346646631</v>
      </c>
      <c r="U16" s="8"/>
      <c r="V16" s="8"/>
    </row>
    <row r="17" spans="1:25" ht="14.25" customHeight="1" x14ac:dyDescent="0.35">
      <c r="A17" s="29" t="s">
        <v>156</v>
      </c>
      <c r="K17" s="6"/>
      <c r="L17" s="7"/>
      <c r="M17" s="9">
        <f>200</f>
        <v>200</v>
      </c>
      <c r="N17" s="9">
        <f t="shared" ref="N17:S17" si="10">M17+N25</f>
        <v>356</v>
      </c>
      <c r="O17" s="9">
        <f t="shared" si="10"/>
        <v>718</v>
      </c>
      <c r="P17" s="9">
        <f t="shared" si="10"/>
        <v>800</v>
      </c>
      <c r="Q17" s="9">
        <f t="shared" si="10"/>
        <v>800</v>
      </c>
      <c r="R17" s="9">
        <f t="shared" si="10"/>
        <v>898.6</v>
      </c>
      <c r="S17" s="9">
        <f t="shared" si="10"/>
        <v>958.2</v>
      </c>
      <c r="T17" s="9">
        <f>S17+T25</f>
        <v>1032.4000000000001</v>
      </c>
      <c r="U17" s="8"/>
      <c r="V17" s="8"/>
    </row>
    <row r="18" spans="1:25" ht="14.25" customHeight="1" x14ac:dyDescent="0.35">
      <c r="A18" s="1" t="s">
        <v>25</v>
      </c>
      <c r="K18" s="6"/>
      <c r="L18" s="9"/>
      <c r="M18" s="9">
        <v>200</v>
      </c>
      <c r="N18" s="9">
        <v>299.93</v>
      </c>
      <c r="O18" s="9">
        <v>594.98</v>
      </c>
      <c r="P18" s="9">
        <v>654.91999999999996</v>
      </c>
      <c r="Q18" s="9">
        <v>789.81</v>
      </c>
      <c r="R18" s="9">
        <v>805.22</v>
      </c>
      <c r="S18" s="73">
        <f>S17*S19</f>
        <v>858.62653460939237</v>
      </c>
      <c r="T18" s="73">
        <f>T17*T19</f>
        <v>925.11587803249506</v>
      </c>
      <c r="U18" s="8"/>
      <c r="V18" s="8"/>
    </row>
    <row r="19" spans="1:25" ht="14.25" customHeight="1" x14ac:dyDescent="0.35">
      <c r="A19" s="29" t="s">
        <v>159</v>
      </c>
      <c r="K19" s="6"/>
      <c r="L19" s="9"/>
      <c r="M19" s="9"/>
      <c r="N19" s="31">
        <f>N18/N17</f>
        <v>0.84250000000000003</v>
      </c>
      <c r="O19" s="31">
        <f>O18/O17</f>
        <v>0.82866295264623957</v>
      </c>
      <c r="P19" s="31">
        <f>P18/P17</f>
        <v>0.81864999999999999</v>
      </c>
      <c r="Q19" s="31">
        <f>Q18/Q17</f>
        <v>0.98726249999999993</v>
      </c>
      <c r="R19" s="31">
        <f>R18/R17</f>
        <v>0.89608279545960379</v>
      </c>
      <c r="S19" s="75">
        <f>R19</f>
        <v>0.89608279545960379</v>
      </c>
      <c r="T19" s="75">
        <f>S19</f>
        <v>0.89608279545960379</v>
      </c>
      <c r="U19" s="8"/>
      <c r="V19" s="8"/>
    </row>
    <row r="20" spans="1:25" ht="14.25" customHeight="1" x14ac:dyDescent="0.35">
      <c r="A20" s="1" t="s">
        <v>26</v>
      </c>
      <c r="C20" s="1">
        <f>490</f>
        <v>490</v>
      </c>
      <c r="D20" s="1">
        <v>509</v>
      </c>
      <c r="E20" s="1">
        <v>522</v>
      </c>
      <c r="F20" s="1">
        <v>569</v>
      </c>
      <c r="G20" s="1">
        <v>624</v>
      </c>
      <c r="H20" s="1">
        <v>689</v>
      </c>
      <c r="I20" s="1">
        <v>749</v>
      </c>
      <c r="J20" s="16">
        <v>827</v>
      </c>
      <c r="K20" s="16">
        <v>917</v>
      </c>
      <c r="L20" s="16">
        <v>1019</v>
      </c>
      <c r="M20" s="16">
        <v>1089</v>
      </c>
      <c r="N20" s="16">
        <f>M20+69</f>
        <v>1158</v>
      </c>
      <c r="O20" s="16">
        <f>N20+51</f>
        <v>1209</v>
      </c>
      <c r="P20" s="16">
        <f>O20+60</f>
        <v>1269</v>
      </c>
      <c r="Q20" s="16">
        <f>P20+68</f>
        <v>1337</v>
      </c>
      <c r="R20" s="47">
        <f>Q20+58.27</f>
        <v>1395.27</v>
      </c>
      <c r="S20" s="47">
        <f>R20+36.71</f>
        <v>1431.98</v>
      </c>
      <c r="T20" s="47">
        <f>S20+31.9</f>
        <v>1463.88</v>
      </c>
      <c r="W20">
        <f>T20/M20</f>
        <v>1.3442424242424242</v>
      </c>
    </row>
    <row r="21" spans="1:25" ht="14.25" customHeight="1" x14ac:dyDescent="0.35">
      <c r="A21" s="105" t="s">
        <v>307</v>
      </c>
      <c r="C21" s="1"/>
      <c r="D21" s="1"/>
      <c r="E21" s="1"/>
      <c r="F21" s="1"/>
      <c r="G21" s="1"/>
      <c r="H21" s="1"/>
      <c r="I21" s="106">
        <f>I20/I13</f>
        <v>0.49800531914893614</v>
      </c>
      <c r="J21" s="106">
        <f>J20/J13</f>
        <v>0.49729404690318701</v>
      </c>
      <c r="K21" s="106">
        <f>K20/K12</f>
        <v>0.61709286675639297</v>
      </c>
      <c r="L21" s="106">
        <f t="shared" ref="L21:T21" si="11">L20/L12</f>
        <v>0.6127480457005412</v>
      </c>
      <c r="M21" s="106">
        <f t="shared" si="11"/>
        <v>0.54778672032193154</v>
      </c>
      <c r="N21" s="106">
        <f t="shared" si="11"/>
        <v>0.51627284886312974</v>
      </c>
      <c r="O21" s="106">
        <f t="shared" si="11"/>
        <v>0.45553880934438584</v>
      </c>
      <c r="P21" s="106">
        <f t="shared" si="11"/>
        <v>0.45532831001076424</v>
      </c>
      <c r="Q21" s="106">
        <f t="shared" si="11"/>
        <v>0.46183074265975821</v>
      </c>
      <c r="R21" s="106">
        <f t="shared" si="11"/>
        <v>0.45701604978709465</v>
      </c>
      <c r="S21" s="106">
        <f t="shared" si="11"/>
        <v>0.45604458598726116</v>
      </c>
      <c r="T21" s="106">
        <f t="shared" si="11"/>
        <v>0.45153608883405311</v>
      </c>
    </row>
    <row r="22" spans="1:25" ht="14.25" customHeight="1" x14ac:dyDescent="0.35">
      <c r="A22" s="1" t="s">
        <v>27</v>
      </c>
      <c r="K22" s="10">
        <f t="shared" ref="K22:T22" si="12">K11*100/K12</f>
        <v>7.60164729967964</v>
      </c>
      <c r="L22" s="10">
        <f t="shared" si="12"/>
        <v>7.2758890686270368</v>
      </c>
      <c r="M22" s="10">
        <f t="shared" si="12"/>
        <v>6.6849551534559462</v>
      </c>
      <c r="N22" s="10">
        <f t="shared" si="12"/>
        <v>6.387320804003692</v>
      </c>
      <c r="O22" s="10">
        <f t="shared" si="12"/>
        <v>5.765413884967681</v>
      </c>
      <c r="P22" s="10">
        <f t="shared" si="12"/>
        <v>5.8311476321148996</v>
      </c>
      <c r="Q22" s="10">
        <f t="shared" si="12"/>
        <v>6.1125301028971757</v>
      </c>
      <c r="R22" s="10">
        <f t="shared" si="12"/>
        <v>5.8822308235261556</v>
      </c>
      <c r="S22" s="93">
        <f t="shared" si="12"/>
        <v>5.6923387458509014</v>
      </c>
      <c r="T22" s="93">
        <f t="shared" si="12"/>
        <v>5.6926692790921969</v>
      </c>
      <c r="X22" s="6">
        <f>1-(L22/K22)</f>
        <v>4.2853636614570645E-2</v>
      </c>
      <c r="Y22" s="6">
        <f>(1-(O22/L22)^(1/3))</f>
        <v>7.4631297410522435E-2</v>
      </c>
    </row>
    <row r="23" spans="1:25" ht="14.25" customHeight="1" x14ac:dyDescent="0.35">
      <c r="A23" s="1" t="s">
        <v>28</v>
      </c>
      <c r="C23" s="10">
        <f>C30*100/C13</f>
        <v>7.3059412252542977</v>
      </c>
      <c r="D23" s="10">
        <f>D30*100/D13</f>
        <v>7.2992316274872477</v>
      </c>
      <c r="E23" s="10">
        <f>E30*100/E13</f>
        <v>7.1814458923721647</v>
      </c>
      <c r="F23" s="10">
        <f>F30*100/F13</f>
        <v>6.9857896561019759</v>
      </c>
      <c r="G23" s="10">
        <f t="shared" ref="G23:T23" si="13">G11*100/G13</f>
        <v>6.9460430846642867</v>
      </c>
      <c r="H23" s="10">
        <f t="shared" si="13"/>
        <v>6.8295528091965361</v>
      </c>
      <c r="I23" s="10">
        <f t="shared" si="13"/>
        <v>6.3530257341923884</v>
      </c>
      <c r="J23" s="10">
        <f t="shared" si="13"/>
        <v>6.1028346870156609</v>
      </c>
      <c r="K23" s="10">
        <f t="shared" si="13"/>
        <v>6.2100318237075012</v>
      </c>
      <c r="L23" s="10">
        <f t="shared" si="13"/>
        <v>5.995938315721884</v>
      </c>
      <c r="M23" s="10">
        <f t="shared" si="13"/>
        <v>5.6648298572337685</v>
      </c>
      <c r="N23" s="10">
        <f t="shared" si="13"/>
        <v>5.4474374765704496</v>
      </c>
      <c r="O23" s="10">
        <f t="shared" si="13"/>
        <v>4.9599379094665235</v>
      </c>
      <c r="P23" s="10">
        <f t="shared" si="13"/>
        <v>5.0065953329341415</v>
      </c>
      <c r="Q23" s="10">
        <f t="shared" si="13"/>
        <v>5.3124511101432974</v>
      </c>
      <c r="R23" s="10">
        <f t="shared" si="13"/>
        <v>5.1471627125896688</v>
      </c>
      <c r="S23" s="10">
        <f t="shared" si="13"/>
        <v>4.9785370346977409</v>
      </c>
      <c r="T23" s="10">
        <f t="shared" si="13"/>
        <v>4.9843718915431721</v>
      </c>
      <c r="X23" s="11">
        <f>1-(L23/C23)^(1/9)</f>
        <v>2.1716894370418571E-2</v>
      </c>
      <c r="Y23" s="11">
        <f>(L23-M23)/L23</f>
        <v>5.5222125554547412E-2</v>
      </c>
    </row>
    <row r="24" spans="1:25" ht="14.15" customHeight="1" x14ac:dyDescent="0.35">
      <c r="A24" s="29" t="s">
        <v>158</v>
      </c>
      <c r="C24" s="1" t="s">
        <v>29</v>
      </c>
      <c r="D24" s="5">
        <f t="shared" ref="D24:K24" si="14">D14-C14</f>
        <v>67</v>
      </c>
      <c r="E24" s="5">
        <f t="shared" si="14"/>
        <v>48</v>
      </c>
      <c r="F24" s="5">
        <f t="shared" si="14"/>
        <v>93</v>
      </c>
      <c r="G24" s="5">
        <f t="shared" si="14"/>
        <v>104</v>
      </c>
      <c r="H24" s="5">
        <f t="shared" si="14"/>
        <v>117</v>
      </c>
      <c r="I24" s="5">
        <f>I14-H14</f>
        <v>133</v>
      </c>
      <c r="J24" s="5">
        <f t="shared" si="14"/>
        <v>159</v>
      </c>
      <c r="K24" s="5">
        <f t="shared" si="14"/>
        <v>156</v>
      </c>
      <c r="L24" s="1">
        <v>205</v>
      </c>
      <c r="M24" s="1">
        <v>332</v>
      </c>
      <c r="N24" s="1">
        <v>284</v>
      </c>
      <c r="O24" s="1">
        <v>455</v>
      </c>
      <c r="P24" s="1">
        <v>161</v>
      </c>
      <c r="Q24" s="1">
        <v>85</v>
      </c>
      <c r="R24" s="1">
        <v>158</v>
      </c>
      <c r="S24" s="29">
        <v>101.2</v>
      </c>
      <c r="T24" s="92">
        <v>112.5</v>
      </c>
    </row>
    <row r="25" spans="1:25" ht="14.25" customHeight="1" x14ac:dyDescent="0.35">
      <c r="A25" s="29" t="s">
        <v>157</v>
      </c>
      <c r="M25" s="1">
        <v>200</v>
      </c>
      <c r="N25" s="1">
        <v>156</v>
      </c>
      <c r="O25" s="1">
        <v>362</v>
      </c>
      <c r="P25" s="1">
        <f>801-719</f>
        <v>82</v>
      </c>
      <c r="Q25" s="1">
        <v>0</v>
      </c>
      <c r="R25" s="1">
        <f>98.6</f>
        <v>98.6</v>
      </c>
      <c r="S25" s="29">
        <v>59.6</v>
      </c>
      <c r="T25" s="92">
        <v>74.2</v>
      </c>
    </row>
    <row r="26" spans="1:25" ht="14.25" customHeight="1" x14ac:dyDescent="0.35">
      <c r="A26" s="88" t="s">
        <v>30</v>
      </c>
      <c r="C26" s="12">
        <v>12255</v>
      </c>
      <c r="D26" s="12">
        <v>17186</v>
      </c>
      <c r="E26" s="12">
        <v>19314</v>
      </c>
      <c r="F26" s="12">
        <v>16071</v>
      </c>
      <c r="G26" s="12">
        <v>23746</v>
      </c>
      <c r="H26" s="12">
        <v>32134</v>
      </c>
      <c r="I26" s="12">
        <v>41547</v>
      </c>
      <c r="J26" s="12">
        <v>52231</v>
      </c>
      <c r="K26" s="1">
        <v>40551</v>
      </c>
      <c r="L26" s="1">
        <v>16056</v>
      </c>
      <c r="M26" s="1">
        <v>12905</v>
      </c>
      <c r="N26" s="1">
        <v>20905</v>
      </c>
      <c r="O26" s="1">
        <v>31539</v>
      </c>
      <c r="P26" s="1">
        <v>22726</v>
      </c>
      <c r="Q26" s="1">
        <v>3657</v>
      </c>
      <c r="R26">
        <v>0</v>
      </c>
      <c r="S26">
        <v>855</v>
      </c>
      <c r="T26">
        <v>1227</v>
      </c>
      <c r="U26" s="1"/>
      <c r="V26" s="1"/>
      <c r="W26" s="11"/>
    </row>
    <row r="27" spans="1:25" ht="14.25" customHeight="1" x14ac:dyDescent="0.35">
      <c r="A27" s="89" t="s">
        <v>292</v>
      </c>
      <c r="M27" s="1">
        <v>2999</v>
      </c>
      <c r="N27" s="1">
        <v>2559</v>
      </c>
      <c r="O27" s="1">
        <v>5670</v>
      </c>
      <c r="P27" s="1">
        <v>1446</v>
      </c>
      <c r="Q27" s="1">
        <v>76</v>
      </c>
      <c r="R27">
        <v>1569</v>
      </c>
      <c r="S27">
        <v>6110</v>
      </c>
      <c r="T27">
        <v>10217</v>
      </c>
    </row>
    <row r="28" spans="1:25" ht="14.25" customHeight="1" x14ac:dyDescent="0.35">
      <c r="A28" s="1" t="s">
        <v>31</v>
      </c>
      <c r="C28" s="1">
        <v>1554</v>
      </c>
      <c r="D28" s="1">
        <v>1663</v>
      </c>
      <c r="E28" s="1">
        <v>1714</v>
      </c>
      <c r="F28" s="1">
        <v>1814</v>
      </c>
      <c r="G28" s="1">
        <v>1974</v>
      </c>
      <c r="H28" s="1">
        <v>2137</v>
      </c>
      <c r="I28" s="5">
        <v>1989</v>
      </c>
      <c r="S28">
        <v>22000</v>
      </c>
    </row>
    <row r="29" spans="1:25" ht="14.25" customHeight="1" x14ac:dyDescent="0.35">
      <c r="A29" s="1" t="s">
        <v>32</v>
      </c>
      <c r="C29" s="1">
        <v>22.58</v>
      </c>
      <c r="D29" s="1">
        <v>22.58</v>
      </c>
      <c r="E29" s="1">
        <v>22.58</v>
      </c>
      <c r="F29" s="1">
        <v>22.58</v>
      </c>
      <c r="G29" s="1">
        <v>22.58</v>
      </c>
      <c r="H29" s="1">
        <v>22.58</v>
      </c>
      <c r="I29" s="5">
        <v>22.58</v>
      </c>
    </row>
    <row r="30" spans="1:25" ht="14.25" customHeight="1" x14ac:dyDescent="0.35">
      <c r="A30" s="1" t="s">
        <v>33</v>
      </c>
      <c r="C30" s="13">
        <f t="shared" ref="C30:I30" si="15">C28/C29</f>
        <v>68.821966341895489</v>
      </c>
      <c r="D30" s="13">
        <f t="shared" si="15"/>
        <v>73.649247121346335</v>
      </c>
      <c r="E30" s="13">
        <f t="shared" si="15"/>
        <v>75.907883082373786</v>
      </c>
      <c r="F30" s="13">
        <f t="shared" si="15"/>
        <v>80.336581045172721</v>
      </c>
      <c r="G30" s="13">
        <f t="shared" si="15"/>
        <v>87.422497785651032</v>
      </c>
      <c r="H30" s="13">
        <f t="shared" si="15"/>
        <v>94.641275465013294</v>
      </c>
      <c r="I30" s="14">
        <f t="shared" si="15"/>
        <v>88.086802480070872</v>
      </c>
      <c r="J30" s="15"/>
    </row>
    <row r="31" spans="1:25" ht="14.25" customHeight="1" x14ac:dyDescent="0.35">
      <c r="A31" s="1" t="s">
        <v>34</v>
      </c>
      <c r="C31" s="13"/>
      <c r="D31" s="13"/>
      <c r="E31" s="13"/>
      <c r="F31" s="13"/>
      <c r="G31" s="13"/>
      <c r="H31" s="13"/>
      <c r="I31" s="14"/>
      <c r="J31" s="15"/>
      <c r="M31" s="104">
        <f t="shared" ref="M31:T31" si="16">M18/(M15+M18)</f>
        <v>0.1006036217303823</v>
      </c>
      <c r="N31" s="104">
        <f t="shared" si="16"/>
        <v>0.13371823450735623</v>
      </c>
      <c r="O31" s="104">
        <f t="shared" si="16"/>
        <v>0.22418236623963828</v>
      </c>
      <c r="P31" s="104">
        <f t="shared" si="16"/>
        <v>0.23499102978112665</v>
      </c>
      <c r="Q31" s="104">
        <f t="shared" si="16"/>
        <v>0.27281865284974094</v>
      </c>
      <c r="R31" s="104">
        <f t="shared" si="16"/>
        <v>0.26374713396659027</v>
      </c>
      <c r="S31" s="104">
        <f t="shared" si="16"/>
        <v>0.27344794095840519</v>
      </c>
      <c r="T31" s="104">
        <f t="shared" si="16"/>
        <v>0.2853534478817073</v>
      </c>
    </row>
    <row r="32" spans="1:25" ht="14.25" customHeight="1" x14ac:dyDescent="0.35">
      <c r="A32" s="99" t="s">
        <v>302</v>
      </c>
      <c r="C32" s="1">
        <v>178.66</v>
      </c>
      <c r="D32" s="1">
        <v>236.63</v>
      </c>
      <c r="E32" s="1">
        <v>257.45999999999998</v>
      </c>
      <c r="F32" s="1">
        <v>200.71</v>
      </c>
      <c r="G32" s="1">
        <v>272.52</v>
      </c>
      <c r="H32" s="16">
        <v>342.88</v>
      </c>
      <c r="I32" s="16">
        <v>449.72</v>
      </c>
      <c r="J32" s="16">
        <v>530.20000000000005</v>
      </c>
      <c r="K32" s="16">
        <v>392.3</v>
      </c>
      <c r="L32" s="16">
        <f>AVERAGE((173.74+29.44),(168.74+29.44),(179.24+29.44),(141.59+49.09),(118.09+49.09),(92.59+42.09),(65.51+34.17),(78.92+48.26),(140.42+48.26), (190.51+47.66),(108.12+47.66),(46.71+47.66))</f>
        <v>167.20333333333338</v>
      </c>
      <c r="M32" s="16">
        <f>AVERAGE((42.11+48.26),(65.8+42.55),(86.77+42.55),(73.09+43.25),(23.93+33.98),(7.46+33.98),(28.23+34.68),(70.74+28.12),(123.17+28.12),(12.87+28.42),(184.29+32.41),(270.16+32.41))</f>
        <v>118.1125</v>
      </c>
      <c r="N32" s="16">
        <f>AVERAGE((249.09+32.41), (159.64+28.59), (77.26+28.59),(58.35+28.19),(29.02+15.21), (95.11+15.21),(142.66+15.21),246.31,251.31,245.36,240.37,195.91)</f>
        <v>179.48333333333332</v>
      </c>
      <c r="O32" s="16">
        <f>AVERAGE(162.15,159.29,204.95,257.74,291.48,320.49,376.6,433.66,435.08,308.6,194.01,165.47,205.89)</f>
        <v>270.41615384615386</v>
      </c>
      <c r="P32" s="16">
        <f>AVERAGE(210.64,216.36,240.13,142.65,71.71,79.62,87.05,155.9,164,76,178.86,243,252)</f>
        <v>162.91692307692307</v>
      </c>
      <c r="Q32" s="16">
        <v>183.43</v>
      </c>
      <c r="R32">
        <v>0</v>
      </c>
      <c r="S32">
        <v>100</v>
      </c>
      <c r="T32" s="100">
        <v>100</v>
      </c>
    </row>
    <row r="33" spans="1:23" ht="14.25" customHeight="1" x14ac:dyDescent="0.35">
      <c r="A33" s="99" t="s">
        <v>303</v>
      </c>
      <c r="C33" s="1"/>
      <c r="D33" s="1"/>
      <c r="E33" s="1"/>
      <c r="F33" s="1"/>
      <c r="G33" s="1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>
        <v>0</v>
      </c>
      <c r="S33">
        <v>183</v>
      </c>
      <c r="T33">
        <v>250</v>
      </c>
    </row>
    <row r="34" spans="1:23" ht="14.25" customHeight="1" x14ac:dyDescent="0.35">
      <c r="A34" s="99" t="s">
        <v>300</v>
      </c>
      <c r="C34" s="13">
        <f t="shared" ref="C34:P34" si="17">C26/C32</f>
        <v>68.593977387215944</v>
      </c>
      <c r="D34" s="13">
        <f t="shared" si="17"/>
        <v>72.628153657608934</v>
      </c>
      <c r="E34" s="13">
        <f t="shared" si="17"/>
        <v>75.017478443253324</v>
      </c>
      <c r="F34" s="13">
        <f t="shared" si="17"/>
        <v>80.070748841612271</v>
      </c>
      <c r="G34" s="13">
        <f t="shared" si="17"/>
        <v>87.134889182445335</v>
      </c>
      <c r="H34" s="13">
        <f t="shared" si="17"/>
        <v>93.717918805412978</v>
      </c>
      <c r="I34" s="13">
        <f t="shared" si="17"/>
        <v>92.384150137863557</v>
      </c>
      <c r="J34" s="13">
        <f t="shared" si="17"/>
        <v>98.511882308562804</v>
      </c>
      <c r="K34" s="13">
        <f t="shared" si="17"/>
        <v>103.36732092786133</v>
      </c>
      <c r="L34" s="13">
        <f t="shared" si="17"/>
        <v>96.026793724208019</v>
      </c>
      <c r="M34" s="13">
        <f t="shared" si="17"/>
        <v>109.26023917874907</v>
      </c>
      <c r="N34" s="13">
        <f t="shared" si="17"/>
        <v>116.4732101402173</v>
      </c>
      <c r="O34" s="13">
        <f t="shared" si="17"/>
        <v>116.63134598809242</v>
      </c>
      <c r="P34" s="13">
        <f t="shared" si="17"/>
        <v>139.49440960942812</v>
      </c>
      <c r="Q34" s="3">
        <f>Q26/Q32+Q52</f>
        <v>34.205991386359919</v>
      </c>
      <c r="R34" s="13">
        <v>0</v>
      </c>
      <c r="S34" s="13">
        <f>S26/S32</f>
        <v>8.5500000000000007</v>
      </c>
      <c r="T34" s="13">
        <f>T26/T32</f>
        <v>12.27</v>
      </c>
      <c r="U34" s="1"/>
      <c r="V34" s="1"/>
    </row>
    <row r="35" spans="1:23" ht="14.25" customHeight="1" x14ac:dyDescent="0.35">
      <c r="A35" s="99" t="s">
        <v>301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3"/>
      <c r="R35" s="13"/>
      <c r="S35" s="13">
        <f>S27/S33</f>
        <v>33.387978142076506</v>
      </c>
      <c r="T35" s="13">
        <f>T27/T33</f>
        <v>40.868000000000002</v>
      </c>
      <c r="U35" s="1"/>
      <c r="V35" s="1"/>
    </row>
    <row r="36" spans="1:23" ht="14.25" hidden="1" customHeight="1" x14ac:dyDescent="0.35">
      <c r="A36" s="28" t="s">
        <v>155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 t="e">
        <f>(M43*(M15-M24+M25)+M44*(M24-M25)+M44*M18)/100</f>
        <v>#VALUE!</v>
      </c>
      <c r="N36" s="13" t="e">
        <f>(N43*(N15-N24+N25)+N44*(N24-N25)+N44*N18)/100</f>
        <v>#VALUE!</v>
      </c>
      <c r="O36" s="13" t="e">
        <f>(O43*(O15-O24+O25)+O44*(O24-O25)+O44*O18)/100</f>
        <v>#VALUE!</v>
      </c>
      <c r="P36" s="13">
        <f>(P43*(P15-P24+P25)+P44*(P24-P25)+P44*P18)/100</f>
        <v>160.08683815100042</v>
      </c>
      <c r="Q36" s="13">
        <f>(Q43*(Q15-Q24+Q25)+Q44*(Q24-Q25)+Q44*Q18)/100</f>
        <v>175.00448388669906</v>
      </c>
      <c r="R36" s="13"/>
      <c r="S36" s="13"/>
      <c r="T36" s="13"/>
    </row>
    <row r="37" spans="1:23" ht="14.25" customHeight="1" x14ac:dyDescent="0.35">
      <c r="A37" s="17" t="s">
        <v>272</v>
      </c>
      <c r="C37" s="13"/>
      <c r="D37" s="13"/>
      <c r="E37" s="13"/>
      <c r="F37" s="13"/>
      <c r="G37" s="13"/>
      <c r="H37" s="13"/>
      <c r="I37" s="13">
        <f t="shared" ref="I37:T37" si="18">I2/(14.2*10)</f>
        <v>95.549507042253524</v>
      </c>
      <c r="J37" s="13">
        <f t="shared" si="18"/>
        <v>101.49014084507043</v>
      </c>
      <c r="K37" s="13">
        <f t="shared" si="18"/>
        <v>112.96047887323944</v>
      </c>
      <c r="L37" s="13">
        <f t="shared" si="18"/>
        <v>120.99803521126762</v>
      </c>
      <c r="M37" s="13">
        <f t="shared" si="18"/>
        <v>132.89690845070422</v>
      </c>
      <c r="N37" s="13">
        <f t="shared" si="18"/>
        <v>143.26760563380282</v>
      </c>
      <c r="O37" s="13">
        <f t="shared" si="18"/>
        <v>153.01408450704224</v>
      </c>
      <c r="P37" s="13">
        <f t="shared" si="18"/>
        <v>162.51408450704224</v>
      </c>
      <c r="Q37" s="13">
        <f t="shared" si="18"/>
        <v>176.95774647887325</v>
      </c>
      <c r="R37" s="13">
        <f t="shared" si="18"/>
        <v>179.58450704225353</v>
      </c>
      <c r="S37" s="13">
        <f t="shared" si="18"/>
        <v>178.7394366197183</v>
      </c>
      <c r="T37" s="13">
        <f t="shared" si="18"/>
        <v>184.55633802816902</v>
      </c>
    </row>
    <row r="38" spans="1:23" ht="15" hidden="1" customHeight="1" x14ac:dyDescent="0.35">
      <c r="A38" s="72" t="s">
        <v>273</v>
      </c>
      <c r="M38" s="70">
        <f t="shared" ref="M38:S38" si="19">M40*100/M12</f>
        <v>6.295774647887324</v>
      </c>
      <c r="N38" s="70">
        <f t="shared" si="19"/>
        <v>5.8979120657067678</v>
      </c>
      <c r="O38" s="70">
        <f t="shared" si="19"/>
        <v>5.0457884893384417</v>
      </c>
      <c r="P38" s="70">
        <f t="shared" si="19"/>
        <v>5.0132178070215341</v>
      </c>
      <c r="Q38" s="70">
        <f t="shared" si="19"/>
        <v>4.899586465250918</v>
      </c>
      <c r="R38" s="70">
        <f t="shared" si="19"/>
        <v>4.858241489553107</v>
      </c>
      <c r="S38" s="70">
        <f t="shared" si="19"/>
        <v>4.5940903382075886</v>
      </c>
      <c r="T38" s="70"/>
    </row>
    <row r="39" spans="1:23" ht="14.25" hidden="1" customHeight="1" x14ac:dyDescent="0.35">
      <c r="A39" s="1" t="s">
        <v>35</v>
      </c>
      <c r="M39" s="18" t="e">
        <f t="shared" ref="M39:R39" si="20">(M43*(M15-M24+M25)+M44*(M18))/100</f>
        <v>#VALUE!</v>
      </c>
      <c r="N39" s="18" t="e">
        <f t="shared" si="20"/>
        <v>#VALUE!</v>
      </c>
      <c r="O39" s="18" t="e">
        <f t="shared" si="20"/>
        <v>#VALUE!</v>
      </c>
      <c r="P39" s="18">
        <f t="shared" si="20"/>
        <v>157.33709675693274</v>
      </c>
      <c r="Q39" s="18">
        <f t="shared" si="20"/>
        <v>171.22591688957317</v>
      </c>
      <c r="R39" s="18">
        <f t="shared" si="20"/>
        <v>175.66493595746866</v>
      </c>
      <c r="S39" s="18"/>
      <c r="T39" s="18"/>
      <c r="U39" s="19" t="s">
        <v>36</v>
      </c>
      <c r="V39" s="19"/>
      <c r="W39" s="19" t="s">
        <v>37</v>
      </c>
    </row>
    <row r="40" spans="1:23" ht="14.25" customHeight="1" x14ac:dyDescent="0.35">
      <c r="A40" s="17" t="s">
        <v>38</v>
      </c>
      <c r="M40" s="18">
        <f>M43*M15/100</f>
        <v>125.16</v>
      </c>
      <c r="N40" s="18">
        <f t="shared" ref="N40:T40" si="21">N37-N42</f>
        <v>132.29016763380281</v>
      </c>
      <c r="O40" s="18">
        <f t="shared" si="21"/>
        <v>133.91522650704223</v>
      </c>
      <c r="P40" s="18">
        <f t="shared" si="21"/>
        <v>139.71838028169014</v>
      </c>
      <c r="Q40" s="18">
        <v>141.84302816901408</v>
      </c>
      <c r="R40" s="18">
        <f t="shared" si="21"/>
        <v>148.32211267605635</v>
      </c>
      <c r="S40" s="18">
        <f t="shared" si="21"/>
        <v>144.25443661971829</v>
      </c>
      <c r="T40" s="18">
        <f t="shared" si="21"/>
        <v>145.18126760563382</v>
      </c>
      <c r="U40" s="19"/>
      <c r="V40" s="19"/>
      <c r="W40" s="19">
        <f>S40*7*200/12</f>
        <v>16829.684272300467</v>
      </c>
    </row>
    <row r="41" spans="1:23" ht="14.25" hidden="1" customHeight="1" x14ac:dyDescent="0.35">
      <c r="A41" s="1" t="s">
        <v>39</v>
      </c>
      <c r="M41" s="18" t="e">
        <f t="shared" ref="M41:R41" si="22">M44*M25/100</f>
        <v>#VALUE!</v>
      </c>
      <c r="N41" s="18" t="e">
        <f t="shared" si="22"/>
        <v>#VALUE!</v>
      </c>
      <c r="O41" s="18" t="e">
        <f t="shared" si="22"/>
        <v>#VALUE!</v>
      </c>
      <c r="P41" s="18">
        <f t="shared" si="22"/>
        <v>2.8541619533360914</v>
      </c>
      <c r="Q41" s="18">
        <f t="shared" si="22"/>
        <v>0</v>
      </c>
      <c r="R41" s="18">
        <f t="shared" si="22"/>
        <v>3.8281116769417571</v>
      </c>
      <c r="S41" s="18"/>
      <c r="T41" s="18"/>
      <c r="U41" s="19"/>
      <c r="V41" s="19"/>
      <c r="W41" s="19"/>
    </row>
    <row r="42" spans="1:23" ht="14.25" customHeight="1" x14ac:dyDescent="0.35">
      <c r="A42" s="17" t="s">
        <v>40</v>
      </c>
      <c r="M42" s="18">
        <f>M37-M40</f>
        <v>7.7369084507042203</v>
      </c>
      <c r="N42" s="18">
        <f>N45*N18/100</f>
        <v>10.977437999999999</v>
      </c>
      <c r="O42" s="18">
        <f>O45*O18/100</f>
        <v>19.098858</v>
      </c>
      <c r="P42" s="18">
        <f>P51*10^6/(14.2*10^7)</f>
        <v>22.795704225352111</v>
      </c>
      <c r="Q42" s="18" t="s">
        <v>306</v>
      </c>
      <c r="R42" s="18">
        <f>R51*10^6/(14.2*10^7)</f>
        <v>31.262394366197181</v>
      </c>
      <c r="S42" s="18">
        <f>S51*10^6/(14.2*10^7)</f>
        <v>34.485000000000014</v>
      </c>
      <c r="T42" s="18">
        <f>T51*10^6/(14.2*10^7)</f>
        <v>39.37507042253521</v>
      </c>
      <c r="U42" s="19"/>
      <c r="V42" s="19"/>
      <c r="W42" s="19">
        <f>S42*(100)*1.1*6/12</f>
        <v>1896.6750000000009</v>
      </c>
    </row>
    <row r="43" spans="1:23" ht="14.25" customHeight="1" x14ac:dyDescent="0.35">
      <c r="A43" s="85" t="s">
        <v>290</v>
      </c>
      <c r="K43" s="30">
        <f>K37*100/K12</f>
        <v>7.60164729967964</v>
      </c>
      <c r="L43" s="30">
        <f>L37*100/L12</f>
        <v>7.2758890686270368</v>
      </c>
      <c r="M43" s="71">
        <v>7</v>
      </c>
      <c r="N43" s="18">
        <f t="shared" ref="N43:T43" si="23">N40*100/N15</f>
        <v>6.8083068357703436</v>
      </c>
      <c r="O43" s="18">
        <f t="shared" si="23"/>
        <v>6.503833207401688</v>
      </c>
      <c r="P43" s="18">
        <f t="shared" si="23"/>
        <v>6.5531490507715544</v>
      </c>
      <c r="Q43" s="18">
        <f t="shared" si="23"/>
        <v>6.7377779758128273</v>
      </c>
      <c r="R43" s="18">
        <f t="shared" si="23"/>
        <v>6.5986045198398582</v>
      </c>
      <c r="S43" s="18">
        <f t="shared" si="23"/>
        <v>6.323139933383052</v>
      </c>
      <c r="T43" s="18">
        <f t="shared" si="23"/>
        <v>6.2662291233773679</v>
      </c>
      <c r="U43" s="19"/>
      <c r="V43" s="19"/>
      <c r="W43" s="19"/>
    </row>
    <row r="44" spans="1:23" ht="14.25" customHeight="1" x14ac:dyDescent="0.35">
      <c r="A44" s="99" t="s">
        <v>305</v>
      </c>
      <c r="M44" s="101" t="s">
        <v>29</v>
      </c>
      <c r="N44" s="101" t="s">
        <v>29</v>
      </c>
      <c r="O44" s="101" t="s">
        <v>29</v>
      </c>
      <c r="P44" s="20">
        <f>P42*100/P18</f>
        <v>3.4806853089464531</v>
      </c>
      <c r="Q44" s="20">
        <f>35.11*100/Q18</f>
        <v>4.4453729377951658</v>
      </c>
      <c r="R44" s="20">
        <f>R42*100/R18</f>
        <v>3.8824662037948858</v>
      </c>
      <c r="S44" s="20">
        <f>S42*100/S18</f>
        <v>4.0162979607528646</v>
      </c>
      <c r="T44" s="20">
        <f>T42*100/T18</f>
        <v>4.2562311768204397</v>
      </c>
      <c r="U44" s="19"/>
      <c r="V44" s="19"/>
      <c r="W44" s="19"/>
    </row>
    <row r="45" spans="1:23" ht="14.25" customHeight="1" x14ac:dyDescent="0.35">
      <c r="A45" s="17" t="s">
        <v>304</v>
      </c>
      <c r="M45" s="112">
        <f>M42*100/M18</f>
        <v>3.8684542253521101</v>
      </c>
      <c r="N45" s="20">
        <v>3.66</v>
      </c>
      <c r="O45" s="20">
        <v>3.21</v>
      </c>
      <c r="P45" s="20">
        <v>3.01</v>
      </c>
      <c r="Q45" s="20" t="s">
        <v>271</v>
      </c>
      <c r="R45" s="20">
        <v>3.68</v>
      </c>
      <c r="S45" s="20">
        <f>S42*100/S18</f>
        <v>4.0162979607528646</v>
      </c>
      <c r="T45" s="20">
        <f>T42*100/T18</f>
        <v>4.2562311768204397</v>
      </c>
      <c r="U45" s="86"/>
      <c r="V45" s="86"/>
    </row>
    <row r="46" spans="1:23" ht="14.25" hidden="1" customHeight="1" x14ac:dyDescent="0.35">
      <c r="A46" s="17" t="s">
        <v>291</v>
      </c>
      <c r="M46" s="20"/>
      <c r="N46" s="87">
        <f>N42*100/N17</f>
        <v>3.0835499999999998</v>
      </c>
      <c r="O46" s="87">
        <f>O42*100/O17</f>
        <v>2.6600080779944291</v>
      </c>
      <c r="P46" s="87">
        <f>P42*100/P17</f>
        <v>2.8494630281690139</v>
      </c>
      <c r="Q46" s="87">
        <f>35.11*100/(Q17)</f>
        <v>4.3887499999999999</v>
      </c>
      <c r="R46" s="87">
        <f>R42*100/R17</f>
        <v>3.4790111691739574</v>
      </c>
      <c r="S46" s="87">
        <f>S42*100/S17</f>
        <v>3.5989355040701327</v>
      </c>
      <c r="T46" s="87">
        <f>T42*100/T17</f>
        <v>3.8139355310475791</v>
      </c>
      <c r="U46" s="86"/>
      <c r="V46" s="86"/>
    </row>
    <row r="47" spans="1:23" ht="14.25" customHeight="1" x14ac:dyDescent="0.35">
      <c r="A47" s="98" t="s">
        <v>299</v>
      </c>
      <c r="Q47">
        <v>14.11</v>
      </c>
    </row>
    <row r="48" spans="1:23" ht="14.25" customHeight="1" x14ac:dyDescent="0.35">
      <c r="A48" s="95" t="s">
        <v>296</v>
      </c>
      <c r="M48" s="102">
        <f>M42/M37</f>
        <v>5.8217369695805161E-2</v>
      </c>
      <c r="N48" s="102">
        <f t="shared" ref="N48:T48" si="24">N42/N37</f>
        <v>7.6621912898151789E-2</v>
      </c>
      <c r="O48" s="102">
        <f t="shared" si="24"/>
        <v>0.12481764709131075</v>
      </c>
      <c r="P48" s="103">
        <f t="shared" si="24"/>
        <v>0.140269099103003</v>
      </c>
      <c r="Q48" s="103">
        <f>21/Q37</f>
        <v>0.11867239732569244</v>
      </c>
      <c r="R48" s="103">
        <f t="shared" si="24"/>
        <v>0.17408180071369747</v>
      </c>
      <c r="S48" s="103">
        <f t="shared" si="24"/>
        <v>0.19293447854694465</v>
      </c>
      <c r="T48" s="103">
        <f t="shared" si="24"/>
        <v>0.21334986835578279</v>
      </c>
    </row>
    <row r="49" spans="1:22" ht="14.25" customHeight="1" x14ac:dyDescent="0.35">
      <c r="A49" s="95" t="s">
        <v>297</v>
      </c>
      <c r="M49" s="96"/>
      <c r="N49" s="96"/>
      <c r="O49" s="96"/>
      <c r="P49" s="77">
        <f>P51/P2</f>
        <v>0.14026909910300295</v>
      </c>
      <c r="Q49" s="77">
        <f>Q51/Q2</f>
        <v>0.19843560967844642</v>
      </c>
      <c r="R49" s="77">
        <f>R51/R2</f>
        <v>0.1740818007136975</v>
      </c>
      <c r="S49" s="77">
        <f>S51/S2</f>
        <v>0.19293447854694462</v>
      </c>
      <c r="T49" s="77">
        <f>T51/T2</f>
        <v>0.21334986835578282</v>
      </c>
    </row>
    <row r="50" spans="1:22" ht="14.25" customHeight="1" x14ac:dyDescent="0.35">
      <c r="A50" s="90" t="s">
        <v>294</v>
      </c>
      <c r="S50">
        <f>S34*14.2*10^7/10^6</f>
        <v>1214.0999999999999</v>
      </c>
    </row>
    <row r="51" spans="1:22" s="111" customFormat="1" ht="14.25" customHeight="1" x14ac:dyDescent="0.35">
      <c r="A51" s="111" t="s">
        <v>295</v>
      </c>
      <c r="P51" s="111">
        <v>3236.9899999999993</v>
      </c>
      <c r="Q51" s="111">
        <v>4986.2900000000018</v>
      </c>
      <c r="R51" s="111">
        <v>4439.26</v>
      </c>
      <c r="S51" s="111">
        <v>4896.8700000000017</v>
      </c>
      <c r="T51" s="111">
        <v>5591.26</v>
      </c>
    </row>
    <row r="52" spans="1:22" ht="14.25" customHeight="1" x14ac:dyDescent="0.35">
      <c r="A52" s="32" t="s">
        <v>276</v>
      </c>
      <c r="Q52">
        <f>8162/(634-62)</f>
        <v>14.26923076923077</v>
      </c>
    </row>
    <row r="53" spans="1:22" ht="14.25" customHeight="1" x14ac:dyDescent="0.35">
      <c r="A53" s="32"/>
      <c r="R53">
        <f>R45*R18</f>
        <v>2963.2096000000001</v>
      </c>
    </row>
    <row r="54" spans="1:22" ht="14.25" customHeight="1" x14ac:dyDescent="0.35">
      <c r="M54" s="1"/>
      <c r="N54" s="1"/>
      <c r="O54" s="1"/>
      <c r="P54" s="1"/>
      <c r="Q54" s="1"/>
      <c r="R54" s="1"/>
      <c r="U54" s="1"/>
      <c r="V54" s="1"/>
    </row>
    <row r="55" spans="1:22" ht="14.25" customHeight="1" x14ac:dyDescent="0.35"/>
    <row r="56" spans="1:22" ht="14.25" customHeight="1" x14ac:dyDescent="0.35"/>
    <row r="57" spans="1:22" ht="14.25" customHeight="1" x14ac:dyDescent="0.35">
      <c r="Q57" s="70"/>
    </row>
    <row r="58" spans="1:22" ht="14.25" customHeight="1" x14ac:dyDescent="0.35"/>
    <row r="59" spans="1:22" ht="14.25" customHeight="1" x14ac:dyDescent="0.35"/>
    <row r="60" spans="1:22" ht="14.25" customHeight="1" x14ac:dyDescent="0.35"/>
    <row r="61" spans="1:22" ht="14.25" customHeight="1" x14ac:dyDescent="0.35"/>
    <row r="62" spans="1:22" ht="14.25" customHeight="1" x14ac:dyDescent="0.35"/>
    <row r="63" spans="1:22" ht="14.25" customHeight="1" x14ac:dyDescent="0.35"/>
    <row r="64" spans="1:22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</sheetData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C22" sqref="C22"/>
    </sheetView>
  </sheetViews>
  <sheetFormatPr defaultRowHeight="14.5" x14ac:dyDescent="0.35"/>
  <cols>
    <col min="7" max="7" width="10.81640625" bestFit="1" customWidth="1"/>
    <col min="8" max="8" width="11.81640625" bestFit="1" customWidth="1"/>
  </cols>
  <sheetData>
    <row r="1" spans="1:15" x14ac:dyDescent="0.35">
      <c r="C1" s="120" t="s">
        <v>333</v>
      </c>
      <c r="H1" s="120" t="s">
        <v>334</v>
      </c>
      <c r="M1" s="120" t="s">
        <v>335</v>
      </c>
    </row>
    <row r="2" spans="1:15" x14ac:dyDescent="0.35">
      <c r="A2" s="120"/>
      <c r="B2" s="120" t="s">
        <v>322</v>
      </c>
      <c r="C2" s="120" t="s">
        <v>325</v>
      </c>
      <c r="D2" s="120" t="s">
        <v>326</v>
      </c>
      <c r="E2" s="120" t="s">
        <v>327</v>
      </c>
      <c r="G2" s="120" t="s">
        <v>322</v>
      </c>
      <c r="H2" s="120" t="s">
        <v>325</v>
      </c>
      <c r="I2" s="120" t="s">
        <v>326</v>
      </c>
      <c r="J2" s="120" t="s">
        <v>327</v>
      </c>
      <c r="L2" s="120" t="s">
        <v>322</v>
      </c>
      <c r="M2" s="120" t="s">
        <v>325</v>
      </c>
      <c r="N2" s="120" t="s">
        <v>326</v>
      </c>
      <c r="O2" s="120" t="s">
        <v>327</v>
      </c>
    </row>
    <row r="3" spans="1:15" x14ac:dyDescent="0.35">
      <c r="A3" s="120" t="s">
        <v>330</v>
      </c>
      <c r="B3" s="121">
        <v>12864911</v>
      </c>
      <c r="C3" s="121">
        <v>2621058</v>
      </c>
      <c r="D3" s="121">
        <v>922209</v>
      </c>
      <c r="E3" s="121">
        <v>16507543</v>
      </c>
      <c r="G3">
        <f>B3*365/(2*10^6)</f>
        <v>2347.8462574999999</v>
      </c>
      <c r="H3">
        <f t="shared" ref="H3:J3" si="0">C3*365/(2*10^6)</f>
        <v>478.34308499999997</v>
      </c>
      <c r="I3">
        <f t="shared" si="0"/>
        <v>168.30314250000001</v>
      </c>
      <c r="J3">
        <f t="shared" si="0"/>
        <v>3012.6265975000001</v>
      </c>
      <c r="L3" s="96">
        <f>G3/SUM($G$3:$J$3)</f>
        <v>0.39084396784138498</v>
      </c>
      <c r="M3" s="96">
        <f t="shared" ref="M3:O3" si="1">H3/SUM($G$3:$J$3)</f>
        <v>7.9629366162144832E-2</v>
      </c>
      <c r="N3" s="96">
        <f t="shared" si="1"/>
        <v>2.8017280861020791E-2</v>
      </c>
      <c r="O3" s="96">
        <f t="shared" si="1"/>
        <v>0.50150938513544951</v>
      </c>
    </row>
    <row r="4" spans="1:15" x14ac:dyDescent="0.35">
      <c r="A4" s="120" t="s">
        <v>323</v>
      </c>
      <c r="B4" s="121">
        <v>13238071</v>
      </c>
      <c r="C4" s="121">
        <v>2456140</v>
      </c>
      <c r="D4" s="121">
        <v>489067</v>
      </c>
      <c r="E4" s="121">
        <v>14206677</v>
      </c>
      <c r="G4">
        <f t="shared" ref="G4:G10" si="2">B4*365/(2*10^6)</f>
        <v>2415.9479575</v>
      </c>
      <c r="H4">
        <f t="shared" ref="H4:H10" si="3">C4*365/(2*10^6)</f>
        <v>448.24554999999998</v>
      </c>
      <c r="I4">
        <f t="shared" ref="I4:I10" si="4">D4*365/(2*10^6)</f>
        <v>89.254727500000001</v>
      </c>
      <c r="J4">
        <f t="shared" ref="J4:J10" si="5">E4*365/(2*10^6)</f>
        <v>2592.7185525</v>
      </c>
      <c r="L4" s="96">
        <f t="shared" ref="L4:L10" si="6">G4/SUM($G$3:$J$3)</f>
        <v>0.40218079986763777</v>
      </c>
      <c r="M4" s="96">
        <f t="shared" ref="M4:M10" si="7">H4/SUM($G$3:$J$3)</f>
        <v>7.4619055131740858E-2</v>
      </c>
      <c r="N4" s="96">
        <f t="shared" ref="N4:N10" si="8">I4/SUM($G$3:$J$3)</f>
        <v>1.485815850729808E-2</v>
      </c>
      <c r="O4" s="96">
        <f t="shared" ref="O4:O10" si="9">J4/SUM($G$3:$J$3)</f>
        <v>0.43160765033826848</v>
      </c>
    </row>
    <row r="5" spans="1:15" x14ac:dyDescent="0.35">
      <c r="A5" s="120" t="s">
        <v>324</v>
      </c>
      <c r="B5" s="121">
        <v>17253563</v>
      </c>
      <c r="C5" s="121">
        <v>2801726</v>
      </c>
      <c r="D5" s="121">
        <v>678335</v>
      </c>
      <c r="E5" s="121">
        <v>13870178</v>
      </c>
      <c r="G5">
        <f t="shared" si="2"/>
        <v>3148.7752475000002</v>
      </c>
      <c r="H5">
        <f t="shared" si="3"/>
        <v>511.31499500000001</v>
      </c>
      <c r="I5">
        <f t="shared" si="4"/>
        <v>123.7961375</v>
      </c>
      <c r="J5">
        <f t="shared" si="5"/>
        <v>2531.3074849999998</v>
      </c>
      <c r="L5" s="96">
        <f t="shared" si="6"/>
        <v>0.52417393500206189</v>
      </c>
      <c r="M5" s="96">
        <f t="shared" si="7"/>
        <v>8.5118171951937507E-2</v>
      </c>
      <c r="N5" s="96">
        <f t="shared" si="8"/>
        <v>2.0608237626026787E-2</v>
      </c>
      <c r="O5" s="96">
        <f t="shared" si="9"/>
        <v>0.42138460220877433</v>
      </c>
    </row>
    <row r="6" spans="1:15" x14ac:dyDescent="0.35">
      <c r="A6" s="120" t="s">
        <v>331</v>
      </c>
      <c r="B6" s="121">
        <v>18938879</v>
      </c>
      <c r="C6" s="121">
        <v>2570973</v>
      </c>
      <c r="D6" s="121">
        <v>671072</v>
      </c>
      <c r="E6" s="121">
        <v>12112714</v>
      </c>
      <c r="G6">
        <f t="shared" si="2"/>
        <v>3456.3454175000002</v>
      </c>
      <c r="H6">
        <f t="shared" si="3"/>
        <v>469.20257249999997</v>
      </c>
      <c r="I6">
        <f t="shared" si="4"/>
        <v>122.47064</v>
      </c>
      <c r="J6">
        <f t="shared" si="5"/>
        <v>2210.5703050000002</v>
      </c>
      <c r="L6" s="96">
        <f t="shared" si="6"/>
        <v>0.57537487937754739</v>
      </c>
      <c r="M6" s="96">
        <f t="shared" si="7"/>
        <v>7.8107752827288823E-2</v>
      </c>
      <c r="N6" s="96">
        <f t="shared" si="8"/>
        <v>2.0387583185554406E-2</v>
      </c>
      <c r="O6" s="96">
        <f t="shared" si="9"/>
        <v>0.3679917568872334</v>
      </c>
    </row>
    <row r="7" spans="1:15" x14ac:dyDescent="0.35">
      <c r="A7" s="120" t="s">
        <v>329</v>
      </c>
      <c r="B7" s="121">
        <v>19423450</v>
      </c>
      <c r="C7" s="121">
        <v>2908893</v>
      </c>
      <c r="D7" s="121">
        <v>690704</v>
      </c>
      <c r="E7" s="121">
        <v>10272961</v>
      </c>
      <c r="G7">
        <f t="shared" si="2"/>
        <v>3544.7796250000001</v>
      </c>
      <c r="H7">
        <f t="shared" si="3"/>
        <v>530.87297249999995</v>
      </c>
      <c r="I7">
        <f t="shared" si="4"/>
        <v>126.05347999999999</v>
      </c>
      <c r="J7">
        <f t="shared" si="5"/>
        <v>1874.8153824999999</v>
      </c>
      <c r="L7" s="96">
        <f t="shared" si="6"/>
        <v>0.59009644661892724</v>
      </c>
      <c r="M7" s="96">
        <f t="shared" si="7"/>
        <v>8.837397181729667E-2</v>
      </c>
      <c r="N7" s="96">
        <f t="shared" si="8"/>
        <v>2.0984015510400033E-2</v>
      </c>
      <c r="O7" s="96">
        <f t="shared" si="9"/>
        <v>0.31209892075582973</v>
      </c>
    </row>
    <row r="8" spans="1:15" x14ac:dyDescent="0.35">
      <c r="A8" s="120" t="s">
        <v>332</v>
      </c>
      <c r="B8" s="121">
        <v>20653851</v>
      </c>
      <c r="C8" s="121">
        <v>2652456</v>
      </c>
      <c r="D8" s="121">
        <v>665809</v>
      </c>
      <c r="E8" s="121">
        <v>11370755</v>
      </c>
      <c r="G8">
        <f t="shared" si="2"/>
        <v>3769.3278074999998</v>
      </c>
      <c r="H8">
        <f t="shared" si="3"/>
        <v>484.07321999999999</v>
      </c>
      <c r="I8">
        <f t="shared" si="4"/>
        <v>121.5101425</v>
      </c>
      <c r="J8">
        <f t="shared" si="5"/>
        <v>2075.1627874999999</v>
      </c>
      <c r="L8" s="96">
        <f t="shared" si="6"/>
        <v>0.62747679140918711</v>
      </c>
      <c r="M8" s="96">
        <f t="shared" si="7"/>
        <v>8.0583256857718541E-2</v>
      </c>
      <c r="N8" s="96">
        <f t="shared" si="8"/>
        <v>2.0227689984369478E-2</v>
      </c>
      <c r="O8" s="96">
        <f t="shared" si="9"/>
        <v>0.34545058271699414</v>
      </c>
    </row>
    <row r="9" spans="1:15" x14ac:dyDescent="0.35">
      <c r="A9" s="120" t="s">
        <v>328</v>
      </c>
      <c r="B9" s="121">
        <v>22435095</v>
      </c>
      <c r="C9" s="121">
        <v>3183788</v>
      </c>
      <c r="D9" s="121">
        <v>823008</v>
      </c>
      <c r="E9" s="121">
        <v>12117972</v>
      </c>
      <c r="G9">
        <f t="shared" si="2"/>
        <v>4094.4048375000002</v>
      </c>
      <c r="H9">
        <f t="shared" si="3"/>
        <v>581.04130999999995</v>
      </c>
      <c r="I9">
        <f t="shared" si="4"/>
        <v>150.19896</v>
      </c>
      <c r="J9">
        <f t="shared" si="5"/>
        <v>2211.5298899999998</v>
      </c>
      <c r="L9" s="96">
        <f t="shared" si="6"/>
        <v>0.68159208786585601</v>
      </c>
      <c r="M9" s="96">
        <f t="shared" si="7"/>
        <v>9.6725452254258687E-2</v>
      </c>
      <c r="N9" s="96">
        <f t="shared" si="8"/>
        <v>2.5003493011743538E-2</v>
      </c>
      <c r="O9" s="96">
        <f t="shared" si="9"/>
        <v>0.36815149818532</v>
      </c>
    </row>
    <row r="10" spans="1:15" x14ac:dyDescent="0.35">
      <c r="A10" s="120" t="s">
        <v>321</v>
      </c>
      <c r="B10" s="121">
        <v>24544228</v>
      </c>
      <c r="C10" s="121">
        <v>3134150</v>
      </c>
      <c r="D10" s="121">
        <v>806680</v>
      </c>
      <c r="E10" s="121">
        <v>13143483</v>
      </c>
      <c r="G10">
        <f t="shared" si="2"/>
        <v>4479.32161</v>
      </c>
      <c r="H10">
        <f t="shared" si="3"/>
        <v>571.98237500000005</v>
      </c>
      <c r="I10">
        <f t="shared" si="4"/>
        <v>147.2191</v>
      </c>
      <c r="J10">
        <f t="shared" si="5"/>
        <v>2398.6856475</v>
      </c>
      <c r="L10" s="96">
        <f t="shared" si="6"/>
        <v>0.74566885531688654</v>
      </c>
      <c r="M10" s="96">
        <f t="shared" si="7"/>
        <v>9.5217419056383437E-2</v>
      </c>
      <c r="N10" s="96">
        <f t="shared" si="8"/>
        <v>2.4507438254200785E-2</v>
      </c>
      <c r="O10" s="96">
        <f t="shared" si="9"/>
        <v>0.399307157816777</v>
      </c>
    </row>
    <row r="12" spans="1:15" x14ac:dyDescent="0.35">
      <c r="G12" s="120" t="s">
        <v>337</v>
      </c>
      <c r="H12" s="120" t="s">
        <v>338</v>
      </c>
      <c r="I12" s="120" t="s">
        <v>335</v>
      </c>
      <c r="K12" s="120" t="s">
        <v>339</v>
      </c>
      <c r="L12" s="120" t="s">
        <v>340</v>
      </c>
      <c r="M12" s="120" t="s">
        <v>335</v>
      </c>
    </row>
    <row r="13" spans="1:15" x14ac:dyDescent="0.35">
      <c r="F13" s="120" t="s">
        <v>336</v>
      </c>
      <c r="G13">
        <f>H3*10000</f>
        <v>4783430.8499999996</v>
      </c>
      <c r="K13">
        <f>6814177/10^5</f>
        <v>68.141769999999994</v>
      </c>
      <c r="L13" s="1">
        <v>2895</v>
      </c>
      <c r="M13" s="78">
        <f>K13/L13</f>
        <v>2.3537744386873918E-2</v>
      </c>
    </row>
    <row r="14" spans="1:15" x14ac:dyDescent="0.35">
      <c r="F14" s="120" t="s">
        <v>318</v>
      </c>
      <c r="G14">
        <f>SUM(H4:H5)*10000</f>
        <v>9595605.4500000011</v>
      </c>
      <c r="H14">
        <f>'Overall Analysis'!R2*10^6*48*10^6/(4184*10^6)</f>
        <v>292554493.30783939</v>
      </c>
      <c r="I14" s="78">
        <f>G14/H14</f>
        <v>3.2799378131249758E-2</v>
      </c>
      <c r="K14">
        <f>9302667/10^5</f>
        <v>93.026669999999996</v>
      </c>
      <c r="L14" s="1">
        <v>3053</v>
      </c>
      <c r="M14" s="78">
        <f t="shared" ref="M14:M17" si="10">K14/L14</f>
        <v>3.0470576482148706E-2</v>
      </c>
    </row>
    <row r="15" spans="1:15" x14ac:dyDescent="0.35">
      <c r="F15" s="120" t="s">
        <v>319</v>
      </c>
      <c r="G15">
        <f>SUM(H6:H7)*10000</f>
        <v>10000755.449999999</v>
      </c>
      <c r="H15">
        <f>'Overall Analysis'!S2*10^6*48*10^6/(4184*10^6)</f>
        <v>291177820.26768643</v>
      </c>
      <c r="I15" s="78">
        <f>G15/H15</f>
        <v>3.4345869616051378E-2</v>
      </c>
      <c r="K15" s="120">
        <f>11029228/10^5</f>
        <v>110.29228000000001</v>
      </c>
      <c r="L15" s="29">
        <v>3140</v>
      </c>
      <c r="M15" s="78">
        <f t="shared" si="10"/>
        <v>3.5124929936305734E-2</v>
      </c>
    </row>
    <row r="16" spans="1:15" x14ac:dyDescent="0.35">
      <c r="F16" s="120" t="s">
        <v>320</v>
      </c>
      <c r="G16">
        <f>SUM(H8:H9)*10000</f>
        <v>10651145.299999999</v>
      </c>
      <c r="H16">
        <f>'Overall Analysis'!T2*10^6*48*10^6/(4184*10^6)</f>
        <v>300653919.69407266</v>
      </c>
      <c r="I16" s="78">
        <f>G16/H16</f>
        <v>3.5426597168059418E-2</v>
      </c>
      <c r="K16">
        <f>12922516/10^5</f>
        <v>129.22515999999999</v>
      </c>
      <c r="L16" s="92">
        <v>3242</v>
      </c>
      <c r="M16" s="78">
        <f t="shared" si="10"/>
        <v>3.9859703886489815E-2</v>
      </c>
    </row>
    <row r="17" spans="6:13" x14ac:dyDescent="0.35">
      <c r="F17" s="120" t="s">
        <v>321</v>
      </c>
      <c r="G17">
        <f>H10*10000</f>
        <v>5719823.7500000009</v>
      </c>
      <c r="H17">
        <f>13274*10^6*48*10^6/(4184*10^6)</f>
        <v>152282982.791587</v>
      </c>
      <c r="I17" s="78">
        <f>G17/H17</f>
        <v>3.7560491954823971E-2</v>
      </c>
      <c r="K17">
        <f>13643381/10^5</f>
        <v>136.43380999999999</v>
      </c>
      <c r="L17" s="120">
        <v>3280</v>
      </c>
      <c r="M17" s="78">
        <f t="shared" si="10"/>
        <v>4.1595673780487806E-2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D10" sqref="D9:D10"/>
    </sheetView>
  </sheetViews>
  <sheetFormatPr defaultRowHeight="14.5" x14ac:dyDescent="0.35"/>
  <cols>
    <col min="6" max="6" width="11.54296875" bestFit="1" customWidth="1"/>
    <col min="7" max="7" width="14.54296875" bestFit="1" customWidth="1"/>
    <col min="9" max="9" width="15.26953125" bestFit="1" customWidth="1"/>
    <col min="10" max="10" width="15.08984375" bestFit="1" customWidth="1"/>
  </cols>
  <sheetData>
    <row r="1" spans="1:10" x14ac:dyDescent="0.35">
      <c r="C1" s="76" t="s">
        <v>277</v>
      </c>
      <c r="D1" s="76" t="s">
        <v>278</v>
      </c>
      <c r="E1" s="76" t="s">
        <v>279</v>
      </c>
      <c r="F1" s="76" t="s">
        <v>280</v>
      </c>
      <c r="G1" s="76" t="s">
        <v>281</v>
      </c>
      <c r="H1" s="76" t="s">
        <v>282</v>
      </c>
      <c r="I1" s="113" t="s">
        <v>313</v>
      </c>
      <c r="J1" s="113" t="s">
        <v>314</v>
      </c>
    </row>
    <row r="2" spans="1:10" x14ac:dyDescent="0.35">
      <c r="A2" s="96"/>
      <c r="B2" s="76" t="s">
        <v>11</v>
      </c>
      <c r="C2">
        <v>10.6</v>
      </c>
      <c r="D2">
        <v>19.600000000000001</v>
      </c>
      <c r="E2">
        <f>D2-C2</f>
        <v>9.0000000000000018</v>
      </c>
      <c r="F2" s="77">
        <f>E2/D2</f>
        <v>0.45918367346938782</v>
      </c>
      <c r="G2">
        <v>231.3</v>
      </c>
      <c r="H2" s="78">
        <f>C2/G2</f>
        <v>4.5827929096411583E-2</v>
      </c>
    </row>
    <row r="3" spans="1:10" x14ac:dyDescent="0.35">
      <c r="A3" s="96"/>
      <c r="B3" s="76" t="s">
        <v>153</v>
      </c>
      <c r="C3">
        <v>11.3</v>
      </c>
      <c r="D3">
        <v>21.6</v>
      </c>
      <c r="E3">
        <f t="shared" ref="E3:E11" si="0">D3-C3</f>
        <v>10.3</v>
      </c>
      <c r="F3" s="77">
        <f t="shared" ref="F3:F11" si="1">E3/D3</f>
        <v>0.47685185185185186</v>
      </c>
      <c r="G3">
        <v>243.5</v>
      </c>
      <c r="H3" s="78">
        <f t="shared" ref="H3:H11" si="2">C3/G3</f>
        <v>4.6406570841889122E-2</v>
      </c>
      <c r="I3" s="96">
        <f>(D3-D2)/D2</f>
        <v>0.1020408163265306</v>
      </c>
      <c r="J3" s="77">
        <f>(C3-C2)/C2</f>
        <v>6.60377358490567E-2</v>
      </c>
    </row>
    <row r="4" spans="1:10" x14ac:dyDescent="0.35">
      <c r="A4" s="96"/>
      <c r="B4" s="76" t="s">
        <v>13</v>
      </c>
      <c r="C4">
        <v>12.4</v>
      </c>
      <c r="D4">
        <v>23.3</v>
      </c>
      <c r="E4">
        <f t="shared" si="0"/>
        <v>10.9</v>
      </c>
      <c r="F4" s="77">
        <f t="shared" si="1"/>
        <v>0.46781115879828328</v>
      </c>
      <c r="G4">
        <v>254.3</v>
      </c>
      <c r="H4" s="78">
        <f t="shared" si="2"/>
        <v>4.8761305544632323E-2</v>
      </c>
      <c r="I4" s="96">
        <f t="shared" ref="I4:I10" si="3">(D4-D3)/D3</f>
        <v>7.8703703703703665E-2</v>
      </c>
      <c r="J4" s="77">
        <f t="shared" ref="J4:J10" si="4">(C4-C3)/C3</f>
        <v>9.7345132743362789E-2</v>
      </c>
    </row>
    <row r="5" spans="1:10" x14ac:dyDescent="0.35">
      <c r="A5" s="96"/>
      <c r="B5" s="76" t="s">
        <v>14</v>
      </c>
      <c r="C5">
        <v>12.8</v>
      </c>
      <c r="D5">
        <v>24.9</v>
      </c>
      <c r="E5">
        <f t="shared" si="0"/>
        <v>12.099999999999998</v>
      </c>
      <c r="F5" s="77">
        <f t="shared" si="1"/>
        <v>0.48594377510040154</v>
      </c>
      <c r="G5">
        <v>262.39999999999998</v>
      </c>
      <c r="H5" s="78">
        <f t="shared" si="2"/>
        <v>4.8780487804878057E-2</v>
      </c>
      <c r="I5" s="96">
        <f t="shared" si="3"/>
        <v>6.8669527896995611E-2</v>
      </c>
      <c r="J5" s="77">
        <f t="shared" si="4"/>
        <v>3.2258064516129059E-2</v>
      </c>
    </row>
    <row r="6" spans="1:10" x14ac:dyDescent="0.35">
      <c r="A6" s="96"/>
      <c r="B6" s="76" t="s">
        <v>15</v>
      </c>
      <c r="C6">
        <v>12.8</v>
      </c>
      <c r="D6">
        <v>26.3</v>
      </c>
      <c r="E6">
        <f t="shared" si="0"/>
        <v>13.5</v>
      </c>
      <c r="F6" s="77">
        <f t="shared" si="1"/>
        <v>0.51330798479087447</v>
      </c>
      <c r="G6">
        <v>262.89999999999998</v>
      </c>
      <c r="H6" s="78">
        <f t="shared" si="2"/>
        <v>4.8687713959680495E-2</v>
      </c>
      <c r="I6" s="96">
        <f t="shared" si="3"/>
        <v>5.6224899598393663E-2</v>
      </c>
      <c r="J6" s="77">
        <f t="shared" si="4"/>
        <v>0</v>
      </c>
    </row>
    <row r="7" spans="1:10" x14ac:dyDescent="0.35">
      <c r="A7" s="96"/>
      <c r="B7" s="76" t="s">
        <v>16</v>
      </c>
      <c r="C7">
        <v>12.1</v>
      </c>
      <c r="D7">
        <v>27.6</v>
      </c>
      <c r="E7">
        <f t="shared" si="0"/>
        <v>15.500000000000002</v>
      </c>
      <c r="F7" s="77">
        <f t="shared" si="1"/>
        <v>0.56159420289855078</v>
      </c>
      <c r="G7">
        <v>233.5</v>
      </c>
      <c r="H7" s="78">
        <f t="shared" si="2"/>
        <v>5.1820128479657383E-2</v>
      </c>
      <c r="I7" s="96">
        <f t="shared" si="3"/>
        <v>4.9429657794676833E-2</v>
      </c>
      <c r="J7" s="77">
        <f t="shared" si="4"/>
        <v>-5.4687500000000083E-2</v>
      </c>
    </row>
    <row r="8" spans="1:10" x14ac:dyDescent="0.35">
      <c r="A8" s="96"/>
      <c r="B8" s="76" t="s">
        <v>17</v>
      </c>
      <c r="C8">
        <v>12.2</v>
      </c>
      <c r="D8">
        <v>28.3</v>
      </c>
      <c r="E8">
        <f t="shared" si="0"/>
        <v>16.100000000000001</v>
      </c>
      <c r="F8" s="77">
        <f t="shared" si="1"/>
        <v>0.56890459363957602</v>
      </c>
      <c r="G8">
        <v>254.3</v>
      </c>
      <c r="H8" s="78">
        <f t="shared" si="2"/>
        <v>4.7974832874557602E-2</v>
      </c>
      <c r="I8" s="96">
        <f t="shared" si="3"/>
        <v>2.5362318840579684E-2</v>
      </c>
      <c r="J8" s="77">
        <f t="shared" si="4"/>
        <v>8.2644628099173261E-3</v>
      </c>
    </row>
    <row r="9" spans="1:10" x14ac:dyDescent="0.35">
      <c r="A9" s="96"/>
      <c r="B9" s="76" t="s">
        <v>154</v>
      </c>
      <c r="C9">
        <v>12.8</v>
      </c>
      <c r="D9">
        <v>28.5</v>
      </c>
      <c r="E9">
        <f t="shared" si="0"/>
        <v>15.7</v>
      </c>
      <c r="F9" s="77">
        <f t="shared" si="1"/>
        <v>0.55087719298245608</v>
      </c>
      <c r="G9">
        <v>266.5</v>
      </c>
      <c r="H9" s="78">
        <f t="shared" si="2"/>
        <v>4.8030018761726079E-2</v>
      </c>
      <c r="I9" s="96">
        <f t="shared" si="3"/>
        <v>7.0671378091872539E-3</v>
      </c>
      <c r="J9" s="77">
        <f t="shared" si="4"/>
        <v>4.9180327868852576E-2</v>
      </c>
    </row>
    <row r="10" spans="1:10" x14ac:dyDescent="0.35">
      <c r="A10" s="96"/>
      <c r="B10" s="91" t="s">
        <v>293</v>
      </c>
      <c r="C10">
        <v>12.8</v>
      </c>
      <c r="D10">
        <v>29.6</v>
      </c>
      <c r="E10">
        <f t="shared" si="0"/>
        <v>16.8</v>
      </c>
      <c r="F10" s="77">
        <f t="shared" si="1"/>
        <v>0.56756756756756754</v>
      </c>
      <c r="G10">
        <v>276.10000000000002</v>
      </c>
      <c r="H10" s="78">
        <f t="shared" si="2"/>
        <v>4.6360014487504528E-2</v>
      </c>
      <c r="I10" s="96">
        <f t="shared" si="3"/>
        <v>3.8596491228070226E-2</v>
      </c>
      <c r="J10" s="77">
        <f t="shared" si="4"/>
        <v>0</v>
      </c>
    </row>
    <row r="11" spans="1:10" x14ac:dyDescent="0.35">
      <c r="A11" s="96"/>
      <c r="B11" s="113" t="s">
        <v>312</v>
      </c>
      <c r="C11">
        <v>11.7</v>
      </c>
      <c r="D11">
        <v>28.6</v>
      </c>
      <c r="E11">
        <f t="shared" si="0"/>
        <v>16.900000000000002</v>
      </c>
      <c r="F11" s="77">
        <f t="shared" si="1"/>
        <v>0.59090909090909094</v>
      </c>
      <c r="G11">
        <v>259</v>
      </c>
      <c r="H11" s="78">
        <f t="shared" si="2"/>
        <v>4.5173745173745172E-2</v>
      </c>
      <c r="I11" s="96"/>
    </row>
    <row r="12" spans="1:10" x14ac:dyDescent="0.35">
      <c r="B12" s="91"/>
    </row>
    <row r="13" spans="1:10" x14ac:dyDescent="0.35">
      <c r="B13" t="s">
        <v>288</v>
      </c>
      <c r="D13">
        <v>10.456</v>
      </c>
      <c r="E13">
        <v>2.883</v>
      </c>
      <c r="F13" s="77">
        <f>E13/D13</f>
        <v>0.27572685539403213</v>
      </c>
    </row>
    <row r="14" spans="1:10" x14ac:dyDescent="0.35">
      <c r="B14" t="s">
        <v>289</v>
      </c>
      <c r="D14">
        <v>8.3510000000000009</v>
      </c>
      <c r="E14">
        <v>1.0529999999999999</v>
      </c>
      <c r="F14" s="77">
        <f>E14/D14</f>
        <v>0.12609268351095676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I1" workbookViewId="0">
      <selection activeCell="J19" sqref="J19"/>
    </sheetView>
  </sheetViews>
  <sheetFormatPr defaultRowHeight="14.5" x14ac:dyDescent="0.35"/>
  <cols>
    <col min="1" max="1" width="20.54296875" customWidth="1"/>
    <col min="5" max="5" width="13.7265625" bestFit="1" customWidth="1"/>
    <col min="26" max="26" width="20.54296875" customWidth="1"/>
  </cols>
  <sheetData>
    <row r="1" spans="1:27" x14ac:dyDescent="0.35">
      <c r="A1" s="48" t="s">
        <v>287</v>
      </c>
      <c r="B1" s="122" t="s">
        <v>13</v>
      </c>
      <c r="C1" s="122"/>
      <c r="D1" s="122"/>
      <c r="E1" s="49" t="s">
        <v>238</v>
      </c>
      <c r="F1" s="122" t="s">
        <v>14</v>
      </c>
      <c r="G1" s="122"/>
      <c r="H1" s="122"/>
      <c r="I1" s="49" t="s">
        <v>238</v>
      </c>
      <c r="J1" s="122" t="s">
        <v>15</v>
      </c>
      <c r="K1" s="122"/>
      <c r="L1" s="122"/>
      <c r="M1" s="49" t="s">
        <v>238</v>
      </c>
      <c r="N1" s="122" t="s">
        <v>16</v>
      </c>
      <c r="O1" s="122"/>
      <c r="P1" s="122"/>
      <c r="Q1" s="49" t="s">
        <v>238</v>
      </c>
      <c r="R1" s="80" t="s">
        <v>284</v>
      </c>
      <c r="S1" s="80" t="s">
        <v>286</v>
      </c>
      <c r="T1" s="122" t="s">
        <v>17</v>
      </c>
      <c r="U1" s="122"/>
      <c r="V1" s="122"/>
      <c r="W1" s="49" t="s">
        <v>238</v>
      </c>
      <c r="Z1" s="48" t="s">
        <v>287</v>
      </c>
      <c r="AA1" s="80" t="s">
        <v>286</v>
      </c>
    </row>
    <row r="2" spans="1:27" ht="31" x14ac:dyDescent="0.35">
      <c r="A2" s="36" t="s">
        <v>235</v>
      </c>
      <c r="B2" s="51">
        <v>358</v>
      </c>
      <c r="C2" s="51">
        <v>73</v>
      </c>
      <c r="D2" s="52">
        <v>191</v>
      </c>
      <c r="E2" s="52">
        <f t="shared" ref="E2:E37" si="0">SUM(B2:D2)</f>
        <v>622</v>
      </c>
      <c r="F2" s="51">
        <v>949</v>
      </c>
      <c r="G2" s="53">
        <v>948</v>
      </c>
      <c r="H2" s="54">
        <v>2532</v>
      </c>
      <c r="I2" s="52">
        <f t="shared" ref="I2:I37" si="1">SUM(F2:H2)</f>
        <v>4429</v>
      </c>
      <c r="J2" s="55">
        <v>1070</v>
      </c>
      <c r="K2" s="55">
        <v>2140</v>
      </c>
      <c r="L2" s="55">
        <v>3341</v>
      </c>
      <c r="M2" s="52">
        <f t="shared" ref="M2:M37" si="2">SUM(J2:L2)</f>
        <v>6551</v>
      </c>
      <c r="N2" s="51">
        <v>423</v>
      </c>
      <c r="O2" s="55">
        <v>1840</v>
      </c>
      <c r="P2" s="55">
        <v>9758</v>
      </c>
      <c r="Q2" s="52">
        <f t="shared" ref="Q2:Q37" si="3">SUM(N2:P2)</f>
        <v>12021</v>
      </c>
      <c r="R2" s="52">
        <f>VLOOKUP(A2,'PMUY + PMGKY Consumption'!$A$2:$C$37,3,FALSE)</f>
        <v>22323</v>
      </c>
      <c r="S2" s="83">
        <f t="shared" ref="S2:S18" si="4">R2/Q2</f>
        <v>1.8570002495632643</v>
      </c>
      <c r="T2" s="55">
        <v>1533</v>
      </c>
      <c r="U2" s="55">
        <v>1347</v>
      </c>
      <c r="V2" s="55">
        <v>7893</v>
      </c>
      <c r="W2" s="52">
        <f t="shared" ref="W2:W37" si="5">SUM(T2:V2)</f>
        <v>10773</v>
      </c>
      <c r="Z2" s="59" t="s">
        <v>258</v>
      </c>
      <c r="AA2" s="84">
        <v>1.3721689673236408</v>
      </c>
    </row>
    <row r="3" spans="1:27" x14ac:dyDescent="0.35">
      <c r="A3" s="56" t="s">
        <v>239</v>
      </c>
      <c r="B3" s="57">
        <v>13187</v>
      </c>
      <c r="C3" s="54">
        <v>15211</v>
      </c>
      <c r="D3" s="58">
        <v>41812</v>
      </c>
      <c r="E3" s="52">
        <f t="shared" si="0"/>
        <v>70210</v>
      </c>
      <c r="F3" s="57">
        <v>160225</v>
      </c>
      <c r="G3" s="54">
        <v>83464</v>
      </c>
      <c r="H3" s="54">
        <v>62761</v>
      </c>
      <c r="I3" s="52">
        <f t="shared" si="1"/>
        <v>306450</v>
      </c>
      <c r="J3" s="54">
        <v>80505</v>
      </c>
      <c r="K3" s="54">
        <v>77153</v>
      </c>
      <c r="L3" s="56">
        <v>192898</v>
      </c>
      <c r="M3" s="52">
        <f t="shared" si="2"/>
        <v>350556</v>
      </c>
      <c r="N3" s="54">
        <v>22510</v>
      </c>
      <c r="O3" s="54">
        <v>41153</v>
      </c>
      <c r="P3" s="56">
        <v>326869</v>
      </c>
      <c r="Q3" s="52">
        <f t="shared" si="3"/>
        <v>390532</v>
      </c>
      <c r="R3" s="52">
        <f>VLOOKUP(A3,'PMUY + PMGKY Consumption'!$A$2:$C$37,3,FALSE)</f>
        <v>762236</v>
      </c>
      <c r="S3" s="83">
        <f t="shared" si="4"/>
        <v>1.9517888418874765</v>
      </c>
      <c r="T3" s="54">
        <v>53200</v>
      </c>
      <c r="U3" s="54">
        <v>70141</v>
      </c>
      <c r="V3" s="56">
        <v>266930</v>
      </c>
      <c r="W3" s="52">
        <f t="shared" si="5"/>
        <v>390271</v>
      </c>
      <c r="Z3" s="59" t="s">
        <v>245</v>
      </c>
      <c r="AA3" s="84">
        <v>1.5164261082938471</v>
      </c>
    </row>
    <row r="4" spans="1:27" x14ac:dyDescent="0.35">
      <c r="A4" s="56" t="s">
        <v>240</v>
      </c>
      <c r="B4" s="54">
        <v>3086</v>
      </c>
      <c r="C4" s="54">
        <v>1279</v>
      </c>
      <c r="D4" s="58">
        <v>1594</v>
      </c>
      <c r="E4" s="52">
        <f t="shared" si="0"/>
        <v>5959</v>
      </c>
      <c r="F4" s="54">
        <v>12193</v>
      </c>
      <c r="G4" s="54">
        <v>8489</v>
      </c>
      <c r="H4" s="54">
        <v>15647</v>
      </c>
      <c r="I4" s="52">
        <f t="shared" si="1"/>
        <v>36329</v>
      </c>
      <c r="J4" s="54">
        <v>6935</v>
      </c>
      <c r="K4" s="54">
        <v>7087</v>
      </c>
      <c r="L4" s="54">
        <v>23469</v>
      </c>
      <c r="M4" s="52">
        <f t="shared" si="2"/>
        <v>37491</v>
      </c>
      <c r="N4" s="54">
        <v>2241</v>
      </c>
      <c r="O4" s="54">
        <v>6184</v>
      </c>
      <c r="P4" s="54">
        <v>36064</v>
      </c>
      <c r="Q4" s="52">
        <f t="shared" si="3"/>
        <v>44489</v>
      </c>
      <c r="R4" s="52">
        <f>VLOOKUP(A4,'PMUY + PMGKY Consumption'!$A$2:$C$37,3,FALSE)</f>
        <v>76841</v>
      </c>
      <c r="S4" s="83">
        <f t="shared" si="4"/>
        <v>1.7271909910314909</v>
      </c>
      <c r="T4" s="54">
        <v>7550</v>
      </c>
      <c r="U4" s="54">
        <v>7191</v>
      </c>
      <c r="V4" s="54">
        <v>26394</v>
      </c>
      <c r="W4" s="52">
        <f t="shared" si="5"/>
        <v>41135</v>
      </c>
      <c r="Z4" s="59" t="s">
        <v>241</v>
      </c>
      <c r="AA4" s="84">
        <v>1.5537029266772979</v>
      </c>
    </row>
    <row r="5" spans="1:27" x14ac:dyDescent="0.35">
      <c r="A5" s="59" t="s">
        <v>241</v>
      </c>
      <c r="B5" s="57">
        <v>805575</v>
      </c>
      <c r="C5" s="57">
        <v>161429</v>
      </c>
      <c r="D5" s="60">
        <v>117726</v>
      </c>
      <c r="E5" s="52">
        <f t="shared" si="0"/>
        <v>1084730</v>
      </c>
      <c r="F5" s="57">
        <v>1303157</v>
      </c>
      <c r="G5" s="57">
        <v>472013</v>
      </c>
      <c r="H5" s="57">
        <v>584014</v>
      </c>
      <c r="I5" s="52">
        <f t="shared" si="1"/>
        <v>2359184</v>
      </c>
      <c r="J5" s="56">
        <v>916461</v>
      </c>
      <c r="K5" s="56">
        <v>533132</v>
      </c>
      <c r="L5" s="56">
        <v>1133277</v>
      </c>
      <c r="M5" s="52">
        <f t="shared" si="2"/>
        <v>2582870</v>
      </c>
      <c r="N5" s="56">
        <v>630763</v>
      </c>
      <c r="O5" s="56">
        <v>782747</v>
      </c>
      <c r="P5" s="56">
        <v>1992161</v>
      </c>
      <c r="Q5" s="52">
        <f t="shared" si="3"/>
        <v>3405671</v>
      </c>
      <c r="R5" s="52">
        <f>VLOOKUP(A5,'PMUY + PMGKY Consumption'!$A$2:$C$37,3,FALSE)</f>
        <v>5291401</v>
      </c>
      <c r="S5" s="83">
        <f t="shared" si="4"/>
        <v>1.5537029266772979</v>
      </c>
      <c r="T5" s="56">
        <v>978811</v>
      </c>
      <c r="U5" s="56">
        <v>624232</v>
      </c>
      <c r="V5" s="56">
        <v>1498120</v>
      </c>
      <c r="W5" s="52">
        <f t="shared" si="5"/>
        <v>3101163</v>
      </c>
      <c r="Z5" s="56" t="s">
        <v>255</v>
      </c>
      <c r="AA5" s="84">
        <v>1.6067387831213862</v>
      </c>
    </row>
    <row r="6" spans="1:27" x14ac:dyDescent="0.35">
      <c r="A6" s="59" t="s">
        <v>242</v>
      </c>
      <c r="B6" s="57">
        <v>1530084</v>
      </c>
      <c r="C6" s="57">
        <v>817960</v>
      </c>
      <c r="D6" s="60">
        <v>2098249</v>
      </c>
      <c r="E6" s="52">
        <f t="shared" si="0"/>
        <v>4446293</v>
      </c>
      <c r="F6" s="57">
        <v>2781697</v>
      </c>
      <c r="G6" s="57">
        <v>1648856</v>
      </c>
      <c r="H6" s="57">
        <v>2176520</v>
      </c>
      <c r="I6" s="52">
        <f t="shared" si="1"/>
        <v>6607073</v>
      </c>
      <c r="J6" s="56">
        <v>1835341</v>
      </c>
      <c r="K6" s="56">
        <v>1348867</v>
      </c>
      <c r="L6" s="56">
        <v>4153334</v>
      </c>
      <c r="M6" s="52">
        <f t="shared" si="2"/>
        <v>7337542</v>
      </c>
      <c r="N6" s="56">
        <v>588114</v>
      </c>
      <c r="O6" s="56">
        <v>1228803</v>
      </c>
      <c r="P6" s="56">
        <v>6592201</v>
      </c>
      <c r="Q6" s="52">
        <f t="shared" si="3"/>
        <v>8409118</v>
      </c>
      <c r="R6" s="52">
        <f>VLOOKUP(A6,'PMUY + PMGKY Consumption'!$A$2:$C$37,3,FALSE)</f>
        <v>15413247</v>
      </c>
      <c r="S6" s="83">
        <f t="shared" si="4"/>
        <v>1.8329207652931021</v>
      </c>
      <c r="T6" s="56">
        <v>1859956</v>
      </c>
      <c r="U6" s="56">
        <v>1792240</v>
      </c>
      <c r="V6" s="56">
        <v>5669322</v>
      </c>
      <c r="W6" s="52">
        <f t="shared" si="5"/>
        <v>9321518</v>
      </c>
      <c r="Z6" s="59" t="s">
        <v>260</v>
      </c>
      <c r="AA6" s="84">
        <v>1.6494443432319184</v>
      </c>
    </row>
    <row r="7" spans="1:27" x14ac:dyDescent="0.35">
      <c r="A7" s="59" t="s">
        <v>243</v>
      </c>
      <c r="B7" s="56" t="s">
        <v>244</v>
      </c>
      <c r="C7" s="56" t="s">
        <v>244</v>
      </c>
      <c r="D7" s="61" t="s">
        <v>244</v>
      </c>
      <c r="E7" s="52">
        <f t="shared" si="0"/>
        <v>0</v>
      </c>
      <c r="F7" s="53">
        <v>19</v>
      </c>
      <c r="G7" s="53">
        <v>14</v>
      </c>
      <c r="H7" s="53">
        <v>41</v>
      </c>
      <c r="I7" s="52">
        <f t="shared" si="1"/>
        <v>74</v>
      </c>
      <c r="J7" s="53">
        <v>3</v>
      </c>
      <c r="K7" s="53">
        <v>4</v>
      </c>
      <c r="L7" s="53">
        <v>74</v>
      </c>
      <c r="M7" s="52">
        <f t="shared" si="2"/>
        <v>81</v>
      </c>
      <c r="N7" s="56" t="s">
        <v>29</v>
      </c>
      <c r="O7" s="53">
        <v>1</v>
      </c>
      <c r="P7" s="53">
        <v>86</v>
      </c>
      <c r="Q7" s="52">
        <f t="shared" si="3"/>
        <v>87</v>
      </c>
      <c r="R7" s="52">
        <f>VLOOKUP(A7,'PMUY + PMGKY Consumption'!$A$2:$C$37,3,FALSE)</f>
        <v>246</v>
      </c>
      <c r="S7" s="83">
        <f t="shared" si="4"/>
        <v>2.8275862068965516</v>
      </c>
      <c r="T7" s="53">
        <v>11</v>
      </c>
      <c r="U7" s="53">
        <v>9</v>
      </c>
      <c r="V7" s="53">
        <v>60</v>
      </c>
      <c r="W7" s="52">
        <f t="shared" si="5"/>
        <v>80</v>
      </c>
      <c r="Z7" s="59" t="s">
        <v>251</v>
      </c>
      <c r="AA7" s="84">
        <v>1.6723081781454034</v>
      </c>
    </row>
    <row r="8" spans="1:27" x14ac:dyDescent="0.35">
      <c r="A8" s="59" t="s">
        <v>245</v>
      </c>
      <c r="B8" s="57">
        <v>949608</v>
      </c>
      <c r="C8" s="57">
        <v>240447</v>
      </c>
      <c r="D8" s="60">
        <v>251039</v>
      </c>
      <c r="E8" s="52">
        <f t="shared" si="0"/>
        <v>1441094</v>
      </c>
      <c r="F8" s="57">
        <v>866087</v>
      </c>
      <c r="G8" s="57">
        <v>262005</v>
      </c>
      <c r="H8" s="57">
        <v>236103</v>
      </c>
      <c r="I8" s="52">
        <f t="shared" si="1"/>
        <v>1364195</v>
      </c>
      <c r="J8" s="56">
        <v>682464</v>
      </c>
      <c r="K8" s="56">
        <v>345140</v>
      </c>
      <c r="L8" s="56">
        <v>533842</v>
      </c>
      <c r="M8" s="52">
        <f t="shared" si="2"/>
        <v>1561446</v>
      </c>
      <c r="N8" s="56">
        <v>838541</v>
      </c>
      <c r="O8" s="56">
        <v>776163</v>
      </c>
      <c r="P8" s="56">
        <v>1168335</v>
      </c>
      <c r="Q8" s="52">
        <f t="shared" si="3"/>
        <v>2783039</v>
      </c>
      <c r="R8" s="52">
        <f>VLOOKUP(A8,'PMUY + PMGKY Consumption'!$A$2:$C$37,3,FALSE)</f>
        <v>4220273</v>
      </c>
      <c r="S8" s="83">
        <f t="shared" si="4"/>
        <v>1.5164261082938471</v>
      </c>
      <c r="T8" s="56">
        <v>969487</v>
      </c>
      <c r="U8" s="56">
        <v>507182</v>
      </c>
      <c r="V8" s="56">
        <v>785959</v>
      </c>
      <c r="W8" s="52">
        <f t="shared" si="5"/>
        <v>2262628</v>
      </c>
      <c r="Z8" s="56" t="s">
        <v>250</v>
      </c>
      <c r="AA8" s="84">
        <v>1.6817584511076369</v>
      </c>
    </row>
    <row r="9" spans="1:27" ht="28" x14ac:dyDescent="0.35">
      <c r="A9" s="43" t="s">
        <v>205</v>
      </c>
      <c r="B9" s="54">
        <v>4470</v>
      </c>
      <c r="C9" s="54">
        <v>2947</v>
      </c>
      <c r="D9" s="58">
        <v>3780</v>
      </c>
      <c r="E9" s="52">
        <f t="shared" si="0"/>
        <v>11197</v>
      </c>
      <c r="F9" s="54">
        <v>6060</v>
      </c>
      <c r="G9" s="54">
        <v>3404</v>
      </c>
      <c r="H9" s="54">
        <v>1781</v>
      </c>
      <c r="I9" s="52">
        <f t="shared" si="1"/>
        <v>11245</v>
      </c>
      <c r="J9" s="54">
        <v>2438</v>
      </c>
      <c r="K9" s="54">
        <v>2460</v>
      </c>
      <c r="L9" s="54">
        <v>7328</v>
      </c>
      <c r="M9" s="52">
        <f t="shared" si="2"/>
        <v>12226</v>
      </c>
      <c r="N9" s="53">
        <v>895</v>
      </c>
      <c r="O9" s="54">
        <v>2773</v>
      </c>
      <c r="P9" s="54">
        <v>11452</v>
      </c>
      <c r="Q9" s="52">
        <f t="shared" si="3"/>
        <v>15120</v>
      </c>
      <c r="R9" s="52">
        <f>VLOOKUP(A9,'PMUY + PMGKY Consumption'!$A$2:$C$37,3,FALSE)</f>
        <v>25694</v>
      </c>
      <c r="S9" s="83">
        <f t="shared" si="4"/>
        <v>1.6993386243386244</v>
      </c>
      <c r="T9" s="53">
        <v>707</v>
      </c>
      <c r="U9" s="54">
        <v>1923</v>
      </c>
      <c r="V9" s="54">
        <v>12236</v>
      </c>
      <c r="W9" s="52">
        <f t="shared" si="5"/>
        <v>14866</v>
      </c>
      <c r="Z9" s="43" t="s">
        <v>205</v>
      </c>
      <c r="AA9" s="84">
        <v>1.6993386243386244</v>
      </c>
    </row>
    <row r="10" spans="1:27" x14ac:dyDescent="0.35">
      <c r="A10" s="59" t="s">
        <v>77</v>
      </c>
      <c r="B10" s="53">
        <v>25</v>
      </c>
      <c r="C10" s="53">
        <v>9</v>
      </c>
      <c r="D10" s="62">
        <v>428</v>
      </c>
      <c r="E10" s="52">
        <f t="shared" si="0"/>
        <v>462</v>
      </c>
      <c r="F10" s="54">
        <v>14969</v>
      </c>
      <c r="G10" s="54">
        <v>14970</v>
      </c>
      <c r="H10" s="54">
        <v>39382</v>
      </c>
      <c r="I10" s="52">
        <f t="shared" si="1"/>
        <v>69321</v>
      </c>
      <c r="J10" s="54">
        <v>2520</v>
      </c>
      <c r="K10" s="54">
        <v>2678</v>
      </c>
      <c r="L10" s="54">
        <v>68028</v>
      </c>
      <c r="M10" s="52">
        <f t="shared" si="2"/>
        <v>73226</v>
      </c>
      <c r="N10" s="53">
        <v>497</v>
      </c>
      <c r="O10" s="54">
        <v>1278</v>
      </c>
      <c r="P10" s="54">
        <v>73732</v>
      </c>
      <c r="Q10" s="52">
        <f t="shared" si="3"/>
        <v>75507</v>
      </c>
      <c r="R10" s="52">
        <f>VLOOKUP(A10,'PMUY + PMGKY Consumption'!$A$2:$C$37,3,FALSE)</f>
        <v>196054</v>
      </c>
      <c r="S10" s="83">
        <f t="shared" si="4"/>
        <v>2.5965009866634881</v>
      </c>
      <c r="T10" s="54">
        <v>10205</v>
      </c>
      <c r="U10" s="54">
        <v>10581</v>
      </c>
      <c r="V10" s="54">
        <v>72817</v>
      </c>
      <c r="W10" s="52">
        <f t="shared" si="5"/>
        <v>93603</v>
      </c>
      <c r="Z10" s="59" t="s">
        <v>247</v>
      </c>
      <c r="AA10" s="84">
        <v>1.7197022351169791</v>
      </c>
    </row>
    <row r="11" spans="1:27" x14ac:dyDescent="0.35">
      <c r="A11" s="59" t="s">
        <v>246</v>
      </c>
      <c r="B11" s="53">
        <v>147</v>
      </c>
      <c r="C11" s="53">
        <v>183</v>
      </c>
      <c r="D11" s="62">
        <v>553</v>
      </c>
      <c r="E11" s="52">
        <f t="shared" si="0"/>
        <v>883</v>
      </c>
      <c r="F11" s="53">
        <v>365</v>
      </c>
      <c r="G11" s="53">
        <v>285</v>
      </c>
      <c r="H11" s="53">
        <v>248</v>
      </c>
      <c r="I11" s="52">
        <f t="shared" si="1"/>
        <v>898</v>
      </c>
      <c r="J11" s="53">
        <v>130</v>
      </c>
      <c r="K11" s="53">
        <v>166</v>
      </c>
      <c r="L11" s="53">
        <v>696</v>
      </c>
      <c r="M11" s="52">
        <f t="shared" si="2"/>
        <v>992</v>
      </c>
      <c r="N11" s="53">
        <v>41</v>
      </c>
      <c r="O11" s="53">
        <v>103</v>
      </c>
      <c r="P11" s="53">
        <v>926</v>
      </c>
      <c r="Q11" s="52">
        <f t="shared" si="3"/>
        <v>1070</v>
      </c>
      <c r="R11" s="52">
        <f>VLOOKUP(A11,'PMUY + PMGKY Consumption'!$A$2:$C$37,3,FALSE)</f>
        <v>2119</v>
      </c>
      <c r="S11" s="83">
        <f t="shared" si="4"/>
        <v>1.9803738317757009</v>
      </c>
      <c r="T11" s="53">
        <v>73</v>
      </c>
      <c r="U11" s="53">
        <v>128</v>
      </c>
      <c r="V11" s="53">
        <v>822</v>
      </c>
      <c r="W11" s="52">
        <f t="shared" si="5"/>
        <v>1023</v>
      </c>
      <c r="Z11" s="56" t="s">
        <v>240</v>
      </c>
      <c r="AA11" s="84">
        <v>1.7271909910314909</v>
      </c>
    </row>
    <row r="12" spans="1:27" x14ac:dyDescent="0.35">
      <c r="A12" s="59" t="s">
        <v>247</v>
      </c>
      <c r="B12" s="57">
        <v>301771</v>
      </c>
      <c r="C12" s="57">
        <v>210740</v>
      </c>
      <c r="D12" s="60">
        <v>631470</v>
      </c>
      <c r="E12" s="52">
        <f t="shared" si="0"/>
        <v>1143981</v>
      </c>
      <c r="F12" s="57">
        <v>964196</v>
      </c>
      <c r="G12" s="57">
        <v>566731</v>
      </c>
      <c r="H12" s="57">
        <v>746553</v>
      </c>
      <c r="I12" s="52">
        <f t="shared" si="1"/>
        <v>2277480</v>
      </c>
      <c r="J12" s="56">
        <v>455494</v>
      </c>
      <c r="K12" s="56">
        <v>441164</v>
      </c>
      <c r="L12" s="56">
        <v>1676880</v>
      </c>
      <c r="M12" s="52">
        <f t="shared" si="2"/>
        <v>2573538</v>
      </c>
      <c r="N12" s="56">
        <v>221156</v>
      </c>
      <c r="O12" s="56">
        <v>350275</v>
      </c>
      <c r="P12" s="56">
        <v>2300365</v>
      </c>
      <c r="Q12" s="52">
        <f t="shared" si="3"/>
        <v>2871796</v>
      </c>
      <c r="R12" s="52">
        <f>VLOOKUP(A12,'PMUY + PMGKY Consumption'!$A$2:$C$37,3,FALSE)</f>
        <v>4938634</v>
      </c>
      <c r="S12" s="83">
        <f t="shared" si="4"/>
        <v>1.7197022351169791</v>
      </c>
      <c r="T12" s="56">
        <v>481482</v>
      </c>
      <c r="U12" s="56">
        <v>500385</v>
      </c>
      <c r="V12" s="56">
        <v>2201477</v>
      </c>
      <c r="W12" s="52">
        <f t="shared" si="5"/>
        <v>3183344</v>
      </c>
      <c r="Z12" s="59" t="s">
        <v>256</v>
      </c>
      <c r="AA12" s="84">
        <v>1.7404329873388844</v>
      </c>
    </row>
    <row r="13" spans="1:27" x14ac:dyDescent="0.35">
      <c r="A13" s="59" t="s">
        <v>248</v>
      </c>
      <c r="B13" s="57">
        <v>35820</v>
      </c>
      <c r="C13" s="54">
        <v>41601</v>
      </c>
      <c r="D13" s="60">
        <v>259246</v>
      </c>
      <c r="E13" s="52">
        <f t="shared" si="0"/>
        <v>336667</v>
      </c>
      <c r="F13" s="57">
        <v>184586</v>
      </c>
      <c r="G13" s="57">
        <v>152097</v>
      </c>
      <c r="H13" s="57">
        <v>276281</v>
      </c>
      <c r="I13" s="52">
        <f t="shared" si="1"/>
        <v>612964</v>
      </c>
      <c r="J13" s="54">
        <v>67817</v>
      </c>
      <c r="K13" s="54">
        <v>81311</v>
      </c>
      <c r="L13" s="56">
        <v>545894</v>
      </c>
      <c r="M13" s="52">
        <f t="shared" si="2"/>
        <v>695022</v>
      </c>
      <c r="N13" s="54">
        <v>14632</v>
      </c>
      <c r="O13" s="54">
        <v>43704</v>
      </c>
      <c r="P13" s="56">
        <v>660499</v>
      </c>
      <c r="Q13" s="52">
        <f t="shared" si="3"/>
        <v>718835</v>
      </c>
      <c r="R13" s="52">
        <f>VLOOKUP(A13,'PMUY + PMGKY Consumption'!$A$2:$C$37,3,FALSE)</f>
        <v>1516012</v>
      </c>
      <c r="S13" s="83">
        <f t="shared" si="4"/>
        <v>2.1089846765947677</v>
      </c>
      <c r="T13" s="54">
        <v>43330</v>
      </c>
      <c r="U13" s="54">
        <v>60051</v>
      </c>
      <c r="V13" s="56">
        <v>590122</v>
      </c>
      <c r="W13" s="52">
        <f t="shared" si="5"/>
        <v>693503</v>
      </c>
      <c r="Z13" s="59" t="s">
        <v>266</v>
      </c>
      <c r="AA13" s="84">
        <v>1.7550893401100738</v>
      </c>
    </row>
    <row r="14" spans="1:27" x14ac:dyDescent="0.35">
      <c r="A14" s="56" t="s">
        <v>249</v>
      </c>
      <c r="B14" s="57">
        <v>11723</v>
      </c>
      <c r="C14" s="54">
        <v>6327</v>
      </c>
      <c r="D14" s="58">
        <v>9872</v>
      </c>
      <c r="E14" s="52">
        <f t="shared" si="0"/>
        <v>27922</v>
      </c>
      <c r="F14" s="54">
        <v>39375</v>
      </c>
      <c r="G14" s="54">
        <v>23894</v>
      </c>
      <c r="H14" s="54">
        <v>35623</v>
      </c>
      <c r="I14" s="52">
        <f t="shared" si="1"/>
        <v>98892</v>
      </c>
      <c r="J14" s="54">
        <v>24675</v>
      </c>
      <c r="K14" s="54">
        <v>26901</v>
      </c>
      <c r="L14" s="54">
        <v>71426</v>
      </c>
      <c r="M14" s="52">
        <f t="shared" si="2"/>
        <v>123002</v>
      </c>
      <c r="N14" s="54">
        <v>1602</v>
      </c>
      <c r="O14" s="54">
        <v>11023</v>
      </c>
      <c r="P14" s="56">
        <v>123168</v>
      </c>
      <c r="Q14" s="52">
        <f t="shared" si="3"/>
        <v>135793</v>
      </c>
      <c r="R14" s="52">
        <f>VLOOKUP(A14,'PMUY + PMGKY Consumption'!$A$2:$C$37,3,FALSE)</f>
        <v>293031</v>
      </c>
      <c r="S14" s="83">
        <f t="shared" si="4"/>
        <v>2.1579241934414881</v>
      </c>
      <c r="T14" s="54">
        <v>16809</v>
      </c>
      <c r="U14" s="54">
        <v>20198</v>
      </c>
      <c r="V14" s="54">
        <v>86551</v>
      </c>
      <c r="W14" s="52">
        <f t="shared" si="5"/>
        <v>123558</v>
      </c>
      <c r="Z14" s="59" t="s">
        <v>263</v>
      </c>
      <c r="AA14" s="84">
        <v>1.7652325877221835</v>
      </c>
    </row>
    <row r="15" spans="1:27" x14ac:dyDescent="0.35">
      <c r="A15" s="56" t="s">
        <v>250</v>
      </c>
      <c r="B15" s="57">
        <v>107445</v>
      </c>
      <c r="C15" s="54">
        <v>54765</v>
      </c>
      <c r="D15" s="60">
        <v>127290</v>
      </c>
      <c r="E15" s="52">
        <f t="shared" si="0"/>
        <v>289500</v>
      </c>
      <c r="F15" s="57">
        <v>498250</v>
      </c>
      <c r="G15" s="57">
        <v>159869</v>
      </c>
      <c r="H15" s="57">
        <v>138228</v>
      </c>
      <c r="I15" s="52">
        <f t="shared" si="1"/>
        <v>796347</v>
      </c>
      <c r="J15" s="56">
        <v>476671</v>
      </c>
      <c r="K15" s="56">
        <v>223555</v>
      </c>
      <c r="L15" s="56">
        <v>362861</v>
      </c>
      <c r="M15" s="52">
        <f t="shared" si="2"/>
        <v>1063087</v>
      </c>
      <c r="N15" s="56">
        <v>157778</v>
      </c>
      <c r="O15" s="56">
        <v>314224</v>
      </c>
      <c r="P15" s="56">
        <v>739496</v>
      </c>
      <c r="Q15" s="52">
        <f t="shared" si="3"/>
        <v>1211498</v>
      </c>
      <c r="R15" s="52">
        <v>2037447</v>
      </c>
      <c r="S15" s="83">
        <f t="shared" si="4"/>
        <v>1.6817584511076369</v>
      </c>
      <c r="T15" s="56">
        <v>248089</v>
      </c>
      <c r="U15" s="56">
        <v>272059</v>
      </c>
      <c r="V15" s="56">
        <v>574385</v>
      </c>
      <c r="W15" s="52">
        <f t="shared" si="5"/>
        <v>1094533</v>
      </c>
      <c r="Z15" s="59" t="s">
        <v>261</v>
      </c>
      <c r="AA15" s="84">
        <v>1.781580326486164</v>
      </c>
    </row>
    <row r="16" spans="1:27" x14ac:dyDescent="0.35">
      <c r="A16" s="59" t="s">
        <v>251</v>
      </c>
      <c r="B16" s="57">
        <v>565928</v>
      </c>
      <c r="C16" s="57">
        <v>180515</v>
      </c>
      <c r="D16" s="60">
        <v>288011</v>
      </c>
      <c r="E16" s="52">
        <f t="shared" si="0"/>
        <v>1034454</v>
      </c>
      <c r="F16" s="57">
        <v>1254734</v>
      </c>
      <c r="G16" s="57">
        <v>391579</v>
      </c>
      <c r="H16" s="57">
        <v>427375</v>
      </c>
      <c r="I16" s="52">
        <f t="shared" si="1"/>
        <v>2073688</v>
      </c>
      <c r="J16" s="56">
        <v>855315</v>
      </c>
      <c r="K16" s="56">
        <v>448066</v>
      </c>
      <c r="L16" s="56">
        <v>959774</v>
      </c>
      <c r="M16" s="52">
        <f t="shared" si="2"/>
        <v>2263155</v>
      </c>
      <c r="N16" s="56">
        <v>514833</v>
      </c>
      <c r="O16" s="56">
        <v>836128</v>
      </c>
      <c r="P16" s="56">
        <v>1866321</v>
      </c>
      <c r="Q16" s="52">
        <f t="shared" si="3"/>
        <v>3217282</v>
      </c>
      <c r="R16" s="52">
        <f>VLOOKUP(A16,'PMUY + PMGKY Consumption'!$A$2:$C$37,3,FALSE)</f>
        <v>5380287</v>
      </c>
      <c r="S16" s="83">
        <f t="shared" si="4"/>
        <v>1.6723081781454034</v>
      </c>
      <c r="T16" s="56">
        <v>831373</v>
      </c>
      <c r="U16" s="56">
        <v>646520</v>
      </c>
      <c r="V16" s="56">
        <v>1279826</v>
      </c>
      <c r="W16" s="52">
        <f t="shared" si="5"/>
        <v>2757719</v>
      </c>
      <c r="Z16" s="59" t="s">
        <v>267</v>
      </c>
      <c r="AA16" s="84">
        <v>1.7893488769968369</v>
      </c>
    </row>
    <row r="17" spans="1:27" x14ac:dyDescent="0.35">
      <c r="A17" s="59" t="s">
        <v>252</v>
      </c>
      <c r="B17" s="57">
        <v>386310</v>
      </c>
      <c r="C17" s="57">
        <v>219173</v>
      </c>
      <c r="D17" s="60">
        <v>265891</v>
      </c>
      <c r="E17" s="52">
        <f t="shared" si="0"/>
        <v>871374</v>
      </c>
      <c r="F17" s="57">
        <v>1246600</v>
      </c>
      <c r="G17" s="57">
        <v>678206</v>
      </c>
      <c r="H17" s="57">
        <v>683935</v>
      </c>
      <c r="I17" s="52">
        <f t="shared" si="1"/>
        <v>2608741</v>
      </c>
      <c r="J17" s="56">
        <v>546424</v>
      </c>
      <c r="K17" s="56">
        <v>550846</v>
      </c>
      <c r="L17" s="56">
        <v>1678855</v>
      </c>
      <c r="M17" s="52">
        <f t="shared" si="2"/>
        <v>2776125</v>
      </c>
      <c r="N17" s="56">
        <v>138590</v>
      </c>
      <c r="O17" s="56">
        <v>291902</v>
      </c>
      <c r="P17" s="56">
        <v>2698399</v>
      </c>
      <c r="Q17" s="52">
        <f t="shared" si="3"/>
        <v>3128891</v>
      </c>
      <c r="R17" s="52">
        <f>VLOOKUP(A17,'PMUY + PMGKY Consumption'!$A$2:$C$37,3,FALSE)</f>
        <v>5716317</v>
      </c>
      <c r="S17" s="83">
        <f t="shared" si="4"/>
        <v>1.8269466721595606</v>
      </c>
      <c r="T17" s="56">
        <v>377893</v>
      </c>
      <c r="U17" s="56">
        <v>463965</v>
      </c>
      <c r="V17" s="56">
        <v>2459628</v>
      </c>
      <c r="W17" s="52">
        <f t="shared" si="5"/>
        <v>3301486</v>
      </c>
      <c r="Z17" s="59" t="s">
        <v>285</v>
      </c>
      <c r="AA17" s="84">
        <v>1.7910958904109588</v>
      </c>
    </row>
    <row r="18" spans="1:27" x14ac:dyDescent="0.35">
      <c r="A18" s="59" t="s">
        <v>253</v>
      </c>
      <c r="B18" s="57">
        <v>14260</v>
      </c>
      <c r="C18" s="54">
        <v>8568</v>
      </c>
      <c r="D18" s="58">
        <v>10813</v>
      </c>
      <c r="E18" s="52">
        <f t="shared" si="0"/>
        <v>33641</v>
      </c>
      <c r="F18" s="54">
        <v>87208</v>
      </c>
      <c r="G18" s="54">
        <v>58484</v>
      </c>
      <c r="H18" s="54">
        <v>53714</v>
      </c>
      <c r="I18" s="52">
        <f t="shared" si="1"/>
        <v>199406</v>
      </c>
      <c r="J18" s="54">
        <v>36559</v>
      </c>
      <c r="K18" s="54">
        <v>53960</v>
      </c>
      <c r="L18" s="56">
        <v>139806</v>
      </c>
      <c r="M18" s="52">
        <f t="shared" si="2"/>
        <v>230325</v>
      </c>
      <c r="N18" s="54">
        <v>8286</v>
      </c>
      <c r="O18" s="54">
        <v>21456</v>
      </c>
      <c r="P18" s="56">
        <v>225684</v>
      </c>
      <c r="Q18" s="52">
        <f t="shared" si="3"/>
        <v>255426</v>
      </c>
      <c r="R18" s="52">
        <f>VLOOKUP(A18,'PMUY + PMGKY Consumption'!$A$2:$C$37,3,FALSE)</f>
        <v>511692</v>
      </c>
      <c r="S18" s="83">
        <f t="shared" si="4"/>
        <v>2.003288623710977</v>
      </c>
      <c r="T18" s="54">
        <v>40263</v>
      </c>
      <c r="U18" s="54">
        <v>47908</v>
      </c>
      <c r="V18" s="56">
        <v>193455</v>
      </c>
      <c r="W18" s="52">
        <f t="shared" si="5"/>
        <v>281626</v>
      </c>
      <c r="Z18" s="59" t="s">
        <v>257</v>
      </c>
      <c r="AA18" s="84">
        <v>1.7944551475405583</v>
      </c>
    </row>
    <row r="19" spans="1:27" x14ac:dyDescent="0.35">
      <c r="A19" s="59" t="s">
        <v>254</v>
      </c>
      <c r="B19" s="53">
        <v>860</v>
      </c>
      <c r="C19" s="53">
        <v>472</v>
      </c>
      <c r="D19" s="62">
        <v>857</v>
      </c>
      <c r="E19" s="52">
        <f t="shared" si="0"/>
        <v>2189</v>
      </c>
      <c r="F19" s="54">
        <v>4952</v>
      </c>
      <c r="G19" s="54">
        <v>1407</v>
      </c>
      <c r="H19" s="54">
        <v>1902</v>
      </c>
      <c r="I19" s="52">
        <f t="shared" si="1"/>
        <v>8261</v>
      </c>
      <c r="J19" s="54">
        <v>4000</v>
      </c>
      <c r="K19" s="54">
        <v>1511</v>
      </c>
      <c r="L19" s="54">
        <v>4664</v>
      </c>
      <c r="M19" s="52">
        <f t="shared" si="2"/>
        <v>10175</v>
      </c>
      <c r="N19" s="54">
        <v>1004</v>
      </c>
      <c r="O19" s="54">
        <v>2116</v>
      </c>
      <c r="P19" s="54">
        <v>7913</v>
      </c>
      <c r="Q19" s="52">
        <f t="shared" si="3"/>
        <v>11033</v>
      </c>
      <c r="R19" s="52" t="s">
        <v>29</v>
      </c>
      <c r="S19" s="83"/>
      <c r="T19" s="54">
        <v>1711</v>
      </c>
      <c r="U19" s="54">
        <v>2270</v>
      </c>
      <c r="V19" s="54">
        <v>6422</v>
      </c>
      <c r="W19" s="52">
        <f t="shared" si="5"/>
        <v>10403</v>
      </c>
      <c r="Z19" s="59" t="s">
        <v>252</v>
      </c>
      <c r="AA19" s="84">
        <v>1.8269466721595606</v>
      </c>
    </row>
    <row r="20" spans="1:27" x14ac:dyDescent="0.35">
      <c r="A20" s="59" t="s">
        <v>285</v>
      </c>
      <c r="B20" s="53">
        <v>56</v>
      </c>
      <c r="C20" s="53">
        <v>10</v>
      </c>
      <c r="D20" s="62">
        <v>2</v>
      </c>
      <c r="E20" s="52">
        <f t="shared" si="0"/>
        <v>68</v>
      </c>
      <c r="F20" s="53">
        <v>26</v>
      </c>
      <c r="G20" s="53">
        <v>26</v>
      </c>
      <c r="H20" s="53">
        <v>44</v>
      </c>
      <c r="I20" s="52">
        <f t="shared" si="1"/>
        <v>96</v>
      </c>
      <c r="J20" s="53">
        <v>15</v>
      </c>
      <c r="K20" s="53">
        <v>18</v>
      </c>
      <c r="L20" s="53">
        <v>68</v>
      </c>
      <c r="M20" s="52">
        <f t="shared" si="2"/>
        <v>101</v>
      </c>
      <c r="N20" s="53">
        <v>30</v>
      </c>
      <c r="O20" s="53">
        <v>58</v>
      </c>
      <c r="P20" s="53">
        <v>204</v>
      </c>
      <c r="Q20" s="52">
        <f t="shared" si="3"/>
        <v>292</v>
      </c>
      <c r="R20" s="52">
        <f>VLOOKUP(A20,'PMUY + PMGKY Consumption'!$A$2:$C$37,3,FALSE)</f>
        <v>523</v>
      </c>
      <c r="S20" s="83">
        <f t="shared" ref="S20:S37" si="6">R20/Q20</f>
        <v>1.7910958904109588</v>
      </c>
      <c r="T20" s="53">
        <v>26</v>
      </c>
      <c r="U20" s="53">
        <v>24</v>
      </c>
      <c r="V20" s="53">
        <v>228</v>
      </c>
      <c r="W20" s="52">
        <f t="shared" si="5"/>
        <v>278</v>
      </c>
      <c r="Z20" s="59" t="s">
        <v>242</v>
      </c>
      <c r="AA20" s="84">
        <v>1.8329207652931021</v>
      </c>
    </row>
    <row r="21" spans="1:27" ht="31" x14ac:dyDescent="0.35">
      <c r="A21" s="56" t="s">
        <v>255</v>
      </c>
      <c r="B21" s="57">
        <v>1222412</v>
      </c>
      <c r="C21" s="57">
        <v>540967</v>
      </c>
      <c r="D21" s="60">
        <v>836525</v>
      </c>
      <c r="E21" s="52">
        <f t="shared" si="0"/>
        <v>2599904</v>
      </c>
      <c r="F21" s="57">
        <v>2997763</v>
      </c>
      <c r="G21" s="57">
        <v>1060783</v>
      </c>
      <c r="H21" s="57">
        <v>919261</v>
      </c>
      <c r="I21" s="52">
        <f t="shared" si="1"/>
        <v>4977807</v>
      </c>
      <c r="J21" s="56">
        <v>2081583</v>
      </c>
      <c r="K21" s="56">
        <v>1220885</v>
      </c>
      <c r="L21" s="56">
        <v>2174977</v>
      </c>
      <c r="M21" s="52">
        <f t="shared" si="2"/>
        <v>5477445</v>
      </c>
      <c r="N21" s="56">
        <v>954268</v>
      </c>
      <c r="O21" s="56">
        <v>1671113</v>
      </c>
      <c r="P21" s="56">
        <v>4450674</v>
      </c>
      <c r="Q21" s="52">
        <f t="shared" si="3"/>
        <v>7076055</v>
      </c>
      <c r="R21" s="52">
        <f>VLOOKUP(A21,'PMUY + PMGKY Consumption'!$A$2:$C$37,3,FALSE)</f>
        <v>11369372</v>
      </c>
      <c r="S21" s="83">
        <f t="shared" si="6"/>
        <v>1.6067387831213862</v>
      </c>
      <c r="T21" s="56">
        <v>1884750</v>
      </c>
      <c r="U21" s="56">
        <v>1573822</v>
      </c>
      <c r="V21" s="56">
        <v>3438806</v>
      </c>
      <c r="W21" s="52">
        <f t="shared" si="5"/>
        <v>6897378</v>
      </c>
      <c r="Z21" s="36" t="s">
        <v>235</v>
      </c>
      <c r="AA21" s="84">
        <v>1.8570002495632643</v>
      </c>
    </row>
    <row r="22" spans="1:27" x14ac:dyDescent="0.35">
      <c r="A22" s="59" t="s">
        <v>256</v>
      </c>
      <c r="B22" s="57">
        <v>634448</v>
      </c>
      <c r="C22" s="57">
        <v>384148</v>
      </c>
      <c r="D22" s="60">
        <v>691047</v>
      </c>
      <c r="E22" s="52">
        <f t="shared" si="0"/>
        <v>1709643</v>
      </c>
      <c r="F22" s="57">
        <v>1646295</v>
      </c>
      <c r="G22" s="57">
        <v>970097</v>
      </c>
      <c r="H22" s="57">
        <v>851032</v>
      </c>
      <c r="I22" s="52">
        <f t="shared" si="1"/>
        <v>3467424</v>
      </c>
      <c r="J22" s="56">
        <v>962231</v>
      </c>
      <c r="K22" s="56">
        <v>817906</v>
      </c>
      <c r="L22" s="56">
        <v>2108471</v>
      </c>
      <c r="M22" s="52">
        <f t="shared" si="2"/>
        <v>3888608</v>
      </c>
      <c r="N22" s="56">
        <v>223717</v>
      </c>
      <c r="O22" s="56">
        <v>520439</v>
      </c>
      <c r="P22" s="56">
        <v>3639344</v>
      </c>
      <c r="Q22" s="52">
        <f t="shared" si="3"/>
        <v>4383500</v>
      </c>
      <c r="R22" s="52">
        <f>VLOOKUP(A22,'PMUY + PMGKY Consumption'!$A$2:$C$37,3,FALSE)</f>
        <v>7629188</v>
      </c>
      <c r="S22" s="83">
        <f t="shared" si="6"/>
        <v>1.7404329873388844</v>
      </c>
      <c r="T22" s="56">
        <v>555163</v>
      </c>
      <c r="U22" s="56">
        <v>713541</v>
      </c>
      <c r="V22" s="56">
        <v>3149617</v>
      </c>
      <c r="W22" s="52">
        <f t="shared" si="5"/>
        <v>4418321</v>
      </c>
      <c r="Z22" s="59" t="s">
        <v>268</v>
      </c>
      <c r="AA22" s="84">
        <v>1.8652683649827937</v>
      </c>
    </row>
    <row r="23" spans="1:27" x14ac:dyDescent="0.35">
      <c r="A23" s="59" t="s">
        <v>257</v>
      </c>
      <c r="B23" s="57">
        <v>10340</v>
      </c>
      <c r="C23" s="54">
        <v>6191</v>
      </c>
      <c r="D23" s="58">
        <v>11664</v>
      </c>
      <c r="E23" s="52">
        <f t="shared" si="0"/>
        <v>28195</v>
      </c>
      <c r="F23" s="54">
        <v>35893</v>
      </c>
      <c r="G23" s="54">
        <v>20520</v>
      </c>
      <c r="H23" s="54">
        <v>57183</v>
      </c>
      <c r="I23" s="52">
        <f t="shared" si="1"/>
        <v>113596</v>
      </c>
      <c r="J23" s="54">
        <v>16448</v>
      </c>
      <c r="K23" s="54">
        <v>17968</v>
      </c>
      <c r="L23" s="56">
        <v>101331</v>
      </c>
      <c r="M23" s="52">
        <f t="shared" si="2"/>
        <v>135747</v>
      </c>
      <c r="N23" s="54">
        <v>9095</v>
      </c>
      <c r="O23" s="54">
        <v>14597</v>
      </c>
      <c r="P23" s="56">
        <v>130469</v>
      </c>
      <c r="Q23" s="52">
        <f t="shared" si="3"/>
        <v>154161</v>
      </c>
      <c r="R23" s="52">
        <f>VLOOKUP(A23,'PMUY + PMGKY Consumption'!$A$2:$C$37,3,FALSE)</f>
        <v>276635</v>
      </c>
      <c r="S23" s="83">
        <f t="shared" si="6"/>
        <v>1.7944551475405583</v>
      </c>
      <c r="T23" s="54">
        <v>22576</v>
      </c>
      <c r="U23" s="54">
        <v>18334</v>
      </c>
      <c r="V23" s="56">
        <v>122511</v>
      </c>
      <c r="W23" s="52">
        <f t="shared" si="5"/>
        <v>163421</v>
      </c>
      <c r="Z23" s="59" t="s">
        <v>269</v>
      </c>
      <c r="AA23" s="84">
        <v>1.9079627972992559</v>
      </c>
    </row>
    <row r="24" spans="1:27" x14ac:dyDescent="0.35">
      <c r="A24" s="59" t="s">
        <v>258</v>
      </c>
      <c r="B24" s="57">
        <v>22366</v>
      </c>
      <c r="C24" s="54">
        <v>6201</v>
      </c>
      <c r="D24" s="58">
        <v>5518</v>
      </c>
      <c r="E24" s="52">
        <f t="shared" si="0"/>
        <v>34085</v>
      </c>
      <c r="F24" s="54">
        <v>65793</v>
      </c>
      <c r="G24" s="54">
        <v>25381</v>
      </c>
      <c r="H24" s="54">
        <v>32305</v>
      </c>
      <c r="I24" s="52">
        <f t="shared" si="1"/>
        <v>123479</v>
      </c>
      <c r="J24" s="54">
        <v>32794</v>
      </c>
      <c r="K24" s="54">
        <v>22334</v>
      </c>
      <c r="L24" s="54">
        <v>49285</v>
      </c>
      <c r="M24" s="52">
        <f t="shared" si="2"/>
        <v>104413</v>
      </c>
      <c r="N24" s="54">
        <v>37058</v>
      </c>
      <c r="O24" s="54">
        <v>34312</v>
      </c>
      <c r="P24" s="54">
        <v>75617</v>
      </c>
      <c r="Q24" s="52">
        <f t="shared" si="3"/>
        <v>146987</v>
      </c>
      <c r="R24" s="52">
        <f>VLOOKUP(A24,'PMUY + PMGKY Consumption'!$A$2:$C$37,3,FALSE)</f>
        <v>201691</v>
      </c>
      <c r="S24" s="83">
        <f t="shared" si="6"/>
        <v>1.3721689673236408</v>
      </c>
      <c r="T24" s="54">
        <v>38268</v>
      </c>
      <c r="U24" s="54">
        <v>20587</v>
      </c>
      <c r="V24" s="54">
        <v>62783</v>
      </c>
      <c r="W24" s="52">
        <f t="shared" si="5"/>
        <v>121638</v>
      </c>
      <c r="Z24" s="59" t="s">
        <v>265</v>
      </c>
      <c r="AA24" s="84">
        <v>1.9241347287653385</v>
      </c>
    </row>
    <row r="25" spans="1:27" x14ac:dyDescent="0.35">
      <c r="A25" s="59" t="s">
        <v>259</v>
      </c>
      <c r="B25" s="53">
        <v>490</v>
      </c>
      <c r="C25" s="53">
        <v>147</v>
      </c>
      <c r="D25" s="62">
        <v>109</v>
      </c>
      <c r="E25" s="52">
        <f t="shared" si="0"/>
        <v>746</v>
      </c>
      <c r="F25" s="54">
        <v>4867</v>
      </c>
      <c r="G25" s="54">
        <v>5695</v>
      </c>
      <c r="H25" s="54">
        <v>13352</v>
      </c>
      <c r="I25" s="52">
        <f t="shared" si="1"/>
        <v>23914</v>
      </c>
      <c r="J25" s="54">
        <v>2288</v>
      </c>
      <c r="K25" s="54">
        <v>2645</v>
      </c>
      <c r="L25" s="54">
        <v>19542</v>
      </c>
      <c r="M25" s="52">
        <f t="shared" si="2"/>
        <v>24475</v>
      </c>
      <c r="N25" s="53">
        <v>566</v>
      </c>
      <c r="O25" s="54">
        <v>1800</v>
      </c>
      <c r="P25" s="54">
        <v>25712</v>
      </c>
      <c r="Q25" s="52">
        <f t="shared" si="3"/>
        <v>28078</v>
      </c>
      <c r="R25" s="52">
        <f>VLOOKUP(A25,'PMUY + PMGKY Consumption'!$A$2:$C$37,3,FALSE)</f>
        <v>55284</v>
      </c>
      <c r="S25" s="83">
        <f t="shared" si="6"/>
        <v>1.9689436569556236</v>
      </c>
      <c r="T25" s="54">
        <v>2520</v>
      </c>
      <c r="U25" s="54">
        <v>1956</v>
      </c>
      <c r="V25" s="54">
        <v>22276</v>
      </c>
      <c r="W25" s="52">
        <f t="shared" si="5"/>
        <v>26752</v>
      </c>
      <c r="Z25" s="56" t="s">
        <v>239</v>
      </c>
      <c r="AA25" s="84">
        <v>1.9517888418874765</v>
      </c>
    </row>
    <row r="26" spans="1:27" x14ac:dyDescent="0.35">
      <c r="A26" s="59" t="s">
        <v>260</v>
      </c>
      <c r="B26" s="54">
        <v>3895</v>
      </c>
      <c r="C26" s="54">
        <v>1639</v>
      </c>
      <c r="D26" s="58">
        <v>2353</v>
      </c>
      <c r="E26" s="52">
        <f t="shared" si="0"/>
        <v>7887</v>
      </c>
      <c r="F26" s="54">
        <v>14636</v>
      </c>
      <c r="G26" s="54">
        <v>10528</v>
      </c>
      <c r="H26" s="54">
        <v>17079</v>
      </c>
      <c r="I26" s="52">
        <f t="shared" si="1"/>
        <v>42243</v>
      </c>
      <c r="J26" s="54">
        <v>13681</v>
      </c>
      <c r="K26" s="54">
        <v>8372</v>
      </c>
      <c r="L26" s="54">
        <v>21647</v>
      </c>
      <c r="M26" s="52">
        <f t="shared" si="2"/>
        <v>43700</v>
      </c>
      <c r="N26" s="54">
        <v>6348</v>
      </c>
      <c r="O26" s="54">
        <v>11373</v>
      </c>
      <c r="P26" s="54">
        <v>37169</v>
      </c>
      <c r="Q26" s="52">
        <f t="shared" si="3"/>
        <v>54890</v>
      </c>
      <c r="R26" s="52">
        <f>VLOOKUP(A26,'PMUY + PMGKY Consumption'!$A$2:$C$37,3,FALSE)</f>
        <v>90538</v>
      </c>
      <c r="S26" s="83">
        <f t="shared" si="6"/>
        <v>1.6494443432319184</v>
      </c>
      <c r="T26" s="54">
        <v>21412</v>
      </c>
      <c r="U26" s="54">
        <v>10873</v>
      </c>
      <c r="V26" s="54">
        <v>30815</v>
      </c>
      <c r="W26" s="52">
        <f t="shared" si="5"/>
        <v>63100</v>
      </c>
      <c r="Z26" s="59" t="s">
        <v>259</v>
      </c>
      <c r="AA26" s="84">
        <v>1.9689436569556236</v>
      </c>
    </row>
    <row r="27" spans="1:27" x14ac:dyDescent="0.35">
      <c r="A27" s="59" t="s">
        <v>261</v>
      </c>
      <c r="B27" s="57">
        <v>1015376</v>
      </c>
      <c r="C27" s="57">
        <v>350305</v>
      </c>
      <c r="D27" s="60">
        <v>652411</v>
      </c>
      <c r="E27" s="52">
        <f t="shared" si="0"/>
        <v>2018092</v>
      </c>
      <c r="F27" s="57">
        <v>1837323</v>
      </c>
      <c r="G27" s="57">
        <v>648113</v>
      </c>
      <c r="H27" s="57">
        <v>612579</v>
      </c>
      <c r="I27" s="52">
        <f t="shared" si="1"/>
        <v>3098015</v>
      </c>
      <c r="J27" s="56">
        <v>1443158</v>
      </c>
      <c r="K27" s="56">
        <v>710815</v>
      </c>
      <c r="L27" s="56">
        <v>1410689</v>
      </c>
      <c r="M27" s="52">
        <f t="shared" si="2"/>
        <v>3564662</v>
      </c>
      <c r="N27" s="56">
        <v>448211</v>
      </c>
      <c r="O27" s="56">
        <v>951622</v>
      </c>
      <c r="P27" s="56">
        <v>3299968</v>
      </c>
      <c r="Q27" s="52">
        <f t="shared" si="3"/>
        <v>4699801</v>
      </c>
      <c r="R27" s="52">
        <f>VLOOKUP(A27,'PMUY + PMGKY Consumption'!$A$2:$C$37,3,FALSE)</f>
        <v>8373073</v>
      </c>
      <c r="S27" s="83">
        <f t="shared" si="6"/>
        <v>1.781580326486164</v>
      </c>
      <c r="T27" s="56">
        <v>1217033</v>
      </c>
      <c r="U27" s="56">
        <v>987119</v>
      </c>
      <c r="V27" s="56">
        <v>2322561</v>
      </c>
      <c r="W27" s="52">
        <f t="shared" si="5"/>
        <v>4526713</v>
      </c>
      <c r="Z27" s="59" t="s">
        <v>270</v>
      </c>
      <c r="AA27" s="84">
        <v>1.9776127234355141</v>
      </c>
    </row>
    <row r="28" spans="1:27" ht="15.5" x14ac:dyDescent="0.35">
      <c r="A28" s="36" t="s">
        <v>193</v>
      </c>
      <c r="B28" s="53">
        <v>771</v>
      </c>
      <c r="C28" s="53">
        <v>547</v>
      </c>
      <c r="D28" s="58">
        <v>1225</v>
      </c>
      <c r="E28" s="52">
        <f t="shared" si="0"/>
        <v>2543</v>
      </c>
      <c r="F28" s="54">
        <v>3273</v>
      </c>
      <c r="G28" s="54">
        <v>3312</v>
      </c>
      <c r="H28" s="54">
        <v>6504</v>
      </c>
      <c r="I28" s="52">
        <f t="shared" si="1"/>
        <v>13089</v>
      </c>
      <c r="J28" s="53">
        <v>698</v>
      </c>
      <c r="K28" s="54">
        <v>1212</v>
      </c>
      <c r="L28" s="54">
        <v>11638</v>
      </c>
      <c r="M28" s="52">
        <f t="shared" si="2"/>
        <v>13548</v>
      </c>
      <c r="N28" s="53">
        <v>263</v>
      </c>
      <c r="O28" s="53">
        <v>547</v>
      </c>
      <c r="P28" s="54">
        <v>13565</v>
      </c>
      <c r="Q28" s="52">
        <f t="shared" si="3"/>
        <v>14375</v>
      </c>
      <c r="R28" s="52">
        <f>VLOOKUP(A28,'PMUY + PMGKY Consumption'!$A$2:$C$37,3,FALSE)</f>
        <v>31180</v>
      </c>
      <c r="S28" s="83">
        <f t="shared" si="6"/>
        <v>2.1690434782608694</v>
      </c>
      <c r="T28" s="53">
        <v>724</v>
      </c>
      <c r="U28" s="54">
        <v>1024</v>
      </c>
      <c r="V28" s="54">
        <v>12797</v>
      </c>
      <c r="W28" s="52">
        <f t="shared" si="5"/>
        <v>14545</v>
      </c>
      <c r="Z28" s="59" t="s">
        <v>246</v>
      </c>
      <c r="AA28" s="84">
        <v>1.9803738317757009</v>
      </c>
    </row>
    <row r="29" spans="1:27" x14ac:dyDescent="0.35">
      <c r="A29" s="59" t="s">
        <v>262</v>
      </c>
      <c r="B29" s="57">
        <v>69158</v>
      </c>
      <c r="C29" s="54">
        <v>63388</v>
      </c>
      <c r="D29" s="60">
        <v>217506</v>
      </c>
      <c r="E29" s="52">
        <f t="shared" si="0"/>
        <v>350052</v>
      </c>
      <c r="F29" s="57">
        <v>366321</v>
      </c>
      <c r="G29" s="57">
        <v>270145</v>
      </c>
      <c r="H29" s="57">
        <v>423318</v>
      </c>
      <c r="I29" s="52">
        <f t="shared" si="1"/>
        <v>1059784</v>
      </c>
      <c r="J29" s="56">
        <v>179936</v>
      </c>
      <c r="K29" s="56">
        <v>167451</v>
      </c>
      <c r="L29" s="56">
        <v>763477</v>
      </c>
      <c r="M29" s="52">
        <f t="shared" si="2"/>
        <v>1110864</v>
      </c>
      <c r="N29" s="54">
        <v>27823</v>
      </c>
      <c r="O29" s="54">
        <v>81675</v>
      </c>
      <c r="P29" s="56">
        <v>1100631</v>
      </c>
      <c r="Q29" s="52">
        <f t="shared" si="3"/>
        <v>1210129</v>
      </c>
      <c r="R29" s="52">
        <f>VLOOKUP(A29,'PMUY + PMGKY Consumption'!$A$2:$C$37,3,FALSE)</f>
        <v>2453629</v>
      </c>
      <c r="S29" s="83">
        <f t="shared" si="6"/>
        <v>2.027576398879789</v>
      </c>
      <c r="T29" s="54">
        <v>80971</v>
      </c>
      <c r="U29" s="56">
        <v>120078</v>
      </c>
      <c r="V29" s="56">
        <v>959582</v>
      </c>
      <c r="W29" s="52">
        <f t="shared" si="5"/>
        <v>1160631</v>
      </c>
      <c r="Z29" s="59" t="s">
        <v>253</v>
      </c>
      <c r="AA29" s="84">
        <v>2.003288623710977</v>
      </c>
    </row>
    <row r="30" spans="1:27" x14ac:dyDescent="0.35">
      <c r="A30" s="63" t="s">
        <v>263</v>
      </c>
      <c r="B30" s="64">
        <v>733212</v>
      </c>
      <c r="C30" s="64">
        <v>484605</v>
      </c>
      <c r="D30" s="65">
        <v>109081</v>
      </c>
      <c r="E30" s="52">
        <f t="shared" si="0"/>
        <v>1326898</v>
      </c>
      <c r="F30" s="64">
        <v>2489959</v>
      </c>
      <c r="G30" s="64">
        <v>1306979</v>
      </c>
      <c r="H30" s="64">
        <v>1200443</v>
      </c>
      <c r="I30" s="52">
        <f t="shared" si="1"/>
        <v>4997381</v>
      </c>
      <c r="J30" s="50">
        <v>1433980</v>
      </c>
      <c r="K30" s="50">
        <v>1222217</v>
      </c>
      <c r="L30" s="50">
        <v>2945165</v>
      </c>
      <c r="M30" s="52">
        <f t="shared" si="2"/>
        <v>5601362</v>
      </c>
      <c r="N30" s="50">
        <v>374131</v>
      </c>
      <c r="O30" s="50">
        <v>931610</v>
      </c>
      <c r="P30" s="50">
        <v>5002954</v>
      </c>
      <c r="Q30" s="52">
        <f t="shared" si="3"/>
        <v>6308695</v>
      </c>
      <c r="R30" s="52">
        <f>VLOOKUP(A30,'PMUY + PMGKY Consumption'!$A$2:$C$37,3,FALSE)</f>
        <v>11136314</v>
      </c>
      <c r="S30" s="83">
        <f t="shared" si="6"/>
        <v>1.7652325877221835</v>
      </c>
      <c r="T30" s="50">
        <v>764165</v>
      </c>
      <c r="U30" s="50">
        <v>1068409</v>
      </c>
      <c r="V30" s="66">
        <v>4450589</v>
      </c>
      <c r="W30" s="52">
        <f t="shared" si="5"/>
        <v>6283163</v>
      </c>
      <c r="Z30" s="63" t="s">
        <v>262</v>
      </c>
      <c r="AA30" s="84">
        <v>2.027576398879789</v>
      </c>
    </row>
    <row r="31" spans="1:27" x14ac:dyDescent="0.35">
      <c r="A31" s="59" t="s">
        <v>264</v>
      </c>
      <c r="B31" s="53">
        <v>159</v>
      </c>
      <c r="C31" s="53">
        <v>90</v>
      </c>
      <c r="D31" s="62">
        <v>169</v>
      </c>
      <c r="E31" s="52">
        <f t="shared" si="0"/>
        <v>418</v>
      </c>
      <c r="F31" s="54">
        <v>2922</v>
      </c>
      <c r="G31" s="54">
        <v>1779</v>
      </c>
      <c r="H31" s="54">
        <v>2819</v>
      </c>
      <c r="I31" s="52">
        <f t="shared" si="1"/>
        <v>7520</v>
      </c>
      <c r="J31" s="54">
        <v>1108</v>
      </c>
      <c r="K31" s="53">
        <v>778</v>
      </c>
      <c r="L31" s="54">
        <v>5671</v>
      </c>
      <c r="M31" s="52">
        <f t="shared" si="2"/>
        <v>7557</v>
      </c>
      <c r="N31" s="53">
        <v>46</v>
      </c>
      <c r="O31" s="53">
        <v>986</v>
      </c>
      <c r="P31" s="54">
        <v>7708</v>
      </c>
      <c r="Q31" s="52">
        <f t="shared" si="3"/>
        <v>8740</v>
      </c>
      <c r="R31" s="52">
        <f>VLOOKUP(A31,'PMUY + PMGKY Consumption'!$A$2:$C$37,3,FALSE)</f>
        <v>21314</v>
      </c>
      <c r="S31" s="83">
        <f t="shared" si="6"/>
        <v>2.4386727688787184</v>
      </c>
      <c r="T31" s="54">
        <v>2779</v>
      </c>
      <c r="U31" s="54">
        <v>2091</v>
      </c>
      <c r="V31" s="67">
        <v>4829</v>
      </c>
      <c r="W31" s="52">
        <f t="shared" si="5"/>
        <v>9699</v>
      </c>
      <c r="Z31" s="59" t="s">
        <v>248</v>
      </c>
      <c r="AA31" s="84">
        <v>2.1089846765947677</v>
      </c>
    </row>
    <row r="32" spans="1:27" x14ac:dyDescent="0.35">
      <c r="A32" s="59" t="s">
        <v>265</v>
      </c>
      <c r="B32" s="57">
        <v>358822</v>
      </c>
      <c r="C32" s="57">
        <v>237831</v>
      </c>
      <c r="D32" s="60">
        <v>354603</v>
      </c>
      <c r="E32" s="52">
        <f t="shared" si="0"/>
        <v>951256</v>
      </c>
      <c r="F32" s="57">
        <v>1103858</v>
      </c>
      <c r="G32" s="57">
        <v>773082</v>
      </c>
      <c r="H32" s="57">
        <v>887914</v>
      </c>
      <c r="I32" s="52">
        <f t="shared" si="1"/>
        <v>2764854</v>
      </c>
      <c r="J32" s="56">
        <v>500463</v>
      </c>
      <c r="K32" s="56">
        <v>529528</v>
      </c>
      <c r="L32" s="56">
        <v>1765821</v>
      </c>
      <c r="M32" s="52">
        <f t="shared" si="2"/>
        <v>2795812</v>
      </c>
      <c r="N32" s="56">
        <v>157988</v>
      </c>
      <c r="O32" s="56">
        <v>314586</v>
      </c>
      <c r="P32" s="56">
        <v>2744972</v>
      </c>
      <c r="Q32" s="52">
        <f t="shared" si="3"/>
        <v>3217546</v>
      </c>
      <c r="R32" s="52">
        <f>VLOOKUP(A32,'PMUY + PMGKY Consumption'!$A$2:$C$37,3,FALSE)</f>
        <v>6190992</v>
      </c>
      <c r="S32" s="83">
        <f t="shared" si="6"/>
        <v>1.9241347287653385</v>
      </c>
      <c r="T32" s="56">
        <v>350597</v>
      </c>
      <c r="U32" s="56">
        <v>468017</v>
      </c>
      <c r="V32" s="68">
        <v>2319886</v>
      </c>
      <c r="W32" s="52">
        <f t="shared" si="5"/>
        <v>3138500</v>
      </c>
      <c r="Z32" s="56" t="s">
        <v>249</v>
      </c>
      <c r="AA32" s="84">
        <v>2.1579241934414881</v>
      </c>
    </row>
    <row r="33" spans="1:27" ht="15.5" x14ac:dyDescent="0.35">
      <c r="A33" s="59" t="s">
        <v>266</v>
      </c>
      <c r="B33" s="53">
        <v>11</v>
      </c>
      <c r="C33" s="53">
        <v>5</v>
      </c>
      <c r="D33" s="62">
        <v>21</v>
      </c>
      <c r="E33" s="52">
        <f t="shared" si="0"/>
        <v>37</v>
      </c>
      <c r="F33" s="57">
        <v>510919</v>
      </c>
      <c r="G33" s="57">
        <v>217020</v>
      </c>
      <c r="H33" s="57">
        <v>130162</v>
      </c>
      <c r="I33" s="52">
        <f t="shared" si="1"/>
        <v>858101</v>
      </c>
      <c r="J33" s="56">
        <v>221231</v>
      </c>
      <c r="K33" s="56">
        <v>239994</v>
      </c>
      <c r="L33" s="56">
        <v>479194</v>
      </c>
      <c r="M33" s="52">
        <f t="shared" si="2"/>
        <v>940419</v>
      </c>
      <c r="N33" s="54">
        <v>59387</v>
      </c>
      <c r="O33" s="56">
        <v>148060</v>
      </c>
      <c r="P33" s="56">
        <v>861110</v>
      </c>
      <c r="Q33" s="52">
        <f t="shared" si="3"/>
        <v>1068557</v>
      </c>
      <c r="R33" s="52">
        <f>VLOOKUP(A33,'PMUY + PMGKY Consumption'!$A$2:$C$37,3,FALSE)</f>
        <v>1875413</v>
      </c>
      <c r="S33" s="83">
        <f t="shared" si="6"/>
        <v>1.7550893401100738</v>
      </c>
      <c r="T33" s="56">
        <v>136469</v>
      </c>
      <c r="U33" s="56">
        <v>184207</v>
      </c>
      <c r="V33" s="68">
        <v>686022</v>
      </c>
      <c r="W33" s="52">
        <f t="shared" si="5"/>
        <v>1006698</v>
      </c>
      <c r="Z33" s="36" t="s">
        <v>193</v>
      </c>
      <c r="AA33" s="84">
        <v>2.1690434782608694</v>
      </c>
    </row>
    <row r="34" spans="1:27" x14ac:dyDescent="0.35">
      <c r="A34" s="59" t="s">
        <v>267</v>
      </c>
      <c r="B34" s="57">
        <v>31470</v>
      </c>
      <c r="C34" s="54">
        <v>7806</v>
      </c>
      <c r="D34" s="58">
        <v>4691</v>
      </c>
      <c r="E34" s="52">
        <f t="shared" si="0"/>
        <v>43967</v>
      </c>
      <c r="F34" s="57">
        <v>126198</v>
      </c>
      <c r="G34" s="54">
        <v>36579</v>
      </c>
      <c r="H34" s="54">
        <v>47293</v>
      </c>
      <c r="I34" s="52">
        <f t="shared" si="1"/>
        <v>210070</v>
      </c>
      <c r="J34" s="54">
        <v>50689</v>
      </c>
      <c r="K34" s="54">
        <v>33757</v>
      </c>
      <c r="L34" s="54">
        <v>90246</v>
      </c>
      <c r="M34" s="52">
        <f t="shared" si="2"/>
        <v>174692</v>
      </c>
      <c r="N34" s="54">
        <v>49772</v>
      </c>
      <c r="O34" s="54">
        <v>40446</v>
      </c>
      <c r="P34" s="56">
        <v>161117</v>
      </c>
      <c r="Q34" s="52">
        <f t="shared" si="3"/>
        <v>251335</v>
      </c>
      <c r="R34" s="52">
        <f>VLOOKUP(A34,'PMUY + PMGKY Consumption'!$A$2:$C$37,3,FALSE)</f>
        <v>449726</v>
      </c>
      <c r="S34" s="83">
        <f t="shared" si="6"/>
        <v>1.7893488769968369</v>
      </c>
      <c r="T34" s="54">
        <v>33569</v>
      </c>
      <c r="U34" s="54">
        <v>27022</v>
      </c>
      <c r="V34" s="68">
        <v>110978</v>
      </c>
      <c r="W34" s="52">
        <f t="shared" si="5"/>
        <v>171569</v>
      </c>
      <c r="Z34" s="59" t="s">
        <v>264</v>
      </c>
      <c r="AA34" s="84">
        <v>2.4386727688787184</v>
      </c>
    </row>
    <row r="35" spans="1:27" x14ac:dyDescent="0.35">
      <c r="A35" s="59" t="s">
        <v>268</v>
      </c>
      <c r="B35" s="57">
        <v>1294511</v>
      </c>
      <c r="C35" s="57">
        <v>1074135</v>
      </c>
      <c r="D35" s="60">
        <v>3157024</v>
      </c>
      <c r="E35" s="52">
        <f t="shared" si="0"/>
        <v>5525670</v>
      </c>
      <c r="F35" s="57">
        <v>5056706</v>
      </c>
      <c r="G35" s="57">
        <v>3068354</v>
      </c>
      <c r="H35" s="57">
        <v>3603069</v>
      </c>
      <c r="I35" s="52">
        <f t="shared" si="1"/>
        <v>11728129</v>
      </c>
      <c r="J35" s="56">
        <v>2950707</v>
      </c>
      <c r="K35" s="56">
        <v>2532700</v>
      </c>
      <c r="L35" s="56">
        <v>7470598</v>
      </c>
      <c r="M35" s="52">
        <f t="shared" si="2"/>
        <v>12954005</v>
      </c>
      <c r="N35" s="56">
        <v>683769</v>
      </c>
      <c r="O35" s="56">
        <v>1763107</v>
      </c>
      <c r="P35" s="57">
        <v>12076647</v>
      </c>
      <c r="Q35" s="52">
        <f t="shared" si="3"/>
        <v>14523523</v>
      </c>
      <c r="R35" s="52">
        <f>VLOOKUP(A35,'PMUY + PMGKY Consumption'!$A$2:$C$37,3,FALSE)</f>
        <v>27090268</v>
      </c>
      <c r="S35" s="83">
        <f t="shared" si="6"/>
        <v>1.8652683649827937</v>
      </c>
      <c r="T35" s="56">
        <v>2537661</v>
      </c>
      <c r="U35" s="56">
        <v>2519694</v>
      </c>
      <c r="V35" s="57">
        <v>10407723</v>
      </c>
      <c r="W35" s="52">
        <f t="shared" si="5"/>
        <v>15465078</v>
      </c>
      <c r="Z35" s="59" t="s">
        <v>77</v>
      </c>
      <c r="AA35" s="84">
        <v>2.5965009866634881</v>
      </c>
    </row>
    <row r="36" spans="1:27" x14ac:dyDescent="0.35">
      <c r="A36" s="59" t="s">
        <v>269</v>
      </c>
      <c r="B36" s="57">
        <v>18851</v>
      </c>
      <c r="C36" s="54">
        <v>18890</v>
      </c>
      <c r="D36" s="58">
        <v>81787</v>
      </c>
      <c r="E36" s="52">
        <f t="shared" si="0"/>
        <v>119528</v>
      </c>
      <c r="F36" s="57">
        <v>124835</v>
      </c>
      <c r="G36" s="54">
        <v>71370</v>
      </c>
      <c r="H36" s="57">
        <v>121460</v>
      </c>
      <c r="I36" s="52">
        <f t="shared" si="1"/>
        <v>317665</v>
      </c>
      <c r="J36" s="54">
        <v>52765</v>
      </c>
      <c r="K36" s="54">
        <v>64056</v>
      </c>
      <c r="L36" s="56">
        <v>245546</v>
      </c>
      <c r="M36" s="52">
        <f t="shared" si="2"/>
        <v>362367</v>
      </c>
      <c r="N36" s="54">
        <v>13520</v>
      </c>
      <c r="O36" s="54">
        <v>35916</v>
      </c>
      <c r="P36" s="56">
        <v>350750</v>
      </c>
      <c r="Q36" s="52">
        <f t="shared" si="3"/>
        <v>400186</v>
      </c>
      <c r="R36" s="52">
        <f>VLOOKUP(A36,'PMUY + PMGKY Consumption'!$A$2:$C$37,3,FALSE)</f>
        <v>763540</v>
      </c>
      <c r="S36" s="83">
        <f t="shared" si="6"/>
        <v>1.9079627972992559</v>
      </c>
      <c r="T36" s="54">
        <v>58855</v>
      </c>
      <c r="U36" s="54">
        <v>52278</v>
      </c>
      <c r="V36" s="68">
        <v>303429</v>
      </c>
      <c r="W36" s="52">
        <f t="shared" si="5"/>
        <v>414562</v>
      </c>
      <c r="Z36" s="59" t="s">
        <v>243</v>
      </c>
      <c r="AA36" s="84">
        <v>2.8275862068965516</v>
      </c>
    </row>
    <row r="37" spans="1:27" x14ac:dyDescent="0.35">
      <c r="A37" s="59" t="s">
        <v>270</v>
      </c>
      <c r="B37" s="57">
        <v>1746159</v>
      </c>
      <c r="C37" s="57">
        <v>918926</v>
      </c>
      <c r="D37" s="60">
        <v>1807779</v>
      </c>
      <c r="E37" s="52">
        <f t="shared" si="0"/>
        <v>4472864</v>
      </c>
      <c r="F37" s="57">
        <v>3174004</v>
      </c>
      <c r="G37" s="57">
        <v>1359502</v>
      </c>
      <c r="H37" s="57">
        <v>1727344</v>
      </c>
      <c r="I37" s="52">
        <f t="shared" si="1"/>
        <v>6260850</v>
      </c>
      <c r="J37" s="56">
        <v>2321951</v>
      </c>
      <c r="K37" s="56">
        <v>1382095</v>
      </c>
      <c r="L37" s="56">
        <v>3325021</v>
      </c>
      <c r="M37" s="52">
        <f t="shared" si="2"/>
        <v>7029067</v>
      </c>
      <c r="N37" s="56">
        <v>493164</v>
      </c>
      <c r="O37" s="56">
        <v>1187506</v>
      </c>
      <c r="P37" s="56">
        <v>7067156</v>
      </c>
      <c r="Q37" s="52">
        <f t="shared" si="3"/>
        <v>8747826</v>
      </c>
      <c r="R37" s="52">
        <f>VLOOKUP(A37,'PMUY + PMGKY Consumption'!$A$2:$C$37,3,FALSE)</f>
        <v>17299812</v>
      </c>
      <c r="S37" s="83">
        <f t="shared" si="6"/>
        <v>1.9776127234355141</v>
      </c>
      <c r="T37" s="56">
        <v>2520099</v>
      </c>
      <c r="U37" s="56">
        <v>2076963</v>
      </c>
      <c r="V37" s="68">
        <v>5359912</v>
      </c>
      <c r="W37" s="52">
        <f t="shared" si="5"/>
        <v>9956974</v>
      </c>
      <c r="Z37" s="59" t="s">
        <v>254</v>
      </c>
      <c r="AA37" s="83"/>
    </row>
    <row r="38" spans="1:27" x14ac:dyDescent="0.35">
      <c r="A38" s="48"/>
      <c r="B38" s="48"/>
      <c r="C38" s="48"/>
      <c r="D38" s="48"/>
      <c r="E38" s="94">
        <f>SUM(E2:E37)</f>
        <v>29993031</v>
      </c>
      <c r="F38" s="48"/>
      <c r="G38" s="48"/>
      <c r="H38" s="48"/>
      <c r="I38" s="69">
        <f>SUM(I2:I37)</f>
        <v>59498994</v>
      </c>
      <c r="J38" s="48"/>
      <c r="K38" s="48"/>
      <c r="L38" s="48"/>
      <c r="M38" s="69">
        <f>SUM(M2:M37)</f>
        <v>65926254</v>
      </c>
      <c r="N38" s="48"/>
      <c r="O38" s="48"/>
      <c r="P38" s="48"/>
      <c r="Q38" s="69">
        <f>SUM(Q2:Q37)</f>
        <v>78981884</v>
      </c>
      <c r="R38" s="52"/>
      <c r="S38" s="82"/>
      <c r="T38" s="48"/>
      <c r="U38" s="48"/>
      <c r="V38" s="48"/>
      <c r="W38" s="69">
        <f>SUM(W2:W37)</f>
        <v>80522252</v>
      </c>
      <c r="Z38" s="48"/>
      <c r="AA38" s="82"/>
    </row>
    <row r="39" spans="1:27" x14ac:dyDescent="0.35">
      <c r="R39" s="52"/>
      <c r="S39" s="82"/>
      <c r="X39">
        <f>3.1/8.05</f>
        <v>0.3850931677018633</v>
      </c>
      <c r="AA39" s="82"/>
    </row>
  </sheetData>
  <sortState ref="Z2:AA37">
    <sortCondition ref="AA2:AA37"/>
  </sortState>
  <mergeCells count="5">
    <mergeCell ref="B1:D1"/>
    <mergeCell ref="F1:H1"/>
    <mergeCell ref="J1:L1"/>
    <mergeCell ref="N1:P1"/>
    <mergeCell ref="T1:V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H1" workbookViewId="0">
      <selection activeCell="B2" sqref="B2"/>
    </sheetView>
  </sheetViews>
  <sheetFormatPr defaultRowHeight="14.5" x14ac:dyDescent="0.35"/>
  <cols>
    <col min="1" max="1" width="21.1796875" customWidth="1"/>
    <col min="2" max="4" width="40.54296875" customWidth="1"/>
    <col min="5" max="5" width="38.1796875" customWidth="1"/>
    <col min="8" max="8" width="24.81640625" customWidth="1"/>
    <col min="9" max="9" width="39.81640625" customWidth="1"/>
  </cols>
  <sheetData>
    <row r="1" spans="1:9" ht="28" x14ac:dyDescent="0.35">
      <c r="A1" s="33" t="s">
        <v>160</v>
      </c>
      <c r="B1" s="34" t="s">
        <v>161</v>
      </c>
      <c r="C1" s="34" t="s">
        <v>234</v>
      </c>
      <c r="D1" s="34" t="s">
        <v>237</v>
      </c>
      <c r="E1" s="35" t="s">
        <v>162</v>
      </c>
      <c r="H1" s="41" t="s">
        <v>196</v>
      </c>
      <c r="I1" s="42" t="s">
        <v>197</v>
      </c>
    </row>
    <row r="2" spans="1:9" ht="28" x14ac:dyDescent="0.35">
      <c r="A2" s="36" t="s">
        <v>163</v>
      </c>
      <c r="B2" s="37">
        <v>652</v>
      </c>
      <c r="C2" s="37">
        <f>VLOOKUP(A2,$H$2:$I$37,2,FALSE)</f>
        <v>246</v>
      </c>
      <c r="D2" s="37">
        <f>B2-C2</f>
        <v>406</v>
      </c>
      <c r="E2" s="37">
        <v>460</v>
      </c>
      <c r="H2" s="43" t="s">
        <v>198</v>
      </c>
      <c r="I2" s="44">
        <v>22323</v>
      </c>
    </row>
    <row r="3" spans="1:9" ht="15.5" x14ac:dyDescent="0.35">
      <c r="A3" s="36" t="s">
        <v>164</v>
      </c>
      <c r="B3" s="38">
        <v>620899</v>
      </c>
      <c r="C3" s="37">
        <f>VLOOKUP(A3,$H$2:$I$37,2,FALSE)</f>
        <v>196054</v>
      </c>
      <c r="D3" s="37">
        <f t="shared" ref="D3:D37" si="0">B3-C3</f>
        <v>424845</v>
      </c>
      <c r="E3" s="38">
        <v>552538</v>
      </c>
      <c r="H3" s="43" t="s">
        <v>199</v>
      </c>
      <c r="I3" s="45">
        <v>762236</v>
      </c>
    </row>
    <row r="4" spans="1:9" ht="15.5" x14ac:dyDescent="0.35">
      <c r="A4" s="36" t="s">
        <v>165</v>
      </c>
      <c r="B4" s="38">
        <v>4449115</v>
      </c>
      <c r="C4" s="37">
        <f>VLOOKUP(A4,$H$2:$I$37,2,FALSE)</f>
        <v>1516012</v>
      </c>
      <c r="D4" s="37">
        <f t="shared" si="0"/>
        <v>2933103</v>
      </c>
      <c r="E4" s="38">
        <v>3949321</v>
      </c>
      <c r="H4" s="43" t="s">
        <v>200</v>
      </c>
      <c r="I4" s="44">
        <v>76841</v>
      </c>
    </row>
    <row r="5" spans="1:9" ht="15.5" x14ac:dyDescent="0.35">
      <c r="A5" s="36" t="s">
        <v>166</v>
      </c>
      <c r="B5" s="38">
        <v>707881</v>
      </c>
      <c r="C5" s="37">
        <f>VLOOKUP(A5,$H$2:$I$37,2,FALSE)</f>
        <v>293031</v>
      </c>
      <c r="D5" s="37">
        <f t="shared" si="0"/>
        <v>414850</v>
      </c>
      <c r="E5" s="38">
        <v>560204</v>
      </c>
      <c r="H5" s="43" t="s">
        <v>201</v>
      </c>
      <c r="I5" s="45">
        <v>5291401</v>
      </c>
    </row>
    <row r="6" spans="1:9" ht="15.5" x14ac:dyDescent="0.35">
      <c r="A6" s="36" t="s">
        <v>236</v>
      </c>
      <c r="B6" s="38">
        <f>4282147+44673</f>
        <v>4326820</v>
      </c>
      <c r="C6" s="37">
        <f>VLOOKUP(A6,$H$2:$I$37,2,FALSE) + 19193</f>
        <v>2037447</v>
      </c>
      <c r="D6" s="37">
        <f t="shared" si="0"/>
        <v>2289373</v>
      </c>
      <c r="E6" s="38">
        <f>3606778+38715</f>
        <v>3645493</v>
      </c>
      <c r="H6" s="43" t="s">
        <v>202</v>
      </c>
      <c r="I6" s="45">
        <v>15413247</v>
      </c>
    </row>
    <row r="7" spans="1:9" ht="15.5" x14ac:dyDescent="0.35">
      <c r="A7" s="36" t="s">
        <v>167</v>
      </c>
      <c r="B7" s="39" t="s">
        <v>29</v>
      </c>
      <c r="C7" s="37" t="s">
        <v>29</v>
      </c>
      <c r="D7" s="37" t="s">
        <v>29</v>
      </c>
      <c r="E7" s="39" t="s">
        <v>29</v>
      </c>
      <c r="H7" s="43" t="s">
        <v>203</v>
      </c>
      <c r="I7" s="46">
        <v>246</v>
      </c>
    </row>
    <row r="8" spans="1:9" ht="15.5" x14ac:dyDescent="0.35">
      <c r="A8" s="36" t="s">
        <v>168</v>
      </c>
      <c r="B8" s="38">
        <v>7010907</v>
      </c>
      <c r="C8" s="37">
        <f t="shared" ref="C8:C37" si="1">VLOOKUP(A8,$H$2:$I$37,2,FALSE)</f>
        <v>2453629</v>
      </c>
      <c r="D8" s="37">
        <f t="shared" si="0"/>
        <v>4557278</v>
      </c>
      <c r="E8" s="38">
        <v>6089986</v>
      </c>
      <c r="H8" s="43" t="s">
        <v>204</v>
      </c>
      <c r="I8" s="45">
        <v>4220273</v>
      </c>
    </row>
    <row r="9" spans="1:9" ht="28" x14ac:dyDescent="0.35">
      <c r="A9" s="36" t="s">
        <v>169</v>
      </c>
      <c r="B9" s="38">
        <v>27752065</v>
      </c>
      <c r="C9" s="37">
        <f t="shared" si="1"/>
        <v>11136314</v>
      </c>
      <c r="D9" s="37">
        <f t="shared" si="0"/>
        <v>16615751</v>
      </c>
      <c r="E9" s="38">
        <v>26727272</v>
      </c>
      <c r="H9" s="43" t="s">
        <v>205</v>
      </c>
      <c r="I9" s="44">
        <v>25694</v>
      </c>
    </row>
    <row r="10" spans="1:9" ht="15.5" x14ac:dyDescent="0.35">
      <c r="A10" s="36" t="s">
        <v>170</v>
      </c>
      <c r="B10" s="38">
        <v>70708978</v>
      </c>
      <c r="C10" s="37">
        <f t="shared" si="1"/>
        <v>27090268</v>
      </c>
      <c r="D10" s="37">
        <f t="shared" si="0"/>
        <v>43618710</v>
      </c>
      <c r="E10" s="38">
        <v>65139720</v>
      </c>
      <c r="H10" s="43" t="s">
        <v>206</v>
      </c>
      <c r="I10" s="45">
        <v>196054</v>
      </c>
    </row>
    <row r="11" spans="1:9" ht="15.5" x14ac:dyDescent="0.35">
      <c r="A11" s="36" t="s">
        <v>171</v>
      </c>
      <c r="B11" s="38">
        <v>2201431</v>
      </c>
      <c r="C11" s="37">
        <f t="shared" si="1"/>
        <v>763540</v>
      </c>
      <c r="D11" s="37">
        <f t="shared" si="0"/>
        <v>1437891</v>
      </c>
      <c r="E11" s="38">
        <v>2033185</v>
      </c>
      <c r="H11" s="43" t="s">
        <v>207</v>
      </c>
      <c r="I11" s="44">
        <v>2119</v>
      </c>
    </row>
    <row r="12" spans="1:9" ht="31" x14ac:dyDescent="0.35">
      <c r="A12" s="36" t="s">
        <v>235</v>
      </c>
      <c r="B12" s="39">
        <v>65918</v>
      </c>
      <c r="C12" s="37">
        <f t="shared" si="1"/>
        <v>22323</v>
      </c>
      <c r="D12" s="37">
        <f t="shared" si="0"/>
        <v>43595</v>
      </c>
      <c r="E12" s="39">
        <v>53246</v>
      </c>
      <c r="H12" s="43" t="s">
        <v>208</v>
      </c>
      <c r="I12" s="45">
        <v>4938634</v>
      </c>
    </row>
    <row r="13" spans="1:9" ht="15.5" x14ac:dyDescent="0.35">
      <c r="A13" s="36" t="s">
        <v>172</v>
      </c>
      <c r="B13" s="38">
        <v>215566</v>
      </c>
      <c r="C13" s="37">
        <f t="shared" si="1"/>
        <v>76841</v>
      </c>
      <c r="D13" s="37">
        <f t="shared" si="0"/>
        <v>138725</v>
      </c>
      <c r="E13" s="38">
        <v>173121</v>
      </c>
      <c r="H13" s="43" t="s">
        <v>209</v>
      </c>
      <c r="I13" s="45">
        <v>1516012</v>
      </c>
    </row>
    <row r="14" spans="1:9" ht="15.5" x14ac:dyDescent="0.35">
      <c r="A14" s="36" t="s">
        <v>173</v>
      </c>
      <c r="B14" s="38">
        <v>12089189</v>
      </c>
      <c r="C14" s="37">
        <f t="shared" si="1"/>
        <v>5291401</v>
      </c>
      <c r="D14" s="37">
        <f t="shared" si="0"/>
        <v>6797788</v>
      </c>
      <c r="E14" s="38">
        <v>10153586</v>
      </c>
      <c r="H14" s="43" t="s">
        <v>210</v>
      </c>
      <c r="I14" s="45">
        <v>293031</v>
      </c>
    </row>
    <row r="15" spans="1:9" ht="15.5" x14ac:dyDescent="0.35">
      <c r="A15" s="36" t="s">
        <v>174</v>
      </c>
      <c r="B15" s="38">
        <v>40150715</v>
      </c>
      <c r="C15" s="37">
        <f t="shared" si="1"/>
        <v>15413247</v>
      </c>
      <c r="D15" s="37">
        <f t="shared" si="0"/>
        <v>24737468</v>
      </c>
      <c r="E15" s="38">
        <v>36521617</v>
      </c>
      <c r="H15" s="43" t="s">
        <v>211</v>
      </c>
      <c r="I15" s="45">
        <v>2018254</v>
      </c>
    </row>
    <row r="16" spans="1:9" ht="15.5" x14ac:dyDescent="0.35">
      <c r="A16" s="36" t="s">
        <v>175</v>
      </c>
      <c r="B16" s="38">
        <v>11318754</v>
      </c>
      <c r="C16" s="37">
        <f t="shared" si="1"/>
        <v>5380287</v>
      </c>
      <c r="D16" s="37">
        <f t="shared" si="0"/>
        <v>5938467</v>
      </c>
      <c r="E16" s="38">
        <v>8583576</v>
      </c>
      <c r="H16" s="43" t="s">
        <v>212</v>
      </c>
      <c r="I16" s="45">
        <v>5380287</v>
      </c>
    </row>
    <row r="17" spans="1:9" ht="15.5" x14ac:dyDescent="0.35">
      <c r="A17" s="36" t="s">
        <v>176</v>
      </c>
      <c r="B17" s="38">
        <v>860955</v>
      </c>
      <c r="C17" s="37">
        <f t="shared" si="1"/>
        <v>276635</v>
      </c>
      <c r="D17" s="37">
        <f t="shared" si="0"/>
        <v>584320</v>
      </c>
      <c r="E17" s="38">
        <v>843266</v>
      </c>
      <c r="H17" s="43" t="s">
        <v>213</v>
      </c>
      <c r="I17" s="45">
        <v>5716317</v>
      </c>
    </row>
    <row r="18" spans="1:9" ht="15.5" x14ac:dyDescent="0.35">
      <c r="A18" s="36" t="s">
        <v>177</v>
      </c>
      <c r="B18" s="38">
        <v>501286</v>
      </c>
      <c r="C18" s="37">
        <f t="shared" si="1"/>
        <v>201691</v>
      </c>
      <c r="D18" s="37">
        <f t="shared" si="0"/>
        <v>299595</v>
      </c>
      <c r="E18" s="38">
        <v>429159</v>
      </c>
      <c r="H18" s="43" t="s">
        <v>214</v>
      </c>
      <c r="I18" s="45">
        <v>511692</v>
      </c>
    </row>
    <row r="19" spans="1:9" ht="15.5" x14ac:dyDescent="0.35">
      <c r="A19" s="36" t="s">
        <v>178</v>
      </c>
      <c r="B19" s="38">
        <v>174999</v>
      </c>
      <c r="C19" s="37">
        <f t="shared" si="1"/>
        <v>55284</v>
      </c>
      <c r="D19" s="37">
        <f t="shared" si="0"/>
        <v>119715</v>
      </c>
      <c r="E19" s="38">
        <v>138645</v>
      </c>
      <c r="H19" s="43" t="s">
        <v>215</v>
      </c>
      <c r="I19" s="44">
        <v>19193</v>
      </c>
    </row>
    <row r="20" spans="1:9" ht="15.5" x14ac:dyDescent="0.35">
      <c r="A20" s="36" t="s">
        <v>179</v>
      </c>
      <c r="B20" s="38">
        <v>233467</v>
      </c>
      <c r="C20" s="37">
        <f t="shared" si="1"/>
        <v>90538</v>
      </c>
      <c r="D20" s="37">
        <f t="shared" si="0"/>
        <v>142929</v>
      </c>
      <c r="E20" s="38">
        <v>227143</v>
      </c>
      <c r="H20" s="43" t="s">
        <v>216</v>
      </c>
      <c r="I20" s="46">
        <v>523</v>
      </c>
    </row>
    <row r="21" spans="1:9" ht="15.5" x14ac:dyDescent="0.35">
      <c r="A21" s="36" t="s">
        <v>180</v>
      </c>
      <c r="B21" s="38">
        <v>18837346</v>
      </c>
      <c r="C21" s="37">
        <f t="shared" si="1"/>
        <v>8373073</v>
      </c>
      <c r="D21" s="37">
        <f t="shared" si="0"/>
        <v>10464273</v>
      </c>
      <c r="E21" s="38">
        <v>14980292</v>
      </c>
      <c r="H21" s="43" t="s">
        <v>217</v>
      </c>
      <c r="I21" s="45">
        <v>11369372</v>
      </c>
    </row>
    <row r="22" spans="1:9" ht="15.5" x14ac:dyDescent="0.35">
      <c r="A22" s="36" t="s">
        <v>181</v>
      </c>
      <c r="B22" s="39">
        <v>47362</v>
      </c>
      <c r="C22" s="37">
        <f t="shared" si="1"/>
        <v>21314</v>
      </c>
      <c r="D22" s="37">
        <f t="shared" si="0"/>
        <v>26048</v>
      </c>
      <c r="E22" s="39">
        <v>36666</v>
      </c>
      <c r="H22" s="43" t="s">
        <v>218</v>
      </c>
      <c r="I22" s="45">
        <v>7629188</v>
      </c>
    </row>
    <row r="23" spans="1:9" ht="15.5" x14ac:dyDescent="0.35">
      <c r="A23" s="36" t="s">
        <v>182</v>
      </c>
      <c r="B23" s="38">
        <v>1007877</v>
      </c>
      <c r="C23" s="37">
        <f t="shared" si="1"/>
        <v>449726</v>
      </c>
      <c r="D23" s="37">
        <f t="shared" si="0"/>
        <v>558151</v>
      </c>
      <c r="E23" s="38">
        <v>726965</v>
      </c>
      <c r="H23" s="43" t="s">
        <v>219</v>
      </c>
      <c r="I23" s="45">
        <v>276635</v>
      </c>
    </row>
    <row r="24" spans="1:9" ht="15.5" x14ac:dyDescent="0.35">
      <c r="A24" s="36" t="s">
        <v>183</v>
      </c>
      <c r="B24" s="38">
        <v>40395050</v>
      </c>
      <c r="C24" s="37">
        <f t="shared" si="1"/>
        <v>17299812</v>
      </c>
      <c r="D24" s="37">
        <f t="shared" si="0"/>
        <v>23095238</v>
      </c>
      <c r="E24" s="38">
        <v>34416968</v>
      </c>
      <c r="H24" s="43" t="s">
        <v>220</v>
      </c>
      <c r="I24" s="45">
        <v>201691</v>
      </c>
    </row>
    <row r="25" spans="1:9" ht="15.5" x14ac:dyDescent="0.35">
      <c r="A25" s="36" t="s">
        <v>184</v>
      </c>
      <c r="B25" s="38">
        <v>7646131</v>
      </c>
      <c r="C25" s="37">
        <f t="shared" si="1"/>
        <v>4220273</v>
      </c>
      <c r="D25" s="37">
        <f t="shared" si="0"/>
        <v>3425858</v>
      </c>
      <c r="E25" s="38">
        <v>5747769</v>
      </c>
      <c r="H25" s="43" t="s">
        <v>221</v>
      </c>
      <c r="I25" s="44">
        <v>55284</v>
      </c>
    </row>
    <row r="26" spans="1:9" ht="28" x14ac:dyDescent="0.35">
      <c r="A26" s="43" t="s">
        <v>205</v>
      </c>
      <c r="B26" s="37">
        <v>61953</v>
      </c>
      <c r="C26" s="37">
        <f t="shared" si="1"/>
        <v>25694</v>
      </c>
      <c r="D26" s="37">
        <f t="shared" si="0"/>
        <v>36259</v>
      </c>
      <c r="E26" s="39">
        <v>65571</v>
      </c>
      <c r="H26" s="43" t="s">
        <v>222</v>
      </c>
      <c r="I26" s="44">
        <v>90538</v>
      </c>
    </row>
    <row r="27" spans="1:9" ht="15.5" x14ac:dyDescent="0.35">
      <c r="A27" s="36" t="s">
        <v>185</v>
      </c>
      <c r="B27" s="39">
        <v>5641</v>
      </c>
      <c r="C27" s="37">
        <f t="shared" si="1"/>
        <v>2119</v>
      </c>
      <c r="D27" s="37">
        <f t="shared" si="0"/>
        <v>3522</v>
      </c>
      <c r="E27" s="39">
        <v>4996</v>
      </c>
      <c r="H27" s="43" t="s">
        <v>223</v>
      </c>
      <c r="I27" s="45">
        <v>8373073</v>
      </c>
    </row>
    <row r="28" spans="1:9" ht="15.5" x14ac:dyDescent="0.35">
      <c r="A28" s="36" t="s">
        <v>186</v>
      </c>
      <c r="B28" s="38">
        <v>14266200</v>
      </c>
      <c r="C28" s="37">
        <f t="shared" si="1"/>
        <v>4938634</v>
      </c>
      <c r="D28" s="37">
        <f t="shared" si="0"/>
        <v>9327566</v>
      </c>
      <c r="E28" s="38">
        <v>14218185</v>
      </c>
      <c r="H28" s="43" t="s">
        <v>224</v>
      </c>
      <c r="I28" s="44">
        <v>31180</v>
      </c>
    </row>
    <row r="29" spans="1:9" ht="15.5" x14ac:dyDescent="0.35">
      <c r="A29" s="36" t="s">
        <v>187</v>
      </c>
      <c r="B29" s="38">
        <v>24851647</v>
      </c>
      <c r="C29" s="37">
        <f t="shared" si="1"/>
        <v>11369372</v>
      </c>
      <c r="D29" s="37">
        <f t="shared" si="0"/>
        <v>13482275</v>
      </c>
      <c r="E29" s="38">
        <v>22002757</v>
      </c>
      <c r="H29" s="43" t="s">
        <v>225</v>
      </c>
      <c r="I29" s="45">
        <v>2453629</v>
      </c>
    </row>
    <row r="30" spans="1:9" ht="15.5" x14ac:dyDescent="0.35">
      <c r="A30" s="36" t="s">
        <v>188</v>
      </c>
      <c r="B30" s="38">
        <v>21082520</v>
      </c>
      <c r="C30" s="37">
        <f t="shared" si="1"/>
        <v>7629188</v>
      </c>
      <c r="D30" s="37">
        <f t="shared" si="0"/>
        <v>13453332</v>
      </c>
      <c r="E30" s="38">
        <v>19262192</v>
      </c>
      <c r="H30" s="43" t="s">
        <v>226</v>
      </c>
      <c r="I30" s="45">
        <v>11136314</v>
      </c>
    </row>
    <row r="31" spans="1:9" ht="15.5" x14ac:dyDescent="0.35">
      <c r="A31" s="36" t="s">
        <v>189</v>
      </c>
      <c r="B31" s="38">
        <v>1888215</v>
      </c>
      <c r="C31" s="37">
        <f t="shared" si="1"/>
        <v>762236</v>
      </c>
      <c r="D31" s="37">
        <f t="shared" si="0"/>
        <v>1125979</v>
      </c>
      <c r="E31" s="38">
        <v>1542042</v>
      </c>
      <c r="H31" s="43" t="s">
        <v>227</v>
      </c>
      <c r="I31" s="44">
        <v>21314</v>
      </c>
    </row>
    <row r="32" spans="1:9" ht="15.5" x14ac:dyDescent="0.35">
      <c r="A32" s="36" t="s">
        <v>190</v>
      </c>
      <c r="B32" s="38">
        <v>15980562</v>
      </c>
      <c r="C32" s="37">
        <f t="shared" si="1"/>
        <v>5716317</v>
      </c>
      <c r="D32" s="37">
        <f t="shared" si="0"/>
        <v>10264245</v>
      </c>
      <c r="E32" s="38">
        <v>14978839</v>
      </c>
      <c r="H32" s="43" t="s">
        <v>228</v>
      </c>
      <c r="I32" s="45">
        <v>6190992</v>
      </c>
    </row>
    <row r="33" spans="1:9" ht="15.5" x14ac:dyDescent="0.35">
      <c r="A33" s="36" t="s">
        <v>191</v>
      </c>
      <c r="B33" s="38">
        <v>1279796</v>
      </c>
      <c r="C33" s="37">
        <f t="shared" si="1"/>
        <v>511692</v>
      </c>
      <c r="D33" s="37">
        <f t="shared" si="0"/>
        <v>768104</v>
      </c>
      <c r="E33" s="38">
        <v>1149207</v>
      </c>
      <c r="H33" s="43" t="s">
        <v>229</v>
      </c>
      <c r="I33" s="45">
        <v>1875413</v>
      </c>
    </row>
    <row r="34" spans="1:9" ht="15.5" x14ac:dyDescent="0.35">
      <c r="A34" s="36" t="s">
        <v>192</v>
      </c>
      <c r="B34" s="39">
        <v>1208</v>
      </c>
      <c r="C34" s="37">
        <f t="shared" si="1"/>
        <v>523</v>
      </c>
      <c r="D34" s="37">
        <f t="shared" si="0"/>
        <v>685</v>
      </c>
      <c r="E34" s="39">
        <v>1204</v>
      </c>
      <c r="H34" s="43" t="s">
        <v>230</v>
      </c>
      <c r="I34" s="45">
        <v>449726</v>
      </c>
    </row>
    <row r="35" spans="1:9" ht="15.5" x14ac:dyDescent="0.35">
      <c r="A35" s="36" t="s">
        <v>193</v>
      </c>
      <c r="B35" s="39">
        <v>95944</v>
      </c>
      <c r="C35" s="37">
        <f t="shared" si="1"/>
        <v>31180</v>
      </c>
      <c r="D35" s="37">
        <f t="shared" si="0"/>
        <v>64764</v>
      </c>
      <c r="E35" s="39">
        <v>87735</v>
      </c>
      <c r="H35" s="43" t="s">
        <v>231</v>
      </c>
      <c r="I35" s="45">
        <v>27090268</v>
      </c>
    </row>
    <row r="36" spans="1:9" ht="15.5" x14ac:dyDescent="0.35">
      <c r="A36" s="36" t="s">
        <v>194</v>
      </c>
      <c r="B36" s="38">
        <v>15825536</v>
      </c>
      <c r="C36" s="37">
        <f t="shared" si="1"/>
        <v>6190992</v>
      </c>
      <c r="D36" s="37">
        <f t="shared" si="0"/>
        <v>9634544</v>
      </c>
      <c r="E36" s="38">
        <v>13788950</v>
      </c>
      <c r="H36" s="43" t="s">
        <v>232</v>
      </c>
      <c r="I36" s="45">
        <v>763540</v>
      </c>
    </row>
    <row r="37" spans="1:9" ht="15.5" x14ac:dyDescent="0.35">
      <c r="A37" s="36" t="s">
        <v>195</v>
      </c>
      <c r="B37" s="40">
        <v>4484213</v>
      </c>
      <c r="C37" s="37">
        <f t="shared" si="1"/>
        <v>1875413</v>
      </c>
      <c r="D37" s="37">
        <f t="shared" si="0"/>
        <v>2608800</v>
      </c>
      <c r="E37" s="38">
        <v>3790826</v>
      </c>
      <c r="H37" s="43" t="s">
        <v>233</v>
      </c>
      <c r="I37" s="45">
        <v>17299812</v>
      </c>
    </row>
    <row r="38" spans="1:9" x14ac:dyDescent="0.35">
      <c r="B38" s="47">
        <f>SUM(B2:B37)</f>
        <v>351146798</v>
      </c>
      <c r="E38" s="47">
        <f>SUM(E2:E37)</f>
        <v>312622702</v>
      </c>
      <c r="H38" s="41"/>
      <c r="I38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000"/>
  <sheetViews>
    <sheetView workbookViewId="0">
      <selection activeCell="L6" sqref="L6"/>
    </sheetView>
  </sheetViews>
  <sheetFormatPr defaultColWidth="14.453125" defaultRowHeight="15" customHeight="1" x14ac:dyDescent="0.35"/>
  <cols>
    <col min="1" max="1" width="8.54296875" customWidth="1"/>
    <col min="2" max="2" width="11.54296875" customWidth="1"/>
    <col min="3" max="11" width="8.54296875" customWidth="1"/>
    <col min="12" max="12" width="10.453125" customWidth="1"/>
    <col min="13" max="18" width="8.54296875" customWidth="1"/>
    <col min="19" max="19" width="19.453125" customWidth="1"/>
    <col min="20" max="32" width="8.54296875" customWidth="1"/>
  </cols>
  <sheetData>
    <row r="1" spans="2:32" ht="14.25" customHeight="1" x14ac:dyDescent="0.35"/>
    <row r="2" spans="2:32" ht="14.25" customHeight="1" x14ac:dyDescent="0.35"/>
    <row r="3" spans="2:32" ht="14.25" customHeight="1" x14ac:dyDescent="0.35"/>
    <row r="4" spans="2:32" ht="14.25" customHeight="1" x14ac:dyDescent="0.35">
      <c r="D4" s="1" t="s">
        <v>41</v>
      </c>
      <c r="E4" s="1" t="s">
        <v>42</v>
      </c>
      <c r="F4" s="1" t="s">
        <v>43</v>
      </c>
      <c r="G4" s="1" t="s">
        <v>44</v>
      </c>
      <c r="H4" s="1" t="s">
        <v>45</v>
      </c>
      <c r="I4" s="1" t="s">
        <v>46</v>
      </c>
      <c r="J4" s="1" t="s">
        <v>47</v>
      </c>
      <c r="K4" s="1" t="s">
        <v>48</v>
      </c>
      <c r="L4" s="1" t="s">
        <v>49</v>
      </c>
      <c r="M4" s="1" t="s">
        <v>50</v>
      </c>
      <c r="N4" s="1" t="s">
        <v>51</v>
      </c>
      <c r="O4" s="1" t="s">
        <v>52</v>
      </c>
    </row>
    <row r="5" spans="2:32" ht="14.25" customHeight="1" x14ac:dyDescent="0.35">
      <c r="B5" s="1" t="s">
        <v>53</v>
      </c>
      <c r="D5" s="1">
        <v>183.43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2:32" ht="14.25" customHeight="1" x14ac:dyDescent="0.35">
      <c r="B6" s="1" t="s">
        <v>54</v>
      </c>
      <c r="D6" s="1">
        <f t="shared" ref="D6:J6" si="0">D7+D5</f>
        <v>744</v>
      </c>
      <c r="E6" s="1">
        <f t="shared" si="0"/>
        <v>581.5</v>
      </c>
      <c r="F6" s="1">
        <f t="shared" si="0"/>
        <v>593</v>
      </c>
      <c r="G6" s="1">
        <f t="shared" si="0"/>
        <v>594</v>
      </c>
      <c r="H6" s="1">
        <f t="shared" si="0"/>
        <v>594</v>
      </c>
      <c r="I6" s="1">
        <f t="shared" si="0"/>
        <v>594</v>
      </c>
      <c r="J6" s="1">
        <f t="shared" si="0"/>
        <v>594</v>
      </c>
      <c r="K6" s="1">
        <v>594</v>
      </c>
      <c r="L6" s="1">
        <f>594+25</f>
        <v>619</v>
      </c>
      <c r="U6" s="1">
        <f>(249.09+32.41)</f>
        <v>281.5</v>
      </c>
      <c r="V6" s="1">
        <f>(159.64+28.59)</f>
        <v>188.23</v>
      </c>
      <c r="W6" s="1">
        <f>(77.26+28.59)</f>
        <v>105.85000000000001</v>
      </c>
      <c r="X6" s="1">
        <f>(58.35+28.19)</f>
        <v>86.54</v>
      </c>
      <c r="Y6" s="1">
        <f>(29.02+15.21)</f>
        <v>44.230000000000004</v>
      </c>
      <c r="Z6" s="1">
        <f>(95.11+15.21)</f>
        <v>110.32</v>
      </c>
      <c r="AA6" s="1">
        <f>(142.66+15.21)</f>
        <v>157.87</v>
      </c>
      <c r="AB6" s="1">
        <v>246.31</v>
      </c>
      <c r="AC6" s="1">
        <v>251.31</v>
      </c>
      <c r="AD6" s="1">
        <v>245.36</v>
      </c>
      <c r="AE6" s="1">
        <v>240.37</v>
      </c>
      <c r="AF6" s="1">
        <v>195.91</v>
      </c>
    </row>
    <row r="7" spans="2:32" ht="14.25" customHeight="1" x14ac:dyDescent="0.35">
      <c r="B7" s="1" t="s">
        <v>55</v>
      </c>
      <c r="D7" s="1">
        <v>560.56999999999994</v>
      </c>
      <c r="E7" s="1">
        <v>581.5</v>
      </c>
      <c r="F7" s="1">
        <v>593</v>
      </c>
      <c r="G7" s="1">
        <v>594</v>
      </c>
      <c r="H7" s="1">
        <v>594</v>
      </c>
      <c r="I7" s="1">
        <v>594</v>
      </c>
      <c r="J7" s="1">
        <v>594</v>
      </c>
      <c r="K7" s="1">
        <f>K6-K5</f>
        <v>594</v>
      </c>
      <c r="L7" s="1">
        <f>L6-L5</f>
        <v>619</v>
      </c>
      <c r="U7" s="1">
        <f>(42.11+48.26)</f>
        <v>90.37</v>
      </c>
      <c r="V7" s="1">
        <f>(65.8+42.55)</f>
        <v>108.35</v>
      </c>
      <c r="W7" s="1">
        <f>(86.77+42.55)</f>
        <v>129.32</v>
      </c>
      <c r="X7" s="1">
        <f>(73.09+43.25)</f>
        <v>116.34</v>
      </c>
      <c r="Y7" s="1">
        <f>(23.93+33.98)</f>
        <v>57.91</v>
      </c>
      <c r="Z7" s="1">
        <f>(7.46+33.98)</f>
        <v>41.44</v>
      </c>
      <c r="AA7" s="1">
        <f>(28.23+34.68)</f>
        <v>62.91</v>
      </c>
      <c r="AB7" s="1">
        <f>(70.74+28.12)</f>
        <v>98.86</v>
      </c>
      <c r="AC7" s="1">
        <f>(123.17+28.12)</f>
        <v>151.29</v>
      </c>
      <c r="AD7" s="1">
        <f>(12.87+28.42)</f>
        <v>41.29</v>
      </c>
      <c r="AE7" s="1">
        <f>(184.29+32.41)</f>
        <v>216.7</v>
      </c>
      <c r="AF7" s="1">
        <f>(270.16+32.41)</f>
        <v>302.57000000000005</v>
      </c>
    </row>
    <row r="8" spans="2:32" ht="14.25" customHeight="1" x14ac:dyDescent="0.35">
      <c r="U8" s="1">
        <f>(173.74+29.44)</f>
        <v>203.18</v>
      </c>
      <c r="V8" s="1">
        <f>(168.74+29.44)</f>
        <v>198.18</v>
      </c>
      <c r="W8" s="1">
        <f>(179.24+29.44)</f>
        <v>208.68</v>
      </c>
      <c r="X8" s="1">
        <f>(141.59+49.09)</f>
        <v>190.68</v>
      </c>
      <c r="Y8" s="1">
        <f>(118.09+49.09)</f>
        <v>167.18</v>
      </c>
      <c r="Z8" s="1">
        <f>(92.59+42.09)</f>
        <v>134.68</v>
      </c>
      <c r="AA8" s="1">
        <f>(65.51+34.17)</f>
        <v>99.68</v>
      </c>
      <c r="AB8" s="1">
        <f>(78.92+48.26)</f>
        <v>127.18</v>
      </c>
      <c r="AC8" s="1">
        <f>(140.42+48.26)</f>
        <v>188.67999999999998</v>
      </c>
      <c r="AD8" s="1">
        <f>(190.51+47.66)</f>
        <v>238.17</v>
      </c>
      <c r="AE8" s="1">
        <f>(108.12+47.66)</f>
        <v>155.78</v>
      </c>
      <c r="AF8" s="1">
        <f>(46.71+47.66)</f>
        <v>94.37</v>
      </c>
    </row>
    <row r="9" spans="2:32" ht="14.25" customHeight="1" x14ac:dyDescent="0.35">
      <c r="B9" s="1" t="s">
        <v>56</v>
      </c>
      <c r="D9" s="1">
        <v>210.64</v>
      </c>
      <c r="E9" s="1">
        <v>216.36</v>
      </c>
      <c r="F9" s="1">
        <v>240.13</v>
      </c>
      <c r="G9" s="1">
        <v>142.65</v>
      </c>
      <c r="H9" s="1">
        <v>71.709999999999994</v>
      </c>
      <c r="I9" s="1">
        <v>79.62</v>
      </c>
      <c r="J9" s="1">
        <v>87.05</v>
      </c>
      <c r="K9" s="1">
        <v>155.9</v>
      </c>
      <c r="L9" s="1">
        <v>164.75</v>
      </c>
      <c r="M9" s="1">
        <v>178.86</v>
      </c>
      <c r="N9" s="1">
        <v>243</v>
      </c>
      <c r="O9" s="1">
        <v>252</v>
      </c>
    </row>
    <row r="10" spans="2:32" ht="14.25" customHeight="1" x14ac:dyDescent="0.35">
      <c r="B10" s="1" t="s">
        <v>54</v>
      </c>
      <c r="D10" s="1">
        <v>706.5</v>
      </c>
      <c r="E10" s="1">
        <v>712.5</v>
      </c>
      <c r="F10" s="1">
        <v>737.5</v>
      </c>
      <c r="G10" s="1">
        <v>637</v>
      </c>
      <c r="H10" s="1">
        <v>574.5</v>
      </c>
      <c r="I10" s="1">
        <v>590</v>
      </c>
      <c r="J10" s="1">
        <v>605</v>
      </c>
      <c r="K10" s="1">
        <v>681.5</v>
      </c>
      <c r="L10" s="1">
        <v>695</v>
      </c>
      <c r="M10" s="1">
        <v>714</v>
      </c>
      <c r="N10" s="1">
        <v>858.5</v>
      </c>
      <c r="O10" s="1">
        <v>805.5</v>
      </c>
    </row>
    <row r="11" spans="2:32" ht="14.25" customHeight="1" x14ac:dyDescent="0.35">
      <c r="B11" s="1" t="s">
        <v>55</v>
      </c>
      <c r="D11" s="1">
        <f t="shared" ref="D11:O11" si="1">D10-D9</f>
        <v>495.86</v>
      </c>
      <c r="E11" s="1">
        <f t="shared" si="1"/>
        <v>496.14</v>
      </c>
      <c r="F11" s="1">
        <f t="shared" si="1"/>
        <v>497.37</v>
      </c>
      <c r="G11" s="1">
        <f t="shared" si="1"/>
        <v>494.35</v>
      </c>
      <c r="H11" s="1">
        <f t="shared" si="1"/>
        <v>502.79</v>
      </c>
      <c r="I11" s="1">
        <f t="shared" si="1"/>
        <v>510.38</v>
      </c>
      <c r="J11" s="1">
        <f t="shared" si="1"/>
        <v>517.95000000000005</v>
      </c>
      <c r="K11" s="1">
        <f t="shared" si="1"/>
        <v>525.6</v>
      </c>
      <c r="L11" s="1">
        <f t="shared" si="1"/>
        <v>530.25</v>
      </c>
      <c r="M11" s="1">
        <f t="shared" si="1"/>
        <v>535.14</v>
      </c>
      <c r="N11" s="1">
        <f t="shared" si="1"/>
        <v>615.5</v>
      </c>
      <c r="O11" s="1">
        <f t="shared" si="1"/>
        <v>553.5</v>
      </c>
    </row>
    <row r="12" spans="2:32" ht="14.25" customHeight="1" x14ac:dyDescent="0.35"/>
    <row r="13" spans="2:32" ht="14.25" customHeight="1" x14ac:dyDescent="0.35">
      <c r="B13" s="1" t="s">
        <v>57</v>
      </c>
      <c r="D13" s="1">
        <v>162.15</v>
      </c>
      <c r="E13" s="1">
        <v>159.29</v>
      </c>
      <c r="F13" s="1">
        <v>204.95</v>
      </c>
      <c r="G13" s="1">
        <v>257.74</v>
      </c>
      <c r="H13" s="1">
        <v>291.48</v>
      </c>
      <c r="I13" s="1">
        <v>320.49</v>
      </c>
      <c r="J13" s="1">
        <v>376.6</v>
      </c>
      <c r="K13" s="1">
        <v>434</v>
      </c>
      <c r="L13" s="1">
        <v>308.60000000000002</v>
      </c>
      <c r="M13" s="1">
        <v>194.01</v>
      </c>
      <c r="N13" s="1">
        <v>165.47</v>
      </c>
      <c r="O13" s="1">
        <v>205.89</v>
      </c>
      <c r="Q13" s="1" t="s">
        <v>52</v>
      </c>
      <c r="R13" s="1">
        <v>513.5</v>
      </c>
      <c r="S13" s="1" t="s">
        <v>58</v>
      </c>
      <c r="T13" s="1">
        <v>513.5</v>
      </c>
    </row>
    <row r="14" spans="2:32" ht="14.25" customHeight="1" x14ac:dyDescent="0.35">
      <c r="B14" s="1" t="s">
        <v>54</v>
      </c>
      <c r="D14" s="1">
        <v>653.5</v>
      </c>
      <c r="E14" s="1">
        <v>650.5</v>
      </c>
      <c r="F14" s="1">
        <v>698.5</v>
      </c>
      <c r="G14" s="1">
        <v>754</v>
      </c>
      <c r="H14" s="1">
        <v>789.5</v>
      </c>
      <c r="I14" s="1">
        <v>820</v>
      </c>
      <c r="J14" s="1">
        <v>879</v>
      </c>
      <c r="K14" s="1">
        <v>940.5</v>
      </c>
      <c r="L14" s="1">
        <v>809.5</v>
      </c>
      <c r="M14" s="1">
        <v>689</v>
      </c>
      <c r="N14" s="1">
        <v>659</v>
      </c>
      <c r="O14" s="1">
        <v>701.5</v>
      </c>
      <c r="Q14" s="1" t="s">
        <v>51</v>
      </c>
      <c r="R14" s="1">
        <v>575</v>
      </c>
      <c r="S14" s="1" t="s">
        <v>59</v>
      </c>
      <c r="T14" s="1">
        <v>575</v>
      </c>
    </row>
    <row r="15" spans="2:32" ht="14.25" customHeight="1" x14ac:dyDescent="0.35">
      <c r="B15" s="1" t="s">
        <v>55</v>
      </c>
      <c r="D15" s="1">
        <f t="shared" ref="D15:O15" si="2">D14-D13</f>
        <v>491.35</v>
      </c>
      <c r="E15" s="1">
        <f t="shared" si="2"/>
        <v>491.21000000000004</v>
      </c>
      <c r="F15" s="1">
        <f t="shared" si="2"/>
        <v>493.55</v>
      </c>
      <c r="G15" s="1">
        <f t="shared" si="2"/>
        <v>496.26</v>
      </c>
      <c r="H15" s="1">
        <f t="shared" si="2"/>
        <v>498.02</v>
      </c>
      <c r="I15" s="1">
        <f t="shared" si="2"/>
        <v>499.51</v>
      </c>
      <c r="J15" s="1">
        <f t="shared" si="2"/>
        <v>502.4</v>
      </c>
      <c r="K15" s="1">
        <f t="shared" si="2"/>
        <v>506.5</v>
      </c>
      <c r="L15" s="1">
        <f t="shared" si="2"/>
        <v>500.9</v>
      </c>
      <c r="M15" s="1">
        <f t="shared" si="2"/>
        <v>494.99</v>
      </c>
      <c r="N15" s="1">
        <f t="shared" si="2"/>
        <v>493.53</v>
      </c>
      <c r="O15" s="1">
        <f t="shared" si="2"/>
        <v>495.61</v>
      </c>
      <c r="Q15" s="1" t="s">
        <v>50</v>
      </c>
      <c r="R15" s="1">
        <v>657.5</v>
      </c>
      <c r="S15" s="1" t="s">
        <v>60</v>
      </c>
      <c r="T15" s="1">
        <v>657.5</v>
      </c>
    </row>
    <row r="16" spans="2:32" ht="14.25" customHeight="1" x14ac:dyDescent="0.35">
      <c r="Q16" s="1" t="s">
        <v>49</v>
      </c>
      <c r="R16" s="1">
        <v>607.25</v>
      </c>
      <c r="S16" s="1" t="s">
        <v>61</v>
      </c>
      <c r="T16" s="1">
        <v>607.25</v>
      </c>
    </row>
    <row r="17" spans="2:20" ht="14.25" customHeight="1" x14ac:dyDescent="0.35">
      <c r="B17" s="1" t="s">
        <v>62</v>
      </c>
      <c r="D17" s="1">
        <f>(249.09+32.41)</f>
        <v>281.5</v>
      </c>
      <c r="E17" s="1">
        <f>(159.64+28.59)</f>
        <v>188.23</v>
      </c>
      <c r="F17" s="1">
        <f>(77.26+28.59)</f>
        <v>105.85000000000001</v>
      </c>
      <c r="G17" s="1">
        <f>(58.35+28.19)</f>
        <v>86.54</v>
      </c>
      <c r="H17" s="1">
        <f>(29.02+15.21)</f>
        <v>44.230000000000004</v>
      </c>
      <c r="I17" s="1">
        <f>(95.11+15.21)</f>
        <v>110.32</v>
      </c>
      <c r="J17" s="1">
        <f>(142.66+15.21)</f>
        <v>157.87</v>
      </c>
      <c r="K17" s="1">
        <v>246.31</v>
      </c>
      <c r="L17" s="1">
        <v>251.31</v>
      </c>
      <c r="M17" s="1">
        <v>245.36</v>
      </c>
      <c r="N17" s="1">
        <v>240.37</v>
      </c>
      <c r="O17" s="1">
        <v>195.91</v>
      </c>
      <c r="Q17" s="1" t="s">
        <v>48</v>
      </c>
      <c r="R17" s="1">
        <v>545</v>
      </c>
      <c r="S17" s="1" t="s">
        <v>63</v>
      </c>
      <c r="T17" s="1">
        <v>545</v>
      </c>
    </row>
    <row r="18" spans="2:20" ht="14.25" customHeight="1" x14ac:dyDescent="0.35">
      <c r="B18" s="1" t="s">
        <v>54</v>
      </c>
      <c r="D18" s="1">
        <v>723</v>
      </c>
      <c r="E18" s="1">
        <v>631</v>
      </c>
      <c r="F18" s="1">
        <v>552.5</v>
      </c>
      <c r="G18" s="1">
        <v>564</v>
      </c>
      <c r="H18" s="1">
        <v>524</v>
      </c>
      <c r="I18" s="1">
        <v>598.25</v>
      </c>
      <c r="J18" s="1">
        <v>649</v>
      </c>
      <c r="K18" s="1">
        <v>742</v>
      </c>
      <c r="L18" s="1">
        <v>747</v>
      </c>
      <c r="M18" s="1">
        <v>741</v>
      </c>
      <c r="N18" s="1">
        <v>736</v>
      </c>
      <c r="O18" s="1">
        <v>689</v>
      </c>
      <c r="Q18" s="1" t="s">
        <v>47</v>
      </c>
      <c r="R18" s="1">
        <v>517.5</v>
      </c>
      <c r="S18" s="1" t="s">
        <v>64</v>
      </c>
      <c r="T18" s="1">
        <v>517.5</v>
      </c>
    </row>
    <row r="19" spans="2:20" ht="14.25" customHeight="1" x14ac:dyDescent="0.35">
      <c r="B19" s="1" t="s">
        <v>55</v>
      </c>
      <c r="D19" s="1">
        <f t="shared" ref="D19:O19" si="3">D18-D17</f>
        <v>441.5</v>
      </c>
      <c r="E19" s="1">
        <f t="shared" si="3"/>
        <v>442.77</v>
      </c>
      <c r="F19" s="1">
        <f t="shared" si="3"/>
        <v>446.65</v>
      </c>
      <c r="G19" s="1">
        <f t="shared" si="3"/>
        <v>477.46</v>
      </c>
      <c r="H19" s="1">
        <f t="shared" si="3"/>
        <v>479.77</v>
      </c>
      <c r="I19" s="1">
        <f t="shared" si="3"/>
        <v>487.93</v>
      </c>
      <c r="J19" s="1">
        <f t="shared" si="3"/>
        <v>491.13</v>
      </c>
      <c r="K19" s="1">
        <f t="shared" si="3"/>
        <v>495.69</v>
      </c>
      <c r="L19" s="1">
        <f t="shared" si="3"/>
        <v>495.69</v>
      </c>
      <c r="M19" s="1">
        <f t="shared" si="3"/>
        <v>495.64</v>
      </c>
      <c r="N19" s="1">
        <f t="shared" si="3"/>
        <v>495.63</v>
      </c>
      <c r="O19" s="1">
        <f t="shared" si="3"/>
        <v>493.09000000000003</v>
      </c>
      <c r="Q19" s="1" t="s">
        <v>46</v>
      </c>
      <c r="R19" s="1">
        <v>559.5</v>
      </c>
      <c r="S19" s="1" t="s">
        <v>65</v>
      </c>
      <c r="T19" s="1">
        <v>559.5</v>
      </c>
    </row>
    <row r="20" spans="2:20" ht="14.25" customHeight="1" x14ac:dyDescent="0.35">
      <c r="Q20" s="1" t="s">
        <v>45</v>
      </c>
      <c r="R20" s="1">
        <v>585</v>
      </c>
      <c r="S20" s="1" t="s">
        <v>66</v>
      </c>
      <c r="T20" s="1">
        <v>585</v>
      </c>
    </row>
    <row r="21" spans="2:20" ht="14.25" customHeight="1" x14ac:dyDescent="0.35">
      <c r="B21" s="1" t="s">
        <v>67</v>
      </c>
      <c r="D21" s="1">
        <f>(42.11+48.26)</f>
        <v>90.37</v>
      </c>
      <c r="E21" s="1">
        <f>(65.8+42.55)</f>
        <v>108.35</v>
      </c>
      <c r="F21" s="1">
        <f>(86.77+42.55)</f>
        <v>129.32</v>
      </c>
      <c r="G21" s="1">
        <f>(73.09+43.25)</f>
        <v>116.34</v>
      </c>
      <c r="H21" s="1">
        <f>(23.93+33.98)</f>
        <v>57.91</v>
      </c>
      <c r="I21" s="1">
        <f>(7.46+33.98)</f>
        <v>41.44</v>
      </c>
      <c r="J21" s="1">
        <f>(28.23+34.68)</f>
        <v>62.91</v>
      </c>
      <c r="K21" s="1">
        <f>(70.74+28.12)</f>
        <v>98.86</v>
      </c>
      <c r="L21" s="1">
        <f>(123.17+28.12)</f>
        <v>151.29</v>
      </c>
      <c r="M21" s="1">
        <f>(12.87+28.42)</f>
        <v>41.29</v>
      </c>
      <c r="N21" s="1">
        <f>(184.29+32.41)</f>
        <v>216.7</v>
      </c>
      <c r="O21" s="1">
        <f>(270.16+32.41)</f>
        <v>302.57000000000005</v>
      </c>
      <c r="Q21" s="1" t="s">
        <v>44</v>
      </c>
      <c r="R21" s="1">
        <v>608.5</v>
      </c>
      <c r="S21" s="1" t="s">
        <v>68</v>
      </c>
      <c r="T21" s="1">
        <v>608.5</v>
      </c>
    </row>
    <row r="22" spans="2:20" ht="14.25" customHeight="1" x14ac:dyDescent="0.35">
      <c r="B22" s="1" t="s">
        <v>54</v>
      </c>
      <c r="D22" s="1">
        <v>509.5</v>
      </c>
      <c r="E22" s="1">
        <v>527.5</v>
      </c>
      <c r="F22" s="1">
        <v>548.5</v>
      </c>
      <c r="G22" s="1">
        <v>537.5</v>
      </c>
      <c r="H22" s="1">
        <v>487</v>
      </c>
      <c r="I22" s="1">
        <v>466.5</v>
      </c>
      <c r="J22" s="1">
        <v>491</v>
      </c>
      <c r="K22" s="1">
        <v>529.5</v>
      </c>
      <c r="L22" s="1">
        <v>584</v>
      </c>
      <c r="M22" s="1">
        <v>585</v>
      </c>
      <c r="N22" s="1">
        <v>651.5</v>
      </c>
      <c r="O22" s="1">
        <v>737.5</v>
      </c>
      <c r="Q22" s="1" t="s">
        <v>43</v>
      </c>
      <c r="R22" s="1">
        <v>626.5</v>
      </c>
      <c r="S22" s="1" t="s">
        <v>69</v>
      </c>
      <c r="T22" s="1">
        <v>626.5</v>
      </c>
    </row>
    <row r="23" spans="2:20" ht="14.25" customHeight="1" x14ac:dyDescent="0.35">
      <c r="B23" s="1" t="s">
        <v>55</v>
      </c>
      <c r="D23" s="1">
        <f t="shared" ref="D23:O23" si="4">D22-D21</f>
        <v>419.13</v>
      </c>
      <c r="E23" s="1">
        <f t="shared" si="4"/>
        <v>419.15</v>
      </c>
      <c r="F23" s="1">
        <f t="shared" si="4"/>
        <v>419.18</v>
      </c>
      <c r="G23" s="1">
        <f t="shared" si="4"/>
        <v>421.15999999999997</v>
      </c>
      <c r="H23" s="1">
        <f t="shared" si="4"/>
        <v>429.09000000000003</v>
      </c>
      <c r="I23" s="1">
        <f t="shared" si="4"/>
        <v>425.06</v>
      </c>
      <c r="J23" s="1">
        <f t="shared" si="4"/>
        <v>428.09000000000003</v>
      </c>
      <c r="K23" s="1">
        <f t="shared" si="4"/>
        <v>430.64</v>
      </c>
      <c r="L23" s="1">
        <f t="shared" si="4"/>
        <v>432.71000000000004</v>
      </c>
      <c r="M23" s="1">
        <f t="shared" si="4"/>
        <v>543.71</v>
      </c>
      <c r="N23" s="1">
        <f t="shared" si="4"/>
        <v>434.8</v>
      </c>
      <c r="O23" s="1">
        <f t="shared" si="4"/>
        <v>434.92999999999995</v>
      </c>
      <c r="Q23" s="1" t="s">
        <v>42</v>
      </c>
      <c r="R23" s="1">
        <v>616</v>
      </c>
      <c r="S23" s="1" t="s">
        <v>70</v>
      </c>
      <c r="T23" s="1">
        <v>616</v>
      </c>
    </row>
    <row r="24" spans="2:20" ht="14.25" customHeight="1" x14ac:dyDescent="0.35">
      <c r="Q24" s="1" t="s">
        <v>41</v>
      </c>
      <c r="R24" s="1">
        <v>621</v>
      </c>
      <c r="S24" s="1" t="s">
        <v>71</v>
      </c>
      <c r="T24" s="1">
        <v>621</v>
      </c>
    </row>
    <row r="25" spans="2:20" ht="14.25" customHeight="1" x14ac:dyDescent="0.35">
      <c r="B25" s="1" t="s">
        <v>72</v>
      </c>
      <c r="D25" s="1">
        <f>(173.74+29.44)</f>
        <v>203.18</v>
      </c>
      <c r="E25" s="1">
        <f>(168.74+29.44)</f>
        <v>198.18</v>
      </c>
      <c r="F25" s="1">
        <f>(179.24+29.44)</f>
        <v>208.68</v>
      </c>
      <c r="G25" s="1">
        <f>(141.59+49.09)</f>
        <v>190.68</v>
      </c>
      <c r="H25" s="1">
        <f>(118.09+49.09)</f>
        <v>167.18</v>
      </c>
      <c r="I25" s="1">
        <f>(92.59+42.09)</f>
        <v>134.68</v>
      </c>
      <c r="J25" s="1">
        <f>(65.51+34.17)</f>
        <v>99.68</v>
      </c>
      <c r="K25" s="1">
        <f>(78.92+48.26)</f>
        <v>127.18</v>
      </c>
      <c r="L25" s="1">
        <f>(140.42+48.26)</f>
        <v>188.67999999999998</v>
      </c>
      <c r="M25" s="1">
        <f>(190.51+47.66)</f>
        <v>238.17</v>
      </c>
      <c r="N25" s="1">
        <f>(108.12+47.66)</f>
        <v>155.78</v>
      </c>
      <c r="O25" s="1">
        <f>(46.71+47.66)</f>
        <v>94.37</v>
      </c>
    </row>
    <row r="26" spans="2:20" ht="14.25" customHeight="1" x14ac:dyDescent="0.35">
      <c r="B26" s="1" t="s">
        <v>54</v>
      </c>
      <c r="D26" s="1">
        <f t="shared" ref="D26:O26" si="5">VLOOKUP(D4,$Q$13:$R$24,2,FALSE)</f>
        <v>621</v>
      </c>
      <c r="E26" s="1">
        <f t="shared" si="5"/>
        <v>616</v>
      </c>
      <c r="F26" s="1">
        <f t="shared" si="5"/>
        <v>626.5</v>
      </c>
      <c r="G26" s="1">
        <f t="shared" si="5"/>
        <v>608.5</v>
      </c>
      <c r="H26" s="1">
        <f t="shared" si="5"/>
        <v>585</v>
      </c>
      <c r="I26" s="1">
        <f t="shared" si="5"/>
        <v>559.5</v>
      </c>
      <c r="J26" s="1">
        <f t="shared" si="5"/>
        <v>517.5</v>
      </c>
      <c r="K26" s="1">
        <f t="shared" si="5"/>
        <v>545</v>
      </c>
      <c r="L26" s="1">
        <f t="shared" si="5"/>
        <v>607.25</v>
      </c>
      <c r="M26" s="1">
        <f t="shared" si="5"/>
        <v>657.5</v>
      </c>
      <c r="N26" s="1">
        <f t="shared" si="5"/>
        <v>575</v>
      </c>
      <c r="O26" s="1">
        <f t="shared" si="5"/>
        <v>513.5</v>
      </c>
    </row>
    <row r="27" spans="2:20" ht="14.25" customHeight="1" x14ac:dyDescent="0.35">
      <c r="B27" s="1" t="s">
        <v>55</v>
      </c>
      <c r="D27" s="1">
        <f t="shared" ref="D27:O27" si="6">D26-D25</f>
        <v>417.82</v>
      </c>
      <c r="E27" s="1">
        <f t="shared" si="6"/>
        <v>417.82</v>
      </c>
      <c r="F27" s="1">
        <f t="shared" si="6"/>
        <v>417.82</v>
      </c>
      <c r="G27" s="1">
        <f t="shared" si="6"/>
        <v>417.82</v>
      </c>
      <c r="H27" s="1">
        <f t="shared" si="6"/>
        <v>417.82</v>
      </c>
      <c r="I27" s="1">
        <f t="shared" si="6"/>
        <v>424.82</v>
      </c>
      <c r="J27" s="1">
        <f t="shared" si="6"/>
        <v>417.82</v>
      </c>
      <c r="K27" s="1">
        <f t="shared" si="6"/>
        <v>417.82</v>
      </c>
      <c r="L27" s="1">
        <f t="shared" si="6"/>
        <v>418.57000000000005</v>
      </c>
      <c r="M27" s="1">
        <f t="shared" si="6"/>
        <v>419.33000000000004</v>
      </c>
      <c r="N27" s="1">
        <f t="shared" si="6"/>
        <v>419.22</v>
      </c>
      <c r="O27" s="1">
        <f t="shared" si="6"/>
        <v>419.13</v>
      </c>
    </row>
    <row r="28" spans="2:20" ht="14.25" customHeight="1" x14ac:dyDescent="0.35"/>
    <row r="29" spans="2:20" ht="14.25" customHeight="1" x14ac:dyDescent="0.35"/>
    <row r="30" spans="2:20" ht="14.25" customHeight="1" x14ac:dyDescent="0.35"/>
    <row r="31" spans="2:20" ht="14.25" customHeight="1" x14ac:dyDescent="0.35"/>
    <row r="32" spans="2:2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/>
  </sheetViews>
  <sheetFormatPr defaultColWidth="14.453125" defaultRowHeight="15" customHeight="1" x14ac:dyDescent="0.35"/>
  <cols>
    <col min="1" max="26" width="8.54296875" customWidth="1"/>
  </cols>
  <sheetData>
    <row r="1" spans="1:23" ht="14.25" customHeight="1" x14ac:dyDescent="0.35">
      <c r="A1" s="21" t="s">
        <v>73</v>
      </c>
      <c r="B1" s="22">
        <v>805.5</v>
      </c>
      <c r="C1" s="22">
        <v>839.5</v>
      </c>
      <c r="D1" s="22">
        <v>776.5</v>
      </c>
      <c r="E1" s="23">
        <v>826</v>
      </c>
      <c r="G1" s="21" t="s">
        <v>74</v>
      </c>
      <c r="H1" s="22">
        <v>701.5</v>
      </c>
      <c r="I1" s="22">
        <v>727.5</v>
      </c>
      <c r="J1" s="22">
        <v>673.5</v>
      </c>
      <c r="K1" s="23">
        <v>717</v>
      </c>
      <c r="M1" s="21" t="s">
        <v>75</v>
      </c>
      <c r="N1" s="22">
        <v>694</v>
      </c>
      <c r="O1" s="22">
        <v>720.5</v>
      </c>
      <c r="P1" s="22">
        <v>694</v>
      </c>
      <c r="Q1" s="23">
        <v>710</v>
      </c>
      <c r="S1" s="24" t="s">
        <v>76</v>
      </c>
      <c r="T1" s="24" t="s">
        <v>77</v>
      </c>
      <c r="U1" s="24" t="s">
        <v>78</v>
      </c>
      <c r="V1" s="24" t="s">
        <v>79</v>
      </c>
      <c r="W1" s="24" t="s">
        <v>80</v>
      </c>
    </row>
    <row r="2" spans="1:23" ht="14.25" customHeight="1" x14ac:dyDescent="0.35">
      <c r="A2" s="25" t="s">
        <v>81</v>
      </c>
      <c r="B2" s="26">
        <v>858.5</v>
      </c>
      <c r="C2" s="26">
        <v>896</v>
      </c>
      <c r="D2" s="26">
        <v>829.5</v>
      </c>
      <c r="E2" s="27">
        <v>881</v>
      </c>
      <c r="G2" s="25" t="s">
        <v>82</v>
      </c>
      <c r="H2" s="26">
        <v>659</v>
      </c>
      <c r="I2" s="26">
        <v>683</v>
      </c>
      <c r="J2" s="26">
        <v>630</v>
      </c>
      <c r="K2" s="27">
        <v>673</v>
      </c>
      <c r="M2" s="25" t="s">
        <v>83</v>
      </c>
      <c r="N2" s="26">
        <v>644</v>
      </c>
      <c r="O2" s="26">
        <v>670.5</v>
      </c>
      <c r="P2" s="26">
        <v>644</v>
      </c>
      <c r="Q2" s="27">
        <v>660</v>
      </c>
      <c r="S2" s="21" t="s">
        <v>75</v>
      </c>
      <c r="T2" s="22">
        <v>694</v>
      </c>
      <c r="U2" s="22">
        <v>720.5</v>
      </c>
      <c r="V2" s="22">
        <v>694</v>
      </c>
      <c r="W2" s="23">
        <v>710</v>
      </c>
    </row>
    <row r="3" spans="1:23" ht="14.25" customHeight="1" x14ac:dyDescent="0.35">
      <c r="A3" s="21" t="s">
        <v>84</v>
      </c>
      <c r="B3" s="22">
        <v>714</v>
      </c>
      <c r="C3" s="22">
        <v>747</v>
      </c>
      <c r="D3" s="22">
        <v>684.5</v>
      </c>
      <c r="E3" s="23">
        <v>734</v>
      </c>
      <c r="G3" s="21" t="s">
        <v>85</v>
      </c>
      <c r="H3" s="22">
        <v>689</v>
      </c>
      <c r="I3" s="22">
        <v>714</v>
      </c>
      <c r="J3" s="22">
        <v>660</v>
      </c>
      <c r="K3" s="23">
        <v>704.5</v>
      </c>
      <c r="M3" s="21" t="s">
        <v>86</v>
      </c>
      <c r="N3" s="22">
        <v>594</v>
      </c>
      <c r="O3" s="22">
        <v>620.5</v>
      </c>
      <c r="P3" s="22">
        <v>594</v>
      </c>
      <c r="Q3" s="23">
        <v>610</v>
      </c>
      <c r="S3" s="25" t="s">
        <v>83</v>
      </c>
      <c r="T3" s="26">
        <v>644</v>
      </c>
      <c r="U3" s="26">
        <v>670.5</v>
      </c>
      <c r="V3" s="26">
        <v>644</v>
      </c>
      <c r="W3" s="27">
        <v>660</v>
      </c>
    </row>
    <row r="4" spans="1:23" ht="14.25" customHeight="1" x14ac:dyDescent="0.35">
      <c r="A4" s="25" t="s">
        <v>87</v>
      </c>
      <c r="B4" s="26">
        <v>695</v>
      </c>
      <c r="C4" s="26">
        <v>725.5</v>
      </c>
      <c r="D4" s="26">
        <v>665</v>
      </c>
      <c r="E4" s="27">
        <v>714</v>
      </c>
      <c r="G4" s="25" t="s">
        <v>88</v>
      </c>
      <c r="H4" s="26">
        <v>809.5</v>
      </c>
      <c r="I4" s="26">
        <v>837</v>
      </c>
      <c r="J4" s="26">
        <v>780.5</v>
      </c>
      <c r="K4" s="27">
        <v>826.5</v>
      </c>
      <c r="M4" s="25" t="s">
        <v>89</v>
      </c>
      <c r="N4" s="26">
        <v>594</v>
      </c>
      <c r="O4" s="26">
        <v>620.5</v>
      </c>
      <c r="P4" s="26">
        <v>594</v>
      </c>
      <c r="Q4" s="27">
        <v>610</v>
      </c>
      <c r="S4" s="21" t="s">
        <v>86</v>
      </c>
      <c r="T4" s="22">
        <v>594</v>
      </c>
      <c r="U4" s="22">
        <v>620.5</v>
      </c>
      <c r="V4" s="22">
        <v>594</v>
      </c>
      <c r="W4" s="23">
        <v>610</v>
      </c>
    </row>
    <row r="5" spans="1:23" ht="14.25" customHeight="1" x14ac:dyDescent="0.35">
      <c r="A5" s="21" t="s">
        <v>90</v>
      </c>
      <c r="B5" s="22">
        <v>681.5</v>
      </c>
      <c r="C5" s="22">
        <v>706</v>
      </c>
      <c r="D5" s="22">
        <v>651</v>
      </c>
      <c r="E5" s="23">
        <v>696</v>
      </c>
      <c r="G5" s="21" t="s">
        <v>91</v>
      </c>
      <c r="H5" s="22">
        <v>942.5</v>
      </c>
      <c r="I5" s="22">
        <v>971.5</v>
      </c>
      <c r="J5" s="22">
        <v>913.5</v>
      </c>
      <c r="K5" s="23">
        <v>960</v>
      </c>
      <c r="M5" s="21" t="s">
        <v>92</v>
      </c>
      <c r="N5" s="22">
        <v>594</v>
      </c>
      <c r="O5" s="22">
        <v>620.5</v>
      </c>
      <c r="P5" s="22">
        <v>594</v>
      </c>
      <c r="Q5" s="23">
        <v>610</v>
      </c>
      <c r="S5" s="25" t="s">
        <v>89</v>
      </c>
      <c r="T5" s="26">
        <v>594</v>
      </c>
      <c r="U5" s="26">
        <v>620.5</v>
      </c>
      <c r="V5" s="26">
        <v>594</v>
      </c>
      <c r="W5" s="27">
        <v>610</v>
      </c>
    </row>
    <row r="6" spans="1:23" ht="14.25" customHeight="1" x14ac:dyDescent="0.35">
      <c r="A6" s="25" t="s">
        <v>93</v>
      </c>
      <c r="B6" s="26">
        <v>605</v>
      </c>
      <c r="C6" s="26">
        <v>630</v>
      </c>
      <c r="D6" s="26">
        <v>574.5</v>
      </c>
      <c r="E6" s="27">
        <v>620</v>
      </c>
      <c r="G6" s="25" t="s">
        <v>94</v>
      </c>
      <c r="H6" s="26">
        <v>939</v>
      </c>
      <c r="I6" s="26">
        <v>969.5</v>
      </c>
      <c r="J6" s="26">
        <v>912</v>
      </c>
      <c r="K6" s="27">
        <v>958</v>
      </c>
      <c r="M6" s="25" t="s">
        <v>95</v>
      </c>
      <c r="N6" s="26">
        <v>594</v>
      </c>
      <c r="O6" s="26">
        <v>621</v>
      </c>
      <c r="P6" s="26">
        <v>594</v>
      </c>
      <c r="Q6" s="27">
        <v>610.5</v>
      </c>
      <c r="S6" s="21" t="s">
        <v>92</v>
      </c>
      <c r="T6" s="22">
        <v>594</v>
      </c>
      <c r="U6" s="22">
        <v>620.5</v>
      </c>
      <c r="V6" s="22">
        <v>594</v>
      </c>
      <c r="W6" s="23">
        <v>610</v>
      </c>
    </row>
    <row r="7" spans="1:23" ht="14.25" customHeight="1" x14ac:dyDescent="0.35">
      <c r="A7" s="21" t="s">
        <v>96</v>
      </c>
      <c r="B7" s="22">
        <v>590</v>
      </c>
      <c r="C7" s="22">
        <v>616.5</v>
      </c>
      <c r="D7" s="22">
        <v>562</v>
      </c>
      <c r="E7" s="23">
        <v>606.5</v>
      </c>
      <c r="G7" s="21" t="s">
        <v>97</v>
      </c>
      <c r="H7" s="22">
        <v>879</v>
      </c>
      <c r="I7" s="22">
        <v>907</v>
      </c>
      <c r="J7" s="22">
        <v>851</v>
      </c>
      <c r="K7" s="23">
        <v>896</v>
      </c>
      <c r="M7" s="21" t="s">
        <v>98</v>
      </c>
      <c r="N7" s="22">
        <v>594</v>
      </c>
      <c r="O7" s="22">
        <v>620.5</v>
      </c>
      <c r="P7" s="22">
        <v>594</v>
      </c>
      <c r="Q7" s="23">
        <v>610.5</v>
      </c>
      <c r="S7" s="25" t="s">
        <v>95</v>
      </c>
      <c r="T7" s="26">
        <v>594</v>
      </c>
      <c r="U7" s="26">
        <v>621</v>
      </c>
      <c r="V7" s="26">
        <v>594</v>
      </c>
      <c r="W7" s="27">
        <v>610.5</v>
      </c>
    </row>
    <row r="8" spans="1:23" ht="14.25" customHeight="1" x14ac:dyDescent="0.35">
      <c r="A8" s="25" t="s">
        <v>99</v>
      </c>
      <c r="B8" s="26">
        <v>574.5</v>
      </c>
      <c r="C8" s="26">
        <v>601</v>
      </c>
      <c r="D8" s="26">
        <v>546.5</v>
      </c>
      <c r="E8" s="27">
        <v>590.5</v>
      </c>
      <c r="G8" s="25" t="s">
        <v>100</v>
      </c>
      <c r="H8" s="26">
        <v>820</v>
      </c>
      <c r="I8" s="26">
        <v>849</v>
      </c>
      <c r="J8" s="26">
        <v>795</v>
      </c>
      <c r="K8" s="27">
        <v>838.5</v>
      </c>
      <c r="M8" s="25" t="s">
        <v>101</v>
      </c>
      <c r="N8" s="26">
        <v>593</v>
      </c>
      <c r="O8" s="26">
        <v>616</v>
      </c>
      <c r="P8" s="26">
        <v>590.5</v>
      </c>
      <c r="Q8" s="27">
        <v>606.5</v>
      </c>
      <c r="S8" s="21" t="s">
        <v>98</v>
      </c>
      <c r="T8" s="22">
        <v>594</v>
      </c>
      <c r="U8" s="22">
        <v>620.5</v>
      </c>
      <c r="V8" s="22">
        <v>594</v>
      </c>
      <c r="W8" s="23">
        <v>610.5</v>
      </c>
    </row>
    <row r="9" spans="1:23" ht="14.25" customHeight="1" x14ac:dyDescent="0.35">
      <c r="A9" s="21" t="s">
        <v>102</v>
      </c>
      <c r="B9" s="22">
        <v>637</v>
      </c>
      <c r="C9" s="22">
        <v>662.5</v>
      </c>
      <c r="D9" s="22">
        <v>608.5</v>
      </c>
      <c r="E9" s="23">
        <v>652.5</v>
      </c>
      <c r="G9" s="21" t="s">
        <v>103</v>
      </c>
      <c r="H9" s="22">
        <v>789.5</v>
      </c>
      <c r="I9" s="22">
        <v>817.5</v>
      </c>
      <c r="J9" s="22">
        <v>764.5</v>
      </c>
      <c r="K9" s="23">
        <v>806</v>
      </c>
      <c r="M9" s="21" t="s">
        <v>104</v>
      </c>
      <c r="N9" s="22">
        <v>581.5</v>
      </c>
      <c r="O9" s="22">
        <v>584.5</v>
      </c>
      <c r="P9" s="22">
        <v>579</v>
      </c>
      <c r="Q9" s="23">
        <v>569.5</v>
      </c>
      <c r="S9" s="25" t="s">
        <v>101</v>
      </c>
      <c r="T9" s="26">
        <v>593</v>
      </c>
      <c r="U9" s="26">
        <v>616</v>
      </c>
      <c r="V9" s="26">
        <v>590.5</v>
      </c>
      <c r="W9" s="27">
        <v>606.5</v>
      </c>
    </row>
    <row r="10" spans="1:23" ht="14.25" customHeight="1" x14ac:dyDescent="0.35">
      <c r="A10" s="25" t="s">
        <v>105</v>
      </c>
      <c r="B10" s="26">
        <v>737.5</v>
      </c>
      <c r="C10" s="26">
        <v>763.5</v>
      </c>
      <c r="D10" s="26">
        <v>709.5</v>
      </c>
      <c r="E10" s="27">
        <v>753</v>
      </c>
      <c r="G10" s="25" t="s">
        <v>106</v>
      </c>
      <c r="H10" s="26">
        <v>754</v>
      </c>
      <c r="I10" s="26">
        <v>781.5</v>
      </c>
      <c r="J10" s="26">
        <v>728.5</v>
      </c>
      <c r="K10" s="27">
        <v>770.5</v>
      </c>
      <c r="M10" s="25" t="s">
        <v>107</v>
      </c>
      <c r="N10" s="26">
        <v>744</v>
      </c>
      <c r="O10" s="26">
        <v>774.5</v>
      </c>
      <c r="P10" s="26">
        <v>714.5</v>
      </c>
      <c r="Q10" s="27">
        <v>761.5</v>
      </c>
      <c r="S10" s="21" t="s">
        <v>104</v>
      </c>
      <c r="T10" s="22">
        <v>581.5</v>
      </c>
      <c r="U10" s="22">
        <v>584.5</v>
      </c>
      <c r="V10" s="22">
        <v>579</v>
      </c>
      <c r="W10" s="23">
        <v>569.5</v>
      </c>
    </row>
    <row r="11" spans="1:23" ht="14.25" customHeight="1" x14ac:dyDescent="0.35">
      <c r="A11" s="21" t="s">
        <v>108</v>
      </c>
      <c r="B11" s="22">
        <v>712.5</v>
      </c>
      <c r="C11" s="22">
        <v>738.5</v>
      </c>
      <c r="D11" s="22">
        <v>684.5</v>
      </c>
      <c r="E11" s="23">
        <v>728</v>
      </c>
      <c r="G11" s="21" t="s">
        <v>109</v>
      </c>
      <c r="H11" s="22">
        <v>698.5</v>
      </c>
      <c r="I11" s="22">
        <v>724</v>
      </c>
      <c r="J11" s="22">
        <v>671.5</v>
      </c>
      <c r="K11" s="23">
        <v>712.5</v>
      </c>
      <c r="S11" s="25" t="s">
        <v>107</v>
      </c>
      <c r="T11" s="26">
        <v>744</v>
      </c>
      <c r="U11" s="26">
        <v>774.5</v>
      </c>
      <c r="V11" s="26">
        <v>714.5</v>
      </c>
      <c r="W11" s="27">
        <v>761.5</v>
      </c>
    </row>
    <row r="12" spans="1:23" ht="14.25" customHeight="1" x14ac:dyDescent="0.35">
      <c r="A12" s="25" t="s">
        <v>110</v>
      </c>
      <c r="B12" s="26">
        <v>706.5</v>
      </c>
      <c r="C12" s="26">
        <v>732.5</v>
      </c>
      <c r="D12" s="26">
        <v>678.5</v>
      </c>
      <c r="E12" s="27">
        <v>722</v>
      </c>
      <c r="G12" s="25" t="s">
        <v>111</v>
      </c>
      <c r="H12" s="26">
        <v>650.5</v>
      </c>
      <c r="I12" s="26">
        <v>674</v>
      </c>
      <c r="J12" s="26">
        <v>623</v>
      </c>
      <c r="K12" s="27">
        <v>663</v>
      </c>
      <c r="S12" s="21" t="s">
        <v>73</v>
      </c>
      <c r="T12" s="22">
        <v>805.5</v>
      </c>
      <c r="U12" s="22">
        <v>839.5</v>
      </c>
      <c r="V12" s="22">
        <v>776.5</v>
      </c>
      <c r="W12" s="23">
        <v>826</v>
      </c>
    </row>
    <row r="13" spans="1:23" ht="14.25" customHeight="1" x14ac:dyDescent="0.35">
      <c r="G13" s="21" t="s">
        <v>112</v>
      </c>
      <c r="H13" s="22">
        <v>653.5</v>
      </c>
      <c r="I13" s="22">
        <v>676</v>
      </c>
      <c r="J13" s="22">
        <v>625</v>
      </c>
      <c r="K13" s="23">
        <v>663.5</v>
      </c>
      <c r="S13" s="25" t="s">
        <v>81</v>
      </c>
      <c r="T13" s="26">
        <v>858.5</v>
      </c>
      <c r="U13" s="26">
        <v>896</v>
      </c>
      <c r="V13" s="26">
        <v>829.5</v>
      </c>
      <c r="W13" s="27">
        <v>881</v>
      </c>
    </row>
    <row r="14" spans="1:23" ht="14.25" customHeight="1" x14ac:dyDescent="0.35">
      <c r="S14" s="21" t="s">
        <v>84</v>
      </c>
      <c r="T14" s="22">
        <v>714</v>
      </c>
      <c r="U14" s="22">
        <v>747</v>
      </c>
      <c r="V14" s="22">
        <v>684.5</v>
      </c>
      <c r="W14" s="23">
        <v>734</v>
      </c>
    </row>
    <row r="15" spans="1:23" ht="14.25" customHeight="1" x14ac:dyDescent="0.35">
      <c r="S15" s="25" t="s">
        <v>87</v>
      </c>
      <c r="T15" s="26">
        <v>695</v>
      </c>
      <c r="U15" s="26">
        <v>725.5</v>
      </c>
      <c r="V15" s="26">
        <v>665</v>
      </c>
      <c r="W15" s="27">
        <v>714</v>
      </c>
    </row>
    <row r="16" spans="1:23" ht="14.25" customHeight="1" x14ac:dyDescent="0.35">
      <c r="S16" s="21" t="s">
        <v>90</v>
      </c>
      <c r="T16" s="22">
        <v>681.5</v>
      </c>
      <c r="U16" s="22">
        <v>706</v>
      </c>
      <c r="V16" s="22">
        <v>651</v>
      </c>
      <c r="W16" s="23">
        <v>696</v>
      </c>
    </row>
    <row r="17" spans="19:23" ht="14.25" customHeight="1" x14ac:dyDescent="0.35">
      <c r="S17" s="25" t="s">
        <v>93</v>
      </c>
      <c r="T17" s="26">
        <v>605</v>
      </c>
      <c r="U17" s="26">
        <v>630</v>
      </c>
      <c r="V17" s="26">
        <v>574.5</v>
      </c>
      <c r="W17" s="27">
        <v>620</v>
      </c>
    </row>
    <row r="18" spans="19:23" ht="14.25" customHeight="1" x14ac:dyDescent="0.35">
      <c r="S18" s="21" t="s">
        <v>96</v>
      </c>
      <c r="T18" s="22">
        <v>590</v>
      </c>
      <c r="U18" s="22">
        <v>616.5</v>
      </c>
      <c r="V18" s="22">
        <v>562</v>
      </c>
      <c r="W18" s="23">
        <v>606.5</v>
      </c>
    </row>
    <row r="19" spans="19:23" ht="14.25" customHeight="1" x14ac:dyDescent="0.35">
      <c r="S19" s="25" t="s">
        <v>99</v>
      </c>
      <c r="T19" s="26">
        <v>574.5</v>
      </c>
      <c r="U19" s="26">
        <v>601</v>
      </c>
      <c r="V19" s="26">
        <v>546.5</v>
      </c>
      <c r="W19" s="27">
        <v>590.5</v>
      </c>
    </row>
    <row r="20" spans="19:23" ht="14.25" customHeight="1" x14ac:dyDescent="0.35">
      <c r="S20" s="21" t="s">
        <v>102</v>
      </c>
      <c r="T20" s="22">
        <v>637</v>
      </c>
      <c r="U20" s="22">
        <v>662.5</v>
      </c>
      <c r="V20" s="22">
        <v>608.5</v>
      </c>
      <c r="W20" s="23">
        <v>652.5</v>
      </c>
    </row>
    <row r="21" spans="19:23" ht="14.25" customHeight="1" x14ac:dyDescent="0.35">
      <c r="S21" s="25" t="s">
        <v>105</v>
      </c>
      <c r="T21" s="26">
        <v>737.5</v>
      </c>
      <c r="U21" s="26">
        <v>763.5</v>
      </c>
      <c r="V21" s="26">
        <v>709.5</v>
      </c>
      <c r="W21" s="27">
        <v>753</v>
      </c>
    </row>
    <row r="22" spans="19:23" ht="14.25" customHeight="1" x14ac:dyDescent="0.35">
      <c r="S22" s="21" t="s">
        <v>108</v>
      </c>
      <c r="T22" s="22">
        <v>712.5</v>
      </c>
      <c r="U22" s="22">
        <v>738.5</v>
      </c>
      <c r="V22" s="22">
        <v>684.5</v>
      </c>
      <c r="W22" s="23">
        <v>728</v>
      </c>
    </row>
    <row r="23" spans="19:23" ht="14.25" customHeight="1" x14ac:dyDescent="0.35">
      <c r="S23" s="25" t="s">
        <v>110</v>
      </c>
      <c r="T23" s="26">
        <v>706.5</v>
      </c>
      <c r="U23" s="26">
        <v>732.5</v>
      </c>
      <c r="V23" s="26">
        <v>678.5</v>
      </c>
      <c r="W23" s="27">
        <v>722</v>
      </c>
    </row>
    <row r="24" spans="19:23" ht="14.25" customHeight="1" x14ac:dyDescent="0.35">
      <c r="S24" s="21" t="s">
        <v>74</v>
      </c>
      <c r="T24" s="22">
        <v>701.5</v>
      </c>
      <c r="U24" s="22">
        <v>727.5</v>
      </c>
      <c r="V24" s="22">
        <v>673.5</v>
      </c>
      <c r="W24" s="23">
        <v>717</v>
      </c>
    </row>
    <row r="25" spans="19:23" ht="14.25" customHeight="1" x14ac:dyDescent="0.35">
      <c r="S25" s="25" t="s">
        <v>82</v>
      </c>
      <c r="T25" s="26">
        <v>659</v>
      </c>
      <c r="U25" s="26">
        <v>683</v>
      </c>
      <c r="V25" s="26">
        <v>630</v>
      </c>
      <c r="W25" s="27">
        <v>673</v>
      </c>
    </row>
    <row r="26" spans="19:23" ht="14.25" customHeight="1" x14ac:dyDescent="0.35">
      <c r="S26" s="21" t="s">
        <v>85</v>
      </c>
      <c r="T26" s="22">
        <v>689</v>
      </c>
      <c r="U26" s="22">
        <v>714</v>
      </c>
      <c r="V26" s="22">
        <v>660</v>
      </c>
      <c r="W26" s="23">
        <v>704.5</v>
      </c>
    </row>
    <row r="27" spans="19:23" ht="14.25" customHeight="1" x14ac:dyDescent="0.35">
      <c r="S27" s="25" t="s">
        <v>88</v>
      </c>
      <c r="T27" s="26">
        <v>809.5</v>
      </c>
      <c r="U27" s="26">
        <v>837</v>
      </c>
      <c r="V27" s="26">
        <v>780.5</v>
      </c>
      <c r="W27" s="27">
        <v>826.5</v>
      </c>
    </row>
    <row r="28" spans="19:23" ht="14.25" customHeight="1" x14ac:dyDescent="0.35">
      <c r="S28" s="21" t="s">
        <v>91</v>
      </c>
      <c r="T28" s="22">
        <v>942.5</v>
      </c>
      <c r="U28" s="22">
        <v>971.5</v>
      </c>
      <c r="V28" s="22">
        <v>913.5</v>
      </c>
      <c r="W28" s="23">
        <v>960</v>
      </c>
    </row>
    <row r="29" spans="19:23" ht="14.25" customHeight="1" x14ac:dyDescent="0.35">
      <c r="S29" s="25" t="s">
        <v>94</v>
      </c>
      <c r="T29" s="26">
        <v>939</v>
      </c>
      <c r="U29" s="26">
        <v>969.5</v>
      </c>
      <c r="V29" s="26">
        <v>912</v>
      </c>
      <c r="W29" s="27">
        <v>958</v>
      </c>
    </row>
    <row r="30" spans="19:23" ht="14.25" customHeight="1" x14ac:dyDescent="0.35">
      <c r="S30" s="21" t="s">
        <v>97</v>
      </c>
      <c r="T30" s="22">
        <v>879</v>
      </c>
      <c r="U30" s="22">
        <v>907</v>
      </c>
      <c r="V30" s="22">
        <v>851</v>
      </c>
      <c r="W30" s="23">
        <v>896</v>
      </c>
    </row>
    <row r="31" spans="19:23" ht="14.25" customHeight="1" x14ac:dyDescent="0.35">
      <c r="S31" s="25" t="s">
        <v>100</v>
      </c>
      <c r="T31" s="26">
        <v>820</v>
      </c>
      <c r="U31" s="26">
        <v>849</v>
      </c>
      <c r="V31" s="26">
        <v>795</v>
      </c>
      <c r="W31" s="27">
        <v>838.5</v>
      </c>
    </row>
    <row r="32" spans="19:23" ht="14.25" customHeight="1" x14ac:dyDescent="0.35">
      <c r="S32" s="21" t="s">
        <v>103</v>
      </c>
      <c r="T32" s="22">
        <v>789.5</v>
      </c>
      <c r="U32" s="22">
        <v>817.5</v>
      </c>
      <c r="V32" s="22">
        <v>764.5</v>
      </c>
      <c r="W32" s="23">
        <v>806</v>
      </c>
    </row>
    <row r="33" spans="19:23" ht="14.25" customHeight="1" x14ac:dyDescent="0.35">
      <c r="S33" s="25" t="s">
        <v>106</v>
      </c>
      <c r="T33" s="26">
        <v>754</v>
      </c>
      <c r="U33" s="26">
        <v>781.5</v>
      </c>
      <c r="V33" s="26">
        <v>728.5</v>
      </c>
      <c r="W33" s="27">
        <v>770.5</v>
      </c>
    </row>
    <row r="34" spans="19:23" ht="14.25" customHeight="1" x14ac:dyDescent="0.35">
      <c r="S34" s="21" t="s">
        <v>109</v>
      </c>
      <c r="T34" s="22">
        <v>698.5</v>
      </c>
      <c r="U34" s="22">
        <v>724</v>
      </c>
      <c r="V34" s="22">
        <v>671.5</v>
      </c>
      <c r="W34" s="23">
        <v>712.5</v>
      </c>
    </row>
    <row r="35" spans="19:23" ht="14.25" customHeight="1" x14ac:dyDescent="0.35">
      <c r="S35" s="25" t="s">
        <v>111</v>
      </c>
      <c r="T35" s="26">
        <v>650.5</v>
      </c>
      <c r="U35" s="26">
        <v>674</v>
      </c>
      <c r="V35" s="26">
        <v>623</v>
      </c>
      <c r="W35" s="27">
        <v>663</v>
      </c>
    </row>
    <row r="36" spans="19:23" ht="14.25" customHeight="1" x14ac:dyDescent="0.35">
      <c r="S36" s="21" t="s">
        <v>112</v>
      </c>
      <c r="T36" s="22">
        <v>653.5</v>
      </c>
      <c r="U36" s="22">
        <v>676</v>
      </c>
      <c r="V36" s="22">
        <v>625</v>
      </c>
      <c r="W36" s="23">
        <v>663.5</v>
      </c>
    </row>
    <row r="37" spans="19:23" ht="14.25" customHeight="1" x14ac:dyDescent="0.35">
      <c r="S37" s="25" t="s">
        <v>113</v>
      </c>
      <c r="T37" s="26">
        <v>689</v>
      </c>
      <c r="U37" s="26">
        <v>711.5</v>
      </c>
      <c r="V37" s="26">
        <v>661</v>
      </c>
      <c r="W37" s="27">
        <v>699.5</v>
      </c>
    </row>
    <row r="38" spans="19:23" ht="14.25" customHeight="1" x14ac:dyDescent="0.35">
      <c r="S38" s="21" t="s">
        <v>114</v>
      </c>
      <c r="T38" s="22">
        <v>736</v>
      </c>
      <c r="U38" s="22">
        <v>757</v>
      </c>
      <c r="V38" s="22">
        <v>708</v>
      </c>
      <c r="W38" s="23">
        <v>746</v>
      </c>
    </row>
    <row r="39" spans="19:23" ht="14.25" customHeight="1" x14ac:dyDescent="0.35">
      <c r="S39" s="25" t="s">
        <v>115</v>
      </c>
      <c r="T39" s="26">
        <v>741</v>
      </c>
      <c r="U39" s="26">
        <v>761</v>
      </c>
      <c r="V39" s="26">
        <v>713</v>
      </c>
      <c r="W39" s="27">
        <v>750.5</v>
      </c>
    </row>
    <row r="40" spans="19:23" ht="14.25" customHeight="1" x14ac:dyDescent="0.35">
      <c r="S40" s="21" t="s">
        <v>116</v>
      </c>
      <c r="T40" s="22">
        <v>747</v>
      </c>
      <c r="U40" s="22">
        <v>766</v>
      </c>
      <c r="V40" s="22">
        <v>719</v>
      </c>
      <c r="W40" s="23">
        <v>756</v>
      </c>
    </row>
    <row r="41" spans="19:23" ht="14.25" customHeight="1" x14ac:dyDescent="0.35">
      <c r="S41" s="25" t="s">
        <v>117</v>
      </c>
      <c r="T41" s="26" t="s">
        <v>118</v>
      </c>
      <c r="U41" s="26" t="s">
        <v>118</v>
      </c>
      <c r="V41" s="26">
        <v>713.5</v>
      </c>
      <c r="W41" s="27" t="s">
        <v>118</v>
      </c>
    </row>
    <row r="42" spans="19:23" ht="14.25" customHeight="1" x14ac:dyDescent="0.35">
      <c r="S42" s="21" t="s">
        <v>119</v>
      </c>
      <c r="T42" s="22">
        <v>742</v>
      </c>
      <c r="U42" s="22">
        <v>759.5</v>
      </c>
      <c r="V42" s="22">
        <v>718.5</v>
      </c>
      <c r="W42" s="23">
        <v>750</v>
      </c>
    </row>
    <row r="43" spans="19:23" ht="14.25" customHeight="1" x14ac:dyDescent="0.35">
      <c r="S43" s="25" t="s">
        <v>120</v>
      </c>
      <c r="T43" s="26">
        <v>649</v>
      </c>
      <c r="U43" s="26">
        <v>665.5</v>
      </c>
      <c r="V43" s="26">
        <v>625</v>
      </c>
      <c r="W43" s="27">
        <v>656.5</v>
      </c>
    </row>
    <row r="44" spans="19:23" ht="14.25" customHeight="1" x14ac:dyDescent="0.35">
      <c r="S44" s="21" t="s">
        <v>121</v>
      </c>
      <c r="T44" s="22">
        <v>599</v>
      </c>
      <c r="U44" s="22">
        <v>618</v>
      </c>
      <c r="V44" s="22">
        <v>577.5</v>
      </c>
      <c r="W44" s="23">
        <v>609</v>
      </c>
    </row>
    <row r="45" spans="19:23" ht="14.25" customHeight="1" x14ac:dyDescent="0.35">
      <c r="S45" s="25" t="s">
        <v>122</v>
      </c>
      <c r="T45" s="26">
        <v>597.5</v>
      </c>
      <c r="U45" s="26">
        <v>616.5</v>
      </c>
      <c r="V45" s="26">
        <v>576</v>
      </c>
      <c r="W45" s="27">
        <v>607</v>
      </c>
    </row>
    <row r="46" spans="19:23" ht="14.25" customHeight="1" x14ac:dyDescent="0.35">
      <c r="S46" s="21" t="s">
        <v>123</v>
      </c>
      <c r="T46" s="22">
        <v>524</v>
      </c>
      <c r="U46" s="22">
        <v>543</v>
      </c>
      <c r="V46" s="22">
        <v>502.5</v>
      </c>
      <c r="W46" s="23">
        <v>533</v>
      </c>
    </row>
    <row r="47" spans="19:23" ht="14.25" customHeight="1" x14ac:dyDescent="0.35">
      <c r="S47" s="25" t="s">
        <v>124</v>
      </c>
      <c r="T47" s="26" t="s">
        <v>118</v>
      </c>
      <c r="U47" s="26" t="s">
        <v>118</v>
      </c>
      <c r="V47" s="26">
        <v>543</v>
      </c>
      <c r="W47" s="27" t="s">
        <v>118</v>
      </c>
    </row>
    <row r="48" spans="19:23" ht="14.25" customHeight="1" x14ac:dyDescent="0.35">
      <c r="S48" s="21" t="s">
        <v>125</v>
      </c>
      <c r="T48" s="22">
        <v>564</v>
      </c>
      <c r="U48" s="22">
        <v>584</v>
      </c>
      <c r="V48" s="22">
        <v>553.5</v>
      </c>
      <c r="W48" s="23">
        <v>574</v>
      </c>
    </row>
    <row r="49" spans="19:23" ht="14.25" customHeight="1" x14ac:dyDescent="0.35">
      <c r="S49" s="25" t="s">
        <v>126</v>
      </c>
      <c r="T49" s="26">
        <v>552.5</v>
      </c>
      <c r="U49" s="26">
        <v>570.5</v>
      </c>
      <c r="V49" s="26">
        <v>554</v>
      </c>
      <c r="W49" s="27">
        <v>559.5</v>
      </c>
    </row>
    <row r="50" spans="19:23" ht="14.25" customHeight="1" x14ac:dyDescent="0.35">
      <c r="S50" s="21" t="s">
        <v>127</v>
      </c>
      <c r="T50" s="22">
        <v>631</v>
      </c>
      <c r="U50" s="22">
        <v>650</v>
      </c>
      <c r="V50" s="22">
        <v>635</v>
      </c>
      <c r="W50" s="23">
        <v>638.5</v>
      </c>
    </row>
    <row r="51" spans="19:23" ht="14.25" customHeight="1" x14ac:dyDescent="0.35">
      <c r="S51" s="25" t="s">
        <v>128</v>
      </c>
      <c r="T51" s="26">
        <v>723</v>
      </c>
      <c r="U51" s="26">
        <v>742</v>
      </c>
      <c r="V51" s="26">
        <v>729.5</v>
      </c>
      <c r="W51" s="27">
        <v>731.5</v>
      </c>
    </row>
    <row r="52" spans="19:23" ht="14.25" customHeight="1" x14ac:dyDescent="0.35">
      <c r="S52" s="21" t="s">
        <v>129</v>
      </c>
      <c r="T52" s="22">
        <v>737.5</v>
      </c>
      <c r="U52" s="22">
        <v>757.5</v>
      </c>
      <c r="V52" s="22">
        <v>744.5</v>
      </c>
      <c r="W52" s="23">
        <v>746.5</v>
      </c>
    </row>
    <row r="53" spans="19:23" ht="14.25" customHeight="1" x14ac:dyDescent="0.35">
      <c r="S53" s="25" t="s">
        <v>130</v>
      </c>
      <c r="T53" s="26">
        <v>651.5</v>
      </c>
      <c r="U53" s="26">
        <v>672</v>
      </c>
      <c r="V53" s="26">
        <v>656</v>
      </c>
      <c r="W53" s="27">
        <v>661</v>
      </c>
    </row>
    <row r="54" spans="19:23" ht="14.25" customHeight="1" x14ac:dyDescent="0.35">
      <c r="S54" s="21" t="s">
        <v>131</v>
      </c>
      <c r="T54" s="22">
        <v>585</v>
      </c>
      <c r="U54" s="22">
        <v>606</v>
      </c>
      <c r="V54" s="22">
        <v>588</v>
      </c>
      <c r="W54" s="23">
        <v>594.5</v>
      </c>
    </row>
    <row r="55" spans="19:23" ht="14.25" customHeight="1" x14ac:dyDescent="0.35">
      <c r="S55" s="25" t="s">
        <v>132</v>
      </c>
      <c r="T55" s="26">
        <v>584</v>
      </c>
      <c r="U55" s="26">
        <v>605.5</v>
      </c>
      <c r="V55" s="26">
        <v>587</v>
      </c>
      <c r="W55" s="27">
        <v>593.5</v>
      </c>
    </row>
    <row r="56" spans="19:23" ht="14.25" customHeight="1" x14ac:dyDescent="0.35">
      <c r="S56" s="21" t="s">
        <v>133</v>
      </c>
      <c r="T56" s="22">
        <v>529.5</v>
      </c>
      <c r="U56" s="22">
        <v>551</v>
      </c>
      <c r="V56" s="22">
        <v>531</v>
      </c>
      <c r="W56" s="23">
        <v>538.5</v>
      </c>
    </row>
    <row r="57" spans="19:23" ht="14.25" customHeight="1" x14ac:dyDescent="0.35">
      <c r="S57" s="25" t="s">
        <v>134</v>
      </c>
      <c r="T57" s="26">
        <v>492</v>
      </c>
      <c r="U57" s="26">
        <v>513.5</v>
      </c>
      <c r="V57" s="26">
        <v>492</v>
      </c>
      <c r="W57" s="27">
        <v>501</v>
      </c>
    </row>
    <row r="58" spans="19:23" ht="14.25" customHeight="1" x14ac:dyDescent="0.35">
      <c r="S58" s="21" t="s">
        <v>135</v>
      </c>
      <c r="T58" s="22">
        <v>490</v>
      </c>
      <c r="U58" s="22">
        <v>512</v>
      </c>
      <c r="V58" s="22">
        <v>490</v>
      </c>
      <c r="W58" s="23">
        <v>499</v>
      </c>
    </row>
    <row r="59" spans="19:23" ht="14.25" customHeight="1" x14ac:dyDescent="0.35">
      <c r="S59" s="25" t="s">
        <v>136</v>
      </c>
      <c r="T59" s="26">
        <v>466.5</v>
      </c>
      <c r="U59" s="26">
        <v>491</v>
      </c>
      <c r="V59" s="26">
        <v>468</v>
      </c>
      <c r="W59" s="27">
        <v>477.5</v>
      </c>
    </row>
    <row r="60" spans="19:23" ht="14.25" customHeight="1" x14ac:dyDescent="0.35">
      <c r="S60" s="21" t="s">
        <v>137</v>
      </c>
      <c r="T60" s="22" t="s">
        <v>138</v>
      </c>
      <c r="U60" s="22" t="s">
        <v>138</v>
      </c>
      <c r="V60" s="22">
        <v>489</v>
      </c>
      <c r="W60" s="23" t="s">
        <v>138</v>
      </c>
    </row>
    <row r="61" spans="19:23" ht="14.25" customHeight="1" x14ac:dyDescent="0.35">
      <c r="S61" s="25" t="s">
        <v>139</v>
      </c>
      <c r="T61" s="26">
        <v>487</v>
      </c>
      <c r="U61" s="26">
        <v>514</v>
      </c>
      <c r="V61" s="26">
        <v>485</v>
      </c>
      <c r="W61" s="27">
        <v>499.5</v>
      </c>
    </row>
    <row r="62" spans="19:23" ht="14.25" customHeight="1" x14ac:dyDescent="0.35">
      <c r="S62" s="21" t="s">
        <v>140</v>
      </c>
      <c r="T62" s="22">
        <v>537.5</v>
      </c>
      <c r="U62" s="22">
        <v>565.5</v>
      </c>
      <c r="V62" s="22">
        <v>537.5</v>
      </c>
      <c r="W62" s="23">
        <v>550.5</v>
      </c>
    </row>
    <row r="63" spans="19:23" ht="14.25" customHeight="1" x14ac:dyDescent="0.35">
      <c r="S63" s="25" t="s">
        <v>141</v>
      </c>
      <c r="T63" s="26">
        <v>548.5</v>
      </c>
      <c r="U63" s="26">
        <v>576.5</v>
      </c>
      <c r="V63" s="26">
        <v>547</v>
      </c>
      <c r="W63" s="27">
        <v>560</v>
      </c>
    </row>
    <row r="64" spans="19:23" ht="14.25" customHeight="1" x14ac:dyDescent="0.35">
      <c r="S64" s="21" t="s">
        <v>142</v>
      </c>
      <c r="T64" s="22" t="s">
        <v>138</v>
      </c>
      <c r="U64" s="22" t="s">
        <v>138</v>
      </c>
      <c r="V64" s="22">
        <v>525</v>
      </c>
      <c r="W64" s="23" t="s">
        <v>138</v>
      </c>
    </row>
    <row r="65" spans="19:23" ht="14.25" customHeight="1" x14ac:dyDescent="0.35">
      <c r="S65" s="25" t="s">
        <v>143</v>
      </c>
      <c r="T65" s="26">
        <v>527.5</v>
      </c>
      <c r="U65" s="26">
        <v>554.5</v>
      </c>
      <c r="V65" s="26">
        <v>535</v>
      </c>
      <c r="W65" s="27">
        <v>538</v>
      </c>
    </row>
    <row r="66" spans="19:23" ht="14.25" customHeight="1" x14ac:dyDescent="0.35">
      <c r="S66" s="21" t="s">
        <v>144</v>
      </c>
      <c r="T66" s="22" t="s">
        <v>118</v>
      </c>
      <c r="U66" s="22" t="s">
        <v>118</v>
      </c>
      <c r="V66" s="22">
        <v>516</v>
      </c>
      <c r="W66" s="23" t="s">
        <v>118</v>
      </c>
    </row>
    <row r="67" spans="19:23" ht="14.25" customHeight="1" x14ac:dyDescent="0.35">
      <c r="S67" s="25" t="s">
        <v>145</v>
      </c>
      <c r="T67" s="26">
        <v>509.5</v>
      </c>
      <c r="U67" s="26">
        <v>536.5</v>
      </c>
      <c r="V67" s="26">
        <v>518</v>
      </c>
      <c r="W67" s="27">
        <v>521</v>
      </c>
    </row>
    <row r="68" spans="19:23" ht="14.25" customHeight="1" x14ac:dyDescent="0.35">
      <c r="S68" s="21" t="s">
        <v>58</v>
      </c>
      <c r="T68" s="22">
        <v>513.5</v>
      </c>
      <c r="U68" s="22">
        <v>541</v>
      </c>
      <c r="V68" s="22">
        <v>522.5</v>
      </c>
      <c r="W68" s="23">
        <v>525.5</v>
      </c>
    </row>
    <row r="69" spans="19:23" ht="14.25" customHeight="1" x14ac:dyDescent="0.35">
      <c r="S69" s="25" t="s">
        <v>59</v>
      </c>
      <c r="T69" s="26">
        <v>575</v>
      </c>
      <c r="U69" s="26">
        <v>602</v>
      </c>
      <c r="V69" s="26">
        <v>585.5</v>
      </c>
      <c r="W69" s="27">
        <v>587</v>
      </c>
    </row>
    <row r="70" spans="19:23" ht="14.25" customHeight="1" x14ac:dyDescent="0.35">
      <c r="S70" s="21" t="s">
        <v>60</v>
      </c>
      <c r="T70" s="22">
        <v>657.5</v>
      </c>
      <c r="U70" s="22">
        <v>686.5</v>
      </c>
      <c r="V70" s="22">
        <v>671</v>
      </c>
      <c r="W70" s="23">
        <v>671.5</v>
      </c>
    </row>
    <row r="71" spans="19:23" ht="14.25" customHeight="1" x14ac:dyDescent="0.35">
      <c r="S71" s="25" t="s">
        <v>61</v>
      </c>
      <c r="T71" s="26">
        <v>608</v>
      </c>
      <c r="U71" s="26">
        <v>637.5</v>
      </c>
      <c r="V71" s="26">
        <v>620</v>
      </c>
      <c r="W71" s="27">
        <v>622.5</v>
      </c>
    </row>
    <row r="72" spans="19:23" ht="14.25" customHeight="1" x14ac:dyDescent="0.35">
      <c r="S72" s="21" t="s">
        <v>146</v>
      </c>
      <c r="T72" s="22">
        <v>606.5</v>
      </c>
      <c r="U72" s="22">
        <v>636.5</v>
      </c>
      <c r="V72" s="22">
        <v>618.5</v>
      </c>
      <c r="W72" s="23">
        <v>621</v>
      </c>
    </row>
    <row r="73" spans="19:23" ht="14.25" customHeight="1" x14ac:dyDescent="0.35">
      <c r="S73" s="25" t="s">
        <v>63</v>
      </c>
      <c r="T73" s="26">
        <v>545</v>
      </c>
      <c r="U73" s="26">
        <v>575</v>
      </c>
      <c r="V73" s="26">
        <v>555</v>
      </c>
      <c r="W73" s="27">
        <v>559.5</v>
      </c>
    </row>
    <row r="74" spans="19:23" ht="14.25" customHeight="1" x14ac:dyDescent="0.35">
      <c r="S74" s="21" t="s">
        <v>64</v>
      </c>
      <c r="T74" s="22">
        <v>517.5</v>
      </c>
      <c r="U74" s="22">
        <v>548</v>
      </c>
      <c r="V74" s="22">
        <v>526.5</v>
      </c>
      <c r="W74" s="23">
        <v>532</v>
      </c>
    </row>
    <row r="75" spans="19:23" ht="14.25" customHeight="1" x14ac:dyDescent="0.35">
      <c r="S75" s="25" t="s">
        <v>65</v>
      </c>
      <c r="T75" s="26">
        <v>559.5</v>
      </c>
      <c r="U75" s="26">
        <v>593</v>
      </c>
      <c r="V75" s="26">
        <v>572.5</v>
      </c>
      <c r="W75" s="27">
        <v>577</v>
      </c>
    </row>
    <row r="76" spans="19:23" ht="14.25" customHeight="1" x14ac:dyDescent="0.35">
      <c r="S76" s="21" t="s">
        <v>66</v>
      </c>
      <c r="T76" s="22">
        <v>585</v>
      </c>
      <c r="U76" s="22">
        <v>619</v>
      </c>
      <c r="V76" s="22">
        <v>599</v>
      </c>
      <c r="W76" s="23">
        <v>603.5</v>
      </c>
    </row>
    <row r="77" spans="19:23" ht="14.25" customHeight="1" x14ac:dyDescent="0.35">
      <c r="S77" s="25" t="s">
        <v>68</v>
      </c>
      <c r="T77" s="26">
        <v>608.5</v>
      </c>
      <c r="U77" s="26">
        <v>644</v>
      </c>
      <c r="V77" s="26">
        <v>623.5</v>
      </c>
      <c r="W77" s="27">
        <v>627.5</v>
      </c>
    </row>
    <row r="78" spans="19:23" ht="14.25" customHeight="1" x14ac:dyDescent="0.35">
      <c r="S78" s="21" t="s">
        <v>69</v>
      </c>
      <c r="T78" s="22">
        <v>626.5</v>
      </c>
      <c r="U78" s="22">
        <v>661.5</v>
      </c>
      <c r="V78" s="22">
        <v>637.5</v>
      </c>
      <c r="W78" s="23">
        <v>620</v>
      </c>
    </row>
    <row r="79" spans="19:23" ht="14.25" customHeight="1" x14ac:dyDescent="0.35">
      <c r="S79" s="25" t="s">
        <v>70</v>
      </c>
      <c r="T79" s="26">
        <v>616</v>
      </c>
      <c r="U79" s="26">
        <v>649</v>
      </c>
      <c r="V79" s="26">
        <v>627.5</v>
      </c>
      <c r="W79" s="27">
        <v>608.5</v>
      </c>
    </row>
    <row r="80" spans="19:23" ht="14.25" customHeight="1" x14ac:dyDescent="0.35">
      <c r="S80" s="21" t="s">
        <v>71</v>
      </c>
      <c r="T80" s="22">
        <v>621</v>
      </c>
      <c r="U80" s="22">
        <v>654.5</v>
      </c>
      <c r="V80" s="22">
        <v>632</v>
      </c>
      <c r="W80" s="23">
        <v>614</v>
      </c>
    </row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22" sqref="B22"/>
    </sheetView>
  </sheetViews>
  <sheetFormatPr defaultColWidth="14.453125" defaultRowHeight="15" customHeight="1" x14ac:dyDescent="0.35"/>
  <cols>
    <col min="1" max="1" width="8.54296875" customWidth="1"/>
    <col min="2" max="2" width="22.81640625" customWidth="1"/>
    <col min="3" max="3" width="17" customWidth="1"/>
    <col min="4" max="4" width="24.453125" customWidth="1"/>
    <col min="5" max="5" width="9.81640625" customWidth="1"/>
    <col min="6" max="6" width="24" customWidth="1"/>
    <col min="7" max="26" width="8.54296875" customWidth="1"/>
  </cols>
  <sheetData>
    <row r="1" spans="1:26" ht="14.25" customHeight="1" x14ac:dyDescent="0.35">
      <c r="A1" s="19"/>
      <c r="B1" s="19" t="s">
        <v>147</v>
      </c>
      <c r="C1" s="19" t="s">
        <v>148</v>
      </c>
      <c r="D1" s="19" t="s">
        <v>149</v>
      </c>
      <c r="E1" s="19" t="s">
        <v>150</v>
      </c>
      <c r="F1" s="19" t="s">
        <v>151</v>
      </c>
      <c r="G1" s="19" t="s">
        <v>152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4.25" customHeight="1" x14ac:dyDescent="0.35">
      <c r="A2" s="1" t="s">
        <v>11</v>
      </c>
      <c r="B2" s="1">
        <v>63.34</v>
      </c>
      <c r="E2" s="1">
        <v>41.29</v>
      </c>
      <c r="F2" s="1">
        <v>707</v>
      </c>
    </row>
    <row r="3" spans="1:26" ht="14.25" customHeight="1" x14ac:dyDescent="0.35">
      <c r="A3" s="1" t="s">
        <v>153</v>
      </c>
      <c r="B3" s="1">
        <v>64.900000000000006</v>
      </c>
      <c r="C3" s="1">
        <v>37.71</v>
      </c>
      <c r="D3" s="1">
        <v>47.81</v>
      </c>
      <c r="E3" s="1">
        <v>42.79</v>
      </c>
      <c r="F3" s="1">
        <v>715</v>
      </c>
      <c r="G3" s="1">
        <f>F3*10^6/(14.6*D3*10^5)</f>
        <v>10.2431714577967</v>
      </c>
    </row>
    <row r="4" spans="1:26" ht="14.25" customHeight="1" x14ac:dyDescent="0.35">
      <c r="A4" s="1" t="s">
        <v>13</v>
      </c>
      <c r="C4" s="1">
        <v>38.42</v>
      </c>
      <c r="D4" s="1">
        <v>48.25</v>
      </c>
      <c r="E4" s="1">
        <f>E3+1.29</f>
        <v>44.08</v>
      </c>
      <c r="F4" s="1">
        <v>718</v>
      </c>
      <c r="G4" s="1">
        <f>F4*10^6/(14.6*D4*10^5)</f>
        <v>10.192348640783591</v>
      </c>
    </row>
    <row r="5" spans="1:26" ht="14.25" customHeight="1" x14ac:dyDescent="0.35">
      <c r="A5" s="1" t="s">
        <v>14</v>
      </c>
      <c r="C5" s="1">
        <v>39.130000000000003</v>
      </c>
      <c r="D5" s="1">
        <v>49.42</v>
      </c>
      <c r="E5" s="1">
        <f>E4+0.99</f>
        <v>45.07</v>
      </c>
      <c r="F5" s="1">
        <v>731</v>
      </c>
      <c r="G5" s="1">
        <f>F5*10^6/(14.6*D5*10^5)</f>
        <v>10.131220791316254</v>
      </c>
    </row>
    <row r="6" spans="1:26" ht="14.25" customHeight="1" x14ac:dyDescent="0.35">
      <c r="A6" s="1" t="s">
        <v>15</v>
      </c>
      <c r="C6" s="1">
        <v>39.840000000000003</v>
      </c>
      <c r="D6" s="1">
        <v>49.56</v>
      </c>
      <c r="E6" s="1">
        <f>E5+0.84</f>
        <v>45.910000000000004</v>
      </c>
      <c r="F6" s="1">
        <v>722</v>
      </c>
      <c r="G6" s="1">
        <f>F6*10^6/(14.6*D6*10^5)</f>
        <v>9.9782192886441781</v>
      </c>
    </row>
    <row r="7" spans="1:26" ht="14.25" customHeight="1" x14ac:dyDescent="0.35"/>
    <row r="8" spans="1:26" ht="14.25" customHeight="1" x14ac:dyDescent="0.35"/>
    <row r="9" spans="1:26" ht="14.25" customHeight="1" x14ac:dyDescent="0.35"/>
    <row r="10" spans="1:26" ht="14.25" customHeight="1" x14ac:dyDescent="0.35"/>
    <row r="11" spans="1:26" ht="14.25" customHeight="1" x14ac:dyDescent="0.35"/>
    <row r="12" spans="1:26" ht="14.25" customHeight="1" x14ac:dyDescent="0.35"/>
    <row r="13" spans="1:26" ht="14.25" customHeight="1" x14ac:dyDescent="0.35"/>
    <row r="14" spans="1:26" ht="14.25" customHeight="1" x14ac:dyDescent="0.35"/>
    <row r="15" spans="1:26" ht="14.25" customHeight="1" x14ac:dyDescent="0.35"/>
    <row r="16" spans="1:2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Overall Analysis</vt:lpstr>
      <vt:lpstr>PNG</vt:lpstr>
      <vt:lpstr>LPG Imports</vt:lpstr>
      <vt:lpstr>PMUY Active Consumer Base</vt:lpstr>
      <vt:lpstr>PMUY + PMGKY Consumption</vt:lpstr>
      <vt:lpstr>Sheet1</vt:lpstr>
      <vt:lpstr>Sheet2</vt:lpstr>
      <vt:lpstr>Delhi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KG Ganesan</dc:creator>
  <cp:lastModifiedBy>Tarun</cp:lastModifiedBy>
  <dcterms:created xsi:type="dcterms:W3CDTF">2019-06-10T09:55:50Z</dcterms:created>
  <dcterms:modified xsi:type="dcterms:W3CDTF">2025-04-21T08:52:02Z</dcterms:modified>
</cp:coreProperties>
</file>