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ona\Desktop\"/>
    </mc:Choice>
  </mc:AlternateContent>
  <bookViews>
    <workbookView xWindow="0" yWindow="0" windowWidth="24000" windowHeight="9735" activeTab="1"/>
  </bookViews>
  <sheets>
    <sheet name="Лист 1" sheetId="1" r:id="rId1"/>
    <sheet name="Лист1" sheetId="2" r:id="rId2"/>
  </sheets>
  <externalReferences>
    <externalReference r:id="rId3"/>
  </externalReferences>
  <calcPr calcId="152511"/>
</workbook>
</file>

<file path=xl/calcChain.xml><?xml version="1.0" encoding="utf-8"?>
<calcChain xmlns="http://schemas.openxmlformats.org/spreadsheetml/2006/main">
  <c r="Q25" i="2" l="1"/>
  <c r="S25" i="2" s="1"/>
  <c r="Q32" i="2"/>
  <c r="Q34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17" i="2"/>
  <c r="I3" i="2" s="1" a="1"/>
  <c r="L3" i="2" s="1"/>
  <c r="F23" i="2"/>
  <c r="E23" i="2"/>
  <c r="D23" i="2"/>
  <c r="C23" i="2"/>
  <c r="C29" i="2"/>
  <c r="N36" i="2"/>
  <c r="Q35" i="2" s="1"/>
  <c r="N35" i="2"/>
  <c r="N34" i="2"/>
  <c r="Q33" i="2" s="1"/>
  <c r="S33" i="2" s="1"/>
  <c r="N33" i="2"/>
  <c r="N32" i="2"/>
  <c r="Q31" i="2" s="1"/>
  <c r="S31" i="2" s="1"/>
  <c r="N31" i="2"/>
  <c r="Q30" i="2" s="1"/>
  <c r="N30" i="2"/>
  <c r="Q29" i="2" s="1"/>
  <c r="N29" i="2"/>
  <c r="Q28" i="2" s="1"/>
  <c r="S28" i="2" s="1"/>
  <c r="N28" i="2"/>
  <c r="Q27" i="2" s="1"/>
  <c r="S27" i="2" s="1"/>
  <c r="G37" i="2"/>
  <c r="N27" i="2"/>
  <c r="Q26" i="2" s="1"/>
  <c r="S26" i="2" s="1"/>
  <c r="N26" i="2"/>
  <c r="N25" i="2"/>
  <c r="Q24" i="2" s="1"/>
  <c r="S24" i="2" s="1"/>
  <c r="N24" i="2"/>
  <c r="Q23" i="2" s="1"/>
  <c r="S23" i="2" s="1"/>
  <c r="N23" i="2"/>
  <c r="Q22" i="2" s="1"/>
  <c r="S22" i="2" s="1"/>
  <c r="N22" i="2"/>
  <c r="Q21" i="2" s="1"/>
  <c r="S21" i="2" s="1"/>
  <c r="N21" i="2"/>
  <c r="Q20" i="2" s="1"/>
  <c r="S20" i="2" s="1"/>
  <c r="N20" i="2"/>
  <c r="Q19" i="2" s="1"/>
  <c r="S19" i="2" s="1"/>
  <c r="N19" i="2"/>
  <c r="Q18" i="2" s="1"/>
  <c r="S18" i="2" s="1"/>
  <c r="N18" i="2"/>
  <c r="Q17" i="2" s="1"/>
  <c r="S17" i="2" s="1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N17" i="2"/>
  <c r="I6" i="2" s="1" a="1"/>
  <c r="I6" i="2" s="1"/>
  <c r="S34" i="2" l="1"/>
  <c r="S32" i="2"/>
  <c r="Q16" i="2"/>
  <c r="S16" i="2" s="1"/>
  <c r="AB6" i="2"/>
  <c r="T6" i="2"/>
  <c r="L6" i="2"/>
  <c r="W6" i="2"/>
  <c r="O6" i="2"/>
  <c r="Z6" i="2"/>
  <c r="V6" i="2"/>
  <c r="R6" i="2"/>
  <c r="N6" i="2"/>
  <c r="J6" i="2"/>
  <c r="X6" i="2"/>
  <c r="P6" i="2"/>
  <c r="AA6" i="2"/>
  <c r="S6" i="2"/>
  <c r="K6" i="2"/>
  <c r="Y6" i="2"/>
  <c r="U6" i="2"/>
  <c r="Q6" i="2"/>
  <c r="M6" i="2"/>
  <c r="P3" i="2"/>
  <c r="U3" i="2"/>
  <c r="M3" i="2"/>
  <c r="Y3" i="2"/>
  <c r="I3" i="2"/>
  <c r="AA5" i="2"/>
  <c r="W5" i="2"/>
  <c r="S5" i="2"/>
  <c r="O5" i="2"/>
  <c r="K5" i="2"/>
  <c r="AA4" i="2"/>
  <c r="W4" i="2"/>
  <c r="S4" i="2"/>
  <c r="O4" i="2"/>
  <c r="K4" i="2"/>
  <c r="AA3" i="2"/>
  <c r="W3" i="2"/>
  <c r="S3" i="2"/>
  <c r="O3" i="2"/>
  <c r="K3" i="2"/>
  <c r="Z5" i="2"/>
  <c r="V5" i="2"/>
  <c r="R5" i="2"/>
  <c r="N5" i="2"/>
  <c r="J5" i="2"/>
  <c r="Z4" i="2"/>
  <c r="V4" i="2"/>
  <c r="R4" i="2"/>
  <c r="N4" i="2"/>
  <c r="J4" i="2"/>
  <c r="Z3" i="2"/>
  <c r="V3" i="2"/>
  <c r="R3" i="2"/>
  <c r="N3" i="2"/>
  <c r="J3" i="2"/>
  <c r="Y5" i="2"/>
  <c r="U5" i="2"/>
  <c r="Q5" i="2"/>
  <c r="M5" i="2"/>
  <c r="I5" i="2"/>
  <c r="Y4" i="2"/>
  <c r="U4" i="2"/>
  <c r="Q4" i="2"/>
  <c r="M4" i="2"/>
  <c r="I4" i="2"/>
  <c r="Q3" i="2"/>
  <c r="AB5" i="2"/>
  <c r="X5" i="2"/>
  <c r="T5" i="2"/>
  <c r="P5" i="2"/>
  <c r="L5" i="2"/>
  <c r="AB4" i="2"/>
  <c r="X4" i="2"/>
  <c r="T4" i="2"/>
  <c r="P4" i="2"/>
  <c r="L4" i="2"/>
  <c r="AB3" i="2"/>
  <c r="X3" i="2"/>
  <c r="T3" i="2"/>
  <c r="S30" i="2"/>
  <c r="S35" i="2"/>
  <c r="S29" i="2"/>
  <c r="S11" i="1"/>
  <c r="U10" i="1"/>
  <c r="U9" i="1"/>
  <c r="U8" i="1"/>
  <c r="T10" i="1"/>
  <c r="T9" i="1"/>
  <c r="T8" i="1"/>
  <c r="S10" i="1"/>
  <c r="S9" i="1"/>
  <c r="S8" i="1"/>
  <c r="G34" i="1" a="1"/>
  <c r="G34" i="1" s="1"/>
  <c r="I8" i="2" l="1" a="1"/>
  <c r="K11" i="2" s="1"/>
  <c r="G26" i="2" a="1"/>
  <c r="Z37" i="1"/>
  <c r="R37" i="1"/>
  <c r="J37" i="1"/>
  <c r="V36" i="1"/>
  <c r="N36" i="1"/>
  <c r="Z35" i="1"/>
  <c r="R35" i="1"/>
  <c r="J35" i="1"/>
  <c r="V34" i="1"/>
  <c r="N34" i="1"/>
  <c r="Y37" i="1"/>
  <c r="Q37" i="1"/>
  <c r="I37" i="1"/>
  <c r="U36" i="1"/>
  <c r="M36" i="1"/>
  <c r="I36" i="1"/>
  <c r="U35" i="1"/>
  <c r="M35" i="1"/>
  <c r="Y34" i="1"/>
  <c r="M34" i="1"/>
  <c r="X37" i="1"/>
  <c r="L37" i="1"/>
  <c r="T36" i="1"/>
  <c r="P35" i="1"/>
  <c r="H34" i="1"/>
  <c r="V37" i="1"/>
  <c r="N37" i="1"/>
  <c r="Z36" i="1"/>
  <c r="R36" i="1"/>
  <c r="J36" i="1"/>
  <c r="V35" i="1"/>
  <c r="N35" i="1"/>
  <c r="Z34" i="1"/>
  <c r="R34" i="1"/>
  <c r="J34" i="1"/>
  <c r="U37" i="1"/>
  <c r="M37" i="1"/>
  <c r="Y36" i="1"/>
  <c r="Q36" i="1"/>
  <c r="Y35" i="1"/>
  <c r="Q35" i="1"/>
  <c r="I35" i="1"/>
  <c r="U34" i="1"/>
  <c r="Q34" i="1"/>
  <c r="I34" i="1"/>
  <c r="T37" i="1"/>
  <c r="P37" i="1"/>
  <c r="H37" i="1"/>
  <c r="X36" i="1"/>
  <c r="P36" i="1"/>
  <c r="L36" i="1"/>
  <c r="H36" i="1"/>
  <c r="X35" i="1"/>
  <c r="T35" i="1"/>
  <c r="L35" i="1"/>
  <c r="H35" i="1"/>
  <c r="X34" i="1"/>
  <c r="T34" i="1"/>
  <c r="P34" i="1"/>
  <c r="L34" i="1"/>
  <c r="W37" i="1"/>
  <c r="S37" i="1"/>
  <c r="O37" i="1"/>
  <c r="K37" i="1"/>
  <c r="G37" i="1"/>
  <c r="W36" i="1"/>
  <c r="S36" i="1"/>
  <c r="O36" i="1"/>
  <c r="K36" i="1"/>
  <c r="G36" i="1"/>
  <c r="W35" i="1"/>
  <c r="S35" i="1"/>
  <c r="O35" i="1"/>
  <c r="K35" i="1"/>
  <c r="G35" i="1"/>
  <c r="W34" i="1"/>
  <c r="S34" i="1"/>
  <c r="O34" i="1"/>
  <c r="K34" i="1"/>
  <c r="L9" i="2" l="1"/>
  <c r="L10" i="2"/>
  <c r="J9" i="2"/>
  <c r="L11" i="2"/>
  <c r="L8" i="2"/>
  <c r="J10" i="2"/>
  <c r="I9" i="2"/>
  <c r="J11" i="2"/>
  <c r="I8" i="2"/>
  <c r="I10" i="2"/>
  <c r="K8" i="2"/>
  <c r="I11" i="2"/>
  <c r="K10" i="2"/>
  <c r="K9" i="2"/>
  <c r="J8" i="2"/>
  <c r="G28" i="2"/>
  <c r="G26" i="2"/>
  <c r="G27" i="2"/>
  <c r="G29" i="2"/>
  <c r="O25" i="1"/>
  <c r="P9" i="1"/>
  <c r="O9" i="1"/>
  <c r="N9" i="1"/>
  <c r="P13" i="1" s="1"/>
  <c r="P23" i="2" l="1"/>
  <c r="P30" i="2"/>
  <c r="P22" i="2"/>
  <c r="P16" i="2"/>
  <c r="P26" i="2"/>
  <c r="P34" i="2"/>
  <c r="P25" i="2"/>
  <c r="P21" i="2"/>
  <c r="P32" i="2"/>
  <c r="P18" i="2"/>
  <c r="P29" i="2"/>
  <c r="P24" i="2"/>
  <c r="P17" i="2"/>
  <c r="P31" i="2"/>
  <c r="P33" i="2"/>
  <c r="P20" i="2"/>
  <c r="P35" i="2"/>
  <c r="P19" i="2"/>
  <c r="P27" i="2"/>
  <c r="P28" i="2"/>
  <c r="N12" i="1"/>
  <c r="O21" i="1"/>
  <c r="N20" i="1"/>
  <c r="P28" i="1"/>
  <c r="N16" i="1"/>
  <c r="P24" i="1"/>
  <c r="N28" i="1"/>
  <c r="P12" i="1"/>
  <c r="O17" i="1"/>
  <c r="P20" i="1"/>
  <c r="N24" i="1"/>
  <c r="O29" i="1"/>
  <c r="O13" i="1"/>
  <c r="P16" i="1"/>
  <c r="N31" i="1"/>
  <c r="N27" i="1"/>
  <c r="N23" i="1"/>
  <c r="N19" i="1"/>
  <c r="N15" i="1"/>
  <c r="O12" i="1"/>
  <c r="O28" i="1"/>
  <c r="O24" i="1"/>
  <c r="O20" i="1"/>
  <c r="O16" i="1"/>
  <c r="P31" i="1"/>
  <c r="P27" i="1"/>
  <c r="P23" i="1"/>
  <c r="P19" i="1"/>
  <c r="P15" i="1"/>
  <c r="N30" i="1"/>
  <c r="N26" i="1"/>
  <c r="N22" i="1"/>
  <c r="N18" i="1"/>
  <c r="N14" i="1"/>
  <c r="O31" i="1"/>
  <c r="O27" i="1"/>
  <c r="O23" i="1"/>
  <c r="O19" i="1"/>
  <c r="O15" i="1"/>
  <c r="P30" i="1"/>
  <c r="P26" i="1"/>
  <c r="P22" i="1"/>
  <c r="P18" i="1"/>
  <c r="P14" i="1"/>
  <c r="N29" i="1"/>
  <c r="N25" i="1"/>
  <c r="N21" i="1"/>
  <c r="N17" i="1"/>
  <c r="N13" i="1"/>
  <c r="O30" i="1"/>
  <c r="O26" i="1"/>
  <c r="O22" i="1"/>
  <c r="O18" i="1"/>
  <c r="O14" i="1"/>
  <c r="P29" i="1"/>
  <c r="P25" i="1"/>
  <c r="P21" i="1"/>
  <c r="P17" i="1"/>
  <c r="T20" i="2" l="1"/>
  <c r="R20" i="2"/>
  <c r="R24" i="2"/>
  <c r="T24" i="2"/>
  <c r="R16" i="2"/>
  <c r="T16" i="2"/>
  <c r="R27" i="2"/>
  <c r="T27" i="2"/>
  <c r="R29" i="2"/>
  <c r="T29" i="2"/>
  <c r="R25" i="2"/>
  <c r="T25" i="2"/>
  <c r="T22" i="2"/>
  <c r="R22" i="2"/>
  <c r="R19" i="2"/>
  <c r="T19" i="2"/>
  <c r="R31" i="2"/>
  <c r="T31" i="2"/>
  <c r="R18" i="2"/>
  <c r="T18" i="2"/>
  <c r="T34" i="2"/>
  <c r="R34" i="2"/>
  <c r="T30" i="2"/>
  <c r="R30" i="2"/>
  <c r="R28" i="2"/>
  <c r="T28" i="2"/>
  <c r="R21" i="2"/>
  <c r="T21" i="2"/>
  <c r="T33" i="2"/>
  <c r="R33" i="2"/>
  <c r="R35" i="2"/>
  <c r="T35" i="2"/>
  <c r="T17" i="2"/>
  <c r="R17" i="2"/>
  <c r="R32" i="2"/>
  <c r="T32" i="2"/>
  <c r="R26" i="2"/>
  <c r="T26" i="2"/>
  <c r="T23" i="2"/>
  <c r="R23" i="2"/>
  <c r="A28" i="1" a="1"/>
  <c r="A28" i="1" s="1"/>
  <c r="A23" i="1" a="1"/>
  <c r="A23" i="1" s="1"/>
  <c r="B56" i="1"/>
  <c r="B59" i="1" s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C25" i="2" l="1"/>
  <c r="B29" i="2" s="1"/>
  <c r="G35" i="2"/>
  <c r="G34" i="2"/>
  <c r="G32" i="2"/>
  <c r="G33" i="2"/>
  <c r="I22" i="1"/>
  <c r="A29" i="1"/>
  <c r="A31" i="1"/>
  <c r="A30" i="1"/>
  <c r="D26" i="1"/>
  <c r="D25" i="1"/>
  <c r="D24" i="1"/>
  <c r="D23" i="1"/>
  <c r="C26" i="1"/>
  <c r="C25" i="1"/>
  <c r="C24" i="1"/>
  <c r="C23" i="1"/>
  <c r="B26" i="1"/>
  <c r="B25" i="1"/>
  <c r="B24" i="1"/>
  <c r="B23" i="1"/>
  <c r="A38" i="1" s="1" a="1"/>
  <c r="A26" i="1"/>
  <c r="A25" i="1"/>
  <c r="A24" i="1"/>
  <c r="B58" i="1"/>
  <c r="P9" i="2" l="1"/>
  <c r="O9" i="2"/>
  <c r="P11" i="2"/>
  <c r="O11" i="2"/>
  <c r="O10" i="2"/>
  <c r="P10" i="2"/>
  <c r="O12" i="2"/>
  <c r="P12" i="2"/>
  <c r="A38" i="1"/>
  <c r="D38" i="1"/>
  <c r="B41" i="1"/>
  <c r="D41" i="1"/>
  <c r="A40" i="1"/>
  <c r="C41" i="1"/>
  <c r="B40" i="1"/>
  <c r="D39" i="1"/>
  <c r="A39" i="1"/>
  <c r="C40" i="1"/>
  <c r="B39" i="1"/>
  <c r="C39" i="1"/>
  <c r="D40" i="1"/>
  <c r="C38" i="1"/>
  <c r="B38" i="1"/>
  <c r="A41" i="1"/>
  <c r="A33" i="1" a="1"/>
  <c r="A33" i="1" l="1"/>
  <c r="A35" i="1"/>
  <c r="B62" i="1" s="1"/>
  <c r="A36" i="1"/>
  <c r="B63" i="1" s="1"/>
  <c r="A34" i="1"/>
  <c r="B61" i="1" s="1"/>
  <c r="G18" i="1" l="1"/>
  <c r="H18" i="1" s="1"/>
  <c r="J18" i="1" s="1"/>
  <c r="G14" i="1"/>
  <c r="H14" i="1" s="1"/>
  <c r="J14" i="1" s="1"/>
  <c r="G6" i="1"/>
  <c r="H6" i="1" s="1"/>
  <c r="J6" i="1" s="1"/>
  <c r="G21" i="1"/>
  <c r="H21" i="1" s="1"/>
  <c r="J21" i="1" s="1"/>
  <c r="G17" i="1"/>
  <c r="H17" i="1" s="1"/>
  <c r="J17" i="1" s="1"/>
  <c r="G13" i="1"/>
  <c r="H13" i="1" s="1"/>
  <c r="J13" i="1" s="1"/>
  <c r="G9" i="1"/>
  <c r="H9" i="1" s="1"/>
  <c r="J9" i="1" s="1"/>
  <c r="G5" i="1"/>
  <c r="H5" i="1" s="1"/>
  <c r="J5" i="1" s="1"/>
  <c r="G19" i="1"/>
  <c r="H19" i="1" s="1"/>
  <c r="J19" i="1" s="1"/>
  <c r="G7" i="1"/>
  <c r="H7" i="1" s="1"/>
  <c r="J7" i="1" s="1"/>
  <c r="G10" i="1"/>
  <c r="H10" i="1" s="1"/>
  <c r="J10" i="1" s="1"/>
  <c r="G20" i="1"/>
  <c r="H20" i="1" s="1"/>
  <c r="J20" i="1" s="1"/>
  <c r="G16" i="1"/>
  <c r="H16" i="1" s="1"/>
  <c r="J16" i="1" s="1"/>
  <c r="G12" i="1"/>
  <c r="H12" i="1" s="1"/>
  <c r="J12" i="1" s="1"/>
  <c r="G8" i="1"/>
  <c r="H8" i="1" s="1"/>
  <c r="J8" i="1" s="1"/>
  <c r="G4" i="1"/>
  <c r="H4" i="1" s="1"/>
  <c r="J4" i="1" s="1"/>
  <c r="G15" i="1"/>
  <c r="H15" i="1" s="1"/>
  <c r="J15" i="1" s="1"/>
  <c r="G11" i="1"/>
  <c r="H11" i="1" s="1"/>
  <c r="J11" i="1" s="1"/>
  <c r="G3" i="1"/>
  <c r="H3" i="1" s="1"/>
  <c r="J3" i="1" s="1"/>
  <c r="G2" i="1"/>
  <c r="H2" i="1" s="1"/>
  <c r="B42" i="1" l="1" a="1"/>
  <c r="B42" i="1" s="1"/>
  <c r="H22" i="1"/>
  <c r="J2" i="1"/>
  <c r="J22" i="1" s="1"/>
  <c r="B54" i="1" l="1"/>
  <c r="B57" i="1" s="1"/>
  <c r="B43" i="1"/>
  <c r="A48" i="1" l="1"/>
  <c r="B48" i="1"/>
  <c r="A47" i="1"/>
  <c r="D46" i="1"/>
  <c r="C47" i="1"/>
  <c r="B47" i="1"/>
  <c r="B51" i="1" s="1"/>
  <c r="B46" i="1"/>
  <c r="D48" i="1"/>
  <c r="B49" i="1"/>
  <c r="D47" i="1"/>
  <c r="D49" i="1"/>
  <c r="B53" i="1" s="1"/>
  <c r="B44" i="1"/>
  <c r="C46" i="1"/>
  <c r="A49" i="1"/>
  <c r="C49" i="1"/>
  <c r="A46" i="1"/>
  <c r="B50" i="1" s="1"/>
  <c r="C48" i="1"/>
  <c r="B52" i="1" s="1"/>
</calcChain>
</file>

<file path=xl/sharedStrings.xml><?xml version="1.0" encoding="utf-8"?>
<sst xmlns="http://schemas.openxmlformats.org/spreadsheetml/2006/main" count="93" uniqueCount="79">
  <si>
    <t>Матрица X</t>
  </si>
  <si>
    <t>Матрица Y</t>
  </si>
  <si>
    <t>Y(x)</t>
  </si>
  <si>
    <t>Y-Y(x)</t>
  </si>
  <si>
    <t>(Y-Ycp)^2</t>
  </si>
  <si>
    <t>Ai</t>
  </si>
  <si>
    <t>Умножаем матрицы, (XT*X)</t>
  </si>
  <si>
    <t>Умножаем матрицы, (XT*Y)</t>
  </si>
  <si>
    <t>Вектор оценок коэффициентов регрессии</t>
  </si>
  <si>
    <t>Матрица (XTX)^-1</t>
  </si>
  <si>
    <t>se^2</t>
  </si>
  <si>
    <t>s^2</t>
  </si>
  <si>
    <t>s</t>
  </si>
  <si>
    <t>k(x)</t>
  </si>
  <si>
    <t>sb0</t>
  </si>
  <si>
    <t>sb1</t>
  </si>
  <si>
    <t>sb2</t>
  </si>
  <si>
    <t>sb3</t>
  </si>
  <si>
    <t>R2</t>
  </si>
  <si>
    <t>Количество переменных m</t>
  </si>
  <si>
    <t>Степеней свободы k</t>
  </si>
  <si>
    <t>F</t>
  </si>
  <si>
    <t>Fkp</t>
  </si>
  <si>
    <t>t-статистика. Критерий Стьюдента</t>
  </si>
  <si>
    <t>Частные коэффициенты эластичности</t>
  </si>
  <si>
    <t>E1</t>
  </si>
  <si>
    <t>E2</t>
  </si>
  <si>
    <t>E3</t>
  </si>
  <si>
    <t>Вернигор, ТК-3, 4 варіант</t>
  </si>
  <si>
    <t xml:space="preserve">4. </t>
  </si>
  <si>
    <t>Квадрат середнього відхилення(дисперсія):</t>
  </si>
  <si>
    <t>(x1)</t>
  </si>
  <si>
    <t>(x2)</t>
  </si>
  <si>
    <t>(x3)</t>
  </si>
  <si>
    <t>Кореляційна матриця(R):</t>
  </si>
  <si>
    <t>*x1</t>
  </si>
  <si>
    <t>*x2</t>
  </si>
  <si>
    <t>*x3</t>
  </si>
  <si>
    <t>Детермінант(D):</t>
  </si>
  <si>
    <t>Матриця стандартизованих змінних(X*):</t>
  </si>
  <si>
    <t>Транспонована матриця</t>
  </si>
  <si>
    <t>ПОШУК ПАРАМЕТРІВ b0, b1, b2, b3</t>
  </si>
  <si>
    <t>параметри(вектор ~b):</t>
  </si>
  <si>
    <t>b0</t>
  </si>
  <si>
    <t>b1</t>
  </si>
  <si>
    <t>b2</t>
  </si>
  <si>
    <t>b3</t>
  </si>
  <si>
    <t>-</t>
  </si>
  <si>
    <t>~b</t>
  </si>
  <si>
    <t>f(xi, b)</t>
  </si>
  <si>
    <t>y</t>
  </si>
  <si>
    <t>(f(xi, b) - Усред)^2</t>
  </si>
  <si>
    <t>(Yi - Yсред)^2</t>
  </si>
  <si>
    <t>(f(xi, b) - Yi)^2</t>
  </si>
  <si>
    <t>№</t>
  </si>
  <si>
    <t>x1</t>
  </si>
  <si>
    <t>x2</t>
  </si>
  <si>
    <t>x3</t>
  </si>
  <si>
    <t>значення при параметрах:</t>
  </si>
  <si>
    <t>x3^2</t>
  </si>
  <si>
    <t>t-критерії для кожного параметра:</t>
  </si>
  <si>
    <t>T(b0)=</t>
  </si>
  <si>
    <t>T(b1)=</t>
  </si>
  <si>
    <t>T(b2)=</t>
  </si>
  <si>
    <t>T(b3)=</t>
  </si>
  <si>
    <t>Табличний t-критерій</t>
  </si>
  <si>
    <t>Індекс кореляції(R) =</t>
  </si>
  <si>
    <t xml:space="preserve">За шкалою Чедока </t>
  </si>
  <si>
    <t>Оцінка істотності індекса кореляції</t>
  </si>
  <si>
    <t>Табличне значення крт. Фішера</t>
  </si>
  <si>
    <t>Сред Знач</t>
  </si>
  <si>
    <t>(XT * X)^(-1):</t>
  </si>
  <si>
    <t>Довірчий інтервали:</t>
  </si>
  <si>
    <t>від</t>
  </si>
  <si>
    <t>до</t>
  </si>
  <si>
    <t>x1^3</t>
  </si>
  <si>
    <t>ln(x3)</t>
  </si>
  <si>
    <t>Зв'язок вельми потужний</t>
  </si>
  <si>
    <t>Верингор Віталій, 4 варіант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</si>
</sst>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000000"/>
      <name val="Calibri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rgb="FFC2FABD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ck">
        <color rgb="FF808080"/>
      </left>
      <right/>
      <top/>
      <bottom/>
      <diagonal/>
    </border>
    <border>
      <left/>
      <right style="thick">
        <color rgb="FF808080"/>
      </right>
      <top/>
      <bottom/>
      <diagonal/>
    </border>
    <border>
      <left style="thick">
        <color rgb="FF808080"/>
      </left>
      <right/>
      <top style="thick">
        <color rgb="FF808080"/>
      </top>
      <bottom/>
      <diagonal/>
    </border>
    <border>
      <left/>
      <right/>
      <top style="thick">
        <color rgb="FF808080"/>
      </top>
      <bottom/>
      <diagonal/>
    </border>
    <border>
      <left/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/>
      <top/>
      <bottom style="thick">
        <color rgb="FF808080"/>
      </bottom>
      <diagonal/>
    </border>
    <border>
      <left/>
      <right/>
      <top/>
      <bottom style="thick">
        <color rgb="FF808080"/>
      </bottom>
      <diagonal/>
    </border>
    <border>
      <left/>
      <right style="thick">
        <color rgb="FF808080"/>
      </right>
      <top/>
      <bottom style="thick">
        <color rgb="FF808080"/>
      </bottom>
      <diagonal/>
    </border>
    <border>
      <left style="thick">
        <color rgb="FF808080"/>
      </left>
      <right style="thick">
        <color rgb="FF808080"/>
      </right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/>
      <diagonal/>
    </border>
    <border>
      <left style="thick">
        <color rgb="FF808080"/>
      </left>
      <right style="thick">
        <color rgb="FF808080"/>
      </right>
      <top/>
      <bottom style="thick">
        <color rgb="FF808080"/>
      </bottom>
      <diagonal/>
    </border>
    <border>
      <left style="dashDot">
        <color rgb="FF808080"/>
      </left>
      <right/>
      <top/>
      <bottom/>
      <diagonal/>
    </border>
    <border>
      <left/>
      <right style="dashDot">
        <color rgb="FF808080"/>
      </right>
      <top/>
      <bottom/>
      <diagonal/>
    </border>
    <border>
      <left style="dashDot">
        <color rgb="FF808080"/>
      </left>
      <right/>
      <top style="dashDot">
        <color rgb="FF808080"/>
      </top>
      <bottom/>
      <diagonal/>
    </border>
    <border>
      <left/>
      <right/>
      <top style="dashDot">
        <color rgb="FF808080"/>
      </top>
      <bottom/>
      <diagonal/>
    </border>
    <border>
      <left/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/>
      <top/>
      <bottom style="dashDot">
        <color rgb="FF808080"/>
      </bottom>
      <diagonal/>
    </border>
    <border>
      <left/>
      <right/>
      <top/>
      <bottom style="dashDot">
        <color rgb="FF808080"/>
      </bottom>
      <diagonal/>
    </border>
    <border>
      <left/>
      <right style="dashDot">
        <color rgb="FF808080"/>
      </right>
      <top/>
      <bottom style="dashDot">
        <color rgb="FF808080"/>
      </bottom>
      <diagonal/>
    </border>
    <border>
      <left style="dashDot">
        <color rgb="FF808080"/>
      </left>
      <right style="dashDot">
        <color rgb="FF808080"/>
      </right>
      <top/>
      <bottom/>
      <diagonal/>
    </border>
    <border>
      <left style="dashDot">
        <color rgb="FF808080"/>
      </left>
      <right style="dashDot">
        <color rgb="FF808080"/>
      </right>
      <top style="dashDot">
        <color rgb="FF808080"/>
      </top>
      <bottom/>
      <diagonal/>
    </border>
    <border>
      <left style="dashDot">
        <color rgb="FF808080"/>
      </left>
      <right style="dashDot">
        <color rgb="FF808080"/>
      </right>
      <top/>
      <bottom style="dashDot">
        <color rgb="FF80808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theme="1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double">
        <color theme="1"/>
      </top>
      <bottom style="medium">
        <color theme="1"/>
      </bottom>
      <diagonal/>
    </border>
    <border>
      <left style="medium">
        <color theme="1"/>
      </left>
      <right style="double">
        <color theme="1"/>
      </right>
      <top style="double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double">
        <color theme="1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4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4" tint="-0.249977111117893"/>
      </right>
      <top style="medium">
        <color theme="4" tint="-0.249977111117893"/>
      </top>
      <bottom style="thin">
        <color indexed="64"/>
      </bottom>
      <diagonal/>
    </border>
    <border>
      <left style="double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1"/>
      </left>
      <right style="double">
        <color theme="1"/>
      </right>
      <top style="medium">
        <color theme="1"/>
      </top>
      <bottom style="double">
        <color theme="1"/>
      </bottom>
      <diagonal/>
    </border>
    <border>
      <left style="medium">
        <color theme="4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5" fillId="0" borderId="0"/>
    <xf numFmtId="0" fontId="3" fillId="0" borderId="0"/>
    <xf numFmtId="0" fontId="8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1" applyNumberFormat="0" applyAlignment="0" applyProtection="0"/>
    <xf numFmtId="0" fontId="9" fillId="9" borderId="42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2" fillId="12" borderId="0" applyNumberFormat="0" applyBorder="0" applyAlignment="0" applyProtection="0"/>
  </cellStyleXfs>
  <cellXfs count="11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2"/>
    <xf numFmtId="0" fontId="3" fillId="0" borderId="0" xfId="2" applyAlignment="1">
      <alignment horizontal="center" vertical="center"/>
    </xf>
    <xf numFmtId="0" fontId="7" fillId="0" borderId="0" xfId="2" applyFont="1" applyFill="1" applyBorder="1"/>
    <xf numFmtId="0" fontId="3" fillId="3" borderId="31" xfId="2" applyFill="1" applyBorder="1"/>
    <xf numFmtId="0" fontId="3" fillId="3" borderId="30" xfId="2" applyFill="1" applyBorder="1"/>
    <xf numFmtId="0" fontId="3" fillId="3" borderId="25" xfId="2" applyFill="1" applyBorder="1" applyAlignment="1">
      <alignment horizontal="center" vertical="center"/>
    </xf>
    <xf numFmtId="0" fontId="3" fillId="3" borderId="24" xfId="2" applyFill="1" applyBorder="1" applyAlignment="1">
      <alignment horizontal="center" vertical="center"/>
    </xf>
    <xf numFmtId="0" fontId="3" fillId="3" borderId="23" xfId="2" applyFill="1" applyBorder="1" applyAlignment="1">
      <alignment horizontal="center" vertical="center"/>
    </xf>
    <xf numFmtId="0" fontId="6" fillId="0" borderId="0" xfId="2" applyFont="1"/>
    <xf numFmtId="0" fontId="8" fillId="4" borderId="0" xfId="3"/>
    <xf numFmtId="0" fontId="2" fillId="5" borderId="0" xfId="4"/>
    <xf numFmtId="0" fontId="8" fillId="4" borderId="26" xfId="3" applyBorder="1"/>
    <xf numFmtId="0" fontId="8" fillId="4" borderId="27" xfId="3" applyBorder="1"/>
    <xf numFmtId="0" fontId="8" fillId="4" borderId="28" xfId="3" applyBorder="1"/>
    <xf numFmtId="0" fontId="8" fillId="4" borderId="32" xfId="3" applyBorder="1"/>
    <xf numFmtId="0" fontId="8" fillId="4" borderId="33" xfId="3" applyBorder="1"/>
    <xf numFmtId="0" fontId="8" fillId="4" borderId="34" xfId="3" applyBorder="1"/>
    <xf numFmtId="0" fontId="8" fillId="4" borderId="37" xfId="3" applyBorder="1"/>
    <xf numFmtId="0" fontId="8" fillId="4" borderId="38" xfId="3" applyBorder="1"/>
    <xf numFmtId="0" fontId="8" fillId="4" borderId="39" xfId="3" applyBorder="1"/>
    <xf numFmtId="0" fontId="2" fillId="6" borderId="35" xfId="5" applyBorder="1"/>
    <xf numFmtId="0" fontId="2" fillId="6" borderId="36" xfId="5" applyBorder="1"/>
    <xf numFmtId="0" fontId="2" fillId="6" borderId="40" xfId="5" applyBorder="1"/>
    <xf numFmtId="0" fontId="2" fillId="6" borderId="29" xfId="5" applyBorder="1"/>
    <xf numFmtId="0" fontId="3" fillId="0" borderId="43" xfId="2" applyBorder="1" applyAlignment="1">
      <alignment horizontal="right"/>
    </xf>
    <xf numFmtId="0" fontId="3" fillId="0" borderId="44" xfId="2" applyBorder="1" applyAlignment="1">
      <alignment horizontal="center" vertical="center"/>
    </xf>
    <xf numFmtId="0" fontId="3" fillId="0" borderId="45" xfId="2" applyBorder="1" applyAlignment="1">
      <alignment horizontal="center" vertical="center"/>
    </xf>
    <xf numFmtId="0" fontId="3" fillId="0" borderId="23" xfId="2" applyBorder="1" applyAlignment="1">
      <alignment horizontal="center" vertical="center"/>
    </xf>
    <xf numFmtId="0" fontId="3" fillId="0" borderId="24" xfId="2" applyBorder="1" applyAlignment="1">
      <alignment horizontal="center" vertical="center"/>
    </xf>
    <xf numFmtId="0" fontId="3" fillId="0" borderId="25" xfId="2" applyBorder="1" applyAlignment="1">
      <alignment horizontal="center" vertical="center"/>
    </xf>
    <xf numFmtId="0" fontId="3" fillId="0" borderId="47" xfId="2" applyFill="1" applyBorder="1" applyAlignment="1">
      <alignment horizontal="center" vertical="center"/>
    </xf>
    <xf numFmtId="0" fontId="3" fillId="13" borderId="48" xfId="2" applyFill="1" applyBorder="1" applyAlignment="1">
      <alignment horizontal="center" vertical="center"/>
    </xf>
    <xf numFmtId="0" fontId="3" fillId="0" borderId="49" xfId="2" applyBorder="1" applyAlignment="1">
      <alignment horizontal="center" vertical="center"/>
    </xf>
    <xf numFmtId="0" fontId="3" fillId="0" borderId="47" xfId="2" applyBorder="1"/>
    <xf numFmtId="0" fontId="3" fillId="0" borderId="52" xfId="2" applyBorder="1"/>
    <xf numFmtId="0" fontId="3" fillId="0" borderId="53" xfId="2" applyBorder="1"/>
    <xf numFmtId="0" fontId="3" fillId="0" borderId="51" xfId="2" applyBorder="1" applyAlignment="1">
      <alignment horizontal="center" vertical="center"/>
    </xf>
    <xf numFmtId="0" fontId="3" fillId="0" borderId="58" xfId="2" applyBorder="1"/>
    <xf numFmtId="0" fontId="3" fillId="13" borderId="60" xfId="2" applyFill="1" applyBorder="1" applyAlignment="1">
      <alignment horizontal="center" vertical="center"/>
    </xf>
    <xf numFmtId="0" fontId="3" fillId="14" borderId="64" xfId="2" applyFill="1" applyBorder="1" applyAlignment="1">
      <alignment horizontal="center" vertical="center"/>
    </xf>
    <xf numFmtId="0" fontId="3" fillId="14" borderId="65" xfId="2" applyFill="1" applyBorder="1" applyAlignment="1">
      <alignment horizontal="center" vertical="center"/>
    </xf>
    <xf numFmtId="0" fontId="3" fillId="14" borderId="66" xfId="2" applyFill="1" applyBorder="1" applyAlignment="1">
      <alignment horizontal="center" vertical="center"/>
    </xf>
    <xf numFmtId="0" fontId="3" fillId="0" borderId="56" xfId="2" applyBorder="1"/>
    <xf numFmtId="0" fontId="3" fillId="0" borderId="67" xfId="2" applyBorder="1"/>
    <xf numFmtId="0" fontId="3" fillId="0" borderId="57" xfId="2" applyBorder="1"/>
    <xf numFmtId="0" fontId="3" fillId="0" borderId="0" xfId="2" applyBorder="1"/>
    <xf numFmtId="0" fontId="3" fillId="0" borderId="68" xfId="2" applyBorder="1"/>
    <xf numFmtId="0" fontId="3" fillId="0" borderId="55" xfId="2" applyBorder="1"/>
    <xf numFmtId="0" fontId="3" fillId="0" borderId="54" xfId="2" applyBorder="1"/>
    <xf numFmtId="0" fontId="13" fillId="0" borderId="55" xfId="0" applyFont="1" applyBorder="1" applyAlignment="1">
      <alignment horizontal="center" vertical="center"/>
    </xf>
    <xf numFmtId="0" fontId="1" fillId="10" borderId="29" xfId="9" applyBorder="1" applyAlignment="1">
      <alignment horizontal="center" vertical="center"/>
    </xf>
    <xf numFmtId="0" fontId="1" fillId="10" borderId="59" xfId="9" applyBorder="1" applyAlignment="1">
      <alignment horizontal="center" vertical="center"/>
    </xf>
    <xf numFmtId="0" fontId="1" fillId="10" borderId="23" xfId="9" applyBorder="1" applyAlignment="1">
      <alignment horizontal="center" vertical="center"/>
    </xf>
    <xf numFmtId="0" fontId="1" fillId="10" borderId="24" xfId="9" applyBorder="1" applyAlignment="1">
      <alignment horizontal="center" vertical="center"/>
    </xf>
    <xf numFmtId="0" fontId="1" fillId="10" borderId="25" xfId="9" applyBorder="1" applyAlignment="1">
      <alignment horizontal="center" vertical="center"/>
    </xf>
    <xf numFmtId="0" fontId="1" fillId="10" borderId="49" xfId="9" applyBorder="1" applyAlignment="1">
      <alignment horizontal="center" vertical="center"/>
    </xf>
    <xf numFmtId="0" fontId="1" fillId="10" borderId="50" xfId="9" applyBorder="1" applyAlignment="1">
      <alignment horizontal="center" vertical="center"/>
    </xf>
    <xf numFmtId="0" fontId="1" fillId="10" borderId="61" xfId="9" applyBorder="1" applyAlignment="1">
      <alignment horizontal="center" vertical="center"/>
    </xf>
    <xf numFmtId="0" fontId="1" fillId="10" borderId="62" xfId="9" applyBorder="1" applyAlignment="1">
      <alignment horizontal="center" vertical="center"/>
    </xf>
    <xf numFmtId="0" fontId="1" fillId="10" borderId="63" xfId="9" applyBorder="1" applyAlignment="1">
      <alignment horizontal="center" vertical="center"/>
    </xf>
    <xf numFmtId="0" fontId="8" fillId="4" borderId="23" xfId="3" applyBorder="1" applyAlignment="1">
      <alignment horizontal="center" vertical="center"/>
    </xf>
    <xf numFmtId="0" fontId="8" fillId="4" borderId="25" xfId="3" applyBorder="1" applyAlignment="1">
      <alignment horizontal="center" vertical="center"/>
    </xf>
    <xf numFmtId="0" fontId="8" fillId="4" borderId="49" xfId="3" applyBorder="1" applyAlignment="1">
      <alignment horizontal="center" vertical="center"/>
    </xf>
    <xf numFmtId="0" fontId="8" fillId="4" borderId="50" xfId="3" applyBorder="1" applyAlignment="1">
      <alignment horizontal="center" vertical="center"/>
    </xf>
    <xf numFmtId="0" fontId="8" fillId="4" borderId="51" xfId="3" applyBorder="1" applyAlignment="1">
      <alignment horizontal="center" vertical="center"/>
    </xf>
    <xf numFmtId="0" fontId="8" fillId="4" borderId="31" xfId="3" applyBorder="1" applyAlignment="1">
      <alignment horizontal="center" vertical="center"/>
    </xf>
    <xf numFmtId="0" fontId="10" fillId="7" borderId="23" xfId="6" applyBorder="1" applyAlignment="1">
      <alignment horizontal="center" vertical="center"/>
    </xf>
    <xf numFmtId="0" fontId="10" fillId="7" borderId="25" xfId="6" applyBorder="1"/>
    <xf numFmtId="0" fontId="10" fillId="7" borderId="49" xfId="6" applyBorder="1" applyAlignment="1">
      <alignment horizontal="right" vertical="center"/>
    </xf>
    <xf numFmtId="0" fontId="10" fillId="7" borderId="50" xfId="6" applyBorder="1"/>
    <xf numFmtId="0" fontId="10" fillId="7" borderId="51" xfId="6" applyBorder="1" applyAlignment="1">
      <alignment horizontal="right" vertical="center"/>
    </xf>
    <xf numFmtId="0" fontId="10" fillId="7" borderId="31" xfId="6" applyBorder="1"/>
    <xf numFmtId="0" fontId="12" fillId="12" borderId="54" xfId="11" applyBorder="1" applyAlignment="1">
      <alignment horizontal="right" vertical="center"/>
    </xf>
    <xf numFmtId="0" fontId="12" fillId="12" borderId="55" xfId="11" applyBorder="1"/>
    <xf numFmtId="0" fontId="11" fillId="8" borderId="41" xfId="7" applyAlignment="1">
      <alignment horizontal="center" vertical="center"/>
    </xf>
    <xf numFmtId="0" fontId="1" fillId="11" borderId="29" xfId="10" applyBorder="1" applyAlignment="1">
      <alignment horizontal="center" vertical="center"/>
    </xf>
    <xf numFmtId="0" fontId="1" fillId="11" borderId="29" xfId="10" applyBorder="1"/>
    <xf numFmtId="0" fontId="1" fillId="11" borderId="46" xfId="10" applyBorder="1" applyAlignment="1">
      <alignment horizontal="center" vertical="center"/>
    </xf>
    <xf numFmtId="0" fontId="1" fillId="11" borderId="0" xfId="10"/>
    <xf numFmtId="0" fontId="1" fillId="0" borderId="0" xfId="2" applyFont="1"/>
    <xf numFmtId="0" fontId="3" fillId="9" borderId="42" xfId="8" applyFont="1"/>
  </cellXfs>
  <cellStyles count="12">
    <cellStyle name="20% — акцент1" xfId="9" builtinId="30"/>
    <cellStyle name="20% — акцент2" xfId="4" builtinId="34"/>
    <cellStyle name="20% — акцент3" xfId="10" builtinId="38"/>
    <cellStyle name="40% — акцент4" xfId="5" builtinId="43"/>
    <cellStyle name="Акцент6" xfId="11" builtinId="49"/>
    <cellStyle name="Вычисление" xfId="7" builtinId="22"/>
    <cellStyle name="Нейтральный" xfId="3" builtinId="28"/>
    <cellStyle name="Обычный" xfId="0" builtinId="0"/>
    <cellStyle name="Обычный 2" xfId="2"/>
    <cellStyle name="Обычный 3" xfId="1"/>
    <cellStyle name="Плохой" xfId="6" builtinId="27"/>
    <cellStyle name="Примечание" xfId="8" builtinId="1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200025</xdr:colOff>
      <xdr:row>2</xdr:row>
      <xdr:rowOff>0</xdr:rowOff>
    </xdr:from>
    <xdr:to>
      <xdr:col>13</xdr:col>
      <xdr:colOff>438150</xdr:colOff>
      <xdr:row>2</xdr:row>
      <xdr:rowOff>180975</xdr:rowOff>
    </xdr:to>
    <xdr:pic>
      <xdr:nvPicPr>
        <xdr:cNvPr id="2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05625" y="390525"/>
          <a:ext cx="20669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0</xdr:col>
      <xdr:colOff>1845468</xdr:colOff>
      <xdr:row>2</xdr:row>
      <xdr:rowOff>180975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050"/>
          <a:ext cx="1845468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wnloads\&#1051;&#1072;&#1073;&#1086;&#1088;&#1072;&#1090;&#1086;&#1088;&#1085;&#1072;2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ВІРКА МУЛЬТИКОЛІНЕАРНОСТІ"/>
      <sheetName val="МНК ПОШУК ПАРАМЕТРІВ"/>
    </sheetNames>
    <sheetDataSet>
      <sheetData sheetId="0"/>
      <sheetData sheetId="1">
        <row r="1">
          <cell r="R1" t="str">
            <v>f(xi, b)</v>
          </cell>
          <cell r="S1" t="str">
            <v>y</v>
          </cell>
        </row>
        <row r="2">
          <cell r="R2">
            <v>45.937087715273513</v>
          </cell>
          <cell r="S2">
            <v>50</v>
          </cell>
        </row>
        <row r="3">
          <cell r="R3">
            <v>88.844256554574372</v>
          </cell>
          <cell r="S3">
            <v>95</v>
          </cell>
        </row>
        <row r="4">
          <cell r="R4">
            <v>127.24043187392888</v>
          </cell>
          <cell r="S4">
            <v>120</v>
          </cell>
        </row>
        <row r="5">
          <cell r="R5">
            <v>200.34612349736341</v>
          </cell>
          <cell r="S5">
            <v>199</v>
          </cell>
        </row>
        <row r="6">
          <cell r="R6">
            <v>89.639063885383791</v>
          </cell>
          <cell r="S6">
            <v>110</v>
          </cell>
        </row>
        <row r="7">
          <cell r="R7">
            <v>118.24868594829833</v>
          </cell>
          <cell r="S7">
            <v>125</v>
          </cell>
        </row>
        <row r="8">
          <cell r="R8">
            <v>145.04367855365962</v>
          </cell>
          <cell r="S8">
            <v>153</v>
          </cell>
        </row>
        <row r="9">
          <cell r="R9">
            <v>217.3848039605468</v>
          </cell>
          <cell r="S9">
            <v>226</v>
          </cell>
        </row>
        <row r="10">
          <cell r="R10">
            <v>270.52737155417827</v>
          </cell>
          <cell r="S10">
            <v>228</v>
          </cell>
        </row>
        <row r="11">
          <cell r="R11">
            <v>327.26658876069769</v>
          </cell>
          <cell r="S11">
            <v>350</v>
          </cell>
        </row>
        <row r="12">
          <cell r="R12">
            <v>156.05982628223617</v>
          </cell>
          <cell r="S12">
            <v>130</v>
          </cell>
        </row>
        <row r="13">
          <cell r="R13">
            <v>200.34612349736341</v>
          </cell>
          <cell r="S13">
            <v>199</v>
          </cell>
        </row>
        <row r="14">
          <cell r="R14">
            <v>382.39019899360653</v>
          </cell>
          <cell r="S14">
            <v>376</v>
          </cell>
        </row>
        <row r="15">
          <cell r="R15">
            <v>476.13240478709059</v>
          </cell>
          <cell r="S15">
            <v>469</v>
          </cell>
        </row>
        <row r="16">
          <cell r="R16">
            <v>564.55381106609855</v>
          </cell>
          <cell r="S16">
            <v>567</v>
          </cell>
        </row>
        <row r="17">
          <cell r="R17">
            <v>626.47929254712483</v>
          </cell>
          <cell r="S17">
            <v>650</v>
          </cell>
        </row>
        <row r="18">
          <cell r="R18">
            <v>539.66155928629905</v>
          </cell>
          <cell r="S18">
            <v>538</v>
          </cell>
        </row>
        <row r="19">
          <cell r="R19">
            <v>638.73909310440138</v>
          </cell>
          <cell r="S19">
            <v>635</v>
          </cell>
        </row>
        <row r="20">
          <cell r="R20">
            <v>689.06457596541259</v>
          </cell>
          <cell r="S20">
            <v>685</v>
          </cell>
        </row>
        <row r="21">
          <cell r="R21">
            <v>897.09502216646536</v>
          </cell>
          <cell r="S21">
            <v>896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3"/>
  <sheetViews>
    <sheetView zoomScale="80" zoomScaleNormal="80" workbookViewId="0">
      <selection activeCell="T15" sqref="T15"/>
    </sheetView>
  </sheetViews>
  <sheetFormatPr defaultRowHeight="15" x14ac:dyDescent="0.25"/>
  <cols>
    <col min="12" max="13" width="7.5703125" customWidth="1"/>
    <col min="18" max="18" width="21.42578125" customWidth="1"/>
  </cols>
  <sheetData>
    <row r="1" spans="1:23" ht="16.5" thickTop="1" thickBot="1" x14ac:dyDescent="0.3">
      <c r="A1" t="s">
        <v>0</v>
      </c>
      <c r="E1" t="s">
        <v>1</v>
      </c>
      <c r="G1" s="26" t="s">
        <v>2</v>
      </c>
      <c r="H1" s="27" t="s">
        <v>3</v>
      </c>
      <c r="I1" s="27" t="s">
        <v>4</v>
      </c>
      <c r="J1" s="28" t="s">
        <v>5</v>
      </c>
    </row>
    <row r="2" spans="1:23" ht="15.75" thickTop="1" x14ac:dyDescent="0.25">
      <c r="A2" s="4">
        <v>1</v>
      </c>
      <c r="B2" s="5">
        <v>4</v>
      </c>
      <c r="C2" s="5">
        <v>3</v>
      </c>
      <c r="D2" s="6">
        <v>4</v>
      </c>
      <c r="E2" s="11">
        <v>70</v>
      </c>
      <c r="G2" s="24">
        <f>MMULT(A2:D2,A33:A36)</f>
        <v>-1131.0480294749864</v>
      </c>
      <c r="H2">
        <f t="shared" ref="H2:H21" si="0">E2-G2</f>
        <v>1201.0480294749864</v>
      </c>
      <c r="I2">
        <f>(E2-AVERAGE(E2:E21))^2</f>
        <v>6889312.5625</v>
      </c>
      <c r="J2" s="25">
        <f t="shared" ref="J2:J21" si="1">ABS(H2)/E2</f>
        <v>17.157828992499805</v>
      </c>
      <c r="K2" s="32" t="s">
        <v>28</v>
      </c>
    </row>
    <row r="3" spans="1:23" x14ac:dyDescent="0.25">
      <c r="A3" s="2">
        <v>1</v>
      </c>
      <c r="B3" s="1">
        <v>7</v>
      </c>
      <c r="C3" s="1">
        <v>7</v>
      </c>
      <c r="D3" s="3">
        <v>7</v>
      </c>
      <c r="E3" s="10">
        <v>370</v>
      </c>
      <c r="G3" s="24">
        <f>MMULT(A3:D3,A33:A36)</f>
        <v>458.01075703155067</v>
      </c>
      <c r="H3">
        <f t="shared" si="0"/>
        <v>-88.010757031550668</v>
      </c>
      <c r="I3">
        <f>(E3-AVERAGE(E2:E21))^2</f>
        <v>5404462.5625</v>
      </c>
      <c r="J3" s="25">
        <f t="shared" si="1"/>
        <v>0.23786691089608289</v>
      </c>
      <c r="K3" s="33" t="s">
        <v>29</v>
      </c>
    </row>
    <row r="4" spans="1:23" x14ac:dyDescent="0.25">
      <c r="A4" s="2">
        <v>1</v>
      </c>
      <c r="B4" s="1">
        <v>9</v>
      </c>
      <c r="C4" s="1">
        <v>9</v>
      </c>
      <c r="D4" s="3">
        <v>9</v>
      </c>
      <c r="E4" s="10">
        <v>755</v>
      </c>
      <c r="G4" s="24">
        <f>MMULT(A4:D4,A33:A36)</f>
        <v>1560.2374736984027</v>
      </c>
      <c r="H4">
        <f t="shared" si="0"/>
        <v>-805.23747369840271</v>
      </c>
      <c r="I4">
        <f>(E4-AVERAGE(E2:E21))^2</f>
        <v>3762630.0625</v>
      </c>
      <c r="J4" s="25">
        <f t="shared" si="1"/>
        <v>1.066539700262785</v>
      </c>
    </row>
    <row r="5" spans="1:23" x14ac:dyDescent="0.25">
      <c r="A5" s="2">
        <v>1</v>
      </c>
      <c r="B5" s="1">
        <v>9</v>
      </c>
      <c r="C5" s="1">
        <v>8</v>
      </c>
      <c r="D5" s="3">
        <v>10</v>
      </c>
      <c r="E5" s="10">
        <v>753</v>
      </c>
      <c r="G5" s="24">
        <f>MMULT(A5:D5,A33:A36)</f>
        <v>1747.1119537393483</v>
      </c>
      <c r="H5">
        <f t="shared" si="0"/>
        <v>-994.11195373934834</v>
      </c>
      <c r="I5">
        <f>(E5-AVERAGE(E2:E21))^2</f>
        <v>3770393.0625</v>
      </c>
      <c r="J5" s="25">
        <f t="shared" si="1"/>
        <v>1.3202017977946192</v>
      </c>
    </row>
    <row r="6" spans="1:23" ht="15.75" thickBot="1" x14ac:dyDescent="0.3">
      <c r="A6" s="2">
        <v>1</v>
      </c>
      <c r="B6" s="1">
        <v>10</v>
      </c>
      <c r="C6" s="1">
        <v>11</v>
      </c>
      <c r="D6" s="3">
        <v>5</v>
      </c>
      <c r="E6" s="10">
        <v>1028</v>
      </c>
      <c r="G6" s="24">
        <f>MMULT(A6:D6,A33:A36)</f>
        <v>1434.1035858020605</v>
      </c>
      <c r="H6">
        <f t="shared" si="0"/>
        <v>-406.10358580206048</v>
      </c>
      <c r="I6">
        <f>(E6-AVERAGE(E2:E21))^2</f>
        <v>2778055.5625</v>
      </c>
      <c r="J6" s="25">
        <f t="shared" si="1"/>
        <v>0.39504239864013663</v>
      </c>
      <c r="L6" s="42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</row>
    <row r="7" spans="1:23" ht="16.5" thickTop="1" thickBot="1" x14ac:dyDescent="0.3">
      <c r="A7" s="2">
        <v>1</v>
      </c>
      <c r="B7" s="1">
        <v>13</v>
      </c>
      <c r="C7" s="1">
        <v>12</v>
      </c>
      <c r="D7" s="3">
        <v>9</v>
      </c>
      <c r="E7" s="10">
        <v>2229</v>
      </c>
      <c r="G7" s="24">
        <f>MMULT(A7:D7,A33:A36)</f>
        <v>3338.5994293370231</v>
      </c>
      <c r="H7">
        <f t="shared" si="0"/>
        <v>-1109.5994293370231</v>
      </c>
      <c r="I7">
        <f>(E7-AVERAGE(E2:E21))^2</f>
        <v>216923.0625</v>
      </c>
      <c r="J7" s="25">
        <f t="shared" si="1"/>
        <v>0.49780144878287264</v>
      </c>
      <c r="L7" s="34"/>
      <c r="M7" s="34"/>
      <c r="N7" s="41" t="s">
        <v>30</v>
      </c>
      <c r="O7" s="34"/>
      <c r="P7" s="34"/>
      <c r="Q7" s="34"/>
      <c r="R7" s="34"/>
      <c r="S7" s="34"/>
      <c r="T7" s="45" t="s">
        <v>34</v>
      </c>
      <c r="U7" s="34"/>
      <c r="V7" s="34"/>
      <c r="W7" s="34"/>
    </row>
    <row r="8" spans="1:23" ht="16.5" thickTop="1" thickBot="1" x14ac:dyDescent="0.3">
      <c r="A8" s="2">
        <v>1</v>
      </c>
      <c r="B8" s="1">
        <v>11</v>
      </c>
      <c r="C8" s="1">
        <v>10</v>
      </c>
      <c r="D8" s="3">
        <v>13</v>
      </c>
      <c r="E8" s="10">
        <v>1360</v>
      </c>
      <c r="G8" s="24">
        <f>MMULT(A8:D8,A33:A36)</f>
        <v>2971.9318619534051</v>
      </c>
      <c r="H8">
        <f t="shared" si="0"/>
        <v>-1611.9318619534051</v>
      </c>
      <c r="I8">
        <f>(E8-AVERAGE(E2:E21))^2</f>
        <v>1781557.5625</v>
      </c>
      <c r="J8" s="25">
        <f t="shared" si="1"/>
        <v>1.1852440161422098</v>
      </c>
      <c r="L8" s="34"/>
      <c r="N8" s="40" t="s">
        <v>31</v>
      </c>
      <c r="O8" s="40" t="s">
        <v>32</v>
      </c>
      <c r="P8" s="39" t="s">
        <v>33</v>
      </c>
      <c r="Q8" s="34"/>
      <c r="R8" s="43"/>
      <c r="S8" s="46">
        <f>MMULT(N12:N31,G34:Z34)</f>
        <v>8.0434782608695646E-2</v>
      </c>
      <c r="T8" s="46">
        <f>MMULT(O12:O31,G34:Z34)</f>
        <v>9.1304347826086957E-2</v>
      </c>
      <c r="U8" s="47">
        <f>MMULT(P12:P31,G34:Z34)</f>
        <v>8.0434782608695646E-2</v>
      </c>
      <c r="V8" s="34"/>
      <c r="W8" s="34"/>
    </row>
    <row r="9" spans="1:23" ht="15.75" thickBot="1" x14ac:dyDescent="0.3">
      <c r="A9" s="2">
        <v>1</v>
      </c>
      <c r="B9" s="1">
        <v>15</v>
      </c>
      <c r="C9" s="1">
        <v>13</v>
      </c>
      <c r="D9" s="3">
        <v>15</v>
      </c>
      <c r="E9" s="10">
        <v>3411</v>
      </c>
      <c r="G9" s="24">
        <f>MMULT(A9:D9,A33:A36)</f>
        <v>4995.4802006864375</v>
      </c>
      <c r="H9">
        <f t="shared" si="0"/>
        <v>-1584.4802006864375</v>
      </c>
      <c r="I9">
        <f>(E9-AVERAGE(E2:E21))^2</f>
        <v>513014.0625</v>
      </c>
      <c r="J9" s="25">
        <f t="shared" si="1"/>
        <v>0.46452072726075561</v>
      </c>
      <c r="L9" s="34"/>
      <c r="N9" s="38">
        <f>_xlfn.VAR.P(B2:B21)</f>
        <v>34.04</v>
      </c>
      <c r="O9" s="38">
        <f>_xlfn.VAR.P(C2:C21)</f>
        <v>24.1875</v>
      </c>
      <c r="P9" s="37">
        <f>_xlfn.VAR.P(D2:D21)</f>
        <v>27.6</v>
      </c>
      <c r="Q9" s="34"/>
      <c r="R9" s="48"/>
      <c r="S9" s="49">
        <f>MMULT(G35:Z35,N12:N31)</f>
        <v>0.64629847238542903</v>
      </c>
      <c r="T9" s="49">
        <f>MMULT(O12:O31,G35:Z35)</f>
        <v>0.1036427732079906</v>
      </c>
      <c r="U9" s="50">
        <f>MMULT(P12:P31,G35:Z35)</f>
        <v>9.1304347826086957E-2</v>
      </c>
      <c r="V9" s="34"/>
      <c r="W9" s="34"/>
    </row>
    <row r="10" spans="1:23" ht="15.75" thickBot="1" x14ac:dyDescent="0.3">
      <c r="A10" s="2">
        <v>1</v>
      </c>
      <c r="B10" s="1">
        <v>20</v>
      </c>
      <c r="C10" s="1">
        <v>14</v>
      </c>
      <c r="D10" s="3">
        <v>19</v>
      </c>
      <c r="E10" s="10">
        <v>8050</v>
      </c>
      <c r="G10" s="24">
        <f>MMULT(A10:D10,A33:A36)</f>
        <v>7885.578954781322</v>
      </c>
      <c r="H10">
        <f t="shared" si="0"/>
        <v>164.42104521867805</v>
      </c>
      <c r="I10">
        <f>(E10-AVERAGE(E2:E21))^2</f>
        <v>28678702.5625</v>
      </c>
      <c r="J10" s="25">
        <f t="shared" si="1"/>
        <v>2.0424974561326466E-2</v>
      </c>
      <c r="L10" s="34"/>
      <c r="N10" s="56" t="s">
        <v>39</v>
      </c>
      <c r="O10" s="34"/>
      <c r="P10" s="34"/>
      <c r="Q10" s="34"/>
      <c r="R10" s="48"/>
      <c r="S10" s="49">
        <f>MMULT(N12:N31,G36:Z36)</f>
        <v>8.0434782608695646E-2</v>
      </c>
      <c r="T10" s="49">
        <f>MMULT(O12:O31,G36:Z36)</f>
        <v>9.1304347826086957E-2</v>
      </c>
      <c r="U10" s="50">
        <f>MMULT(P12:P31,G36:Z36)</f>
        <v>8.0434782608695646E-2</v>
      </c>
      <c r="V10" s="34"/>
      <c r="W10" s="34"/>
    </row>
    <row r="11" spans="1:23" ht="15.75" thickBot="1" x14ac:dyDescent="0.3">
      <c r="A11" s="2">
        <v>1</v>
      </c>
      <c r="B11" s="1">
        <v>22</v>
      </c>
      <c r="C11" s="1">
        <v>10</v>
      </c>
      <c r="D11" s="3">
        <v>21</v>
      </c>
      <c r="E11" s="10">
        <v>10600</v>
      </c>
      <c r="G11" s="24">
        <f>MMULT(A11:D11,A33:A36)</f>
        <v>9373.4934024106115</v>
      </c>
      <c r="H11">
        <f t="shared" si="0"/>
        <v>1226.5065975893885</v>
      </c>
      <c r="I11">
        <f>(E11-AVERAGE(E2:E21))^2</f>
        <v>62492977.5625</v>
      </c>
      <c r="J11" s="25">
        <f t="shared" si="1"/>
        <v>0.11570816958390458</v>
      </c>
      <c r="L11" s="34"/>
      <c r="N11" s="54" t="s">
        <v>35</v>
      </c>
      <c r="O11" s="54" t="s">
        <v>36</v>
      </c>
      <c r="P11" s="55" t="s">
        <v>37</v>
      </c>
      <c r="Q11" s="34"/>
      <c r="R11" s="51" t="s">
        <v>38</v>
      </c>
      <c r="S11" s="52">
        <f>MDETERM(S8:U10)</f>
        <v>0</v>
      </c>
      <c r="T11" s="52"/>
      <c r="U11" s="53"/>
      <c r="V11" s="34"/>
      <c r="W11" s="34"/>
    </row>
    <row r="12" spans="1:23" ht="15.75" thickTop="1" x14ac:dyDescent="0.25">
      <c r="A12" s="2">
        <v>1</v>
      </c>
      <c r="B12" s="1">
        <v>11</v>
      </c>
      <c r="C12" s="1">
        <v>2</v>
      </c>
      <c r="D12" s="3">
        <v>1</v>
      </c>
      <c r="E12" s="10">
        <v>1330</v>
      </c>
      <c r="G12" s="24">
        <f>MMULT(A12:D12,A33:A36)</f>
        <v>2015.0638713368585</v>
      </c>
      <c r="H12">
        <f t="shared" si="0"/>
        <v>-685.06387133685848</v>
      </c>
      <c r="I12">
        <f>(E12-AVERAGE(E2:E21))^2</f>
        <v>1862542.5625</v>
      </c>
      <c r="J12" s="25">
        <f t="shared" si="1"/>
        <v>0.51508561754651017</v>
      </c>
      <c r="L12" s="34"/>
      <c r="N12" s="57">
        <f t="shared" ref="N12:N31" si="2">(B2-AVERAGE($B$2:$B$21))/(SQRT(20*$N$9))</f>
        <v>-0.28361026534435535</v>
      </c>
      <c r="O12" s="57">
        <f t="shared" ref="O12:O31" si="3">(C2-AVERAGE($B$2:$B$21))/(SQRT(20*$N$9))</f>
        <v>-0.32193597687737635</v>
      </c>
      <c r="P12" s="57">
        <f t="shared" ref="P12:P31" si="4">(D2-AVERAGE($B$2:$B$21))/(SQRT(20*$N$9))</f>
        <v>-0.28361026534435535</v>
      </c>
      <c r="Q12" s="34"/>
      <c r="R12" s="34"/>
      <c r="S12" s="34"/>
      <c r="T12" s="34"/>
      <c r="U12" s="34"/>
      <c r="V12" s="34"/>
      <c r="W12" s="34"/>
    </row>
    <row r="13" spans="1:23" x14ac:dyDescent="0.25">
      <c r="A13" s="2">
        <v>1</v>
      </c>
      <c r="B13" s="1">
        <v>13</v>
      </c>
      <c r="C13" s="1">
        <v>6</v>
      </c>
      <c r="D13" s="3">
        <v>2</v>
      </c>
      <c r="E13" s="10">
        <v>2220</v>
      </c>
      <c r="G13" s="24">
        <f>MMULT(A13:D13,A33:A36)</f>
        <v>2866.1348194690245</v>
      </c>
      <c r="H13">
        <f t="shared" si="0"/>
        <v>-646.13481946902448</v>
      </c>
      <c r="I13">
        <f>(E13-AVERAGE(E2:E21))^2</f>
        <v>225387.5625</v>
      </c>
      <c r="J13" s="25">
        <f t="shared" si="1"/>
        <v>0.29105172048154254</v>
      </c>
      <c r="L13" s="34"/>
      <c r="N13" s="57">
        <f t="shared" si="2"/>
        <v>-0.16863313074529238</v>
      </c>
      <c r="O13" s="57">
        <f t="shared" si="3"/>
        <v>-0.16863313074529238</v>
      </c>
      <c r="P13" s="57">
        <f t="shared" si="4"/>
        <v>-0.16863313074529238</v>
      </c>
      <c r="Q13" s="34"/>
      <c r="R13" s="34"/>
      <c r="S13" s="34"/>
      <c r="T13" s="34"/>
      <c r="U13" s="34"/>
      <c r="V13" s="34"/>
      <c r="W13" s="34"/>
    </row>
    <row r="14" spans="1:23" x14ac:dyDescent="0.25">
      <c r="A14" s="2">
        <v>1</v>
      </c>
      <c r="B14" s="1">
        <v>2</v>
      </c>
      <c r="C14" s="1">
        <v>2</v>
      </c>
      <c r="D14" s="3">
        <v>6</v>
      </c>
      <c r="E14" s="10">
        <v>15</v>
      </c>
      <c r="G14" s="24">
        <f>MMULT(A14:D14,A33:A36)</f>
        <v>-1807.1832684467554</v>
      </c>
      <c r="H14">
        <f t="shared" si="0"/>
        <v>1822.1832684467554</v>
      </c>
      <c r="I14">
        <f>(E14-AVERAGE(E2:E21))^2</f>
        <v>7181060.0625</v>
      </c>
      <c r="J14" s="25">
        <f t="shared" si="1"/>
        <v>121.47888456311702</v>
      </c>
      <c r="L14" s="34"/>
      <c r="N14" s="57">
        <f t="shared" si="2"/>
        <v>-9.1981707679250402E-2</v>
      </c>
      <c r="O14" s="57">
        <f t="shared" si="3"/>
        <v>-9.1981707679250402E-2</v>
      </c>
      <c r="P14" s="57">
        <f t="shared" si="4"/>
        <v>-9.1981707679250402E-2</v>
      </c>
      <c r="Q14" s="34"/>
      <c r="R14" s="34"/>
      <c r="S14" s="34"/>
      <c r="T14" s="34"/>
      <c r="U14" s="34"/>
      <c r="V14" s="34"/>
      <c r="W14" s="34"/>
    </row>
    <row r="15" spans="1:23" x14ac:dyDescent="0.25">
      <c r="A15" s="2">
        <v>1</v>
      </c>
      <c r="B15" s="1">
        <v>2</v>
      </c>
      <c r="C15" s="1">
        <v>5</v>
      </c>
      <c r="D15" s="3">
        <v>10</v>
      </c>
      <c r="E15" s="10">
        <v>30</v>
      </c>
      <c r="G15" s="24">
        <f>MMULT(A15:D15,A33:A36)</f>
        <v>-1509.6543677391533</v>
      </c>
      <c r="H15">
        <f t="shared" si="0"/>
        <v>1539.6543677391533</v>
      </c>
      <c r="I15">
        <f>(E15-AVERAGE(E2:E21))^2</f>
        <v>7100892.5625</v>
      </c>
      <c r="J15" s="25">
        <f t="shared" si="1"/>
        <v>51.321812257971779</v>
      </c>
      <c r="L15" s="34"/>
      <c r="N15" s="57">
        <f t="shared" si="2"/>
        <v>-9.1981707679250402E-2</v>
      </c>
      <c r="O15" s="57">
        <f t="shared" si="3"/>
        <v>-0.1303074192122714</v>
      </c>
      <c r="P15" s="57">
        <f t="shared" si="4"/>
        <v>-5.3655996146229408E-2</v>
      </c>
      <c r="Q15" s="34"/>
      <c r="R15" s="34"/>
      <c r="S15" s="34"/>
      <c r="T15" s="34"/>
      <c r="U15" s="34"/>
      <c r="V15" s="34"/>
      <c r="W15" s="34"/>
    </row>
    <row r="16" spans="1:23" x14ac:dyDescent="0.25">
      <c r="A16" s="2">
        <v>1</v>
      </c>
      <c r="B16" s="1">
        <v>5</v>
      </c>
      <c r="C16" s="1">
        <v>7</v>
      </c>
      <c r="D16" s="3">
        <v>12</v>
      </c>
      <c r="E16" s="10">
        <v>100</v>
      </c>
      <c r="G16" s="24">
        <f>MMULT(A16:D16,A33:A36)</f>
        <v>85.373804207658623</v>
      </c>
      <c r="H16">
        <f t="shared" si="0"/>
        <v>14.626195792341377</v>
      </c>
      <c r="I16">
        <f>(E16-AVERAGE(E2:E21))^2</f>
        <v>6732727.5625</v>
      </c>
      <c r="J16" s="25">
        <f t="shared" si="1"/>
        <v>0.14626195792341379</v>
      </c>
      <c r="L16" s="34"/>
      <c r="N16" s="57">
        <f t="shared" si="2"/>
        <v>-5.3655996146229408E-2</v>
      </c>
      <c r="O16" s="57">
        <f t="shared" si="3"/>
        <v>-1.5330284613208411E-2</v>
      </c>
      <c r="P16" s="57">
        <f t="shared" si="4"/>
        <v>-0.24528455381133438</v>
      </c>
      <c r="Q16" s="34"/>
      <c r="R16" s="34"/>
      <c r="S16" s="34"/>
      <c r="T16" s="34"/>
      <c r="U16" s="34"/>
      <c r="V16" s="34"/>
      <c r="W16" s="34"/>
    </row>
    <row r="17" spans="1:23" x14ac:dyDescent="0.25">
      <c r="A17" s="2">
        <v>1</v>
      </c>
      <c r="B17" s="1">
        <v>7</v>
      </c>
      <c r="C17" s="1">
        <v>8</v>
      </c>
      <c r="D17" s="3">
        <v>13</v>
      </c>
      <c r="E17" s="10">
        <v>368</v>
      </c>
      <c r="G17" s="24">
        <f>MMULT(A17:D17,A33:A36)</f>
        <v>1129.2886178210442</v>
      </c>
      <c r="H17">
        <f t="shared" si="0"/>
        <v>-761.28861782104423</v>
      </c>
      <c r="I17">
        <f>(E17-AVERAGE(E2:E21))^2</f>
        <v>5413765.5625</v>
      </c>
      <c r="J17" s="25">
        <f t="shared" si="1"/>
        <v>2.0687190701658809</v>
      </c>
      <c r="L17" s="34"/>
      <c r="N17" s="57">
        <f t="shared" si="2"/>
        <v>6.132113845283358E-2</v>
      </c>
      <c r="O17" s="57">
        <f t="shared" si="3"/>
        <v>2.2995426919812583E-2</v>
      </c>
      <c r="P17" s="57">
        <f t="shared" si="4"/>
        <v>-9.1981707679250402E-2</v>
      </c>
      <c r="Q17" s="34"/>
      <c r="R17" s="34"/>
      <c r="S17" s="34"/>
      <c r="T17" s="34"/>
      <c r="U17" s="34"/>
      <c r="V17" s="34"/>
      <c r="W17" s="34"/>
    </row>
    <row r="18" spans="1:23" x14ac:dyDescent="0.25">
      <c r="A18" s="2">
        <v>1</v>
      </c>
      <c r="B18" s="1">
        <v>14</v>
      </c>
      <c r="C18" s="1">
        <v>14</v>
      </c>
      <c r="D18" s="3">
        <v>3</v>
      </c>
      <c r="E18" s="10">
        <v>2770</v>
      </c>
      <c r="G18" s="24">
        <f>MMULT(A18:D18,A33:A36)</f>
        <v>2967.279158346269</v>
      </c>
      <c r="H18">
        <f t="shared" si="0"/>
        <v>-197.27915834626901</v>
      </c>
      <c r="I18">
        <f>(E18-AVERAGE(E2:E21))^2</f>
        <v>5662.5625</v>
      </c>
      <c r="J18" s="25">
        <f t="shared" si="1"/>
        <v>7.1219912760385931E-2</v>
      </c>
      <c r="L18" s="34"/>
      <c r="N18" s="57">
        <f t="shared" si="2"/>
        <v>-1.5330284613208411E-2</v>
      </c>
      <c r="O18" s="57">
        <f t="shared" si="3"/>
        <v>-5.3655996146229408E-2</v>
      </c>
      <c r="P18" s="57">
        <f t="shared" si="4"/>
        <v>6.132113845283358E-2</v>
      </c>
      <c r="Q18" s="34"/>
      <c r="R18" s="34"/>
      <c r="S18" s="34"/>
      <c r="T18" s="34"/>
      <c r="U18" s="34"/>
      <c r="V18" s="34"/>
      <c r="W18" s="34"/>
    </row>
    <row r="19" spans="1:23" x14ac:dyDescent="0.25">
      <c r="A19" s="2">
        <v>1</v>
      </c>
      <c r="B19" s="1">
        <v>16</v>
      </c>
      <c r="C19" s="1">
        <v>17</v>
      </c>
      <c r="D19" s="3">
        <v>5</v>
      </c>
      <c r="E19" s="10">
        <v>4136</v>
      </c>
      <c r="G19" s="24">
        <f>MMULT(A19:D19,A33:A36)</f>
        <v>4005.2245865193809</v>
      </c>
      <c r="H19">
        <f t="shared" si="0"/>
        <v>130.77541348061914</v>
      </c>
      <c r="I19">
        <f>(E19-AVERAGE(E2:E21))^2</f>
        <v>2077201.5625</v>
      </c>
      <c r="J19" s="25">
        <f t="shared" si="1"/>
        <v>3.1618813704211587E-2</v>
      </c>
      <c r="L19" s="34"/>
      <c r="N19" s="57">
        <f t="shared" si="2"/>
        <v>0.13797256151887557</v>
      </c>
      <c r="O19" s="57">
        <f t="shared" si="3"/>
        <v>6.132113845283358E-2</v>
      </c>
      <c r="P19" s="57">
        <f t="shared" si="4"/>
        <v>0.13797256151887557</v>
      </c>
      <c r="Q19" s="34"/>
      <c r="R19" s="34"/>
      <c r="S19" s="34"/>
      <c r="T19" s="34"/>
      <c r="U19" s="34"/>
      <c r="V19" s="34"/>
      <c r="W19" s="34"/>
    </row>
    <row r="20" spans="1:23" x14ac:dyDescent="0.25">
      <c r="A20" s="2">
        <v>1</v>
      </c>
      <c r="B20" s="1">
        <v>17</v>
      </c>
      <c r="C20" s="1">
        <v>18</v>
      </c>
      <c r="D20" s="3">
        <v>6</v>
      </c>
      <c r="E20" s="10">
        <v>4990</v>
      </c>
      <c r="G20" s="24">
        <f>MMULT(A20:D20,A33:A36)</f>
        <v>4556.3379448528067</v>
      </c>
      <c r="H20">
        <f t="shared" si="0"/>
        <v>433.66205514719331</v>
      </c>
      <c r="I20">
        <f>(E20-AVERAGE(E2:E21))^2</f>
        <v>5268172.5625</v>
      </c>
      <c r="J20" s="25">
        <f t="shared" si="1"/>
        <v>8.6906223476391445E-2</v>
      </c>
      <c r="L20" s="34"/>
      <c r="N20" s="57">
        <f t="shared" si="2"/>
        <v>0.32960111918398055</v>
      </c>
      <c r="O20" s="57">
        <f t="shared" si="3"/>
        <v>9.9646849985854574E-2</v>
      </c>
      <c r="P20" s="57">
        <f t="shared" si="4"/>
        <v>0.29127540765095955</v>
      </c>
      <c r="Q20" s="34"/>
      <c r="R20" s="34"/>
      <c r="S20" s="34"/>
      <c r="T20" s="34"/>
      <c r="U20" s="34"/>
      <c r="V20" s="34"/>
      <c r="W20" s="34"/>
    </row>
    <row r="21" spans="1:23" ht="15.75" thickBot="1" x14ac:dyDescent="0.3">
      <c r="A21" s="7">
        <v>1</v>
      </c>
      <c r="B21" s="8">
        <v>21</v>
      </c>
      <c r="C21" s="8">
        <v>19</v>
      </c>
      <c r="D21" s="9">
        <v>10</v>
      </c>
      <c r="E21" s="12">
        <v>9310</v>
      </c>
      <c r="G21" s="24">
        <f>MMULT(A21:D21,A33:A36)</f>
        <v>6953.6352436677298</v>
      </c>
      <c r="H21">
        <f t="shared" si="0"/>
        <v>2356.3647563322702</v>
      </c>
      <c r="I21">
        <f>(E21-AVERAGE(E2:E21))^2</f>
        <v>43761532.5625</v>
      </c>
      <c r="J21" s="25">
        <f t="shared" si="1"/>
        <v>0.25310040347285395</v>
      </c>
      <c r="L21" s="34"/>
      <c r="N21" s="57">
        <f t="shared" si="2"/>
        <v>0.40625254225002255</v>
      </c>
      <c r="O21" s="57">
        <f t="shared" si="3"/>
        <v>-5.3655996146229408E-2</v>
      </c>
      <c r="P21" s="57">
        <f t="shared" si="4"/>
        <v>0.36792683071700155</v>
      </c>
      <c r="Q21" s="34"/>
      <c r="R21" s="34"/>
      <c r="S21" s="34"/>
      <c r="T21" s="34"/>
      <c r="U21" s="34"/>
      <c r="V21" s="34"/>
      <c r="W21" s="34"/>
    </row>
    <row r="22" spans="1:23" ht="16.5" thickTop="1" thickBot="1" x14ac:dyDescent="0.3">
      <c r="A22" t="s">
        <v>6</v>
      </c>
      <c r="G22" s="29"/>
      <c r="H22" s="30">
        <f>SUM(H2:H21)</f>
        <v>-3.865352482534945E-11</v>
      </c>
      <c r="I22" s="30">
        <f>SUM(I2:I21)</f>
        <v>195916973.75</v>
      </c>
      <c r="J22" s="31">
        <f>SUM(J2:J21)</f>
        <v>198.72583967704446</v>
      </c>
      <c r="L22" s="34"/>
      <c r="N22" s="57">
        <f t="shared" si="2"/>
        <v>-1.5330284613208411E-2</v>
      </c>
      <c r="O22" s="57">
        <f t="shared" si="3"/>
        <v>-0.36026168841039735</v>
      </c>
      <c r="P22" s="57">
        <f t="shared" si="4"/>
        <v>-0.39858739994341835</v>
      </c>
      <c r="Q22" s="34"/>
      <c r="R22" s="34"/>
      <c r="S22" s="34"/>
      <c r="T22" s="34"/>
      <c r="U22" s="34"/>
      <c r="V22" s="34"/>
      <c r="W22" s="34"/>
    </row>
    <row r="23" spans="1:23" ht="15.75" thickTop="1" x14ac:dyDescent="0.25">
      <c r="A23" s="15">
        <f t="array" ref="A23:D26">MMULT(TRANSPOSE(A2:D21),A2:D21)</f>
        <v>20</v>
      </c>
      <c r="B23" s="16">
        <v>228</v>
      </c>
      <c r="C23" s="16">
        <v>195</v>
      </c>
      <c r="D23" s="17">
        <v>180</v>
      </c>
      <c r="L23" s="34"/>
      <c r="N23" s="57">
        <f t="shared" si="2"/>
        <v>6.132113845283358E-2</v>
      </c>
      <c r="O23" s="57">
        <f t="shared" si="3"/>
        <v>-0.20695884227831338</v>
      </c>
      <c r="P23" s="57">
        <f t="shared" si="4"/>
        <v>-0.36026168841039735</v>
      </c>
      <c r="Q23" s="34"/>
      <c r="R23" s="34"/>
      <c r="S23" s="34"/>
      <c r="T23" s="34"/>
      <c r="U23" s="34"/>
      <c r="V23" s="34"/>
      <c r="W23" s="34"/>
    </row>
    <row r="24" spans="1:23" x14ac:dyDescent="0.25">
      <c r="A24" s="13">
        <v>228</v>
      </c>
      <c r="B24">
        <v>3280</v>
      </c>
      <c r="C24">
        <v>2663</v>
      </c>
      <c r="D24" s="14">
        <v>2267</v>
      </c>
      <c r="L24" s="34"/>
      <c r="N24" s="57">
        <f t="shared" si="2"/>
        <v>-0.36026168841039735</v>
      </c>
      <c r="O24" s="57">
        <f t="shared" si="3"/>
        <v>-0.36026168841039735</v>
      </c>
      <c r="P24" s="57">
        <f t="shared" si="4"/>
        <v>-0.20695884227831338</v>
      </c>
      <c r="Q24" s="34"/>
      <c r="R24" s="34"/>
      <c r="S24" s="34"/>
      <c r="T24" s="34"/>
      <c r="U24" s="34"/>
      <c r="V24" s="34"/>
      <c r="W24" s="34"/>
    </row>
    <row r="25" spans="1:23" x14ac:dyDescent="0.25">
      <c r="A25" s="13">
        <v>195</v>
      </c>
      <c r="B25">
        <v>2663</v>
      </c>
      <c r="C25">
        <v>2385</v>
      </c>
      <c r="D25" s="14">
        <v>1875</v>
      </c>
      <c r="L25" s="34"/>
      <c r="N25" s="57">
        <f t="shared" si="2"/>
        <v>-0.36026168841039735</v>
      </c>
      <c r="O25" s="57">
        <f t="shared" si="3"/>
        <v>-0.24528455381133438</v>
      </c>
      <c r="P25" s="57">
        <f t="shared" si="4"/>
        <v>-5.3655996146229408E-2</v>
      </c>
      <c r="Q25" s="34"/>
      <c r="R25" s="34"/>
      <c r="S25" s="34"/>
      <c r="T25" s="34"/>
      <c r="U25" s="34"/>
      <c r="V25" s="34"/>
      <c r="W25" s="34"/>
    </row>
    <row r="26" spans="1:23" x14ac:dyDescent="0.25">
      <c r="A26" s="18">
        <v>180</v>
      </c>
      <c r="B26" s="19">
        <v>2267</v>
      </c>
      <c r="C26" s="19">
        <v>1875</v>
      </c>
      <c r="D26" s="20">
        <v>2172</v>
      </c>
      <c r="L26" s="34"/>
      <c r="N26" s="57">
        <f t="shared" si="2"/>
        <v>-0.24528455381133438</v>
      </c>
      <c r="O26" s="57">
        <f t="shared" si="3"/>
        <v>-0.16863313074529238</v>
      </c>
      <c r="P26" s="57">
        <f t="shared" si="4"/>
        <v>2.2995426919812583E-2</v>
      </c>
      <c r="Q26" s="34"/>
      <c r="R26" s="34"/>
      <c r="S26" s="34"/>
      <c r="T26" s="34"/>
      <c r="U26" s="34"/>
      <c r="V26" s="34"/>
      <c r="W26" s="34"/>
    </row>
    <row r="27" spans="1:23" x14ac:dyDescent="0.25">
      <c r="A27" t="s">
        <v>7</v>
      </c>
      <c r="L27" s="34"/>
      <c r="N27" s="57">
        <f t="shared" si="2"/>
        <v>-0.16863313074529238</v>
      </c>
      <c r="O27" s="57">
        <f t="shared" si="3"/>
        <v>-0.1303074192122714</v>
      </c>
      <c r="P27" s="57">
        <f t="shared" si="4"/>
        <v>6.132113845283358E-2</v>
      </c>
      <c r="Q27" s="36"/>
      <c r="R27" s="34"/>
      <c r="S27" s="34"/>
      <c r="T27" s="34"/>
      <c r="U27" s="34"/>
      <c r="V27" s="34"/>
      <c r="W27" s="34"/>
    </row>
    <row r="28" spans="1:23" x14ac:dyDescent="0.25">
      <c r="A28" s="22">
        <f t="array" ref="A28:A31">MMULT(TRANSPOSE(A2:D21),E2:E21)</f>
        <v>53895</v>
      </c>
      <c r="L28" s="34"/>
      <c r="N28" s="57">
        <f t="shared" si="2"/>
        <v>9.9646849985854574E-2</v>
      </c>
      <c r="O28" s="57">
        <f t="shared" si="3"/>
        <v>9.9646849985854574E-2</v>
      </c>
      <c r="P28" s="57">
        <f t="shared" si="4"/>
        <v>-0.32193597687737635</v>
      </c>
      <c r="Q28" s="34"/>
      <c r="R28" s="34"/>
      <c r="S28" s="34"/>
      <c r="T28" s="34"/>
      <c r="U28" s="34"/>
      <c r="V28" s="34"/>
      <c r="W28" s="34"/>
    </row>
    <row r="29" spans="1:23" x14ac:dyDescent="0.25">
      <c r="A29" s="21">
        <v>947976</v>
      </c>
      <c r="L29" s="34"/>
      <c r="N29" s="57">
        <f t="shared" si="2"/>
        <v>0.17629827305189655</v>
      </c>
      <c r="O29" s="57">
        <f t="shared" si="3"/>
        <v>0.21462398458491755</v>
      </c>
      <c r="P29" s="57">
        <f t="shared" si="4"/>
        <v>-0.24528455381133438</v>
      </c>
      <c r="Q29" s="34"/>
      <c r="R29" s="34"/>
      <c r="S29" s="34"/>
      <c r="T29" s="34"/>
      <c r="U29" s="34"/>
      <c r="V29" s="34"/>
      <c r="W29" s="34"/>
    </row>
    <row r="30" spans="1:23" x14ac:dyDescent="0.25">
      <c r="A30" s="21">
        <v>725924</v>
      </c>
      <c r="L30" s="34"/>
      <c r="N30" s="57">
        <f t="shared" si="2"/>
        <v>0.21462398458491755</v>
      </c>
      <c r="O30" s="57">
        <f t="shared" si="3"/>
        <v>0.25294969611793855</v>
      </c>
      <c r="P30" s="57">
        <f t="shared" si="4"/>
        <v>-0.20695884227831338</v>
      </c>
      <c r="Q30" s="34"/>
      <c r="R30" s="34"/>
      <c r="S30" s="34"/>
      <c r="T30" s="34"/>
      <c r="U30" s="34"/>
      <c r="V30" s="34"/>
      <c r="W30" s="34"/>
    </row>
    <row r="31" spans="1:23" x14ac:dyDescent="0.25">
      <c r="A31" s="23">
        <v>650965</v>
      </c>
      <c r="L31" s="34"/>
      <c r="N31" s="57">
        <f t="shared" si="2"/>
        <v>0.36792683071700155</v>
      </c>
      <c r="O31" s="57">
        <f t="shared" si="3"/>
        <v>0.29127540765095955</v>
      </c>
      <c r="P31" s="57">
        <f t="shared" si="4"/>
        <v>-5.3655996146229408E-2</v>
      </c>
      <c r="Q31" s="34"/>
      <c r="R31" s="34"/>
      <c r="S31" s="34"/>
      <c r="T31" s="35"/>
      <c r="U31" s="34"/>
      <c r="V31" s="34"/>
      <c r="W31" s="34"/>
    </row>
    <row r="32" spans="1:23" x14ac:dyDescent="0.25">
      <c r="A32" t="s">
        <v>8</v>
      </c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</row>
    <row r="33" spans="1:26" x14ac:dyDescent="0.25">
      <c r="A33" s="22">
        <f t="array" ref="A33:A36">MMULT(MINVERSE(A23:D26),A28:A31)</f>
        <v>-3399.7827513024295</v>
      </c>
      <c r="G33" t="s">
        <v>40</v>
      </c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</row>
    <row r="34" spans="1:26" x14ac:dyDescent="0.25">
      <c r="A34" s="21">
        <v>492.80145527996024</v>
      </c>
      <c r="G34" s="44">
        <f t="array" ref="G34:Z37">TRANSPOSE(N12:P31)</f>
        <v>-0.28361026534435535</v>
      </c>
      <c r="H34" s="44">
        <v>-0.16863313074529238</v>
      </c>
      <c r="I34" s="44">
        <v>-9.1981707679250402E-2</v>
      </c>
      <c r="J34" s="44">
        <v>-9.1981707679250402E-2</v>
      </c>
      <c r="K34" s="44">
        <v>-5.3655996146229408E-2</v>
      </c>
      <c r="L34" s="44">
        <v>6.132113845283358E-2</v>
      </c>
      <c r="M34" s="44">
        <v>-1.5330284613208411E-2</v>
      </c>
      <c r="N34" s="44">
        <v>0.13797256151887557</v>
      </c>
      <c r="O34" s="44">
        <v>0.32960111918398055</v>
      </c>
      <c r="P34" s="44">
        <v>0.40625254225002255</v>
      </c>
      <c r="Q34" s="44">
        <v>-1.5330284613208411E-2</v>
      </c>
      <c r="R34" s="44">
        <v>6.132113845283358E-2</v>
      </c>
      <c r="S34" s="44">
        <v>-0.36026168841039735</v>
      </c>
      <c r="T34" s="44">
        <v>-0.36026168841039735</v>
      </c>
      <c r="U34" s="44">
        <v>-0.24528455381133438</v>
      </c>
      <c r="V34" s="44">
        <v>-0.16863313074529238</v>
      </c>
      <c r="W34" s="44">
        <v>9.9646849985854574E-2</v>
      </c>
      <c r="X34" s="44">
        <v>0.17629827305189655</v>
      </c>
      <c r="Y34" s="44">
        <v>0.21462398458491755</v>
      </c>
      <c r="Z34" s="44">
        <v>0.36792683071700155</v>
      </c>
    </row>
    <row r="35" spans="1:26" x14ac:dyDescent="0.25">
      <c r="A35" s="21">
        <v>-64.281288493740078</v>
      </c>
      <c r="G35" s="44">
        <v>-0.32193597687737635</v>
      </c>
      <c r="H35" s="44">
        <v>-0.16863313074529238</v>
      </c>
      <c r="I35" s="44">
        <v>-9.1981707679250402E-2</v>
      </c>
      <c r="J35" s="44">
        <v>-0.1303074192122714</v>
      </c>
      <c r="K35" s="44">
        <v>-1.5330284613208411E-2</v>
      </c>
      <c r="L35" s="44">
        <v>2.2995426919812583E-2</v>
      </c>
      <c r="M35" s="44">
        <v>-5.3655996146229408E-2</v>
      </c>
      <c r="N35" s="44">
        <v>6.132113845283358E-2</v>
      </c>
      <c r="O35" s="44">
        <v>9.9646849985854574E-2</v>
      </c>
      <c r="P35" s="44">
        <v>-5.3655996146229408E-2</v>
      </c>
      <c r="Q35" s="44">
        <v>-0.36026168841039735</v>
      </c>
      <c r="R35" s="44">
        <v>-0.20695884227831338</v>
      </c>
      <c r="S35" s="44">
        <v>-0.36026168841039735</v>
      </c>
      <c r="T35" s="44">
        <v>-0.24528455381133438</v>
      </c>
      <c r="U35" s="44">
        <v>-0.16863313074529238</v>
      </c>
      <c r="V35" s="44">
        <v>-0.1303074192122714</v>
      </c>
      <c r="W35" s="44">
        <v>9.9646849985854574E-2</v>
      </c>
      <c r="X35" s="44">
        <v>0.21462398458491755</v>
      </c>
      <c r="Y35" s="44">
        <v>0.25294969611793855</v>
      </c>
      <c r="Z35" s="44">
        <v>0.29127540765095955</v>
      </c>
    </row>
    <row r="36" spans="1:26" x14ac:dyDescent="0.25">
      <c r="A36" s="23">
        <v>122.59319154720561</v>
      </c>
      <c r="G36" s="44">
        <v>-0.28361026534435535</v>
      </c>
      <c r="H36" s="44">
        <v>-0.16863313074529238</v>
      </c>
      <c r="I36" s="44">
        <v>-9.1981707679250402E-2</v>
      </c>
      <c r="J36" s="44">
        <v>-5.3655996146229408E-2</v>
      </c>
      <c r="K36" s="44">
        <v>-0.24528455381133438</v>
      </c>
      <c r="L36" s="44">
        <v>-9.1981707679250402E-2</v>
      </c>
      <c r="M36" s="44">
        <v>6.132113845283358E-2</v>
      </c>
      <c r="N36" s="44">
        <v>0.13797256151887557</v>
      </c>
      <c r="O36" s="44">
        <v>0.29127540765095955</v>
      </c>
      <c r="P36" s="44">
        <v>0.36792683071700155</v>
      </c>
      <c r="Q36" s="44">
        <v>-0.39858739994341835</v>
      </c>
      <c r="R36" s="44">
        <v>-0.36026168841039735</v>
      </c>
      <c r="S36" s="44">
        <v>-0.20695884227831338</v>
      </c>
      <c r="T36" s="44">
        <v>-5.3655996146229408E-2</v>
      </c>
      <c r="U36" s="44">
        <v>2.2995426919812583E-2</v>
      </c>
      <c r="V36" s="44">
        <v>6.132113845283358E-2</v>
      </c>
      <c r="W36" s="44">
        <v>-0.32193597687737635</v>
      </c>
      <c r="X36" s="44">
        <v>-0.24528455381133438</v>
      </c>
      <c r="Y36" s="44">
        <v>-0.20695884227831338</v>
      </c>
      <c r="Z36" s="44">
        <v>-5.3655996146229408E-2</v>
      </c>
    </row>
    <row r="37" spans="1:26" x14ac:dyDescent="0.25">
      <c r="A37" t="s">
        <v>9</v>
      </c>
      <c r="G37" s="44" t="e">
        <v>#N/A</v>
      </c>
      <c r="H37" s="44" t="e">
        <v>#N/A</v>
      </c>
      <c r="I37" s="44" t="e">
        <v>#N/A</v>
      </c>
      <c r="J37" s="44" t="e">
        <v>#N/A</v>
      </c>
      <c r="K37" s="44" t="e">
        <v>#N/A</v>
      </c>
      <c r="L37" s="44" t="e">
        <v>#N/A</v>
      </c>
      <c r="M37" s="44" t="e">
        <v>#N/A</v>
      </c>
      <c r="N37" s="44" t="e">
        <v>#N/A</v>
      </c>
      <c r="O37" s="44" t="e">
        <v>#N/A</v>
      </c>
      <c r="P37" s="44" t="e">
        <v>#N/A</v>
      </c>
      <c r="Q37" s="44" t="e">
        <v>#N/A</v>
      </c>
      <c r="R37" s="44" t="e">
        <v>#N/A</v>
      </c>
      <c r="S37" s="44" t="e">
        <v>#N/A</v>
      </c>
      <c r="T37" s="44" t="e">
        <v>#N/A</v>
      </c>
      <c r="U37" s="44" t="e">
        <v>#N/A</v>
      </c>
      <c r="V37" s="44" t="e">
        <v>#N/A</v>
      </c>
      <c r="W37" s="44" t="e">
        <v>#N/A</v>
      </c>
      <c r="X37" s="44" t="e">
        <v>#N/A</v>
      </c>
      <c r="Y37" s="44" t="e">
        <v>#N/A</v>
      </c>
      <c r="Z37" s="44" t="e">
        <v>#N/A</v>
      </c>
    </row>
    <row r="38" spans="1:26" x14ac:dyDescent="0.25">
      <c r="A38" s="15">
        <f t="array" ref="A38:D41">MINVERSE(A23:D26)</f>
        <v>0.33498952381134595</v>
      </c>
      <c r="B38" s="16">
        <v>-4.622184549717941E-3</v>
      </c>
      <c r="C38" s="16">
        <v>-1.3057103977940994E-2</v>
      </c>
      <c r="D38" s="17">
        <v>-1.1665539573292982E-2</v>
      </c>
    </row>
    <row r="39" spans="1:26" x14ac:dyDescent="0.25">
      <c r="A39" s="13">
        <v>-4.6221845497179687E-3</v>
      </c>
      <c r="B39">
        <v>3.8589520269047017E-3</v>
      </c>
      <c r="C39">
        <v>-3.3159217274293341E-3</v>
      </c>
      <c r="D39" s="14">
        <v>-7.8218130161773649E-4</v>
      </c>
    </row>
    <row r="40" spans="1:26" x14ac:dyDescent="0.25">
      <c r="A40" s="13">
        <v>-1.3057103977940953E-2</v>
      </c>
      <c r="B40">
        <v>-3.315921727429335E-3</v>
      </c>
      <c r="C40">
        <v>5.0343201068375103E-3</v>
      </c>
      <c r="D40" s="14">
        <v>1.9711006988551723E-4</v>
      </c>
    </row>
    <row r="41" spans="1:26" x14ac:dyDescent="0.25">
      <c r="A41" s="18">
        <v>-1.166553957329298E-2</v>
      </c>
      <c r="B41" s="19">
        <v>-7.8218130161773801E-4</v>
      </c>
      <c r="C41" s="19">
        <v>1.9711006988551942E-4</v>
      </c>
      <c r="D41" s="20">
        <v>2.073398136705709E-3</v>
      </c>
    </row>
    <row r="42" spans="1:26" x14ac:dyDescent="0.25">
      <c r="A42" t="s">
        <v>10</v>
      </c>
      <c r="B42">
        <f t="array" ref="B42">MMULT(TRANSPOSE(H2:H21),H2:H21)</f>
        <v>24077317.14397227</v>
      </c>
    </row>
    <row r="43" spans="1:26" x14ac:dyDescent="0.25">
      <c r="A43" t="s">
        <v>11</v>
      </c>
      <c r="B43">
        <f>B42/(20-3-1)</f>
        <v>1504832.3214982669</v>
      </c>
    </row>
    <row r="44" spans="1:26" x14ac:dyDescent="0.25">
      <c r="A44" t="s">
        <v>12</v>
      </c>
      <c r="B44">
        <f>B43^0.5</f>
        <v>1226.7160720795448</v>
      </c>
    </row>
    <row r="45" spans="1:26" x14ac:dyDescent="0.25">
      <c r="A45" t="s">
        <v>13</v>
      </c>
    </row>
    <row r="46" spans="1:26" x14ac:dyDescent="0.25">
      <c r="A46">
        <f>A38*B43</f>
        <v>504103.06279462669</v>
      </c>
      <c r="B46">
        <f>B38*B43</f>
        <v>-6955.6127063454705</v>
      </c>
      <c r="C46">
        <f>C38*B43</f>
        <v>-19648.752091169201</v>
      </c>
      <c r="D46">
        <f>D38*B43</f>
        <v>-17554.680997608379</v>
      </c>
    </row>
    <row r="47" spans="1:26" x14ac:dyDescent="0.25">
      <c r="A47">
        <f>A39*B43</f>
        <v>-6955.6127063455124</v>
      </c>
      <c r="B47">
        <f>B39*B43</f>
        <v>5807.0757371974451</v>
      </c>
      <c r="C47">
        <f>C39*B43</f>
        <v>-4989.9061909940283</v>
      </c>
      <c r="D47">
        <f>D39*B43</f>
        <v>-1177.0517039459546</v>
      </c>
    </row>
    <row r="48" spans="1:26" x14ac:dyDescent="0.25">
      <c r="A48">
        <f>A40*B43</f>
        <v>-19648.752091169139</v>
      </c>
      <c r="B48">
        <f>B40*B43</f>
        <v>-4989.9061909940292</v>
      </c>
      <c r="C48">
        <f>C40*B43</f>
        <v>7575.8076135376932</v>
      </c>
      <c r="D48">
        <f>D40*B43</f>
        <v>296.61760405650853</v>
      </c>
    </row>
    <row r="49" spans="1:4" x14ac:dyDescent="0.25">
      <c r="A49">
        <f>A41*B43</f>
        <v>-17554.680997608375</v>
      </c>
      <c r="B49">
        <f>B41*B43</f>
        <v>-1177.0517039459569</v>
      </c>
      <c r="C49">
        <f>C41*B43</f>
        <v>296.61760405651182</v>
      </c>
      <c r="D49">
        <f>D41*B43</f>
        <v>3120.1165314490331</v>
      </c>
    </row>
    <row r="50" spans="1:4" x14ac:dyDescent="0.25">
      <c r="A50" t="s">
        <v>14</v>
      </c>
      <c r="B50">
        <f>A46^0.5</f>
        <v>710.00215689434822</v>
      </c>
    </row>
    <row r="51" spans="1:4" x14ac:dyDescent="0.25">
      <c r="A51" t="s">
        <v>15</v>
      </c>
      <c r="B51">
        <f>B47^0.5</f>
        <v>76.204171389743777</v>
      </c>
    </row>
    <row r="52" spans="1:4" x14ac:dyDescent="0.25">
      <c r="A52" t="s">
        <v>16</v>
      </c>
      <c r="B52">
        <f>C48^0.5</f>
        <v>87.039115422536852</v>
      </c>
    </row>
    <row r="53" spans="1:4" x14ac:dyDescent="0.25">
      <c r="A53" t="s">
        <v>17</v>
      </c>
      <c r="B53">
        <f>D49^0.5</f>
        <v>55.858003289135148</v>
      </c>
    </row>
    <row r="54" spans="1:4" x14ac:dyDescent="0.25">
      <c r="A54" t="s">
        <v>18</v>
      </c>
      <c r="B54">
        <f>1-B42/I22</f>
        <v>0.87710448623662307</v>
      </c>
    </row>
    <row r="55" spans="1:4" x14ac:dyDescent="0.25">
      <c r="A55" t="s">
        <v>19</v>
      </c>
      <c r="B55">
        <v>3</v>
      </c>
    </row>
    <row r="56" spans="1:4" x14ac:dyDescent="0.25">
      <c r="A56" t="s">
        <v>20</v>
      </c>
      <c r="B56">
        <f>20-B55-1</f>
        <v>16</v>
      </c>
    </row>
    <row r="57" spans="1:4" x14ac:dyDescent="0.25">
      <c r="A57" t="s">
        <v>21</v>
      </c>
      <c r="B57">
        <f>B54/(1-B54)*B56/B55</f>
        <v>38.063965477770019</v>
      </c>
    </row>
    <row r="58" spans="1:4" x14ac:dyDescent="0.25">
      <c r="A58" t="s">
        <v>22</v>
      </c>
      <c r="B58">
        <f>FINV(0.05,B55,B56)</f>
        <v>3.2388715174535854</v>
      </c>
    </row>
    <row r="59" spans="1:4" x14ac:dyDescent="0.25">
      <c r="A59" t="s">
        <v>23</v>
      </c>
      <c r="B59">
        <f>TINV(0.05,B56)</f>
        <v>2.119905299221255</v>
      </c>
    </row>
    <row r="60" spans="1:4" x14ac:dyDescent="0.25">
      <c r="A60" t="s">
        <v>24</v>
      </c>
    </row>
    <row r="61" spans="1:4" x14ac:dyDescent="0.25">
      <c r="A61" t="s">
        <v>25</v>
      </c>
      <c r="B61">
        <f>A34*AVERAGE(B2:B21)/AVERAGE(E2:E21)</f>
        <v>2.0847709769706086</v>
      </c>
    </row>
    <row r="62" spans="1:4" x14ac:dyDescent="0.25">
      <c r="A62" t="s">
        <v>26</v>
      </c>
      <c r="B62">
        <f>A35*AVERAGE(C2:C21)/AVERAGE(E2:E21)</f>
        <v>-0.23257911227904843</v>
      </c>
    </row>
    <row r="63" spans="1:4" x14ac:dyDescent="0.25">
      <c r="A63" t="s">
        <v>27</v>
      </c>
      <c r="B63">
        <f>A36*AVERAGE(D2:D21)/AVERAGE(E2:E21)</f>
        <v>0.40944010536222303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tabSelected="1" zoomScale="60" zoomScaleNormal="60" workbookViewId="0">
      <selection activeCell="Z23" sqref="Z23"/>
    </sheetView>
  </sheetViews>
  <sheetFormatPr defaultColWidth="8.7109375" defaultRowHeight="15" x14ac:dyDescent="0.25"/>
  <cols>
    <col min="1" max="1" width="36.140625" style="34" bestFit="1" customWidth="1"/>
    <col min="2" max="2" width="12" style="34" bestFit="1" customWidth="1"/>
    <col min="3" max="3" width="7.42578125" style="34" bestFit="1" customWidth="1"/>
    <col min="4" max="6" width="13" style="34" bestFit="1" customWidth="1"/>
    <col min="7" max="7" width="8.5703125" style="34" customWidth="1"/>
    <col min="8" max="8" width="8.7109375" style="34" customWidth="1"/>
    <col min="9" max="9" width="19.42578125" style="34" bestFit="1" customWidth="1"/>
    <col min="10" max="11" width="8.7109375" style="34"/>
    <col min="12" max="12" width="7.28515625" style="34" bestFit="1" customWidth="1"/>
    <col min="13" max="14" width="8.7109375" style="34"/>
    <col min="15" max="15" width="8.28515625" style="34" customWidth="1"/>
    <col min="16" max="16" width="11.140625" style="34" customWidth="1"/>
    <col min="17" max="17" width="7.140625" style="34" bestFit="1" customWidth="1"/>
    <col min="18" max="18" width="8.7109375" style="34"/>
    <col min="19" max="20" width="16.85546875" style="34" bestFit="1" customWidth="1"/>
    <col min="21" max="21" width="12.85546875" style="34" bestFit="1" customWidth="1"/>
    <col min="22" max="22" width="13" style="34" customWidth="1"/>
    <col min="23" max="16384" width="8.7109375" style="34"/>
  </cols>
  <sheetData>
    <row r="1" spans="1:28" ht="15.75" thickBot="1" x14ac:dyDescent="0.3">
      <c r="A1" s="34" t="s">
        <v>41</v>
      </c>
    </row>
    <row r="2" spans="1:28" x14ac:dyDescent="0.25">
      <c r="A2" s="113" t="s">
        <v>78</v>
      </c>
      <c r="B2" s="61" t="s">
        <v>54</v>
      </c>
      <c r="C2" s="62" t="s">
        <v>55</v>
      </c>
      <c r="D2" s="62" t="s">
        <v>56</v>
      </c>
      <c r="E2" s="62" t="s">
        <v>57</v>
      </c>
      <c r="F2" s="63" t="s">
        <v>50</v>
      </c>
      <c r="H2" s="86">
        <v>1</v>
      </c>
      <c r="I2" s="87">
        <v>1</v>
      </c>
      <c r="J2" s="87">
        <v>1</v>
      </c>
      <c r="K2" s="87">
        <v>1</v>
      </c>
      <c r="L2" s="87">
        <v>1</v>
      </c>
      <c r="M2" s="87">
        <v>1</v>
      </c>
      <c r="N2" s="87">
        <v>1</v>
      </c>
      <c r="O2" s="87">
        <v>1</v>
      </c>
      <c r="P2" s="87">
        <v>1</v>
      </c>
      <c r="Q2" s="87">
        <v>1</v>
      </c>
      <c r="R2" s="87">
        <v>1</v>
      </c>
      <c r="S2" s="87">
        <v>1</v>
      </c>
      <c r="T2" s="87">
        <v>1</v>
      </c>
      <c r="U2" s="87">
        <v>1</v>
      </c>
      <c r="V2" s="87">
        <v>1</v>
      </c>
      <c r="W2" s="87">
        <v>1</v>
      </c>
      <c r="X2" s="87">
        <v>1</v>
      </c>
      <c r="Y2" s="87">
        <v>1</v>
      </c>
      <c r="Z2" s="87">
        <v>1</v>
      </c>
      <c r="AA2" s="87">
        <v>1</v>
      </c>
      <c r="AB2" s="88">
        <v>1</v>
      </c>
    </row>
    <row r="3" spans="1:28" ht="15.75" thickBot="1" x14ac:dyDescent="0.3">
      <c r="B3" s="66">
        <v>1</v>
      </c>
      <c r="C3" s="83">
        <v>4</v>
      </c>
      <c r="D3" s="83">
        <v>3</v>
      </c>
      <c r="E3" s="83">
        <v>4</v>
      </c>
      <c r="F3" s="83">
        <v>70</v>
      </c>
      <c r="H3" s="89" t="s">
        <v>55</v>
      </c>
      <c r="I3" s="84">
        <f t="array" ref="I3:AB5">TRANSPOSE(K17:M36)</f>
        <v>64</v>
      </c>
      <c r="J3" s="84">
        <v>343</v>
      </c>
      <c r="K3" s="84">
        <v>729</v>
      </c>
      <c r="L3" s="84">
        <v>729</v>
      </c>
      <c r="M3" s="84">
        <v>1000</v>
      </c>
      <c r="N3" s="84">
        <v>2197</v>
      </c>
      <c r="O3" s="84">
        <v>1331</v>
      </c>
      <c r="P3" s="84">
        <v>3375</v>
      </c>
      <c r="Q3" s="84">
        <v>8000</v>
      </c>
      <c r="R3" s="84">
        <v>10648</v>
      </c>
      <c r="S3" s="84">
        <v>1331</v>
      </c>
      <c r="T3" s="84">
        <v>2197</v>
      </c>
      <c r="U3" s="84">
        <v>8</v>
      </c>
      <c r="V3" s="84">
        <v>8</v>
      </c>
      <c r="W3" s="84">
        <v>125</v>
      </c>
      <c r="X3" s="84">
        <v>343</v>
      </c>
      <c r="Y3" s="84">
        <v>2744</v>
      </c>
      <c r="Z3" s="84">
        <v>4096</v>
      </c>
      <c r="AA3" s="84">
        <v>4913</v>
      </c>
      <c r="AB3" s="90">
        <v>9261</v>
      </c>
    </row>
    <row r="4" spans="1:28" ht="15.75" thickBot="1" x14ac:dyDescent="0.3">
      <c r="B4" s="66">
        <f t="shared" ref="B4:B22" si="0">B3+1</f>
        <v>2</v>
      </c>
      <c r="C4" s="83">
        <v>7</v>
      </c>
      <c r="D4" s="83">
        <v>7</v>
      </c>
      <c r="E4" s="83">
        <v>7</v>
      </c>
      <c r="F4" s="83">
        <v>370</v>
      </c>
      <c r="H4" s="89" t="s">
        <v>56</v>
      </c>
      <c r="I4" s="84">
        <v>3</v>
      </c>
      <c r="J4" s="84">
        <v>7</v>
      </c>
      <c r="K4" s="84">
        <v>9</v>
      </c>
      <c r="L4" s="84">
        <v>8</v>
      </c>
      <c r="M4" s="84">
        <v>11</v>
      </c>
      <c r="N4" s="84">
        <v>12</v>
      </c>
      <c r="O4" s="84">
        <v>10</v>
      </c>
      <c r="P4" s="84">
        <v>13</v>
      </c>
      <c r="Q4" s="84">
        <v>14</v>
      </c>
      <c r="R4" s="84">
        <v>10</v>
      </c>
      <c r="S4" s="84">
        <v>2</v>
      </c>
      <c r="T4" s="84">
        <v>6</v>
      </c>
      <c r="U4" s="84">
        <v>2</v>
      </c>
      <c r="V4" s="84">
        <v>5</v>
      </c>
      <c r="W4" s="84">
        <v>7</v>
      </c>
      <c r="X4" s="84">
        <v>8</v>
      </c>
      <c r="Y4" s="84">
        <v>14</v>
      </c>
      <c r="Z4" s="84">
        <v>17</v>
      </c>
      <c r="AA4" s="84">
        <v>18</v>
      </c>
      <c r="AB4" s="90">
        <v>19</v>
      </c>
    </row>
    <row r="5" spans="1:28" ht="15.75" thickBot="1" x14ac:dyDescent="0.3">
      <c r="B5" s="66">
        <f t="shared" si="0"/>
        <v>3</v>
      </c>
      <c r="C5" s="83">
        <v>9</v>
      </c>
      <c r="D5" s="83">
        <v>9</v>
      </c>
      <c r="E5" s="83">
        <v>9</v>
      </c>
      <c r="F5" s="83">
        <v>755</v>
      </c>
      <c r="H5" s="91" t="s">
        <v>59</v>
      </c>
      <c r="I5" s="92">
        <v>1.3862943611198906</v>
      </c>
      <c r="J5" s="92">
        <v>1.9459101490553132</v>
      </c>
      <c r="K5" s="92">
        <v>2.1972245773362196</v>
      </c>
      <c r="L5" s="92">
        <v>2.3025850929940459</v>
      </c>
      <c r="M5" s="92">
        <v>1.6094379124341003</v>
      </c>
      <c r="N5" s="92">
        <v>2.1972245773362196</v>
      </c>
      <c r="O5" s="92">
        <v>2.5649493574615367</v>
      </c>
      <c r="P5" s="92">
        <v>2.7080502011022101</v>
      </c>
      <c r="Q5" s="92">
        <v>2.9444389791664403</v>
      </c>
      <c r="R5" s="92">
        <v>3.044522437723423</v>
      </c>
      <c r="S5" s="92">
        <v>0</v>
      </c>
      <c r="T5" s="92">
        <v>0.69314718055994529</v>
      </c>
      <c r="U5" s="92">
        <v>1.791759469228055</v>
      </c>
      <c r="V5" s="92">
        <v>2.3025850929940459</v>
      </c>
      <c r="W5" s="92">
        <v>2.4849066497880004</v>
      </c>
      <c r="X5" s="92">
        <v>2.5649493574615367</v>
      </c>
      <c r="Y5" s="92">
        <v>1.0986122886681098</v>
      </c>
      <c r="Z5" s="92">
        <v>1.6094379124341003</v>
      </c>
      <c r="AA5" s="92">
        <v>1.791759469228055</v>
      </c>
      <c r="AB5" s="93">
        <v>2.3025850929940459</v>
      </c>
    </row>
    <row r="6" spans="1:28" ht="15.75" thickBot="1" x14ac:dyDescent="0.3">
      <c r="B6" s="66">
        <f t="shared" si="0"/>
        <v>4</v>
      </c>
      <c r="C6" s="83">
        <v>9</v>
      </c>
      <c r="D6" s="83">
        <v>8</v>
      </c>
      <c r="E6" s="83">
        <v>10</v>
      </c>
      <c r="F6" s="83">
        <v>753</v>
      </c>
      <c r="H6" s="73" t="s">
        <v>50</v>
      </c>
      <c r="I6" s="74">
        <f t="array" ref="I6:AB6">TRANSPOSE(N17:N36)</f>
        <v>70</v>
      </c>
      <c r="J6" s="74">
        <v>370</v>
      </c>
      <c r="K6" s="74">
        <v>755</v>
      </c>
      <c r="L6" s="74">
        <v>753</v>
      </c>
      <c r="M6" s="74">
        <v>1028</v>
      </c>
      <c r="N6" s="74">
        <v>2229</v>
      </c>
      <c r="O6" s="74">
        <v>1360</v>
      </c>
      <c r="P6" s="74">
        <v>3411</v>
      </c>
      <c r="Q6" s="74">
        <v>8050</v>
      </c>
      <c r="R6" s="74">
        <v>10600</v>
      </c>
      <c r="S6" s="74">
        <v>1330</v>
      </c>
      <c r="T6" s="74">
        <v>2220</v>
      </c>
      <c r="U6" s="74">
        <v>15</v>
      </c>
      <c r="V6" s="74">
        <v>30</v>
      </c>
      <c r="W6" s="74">
        <v>100</v>
      </c>
      <c r="X6" s="74">
        <v>368</v>
      </c>
      <c r="Y6" s="74">
        <v>2770</v>
      </c>
      <c r="Z6" s="74">
        <v>4136</v>
      </c>
      <c r="AA6" s="74">
        <v>4990</v>
      </c>
      <c r="AB6" s="75">
        <v>9310</v>
      </c>
    </row>
    <row r="7" spans="1:28" ht="15.75" thickBot="1" x14ac:dyDescent="0.3">
      <c r="B7" s="66">
        <f t="shared" si="0"/>
        <v>5</v>
      </c>
      <c r="C7" s="83">
        <v>10</v>
      </c>
      <c r="D7" s="83">
        <v>11</v>
      </c>
      <c r="E7" s="83">
        <v>5</v>
      </c>
      <c r="F7" s="83">
        <v>1028</v>
      </c>
    </row>
    <row r="8" spans="1:28" ht="15.75" thickBot="1" x14ac:dyDescent="0.3">
      <c r="B8" s="66">
        <f t="shared" si="0"/>
        <v>6</v>
      </c>
      <c r="C8" s="83">
        <v>13</v>
      </c>
      <c r="D8" s="83">
        <v>12</v>
      </c>
      <c r="E8" s="83">
        <v>9</v>
      </c>
      <c r="F8" s="83">
        <v>2229</v>
      </c>
      <c r="H8" s="76" t="s">
        <v>71</v>
      </c>
      <c r="I8" s="77">
        <f t="array" ref="I8:L11">MINVERSE(MMULT(I2:AB5,J17:M36))</f>
        <v>0.52682733995387754</v>
      </c>
      <c r="J8" s="77">
        <v>2.1070848209960734E-5</v>
      </c>
      <c r="K8" s="77">
        <v>-2.0916005342284737E-2</v>
      </c>
      <c r="L8" s="78">
        <v>-0.16651316959723084</v>
      </c>
      <c r="N8" s="108" t="s">
        <v>72</v>
      </c>
      <c r="O8" s="108" t="s">
        <v>73</v>
      </c>
      <c r="P8" s="108" t="s">
        <v>74</v>
      </c>
    </row>
    <row r="9" spans="1:28" ht="15.75" thickBot="1" x14ac:dyDescent="0.3">
      <c r="B9" s="66">
        <f t="shared" si="0"/>
        <v>7</v>
      </c>
      <c r="C9" s="83">
        <v>11</v>
      </c>
      <c r="D9" s="83">
        <v>10</v>
      </c>
      <c r="E9" s="83">
        <v>13</v>
      </c>
      <c r="F9" s="83">
        <v>1360</v>
      </c>
      <c r="H9" s="68"/>
      <c r="I9" s="79">
        <v>2.1070848209960765E-5</v>
      </c>
      <c r="J9" s="79">
        <v>9.1087089873225478E-9</v>
      </c>
      <c r="K9" s="79">
        <v>-3.4667384364153937E-6</v>
      </c>
      <c r="L9" s="69">
        <v>-5.8722398182444915E-6</v>
      </c>
      <c r="N9" s="108" t="s">
        <v>43</v>
      </c>
      <c r="O9" s="108">
        <f>G32-(G37*SQRT(I8*(SUM($T$16:$T$35)/(20-3-1))))</f>
        <v>-0.47747317878924272</v>
      </c>
      <c r="P9" s="108">
        <f>G32+(G37*SQRT(I8*(SUM($T$16:$T$35)/(20-3-1))))</f>
        <v>1.2926723856738924</v>
      </c>
    </row>
    <row r="10" spans="1:28" ht="15.75" thickBot="1" x14ac:dyDescent="0.3">
      <c r="B10" s="66">
        <f t="shared" si="0"/>
        <v>8</v>
      </c>
      <c r="C10" s="83">
        <v>15</v>
      </c>
      <c r="D10" s="83">
        <v>13</v>
      </c>
      <c r="E10" s="83">
        <v>15</v>
      </c>
      <c r="F10" s="83">
        <v>3411</v>
      </c>
      <c r="H10" s="68"/>
      <c r="I10" s="79">
        <v>-2.0916005342284744E-2</v>
      </c>
      <c r="J10" s="79">
        <v>-3.4667384364153908E-6</v>
      </c>
      <c r="K10" s="79">
        <v>3.6141237702616135E-3</v>
      </c>
      <c r="L10" s="69">
        <v>-2.5585134090614853E-3</v>
      </c>
      <c r="N10" s="108" t="s">
        <v>44</v>
      </c>
      <c r="O10" s="108">
        <f>G33-($G$37*SQRT(J9*(SUM($T$16:$T$35)/(20-3-1))))</f>
        <v>544.97681675952015</v>
      </c>
      <c r="P10" s="108">
        <f>G33+($G$37*SQRT(J9*(SUM($T$16:$T$35)/(20-3-1))))</f>
        <v>544.9770495167835</v>
      </c>
    </row>
    <row r="11" spans="1:28" ht="15.75" thickBot="1" x14ac:dyDescent="0.3">
      <c r="B11" s="66">
        <f t="shared" si="0"/>
        <v>9</v>
      </c>
      <c r="C11" s="83">
        <v>20</v>
      </c>
      <c r="D11" s="83">
        <v>14</v>
      </c>
      <c r="E11" s="83">
        <v>19</v>
      </c>
      <c r="F11" s="83">
        <v>8050</v>
      </c>
      <c r="H11" s="82"/>
      <c r="I11" s="80">
        <v>-0.16651316959723084</v>
      </c>
      <c r="J11" s="80">
        <v>-5.8722398182444957E-6</v>
      </c>
      <c r="K11" s="80">
        <v>-2.5585134090614818E-3</v>
      </c>
      <c r="L11" s="81">
        <v>0.10477890527125551</v>
      </c>
      <c r="N11" s="108" t="s">
        <v>45</v>
      </c>
      <c r="O11" s="108">
        <f>G34-($G$37*SQRT(K10*(SUM($T$16:$T$35)/(20-3-1))))</f>
        <v>4.4422598625180392</v>
      </c>
      <c r="P11" s="108">
        <f>G34+($G$37*SQRT(K10*(SUM($T$16:$T$35)/(20-3-1))))</f>
        <v>4.5888741653230216</v>
      </c>
    </row>
    <row r="12" spans="1:28" ht="15.75" thickBot="1" x14ac:dyDescent="0.3">
      <c r="B12" s="66">
        <f t="shared" si="0"/>
        <v>10</v>
      </c>
      <c r="C12" s="83">
        <v>22</v>
      </c>
      <c r="D12" s="83">
        <v>10</v>
      </c>
      <c r="E12" s="83">
        <v>21</v>
      </c>
      <c r="F12" s="83">
        <v>10600</v>
      </c>
      <c r="N12" s="108" t="s">
        <v>46</v>
      </c>
      <c r="O12" s="108">
        <f>G35-($G$37*SQRT(L11*(SUM($T$16:$T$35)/(20-3-1))))</f>
        <v>0.49193729911489842</v>
      </c>
      <c r="P12" s="108">
        <f>G35+($G$37*SQRT(L11*(SUM($T$16:$T$35)/(20-3-1))))</f>
        <v>1.2813639011166844</v>
      </c>
    </row>
    <row r="13" spans="1:28" ht="15.75" thickBot="1" x14ac:dyDescent="0.3">
      <c r="B13" s="66">
        <f t="shared" si="0"/>
        <v>11</v>
      </c>
      <c r="C13" s="83">
        <v>11</v>
      </c>
      <c r="D13" s="83">
        <v>2</v>
      </c>
      <c r="E13" s="83">
        <v>1</v>
      </c>
      <c r="F13" s="83">
        <v>1330</v>
      </c>
    </row>
    <row r="14" spans="1:28" ht="15.75" thickBot="1" x14ac:dyDescent="0.3">
      <c r="B14" s="66">
        <f t="shared" si="0"/>
        <v>12</v>
      </c>
      <c r="C14" s="83">
        <v>13</v>
      </c>
      <c r="D14" s="83">
        <v>6</v>
      </c>
      <c r="E14" s="83">
        <v>2</v>
      </c>
      <c r="F14" s="83">
        <v>2220</v>
      </c>
    </row>
    <row r="15" spans="1:28" ht="16.5" thickTop="1" thickBot="1" x14ac:dyDescent="0.3">
      <c r="B15" s="66">
        <f t="shared" si="0"/>
        <v>13</v>
      </c>
      <c r="C15" s="83">
        <v>2</v>
      </c>
      <c r="D15" s="83">
        <v>2</v>
      </c>
      <c r="E15" s="83">
        <v>6</v>
      </c>
      <c r="F15" s="83">
        <v>15</v>
      </c>
      <c r="I15" s="58" t="s">
        <v>42</v>
      </c>
      <c r="J15" s="59" t="s">
        <v>43</v>
      </c>
      <c r="K15" s="59" t="s">
        <v>44</v>
      </c>
      <c r="L15" s="59" t="s">
        <v>45</v>
      </c>
      <c r="M15" s="59" t="s">
        <v>46</v>
      </c>
      <c r="N15" s="60" t="s">
        <v>47</v>
      </c>
      <c r="P15" s="109" t="s">
        <v>49</v>
      </c>
      <c r="Q15" s="109" t="s">
        <v>50</v>
      </c>
      <c r="R15" s="109" t="s">
        <v>51</v>
      </c>
      <c r="S15" s="110" t="s">
        <v>52</v>
      </c>
      <c r="T15" s="111" t="s">
        <v>53</v>
      </c>
    </row>
    <row r="16" spans="1:28" ht="15.75" thickBot="1" x14ac:dyDescent="0.3">
      <c r="B16" s="66">
        <f t="shared" si="0"/>
        <v>14</v>
      </c>
      <c r="C16" s="83">
        <v>2</v>
      </c>
      <c r="D16" s="83">
        <v>5</v>
      </c>
      <c r="E16" s="83">
        <v>10</v>
      </c>
      <c r="F16" s="83">
        <v>30</v>
      </c>
      <c r="I16" s="64" t="s">
        <v>58</v>
      </c>
      <c r="J16" s="84">
        <v>1</v>
      </c>
      <c r="K16" s="84" t="s">
        <v>75</v>
      </c>
      <c r="L16" s="84" t="s">
        <v>56</v>
      </c>
      <c r="M16" s="84" t="s">
        <v>76</v>
      </c>
      <c r="N16" s="65" t="s">
        <v>50</v>
      </c>
      <c r="P16" s="110">
        <f>$G$26+$G$27*K17+$G$28*L17+$G$29*M17</f>
        <v>66.0348563657152</v>
      </c>
      <c r="Q16" s="109">
        <f>N17</f>
        <v>70</v>
      </c>
      <c r="R16" s="109">
        <f t="shared" ref="R16:S35" si="1">(P16-$F$23)^2</f>
        <v>6910143.3063722178</v>
      </c>
      <c r="S16" s="110">
        <f t="shared" si="1"/>
        <v>6889312.5625</v>
      </c>
      <c r="T16" s="112">
        <f t="shared" ref="T16:T35" si="2">(P16-Q16)^2</f>
        <v>15.722364040509273</v>
      </c>
    </row>
    <row r="17" spans="2:20" ht="15.75" thickBot="1" x14ac:dyDescent="0.3">
      <c r="B17" s="66">
        <f t="shared" si="0"/>
        <v>15</v>
      </c>
      <c r="C17" s="83">
        <v>5</v>
      </c>
      <c r="D17" s="83">
        <v>7</v>
      </c>
      <c r="E17" s="83">
        <v>12</v>
      </c>
      <c r="F17" s="83">
        <v>100</v>
      </c>
      <c r="I17" s="67"/>
      <c r="J17" s="84">
        <v>1</v>
      </c>
      <c r="K17" s="84">
        <f>C3^3</f>
        <v>64</v>
      </c>
      <c r="L17" s="84">
        <f>D3</f>
        <v>3</v>
      </c>
      <c r="M17" s="84">
        <f>LN(E3)</f>
        <v>1.3862943611198906</v>
      </c>
      <c r="N17" s="65">
        <f>F3</f>
        <v>70</v>
      </c>
      <c r="P17" s="110">
        <f>$G$26+$G$27*K18+$G$28*L18+$G$29*M18</f>
        <v>361.54734081478898</v>
      </c>
      <c r="Q17" s="109">
        <f>N18</f>
        <v>370</v>
      </c>
      <c r="R17" s="109">
        <f t="shared" si="1"/>
        <v>5443834.6488289395</v>
      </c>
      <c r="S17" s="110">
        <f t="shared" si="1"/>
        <v>5404462.5625</v>
      </c>
      <c r="T17" s="112">
        <f t="shared" si="2"/>
        <v>71.447447301332204</v>
      </c>
    </row>
    <row r="18" spans="2:20" ht="15.75" thickBot="1" x14ac:dyDescent="0.3">
      <c r="B18" s="66">
        <f t="shared" si="0"/>
        <v>16</v>
      </c>
      <c r="C18" s="83">
        <v>7</v>
      </c>
      <c r="D18" s="83">
        <v>8</v>
      </c>
      <c r="E18" s="83">
        <v>13</v>
      </c>
      <c r="F18" s="83">
        <v>368</v>
      </c>
      <c r="I18" s="67"/>
      <c r="J18" s="84">
        <v>1</v>
      </c>
      <c r="K18" s="84">
        <f>C4^3</f>
        <v>343</v>
      </c>
      <c r="L18" s="84">
        <f>D4</f>
        <v>7</v>
      </c>
      <c r="M18" s="84">
        <f>LN(E4)</f>
        <v>1.9459101490553132</v>
      </c>
      <c r="N18" s="65">
        <f>F4</f>
        <v>370</v>
      </c>
      <c r="P18" s="110">
        <f>$G$26+$G$27*K19+$G$28*L19+$G$29*M19</f>
        <v>754.89992305323938</v>
      </c>
      <c r="Q18" s="109">
        <f>N19</f>
        <v>755</v>
      </c>
      <c r="R18" s="109">
        <f t="shared" si="1"/>
        <v>3763018.3210303527</v>
      </c>
      <c r="S18" s="110">
        <f t="shared" si="1"/>
        <v>3762630.0625</v>
      </c>
      <c r="T18" s="112">
        <f t="shared" si="2"/>
        <v>1.0015395272928627E-2</v>
      </c>
    </row>
    <row r="19" spans="2:20" ht="15.75" thickBot="1" x14ac:dyDescent="0.3">
      <c r="B19" s="66">
        <f t="shared" si="0"/>
        <v>17</v>
      </c>
      <c r="C19" s="83">
        <v>14</v>
      </c>
      <c r="D19" s="83">
        <v>14</v>
      </c>
      <c r="E19" s="83">
        <v>3</v>
      </c>
      <c r="F19" s="83">
        <v>2770</v>
      </c>
      <c r="I19" s="67"/>
      <c r="J19" s="84">
        <v>1</v>
      </c>
      <c r="K19" s="84">
        <f>C5^3</f>
        <v>729</v>
      </c>
      <c r="L19" s="84">
        <f>D5</f>
        <v>9</v>
      </c>
      <c r="M19" s="84">
        <f>LN(E5)</f>
        <v>2.1972245773362196</v>
      </c>
      <c r="N19" s="65">
        <f>F5</f>
        <v>755</v>
      </c>
      <c r="P19" s="110">
        <f>$G$26+$G$27*K20+$G$28*L20+$G$29*M20</f>
        <v>749.12425091418618</v>
      </c>
      <c r="Q19" s="109">
        <f>N20</f>
        <v>753</v>
      </c>
      <c r="R19" s="109">
        <f t="shared" si="1"/>
        <v>3785459.5555057339</v>
      </c>
      <c r="S19" s="110">
        <f t="shared" si="1"/>
        <v>3770393.0625</v>
      </c>
      <c r="T19" s="112">
        <f t="shared" si="2"/>
        <v>15.021430976186682</v>
      </c>
    </row>
    <row r="20" spans="2:20" ht="15.75" thickBot="1" x14ac:dyDescent="0.3">
      <c r="B20" s="66">
        <f t="shared" si="0"/>
        <v>18</v>
      </c>
      <c r="C20" s="83">
        <v>16</v>
      </c>
      <c r="D20" s="83">
        <v>17</v>
      </c>
      <c r="E20" s="83">
        <v>5</v>
      </c>
      <c r="F20" s="83">
        <v>4136</v>
      </c>
      <c r="I20" s="67"/>
      <c r="J20" s="84">
        <v>1</v>
      </c>
      <c r="K20" s="84">
        <f>C6^3</f>
        <v>729</v>
      </c>
      <c r="L20" s="84">
        <f>D6</f>
        <v>8</v>
      </c>
      <c r="M20" s="84">
        <f>LN(E6)</f>
        <v>2.3025850929940459</v>
      </c>
      <c r="N20" s="65">
        <f>F6</f>
        <v>753</v>
      </c>
      <c r="P20" s="110">
        <f>$G$26+$G$27*K21+$G$28*L21+$G$29*M21</f>
        <v>1038.3573852030706</v>
      </c>
      <c r="Q20" s="109">
        <f>N21</f>
        <v>1028</v>
      </c>
      <c r="R20" s="109">
        <f t="shared" si="1"/>
        <v>2743636.4943538089</v>
      </c>
      <c r="S20" s="110">
        <f t="shared" si="1"/>
        <v>2778055.5625</v>
      </c>
      <c r="T20" s="112">
        <f t="shared" si="2"/>
        <v>107.27542824478654</v>
      </c>
    </row>
    <row r="21" spans="2:20" ht="15.75" thickBot="1" x14ac:dyDescent="0.3">
      <c r="B21" s="66">
        <f t="shared" si="0"/>
        <v>19</v>
      </c>
      <c r="C21" s="83">
        <v>17</v>
      </c>
      <c r="D21" s="83">
        <v>18</v>
      </c>
      <c r="E21" s="83">
        <v>6</v>
      </c>
      <c r="F21" s="83">
        <v>4990</v>
      </c>
      <c r="I21" s="67"/>
      <c r="J21" s="84">
        <v>1</v>
      </c>
      <c r="K21" s="84">
        <f>C7^3</f>
        <v>1000</v>
      </c>
      <c r="L21" s="84">
        <f>D7</f>
        <v>11</v>
      </c>
      <c r="M21" s="84">
        <f>LN(E7)</f>
        <v>1.6094379124341003</v>
      </c>
      <c r="N21" s="65">
        <f>F7</f>
        <v>1028</v>
      </c>
      <c r="P21" s="110">
        <f>$G$26+$G$27*K22+$G$28*L22+$G$29*M22</f>
        <v>2232.176343205731</v>
      </c>
      <c r="Q21" s="109">
        <f>N22</f>
        <v>2229</v>
      </c>
      <c r="R21" s="109">
        <f t="shared" si="1"/>
        <v>213974.3879600222</v>
      </c>
      <c r="S21" s="110">
        <f t="shared" si="1"/>
        <v>216923.0625</v>
      </c>
      <c r="T21" s="112">
        <f t="shared" si="2"/>
        <v>10.089156160593314</v>
      </c>
    </row>
    <row r="22" spans="2:20" ht="15.75" thickBot="1" x14ac:dyDescent="0.3">
      <c r="B22" s="70">
        <f t="shared" si="0"/>
        <v>20</v>
      </c>
      <c r="C22" s="83">
        <v>21</v>
      </c>
      <c r="D22" s="83">
        <v>19</v>
      </c>
      <c r="E22" s="83">
        <v>10</v>
      </c>
      <c r="F22" s="83">
        <v>9310</v>
      </c>
      <c r="I22" s="67"/>
      <c r="J22" s="84">
        <v>1</v>
      </c>
      <c r="K22" s="84">
        <f>C8^3</f>
        <v>2197</v>
      </c>
      <c r="L22" s="84">
        <f>D8</f>
        <v>12</v>
      </c>
      <c r="M22" s="84">
        <f>LN(E8)</f>
        <v>2.1972245773362196</v>
      </c>
      <c r="N22" s="65">
        <f>F8</f>
        <v>2229</v>
      </c>
      <c r="P22" s="110">
        <f>$G$26+$G$27*K23+$G$28*L23+$G$29*M23</f>
        <v>1357.4870934215992</v>
      </c>
      <c r="Q22" s="109">
        <f>N23</f>
        <v>1360</v>
      </c>
      <c r="R22" s="109">
        <f t="shared" si="1"/>
        <v>1788272.0813105127</v>
      </c>
      <c r="S22" s="110">
        <f t="shared" si="1"/>
        <v>1781557.5625</v>
      </c>
      <c r="T22" s="112">
        <f t="shared" si="2"/>
        <v>6.3146994717700977</v>
      </c>
    </row>
    <row r="23" spans="2:20" x14ac:dyDescent="0.25">
      <c r="B23" s="34" t="s">
        <v>70</v>
      </c>
      <c r="C23" s="34">
        <f>AVERAGE(C3:C22)</f>
        <v>11.4</v>
      </c>
      <c r="D23" s="34">
        <f>AVERAGE(D3:D22)</f>
        <v>9.75</v>
      </c>
      <c r="E23" s="34">
        <f>AVERAGE(E3:E22)</f>
        <v>9</v>
      </c>
      <c r="F23" s="34">
        <f>AVERAGE(F3:F22)</f>
        <v>2694.75</v>
      </c>
      <c r="I23" s="67"/>
      <c r="J23" s="84">
        <v>1</v>
      </c>
      <c r="K23" s="84">
        <f>C9^3</f>
        <v>1331</v>
      </c>
      <c r="L23" s="84">
        <f>D9</f>
        <v>10</v>
      </c>
      <c r="M23" s="84">
        <f>LN(E9)</f>
        <v>2.5649493574615367</v>
      </c>
      <c r="N23" s="65">
        <f>F9</f>
        <v>1360</v>
      </c>
      <c r="P23" s="110">
        <f>$G$26+$G$27*K24+$G$28*L24+$G$29*M24</f>
        <v>3407.4998670037694</v>
      </c>
      <c r="Q23" s="109">
        <f>N24</f>
        <v>3411</v>
      </c>
      <c r="R23" s="109">
        <f t="shared" si="1"/>
        <v>508012.37291389098</v>
      </c>
      <c r="S23" s="110">
        <f t="shared" si="1"/>
        <v>513014.0625</v>
      </c>
      <c r="T23" s="112">
        <f t="shared" si="2"/>
        <v>12.250930991302228</v>
      </c>
    </row>
    <row r="24" spans="2:20" ht="15.75" thickBot="1" x14ac:dyDescent="0.3">
      <c r="I24" s="67"/>
      <c r="J24" s="84">
        <v>1</v>
      </c>
      <c r="K24" s="84">
        <f>C10^3</f>
        <v>3375</v>
      </c>
      <c r="L24" s="84">
        <f>D10</f>
        <v>13</v>
      </c>
      <c r="M24" s="84">
        <f>LN(E10)</f>
        <v>2.7080502011022101</v>
      </c>
      <c r="N24" s="65">
        <f>F10</f>
        <v>3411</v>
      </c>
      <c r="P24" s="110">
        <f>$G$26+$G$27*K25+$G$28*L25+$G$29*M25</f>
        <v>8016.5054727480201</v>
      </c>
      <c r="Q24" s="109">
        <f>N25</f>
        <v>8050</v>
      </c>
      <c r="R24" s="109">
        <f t="shared" si="1"/>
        <v>28321081.311723504</v>
      </c>
      <c r="S24" s="110">
        <f t="shared" si="1"/>
        <v>28678702.5625</v>
      </c>
      <c r="T24" s="112">
        <f t="shared" si="2"/>
        <v>1121.8833558336235</v>
      </c>
    </row>
    <row r="25" spans="2:20" x14ac:dyDescent="0.25">
      <c r="B25" s="114" t="s">
        <v>66</v>
      </c>
      <c r="C25" s="114">
        <f>SQRT((SUM(R16:R35)/(20-1))/(SUM(S16:S35)/(20-1)))</f>
        <v>0.99998503543163686</v>
      </c>
      <c r="F25" s="94"/>
      <c r="G25" s="95" t="s">
        <v>48</v>
      </c>
      <c r="I25" s="67"/>
      <c r="J25" s="84">
        <v>1</v>
      </c>
      <c r="K25" s="84">
        <f>C11^3</f>
        <v>8000</v>
      </c>
      <c r="L25" s="84">
        <f>D11</f>
        <v>14</v>
      </c>
      <c r="M25" s="84">
        <f>LN(E11)</f>
        <v>2.9444389791664403</v>
      </c>
      <c r="N25" s="65">
        <f>F11</f>
        <v>8050</v>
      </c>
      <c r="P25" s="110">
        <f>$G$26+$G$27*K26+$G$28*L26+$G$29*M26</f>
        <v>10631.7792139144</v>
      </c>
      <c r="Q25" s="109">
        <f>N26</f>
        <v>10600</v>
      </c>
      <c r="R25" s="109">
        <f t="shared" si="1"/>
        <v>62996432.742530644</v>
      </c>
      <c r="S25" s="110">
        <f t="shared" si="1"/>
        <v>62492977.5625</v>
      </c>
      <c r="T25" s="112">
        <f t="shared" si="2"/>
        <v>1009.9184370172146</v>
      </c>
    </row>
    <row r="26" spans="2:20" x14ac:dyDescent="0.25">
      <c r="B26" s="114" t="s">
        <v>67</v>
      </c>
      <c r="C26" s="114" t="s">
        <v>77</v>
      </c>
      <c r="F26" s="96" t="s">
        <v>43</v>
      </c>
      <c r="G26" s="97">
        <f t="array" ref="G26:G29">MMULT(MMULT(MINVERSE(MMULT(I2:AB5, J17:M36)), I2:AB5),N17:N36)</f>
        <v>-5.663558830868169</v>
      </c>
      <c r="I26" s="67"/>
      <c r="J26" s="84">
        <v>1</v>
      </c>
      <c r="K26" s="84">
        <f>C12^3</f>
        <v>10648</v>
      </c>
      <c r="L26" s="84">
        <f>D12</f>
        <v>10</v>
      </c>
      <c r="M26" s="84">
        <f>LN(E12)</f>
        <v>3.044522437723423</v>
      </c>
      <c r="N26" s="65">
        <f>F12</f>
        <v>10600</v>
      </c>
      <c r="P26" s="110">
        <f>$G$26+$G$27*K27+$G$28*L27+$G$29*M27</f>
        <v>1330.0053147019021</v>
      </c>
      <c r="Q26" s="109">
        <f>N27</f>
        <v>1330</v>
      </c>
      <c r="R26" s="109">
        <f t="shared" si="1"/>
        <v>1862528.0560494044</v>
      </c>
      <c r="S26" s="110">
        <f t="shared" si="1"/>
        <v>1862542.5625</v>
      </c>
      <c r="T26" s="112">
        <f t="shared" si="2"/>
        <v>2.8246056307970988E-5</v>
      </c>
    </row>
    <row r="27" spans="2:20" x14ac:dyDescent="0.25">
      <c r="B27" s="114"/>
      <c r="C27" s="114"/>
      <c r="F27" s="96" t="s">
        <v>44</v>
      </c>
      <c r="G27" s="97">
        <v>0.99569894067486098</v>
      </c>
      <c r="I27" s="67"/>
      <c r="J27" s="84">
        <v>1</v>
      </c>
      <c r="K27" s="84">
        <f>C13^3</f>
        <v>1331</v>
      </c>
      <c r="L27" s="84">
        <f>D13</f>
        <v>2</v>
      </c>
      <c r="M27" s="84">
        <f>LN(E13)</f>
        <v>0</v>
      </c>
      <c r="N27" s="65">
        <f>F13</f>
        <v>1330</v>
      </c>
      <c r="P27" s="110">
        <f>$G$26+$G$27*K28+$G$28*L28+$G$29*M28</f>
        <v>2209.2594181911909</v>
      </c>
      <c r="Q27" s="109">
        <f>N28</f>
        <v>2220</v>
      </c>
      <c r="R27" s="109">
        <f t="shared" si="1"/>
        <v>235701.10502505596</v>
      </c>
      <c r="S27" s="110">
        <f t="shared" si="1"/>
        <v>225387.5625</v>
      </c>
      <c r="T27" s="112">
        <f t="shared" si="2"/>
        <v>115.3600975917212</v>
      </c>
    </row>
    <row r="28" spans="2:20" x14ac:dyDescent="0.25">
      <c r="B28" s="114" t="s">
        <v>68</v>
      </c>
      <c r="C28" s="114" t="s">
        <v>69</v>
      </c>
      <c r="F28" s="96" t="s">
        <v>45</v>
      </c>
      <c r="G28" s="97">
        <v>5.1967917472651806</v>
      </c>
      <c r="I28" s="67"/>
      <c r="J28" s="84">
        <v>1</v>
      </c>
      <c r="K28" s="84">
        <f>C14^3</f>
        <v>2197</v>
      </c>
      <c r="L28" s="84">
        <f>D14</f>
        <v>6</v>
      </c>
      <c r="M28" s="84">
        <f>LN(E14)</f>
        <v>0.69314718055994529</v>
      </c>
      <c r="N28" s="65">
        <f>F14</f>
        <v>2220</v>
      </c>
      <c r="P28" s="110">
        <f>$G$26+$G$27*K29+$G$28*L29+$G$29*M29</f>
        <v>2.8511842682331068</v>
      </c>
      <c r="Q28" s="109">
        <f>N29</f>
        <v>15</v>
      </c>
      <c r="R28" s="109">
        <f t="shared" si="1"/>
        <v>7246319.2341380883</v>
      </c>
      <c r="S28" s="110">
        <f t="shared" si="1"/>
        <v>7181060.0625</v>
      </c>
      <c r="T28" s="112">
        <f t="shared" si="2"/>
        <v>147.59372368442675</v>
      </c>
    </row>
    <row r="29" spans="2:20" ht="15.75" thickBot="1" x14ac:dyDescent="0.3">
      <c r="B29" s="114">
        <f>((C25^2)/(1-(C25^2)))*((20-3-1)/3)</f>
        <v>178194.70256898343</v>
      </c>
      <c r="C29" s="114">
        <f>FINV(0.05, 16, 2)</f>
        <v>19.433292534321666</v>
      </c>
      <c r="F29" s="98" t="s">
        <v>46</v>
      </c>
      <c r="G29" s="99">
        <v>-5.4942820673743995</v>
      </c>
      <c r="I29" s="67"/>
      <c r="J29" s="84">
        <v>1</v>
      </c>
      <c r="K29" s="84">
        <f>C15^3</f>
        <v>8</v>
      </c>
      <c r="L29" s="84">
        <f>D15</f>
        <v>2</v>
      </c>
      <c r="M29" s="84">
        <f>LN(E15)</f>
        <v>1.791759469228055</v>
      </c>
      <c r="N29" s="65">
        <f>F15</f>
        <v>15</v>
      </c>
      <c r="P29" s="110">
        <f>$G$26+$G$27*K30+$G$28*L30+$G$29*M30</f>
        <v>15.634939445815823</v>
      </c>
      <c r="Q29" s="109">
        <f>N30</f>
        <v>30</v>
      </c>
      <c r="R29" s="109">
        <f t="shared" si="1"/>
        <v>7177657.5076882504</v>
      </c>
      <c r="S29" s="110">
        <f t="shared" si="1"/>
        <v>7100892.5625</v>
      </c>
      <c r="T29" s="112">
        <f t="shared" si="2"/>
        <v>206.35496472537824</v>
      </c>
    </row>
    <row r="30" spans="2:20" ht="15.75" thickBot="1" x14ac:dyDescent="0.3">
      <c r="F30" s="43"/>
      <c r="G30" s="43"/>
      <c r="I30" s="67"/>
      <c r="J30" s="84">
        <v>1</v>
      </c>
      <c r="K30" s="84">
        <f>C16^3</f>
        <v>8</v>
      </c>
      <c r="L30" s="84">
        <f>D16</f>
        <v>5</v>
      </c>
      <c r="M30" s="84">
        <f>LN(E16)</f>
        <v>2.3025850929940459</v>
      </c>
      <c r="N30" s="65">
        <f>F16</f>
        <v>30</v>
      </c>
      <c r="P30" s="110">
        <f>$G$26+$G$27*K31+$G$28*L31+$G$29*M31</f>
        <v>141.52357293931613</v>
      </c>
      <c r="Q30" s="109">
        <f>N31</f>
        <v>100</v>
      </c>
      <c r="R30" s="109">
        <f t="shared" si="1"/>
        <v>6518965.1878410652</v>
      </c>
      <c r="S30" s="110">
        <f t="shared" si="1"/>
        <v>6732727.5625</v>
      </c>
      <c r="T30" s="112">
        <f t="shared" si="2"/>
        <v>1724.2071096467064</v>
      </c>
    </row>
    <row r="31" spans="2:20" x14ac:dyDescent="0.25">
      <c r="F31" s="100" t="s">
        <v>60</v>
      </c>
      <c r="G31" s="101"/>
      <c r="I31" s="67"/>
      <c r="J31" s="84">
        <v>1</v>
      </c>
      <c r="K31" s="84">
        <f>C17^3</f>
        <v>125</v>
      </c>
      <c r="L31" s="84">
        <f>D17</f>
        <v>7</v>
      </c>
      <c r="M31" s="84">
        <f>LN(E17)</f>
        <v>2.4849066497880004</v>
      </c>
      <c r="N31" s="65">
        <f>F17</f>
        <v>100</v>
      </c>
      <c r="P31" s="110">
        <f>$G$26+$G$27*K32+$G$28*L32+$G$29*M32</f>
        <v>363.3429565403062</v>
      </c>
      <c r="Q31" s="109">
        <f>N32</f>
        <v>368</v>
      </c>
      <c r="R31" s="109">
        <f t="shared" si="1"/>
        <v>5435458.8022934701</v>
      </c>
      <c r="S31" s="110">
        <f t="shared" si="1"/>
        <v>5413765.5625</v>
      </c>
      <c r="T31" s="112">
        <f t="shared" si="2"/>
        <v>21.688053785476757</v>
      </c>
    </row>
    <row r="32" spans="2:20" x14ac:dyDescent="0.25">
      <c r="F32" s="102" t="s">
        <v>61</v>
      </c>
      <c r="G32" s="103">
        <f>ABS(G26)/(SQRT(I8*(SUM(T16:T35)/(20-3-1))))</f>
        <v>0.40759960344232488</v>
      </c>
      <c r="I32" s="67"/>
      <c r="J32" s="84">
        <v>1</v>
      </c>
      <c r="K32" s="84">
        <f>C18^3</f>
        <v>343</v>
      </c>
      <c r="L32" s="84">
        <f>D18</f>
        <v>8</v>
      </c>
      <c r="M32" s="84">
        <f>LN(E18)</f>
        <v>2.5649493574615367</v>
      </c>
      <c r="N32" s="65">
        <f>F18</f>
        <v>368</v>
      </c>
      <c r="P32" s="110">
        <f>$G$26+$G$27*K33+$G$28*L33+$G$29*M33</f>
        <v>2793.2533330460369</v>
      </c>
      <c r="Q32" s="109">
        <f>N33</f>
        <v>2770</v>
      </c>
      <c r="R32" s="109">
        <f t="shared" si="1"/>
        <v>9702.9066211784684</v>
      </c>
      <c r="S32" s="110">
        <f t="shared" si="1"/>
        <v>5662.5625</v>
      </c>
      <c r="T32" s="112">
        <f t="shared" si="2"/>
        <v>540.71749774991235</v>
      </c>
    </row>
    <row r="33" spans="6:20" x14ac:dyDescent="0.25">
      <c r="F33" s="102" t="s">
        <v>62</v>
      </c>
      <c r="G33" s="103">
        <f>ABS(G27)/(SQRT(J9*(SUM($T$16:$T$35)/(20-3-1))))</f>
        <v>544.97693313815182</v>
      </c>
      <c r="I33" s="67"/>
      <c r="J33" s="84">
        <v>1</v>
      </c>
      <c r="K33" s="84">
        <f>C19^3</f>
        <v>2744</v>
      </c>
      <c r="L33" s="84">
        <f>D19</f>
        <v>14</v>
      </c>
      <c r="M33" s="84">
        <f>LN(E19)</f>
        <v>1.0986122886681098</v>
      </c>
      <c r="N33" s="65">
        <f>F19</f>
        <v>2770</v>
      </c>
      <c r="P33" s="110">
        <f>$G$26+$G$27*K34+$G$28*L34+$G$29*M34</f>
        <v>4152.2220560160313</v>
      </c>
      <c r="Q33" s="109">
        <f>N34</f>
        <v>4136</v>
      </c>
      <c r="R33" s="109">
        <f t="shared" si="1"/>
        <v>2124224.7940675975</v>
      </c>
      <c r="S33" s="110">
        <f t="shared" si="1"/>
        <v>2077201.5625</v>
      </c>
      <c r="T33" s="112">
        <f t="shared" si="2"/>
        <v>263.15510138725648</v>
      </c>
    </row>
    <row r="34" spans="6:20" x14ac:dyDescent="0.25">
      <c r="F34" s="102" t="s">
        <v>63</v>
      </c>
      <c r="G34" s="103">
        <f>ABS(G28)/(SQRT(K10*(SUM($T$16:$T$35)/(20-3-1))))</f>
        <v>4.5155670139205304</v>
      </c>
      <c r="I34" s="67"/>
      <c r="J34" s="84">
        <v>1</v>
      </c>
      <c r="K34" s="84">
        <f>C20^3</f>
        <v>4096</v>
      </c>
      <c r="L34" s="84">
        <f>D20</f>
        <v>17</v>
      </c>
      <c r="M34" s="84">
        <f>LN(E20)</f>
        <v>1.6094379124341003</v>
      </c>
      <c r="N34" s="65">
        <f>F20</f>
        <v>4136</v>
      </c>
      <c r="P34" s="110">
        <f>$G$26+$G$27*K35+$G$28*L35+$G$29*M35</f>
        <v>4969.903156234669</v>
      </c>
      <c r="Q34" s="109">
        <f>N35</f>
        <v>4990</v>
      </c>
      <c r="R34" s="109">
        <f t="shared" si="1"/>
        <v>5176321.8843245767</v>
      </c>
      <c r="S34" s="110">
        <f t="shared" si="1"/>
        <v>5268172.5625</v>
      </c>
      <c r="T34" s="112">
        <f t="shared" si="2"/>
        <v>403.88312932812187</v>
      </c>
    </row>
    <row r="35" spans="6:20" ht="15.75" thickBot="1" x14ac:dyDescent="0.3">
      <c r="F35" s="104" t="s">
        <v>64</v>
      </c>
      <c r="G35" s="105">
        <f>ABS(G29)/(SQRT(L11*(SUM($T$16:$T$35)/(20-3-1))))</f>
        <v>0.88665060011579144</v>
      </c>
      <c r="I35" s="67"/>
      <c r="J35" s="84">
        <v>1</v>
      </c>
      <c r="K35" s="84">
        <f>C21^3</f>
        <v>4913</v>
      </c>
      <c r="L35" s="84">
        <f>D21</f>
        <v>18</v>
      </c>
      <c r="M35" s="84">
        <f>LN(E21)</f>
        <v>1.791759469228055</v>
      </c>
      <c r="N35" s="65">
        <f>F21</f>
        <v>4990</v>
      </c>
      <c r="P35" s="110">
        <f>$G$26+$G$27*K36+$G$28*L36+$G$29*M36</f>
        <v>9301.5923219720171</v>
      </c>
      <c r="Q35" s="109">
        <f>N36</f>
        <v>9310</v>
      </c>
      <c r="R35" s="109">
        <f t="shared" si="1"/>
        <v>43650365.467400596</v>
      </c>
      <c r="S35" s="110">
        <f t="shared" si="1"/>
        <v>43761532.5625</v>
      </c>
      <c r="T35" s="112">
        <f t="shared" si="2"/>
        <v>70.689049822226607</v>
      </c>
    </row>
    <row r="36" spans="6:20" ht="15.75" thickBot="1" x14ac:dyDescent="0.3">
      <c r="F36" s="68"/>
      <c r="G36" s="69"/>
      <c r="I36" s="71"/>
      <c r="J36" s="85">
        <v>1</v>
      </c>
      <c r="K36" s="84">
        <f>C22^3</f>
        <v>9261</v>
      </c>
      <c r="L36" s="84">
        <f>D22</f>
        <v>19</v>
      </c>
      <c r="M36" s="84">
        <f>LN(E22)</f>
        <v>2.3025850929940459</v>
      </c>
      <c r="N36" s="72">
        <f>F22</f>
        <v>9310</v>
      </c>
    </row>
    <row r="37" spans="6:20" ht="16.5" thickTop="1" thickBot="1" x14ac:dyDescent="0.3">
      <c r="F37" s="106" t="s">
        <v>65</v>
      </c>
      <c r="G37" s="107">
        <f>TINV(0.95,16)</f>
        <v>6.3697637091532033E-2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Уравнение множественной регрессии в MS Excel</dc:subject>
  <dc:creator>Unknown Creator</dc:creator>
  <cp:keywords/>
  <dc:description>math.semestr.ru/regress/corel.php</dc:description>
  <cp:lastModifiedBy>Ilona</cp:lastModifiedBy>
  <dcterms:created xsi:type="dcterms:W3CDTF">2020-05-29T04:01:02Z</dcterms:created>
  <dcterms:modified xsi:type="dcterms:W3CDTF">2020-05-31T00:35:56Z</dcterms:modified>
  <cp:category/>
</cp:coreProperties>
</file>