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e\OneDrive\Documents\Personal Projects\GOGO Kart\CAD\GOGO_KART_FSAE\Suspension\Final Suspension Parts\3D_Suspension_Analyzer\"/>
    </mc:Choice>
  </mc:AlternateContent>
  <xr:revisionPtr revIDLastSave="0" documentId="13_ncr:1_{7629F567-74CB-4EA3-BF62-7620F8D45C42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Suspension Analyzer" sheetId="1" r:id="rId1"/>
    <sheet name="3d Suspweb Results" sheetId="5" r:id="rId2"/>
    <sheet name="Random Hand Calcs" sheetId="6" r:id="rId3"/>
    <sheet name="Brakes Hand Calcs" sheetId="3" r:id="rId4"/>
    <sheet name="Component Selection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5" i="3" l="1"/>
  <c r="J44" i="3"/>
  <c r="J47" i="3"/>
  <c r="J46" i="3"/>
  <c r="C23" i="6"/>
  <c r="C36" i="6"/>
  <c r="C37" i="6" s="1"/>
  <c r="C38" i="6" s="1"/>
  <c r="C39" i="6" s="1"/>
  <c r="C25" i="6"/>
  <c r="C11" i="6"/>
  <c r="J53" i="3"/>
  <c r="J52" i="3"/>
  <c r="J49" i="3"/>
  <c r="J48" i="3"/>
  <c r="E62" i="3"/>
  <c r="E50" i="3"/>
  <c r="E36" i="3"/>
  <c r="E37" i="3" s="1"/>
  <c r="E38" i="3" s="1"/>
  <c r="E39" i="3" s="1"/>
  <c r="E11" i="3"/>
  <c r="E12" i="3" s="1"/>
  <c r="E13" i="3" s="1"/>
  <c r="J7" i="3" s="1"/>
  <c r="J8" i="3" s="1"/>
  <c r="J13" i="3" s="1"/>
  <c r="J20" i="3" s="1"/>
  <c r="J21" i="3" s="1"/>
  <c r="AI45" i="1"/>
  <c r="AI44" i="1"/>
  <c r="AI43" i="1"/>
  <c r="AI42" i="1"/>
  <c r="AI41" i="1"/>
  <c r="AI40" i="1"/>
  <c r="AI39" i="1"/>
  <c r="I39" i="1"/>
  <c r="AI38" i="1"/>
  <c r="AI37" i="1"/>
  <c r="AI36" i="1"/>
  <c r="AI35" i="1"/>
  <c r="AI34" i="1"/>
  <c r="AI33" i="1"/>
  <c r="AI32" i="1"/>
  <c r="I32" i="1"/>
  <c r="AI31" i="1"/>
  <c r="AI30" i="1"/>
  <c r="AI29" i="1"/>
  <c r="AI28" i="1"/>
  <c r="AI27" i="1"/>
  <c r="AI26" i="1"/>
  <c r="AI25" i="1"/>
  <c r="D25" i="1"/>
  <c r="I28" i="1" s="1"/>
  <c r="AI24" i="1"/>
  <c r="D24" i="1"/>
  <c r="AI23" i="1"/>
  <c r="AI22" i="1"/>
  <c r="AI21" i="1"/>
  <c r="D21" i="1"/>
  <c r="D23" i="1" s="1"/>
  <c r="AI20" i="1"/>
  <c r="D20" i="1"/>
  <c r="D22" i="1" s="1"/>
  <c r="U29" i="1" s="1"/>
  <c r="AI19" i="1"/>
  <c r="AI18" i="1"/>
  <c r="AI17" i="1"/>
  <c r="AI16" i="1"/>
  <c r="AI15" i="1"/>
  <c r="AI14" i="1"/>
  <c r="AI13" i="1"/>
  <c r="AI12" i="1"/>
  <c r="AI11" i="1"/>
  <c r="AI10" i="1"/>
  <c r="AI9" i="1"/>
  <c r="AI8" i="1"/>
  <c r="AI7" i="1"/>
  <c r="AI6" i="1"/>
  <c r="AI5" i="1"/>
  <c r="C24" i="6" l="1"/>
  <c r="C26" i="6" s="1"/>
  <c r="J5" i="3"/>
  <c r="J6" i="3" s="1"/>
  <c r="J23" i="3"/>
  <c r="J28" i="3" s="1"/>
  <c r="J51" i="3" s="1"/>
  <c r="J22" i="3"/>
  <c r="J27" i="3" s="1"/>
  <c r="J50" i="3" s="1"/>
  <c r="D26" i="1"/>
  <c r="AE19" i="1" s="1"/>
  <c r="U8" i="1"/>
  <c r="U12" i="1"/>
  <c r="V8" i="1"/>
  <c r="V10" i="1"/>
  <c r="U18" i="1"/>
  <c r="U5" i="1"/>
  <c r="U7" i="1"/>
  <c r="U9" i="1"/>
  <c r="U11" i="1"/>
  <c r="U13" i="1"/>
  <c r="V18" i="1"/>
  <c r="U16" i="1"/>
  <c r="V29" i="1"/>
  <c r="X29" i="1" s="1"/>
  <c r="U19" i="1"/>
  <c r="U6" i="1"/>
  <c r="U10" i="1"/>
  <c r="U14" i="1"/>
  <c r="V6" i="1"/>
  <c r="V12" i="1"/>
  <c r="U23" i="1"/>
  <c r="V15" i="1"/>
  <c r="V5" i="1"/>
  <c r="V7" i="1"/>
  <c r="V9" i="1"/>
  <c r="V11" i="1"/>
  <c r="X11" i="1" s="1"/>
  <c r="V13" i="1"/>
  <c r="U43" i="1"/>
  <c r="V40" i="1"/>
  <c r="U37" i="1"/>
  <c r="U34" i="1"/>
  <c r="U31" i="1"/>
  <c r="U40" i="1"/>
  <c r="V36" i="1"/>
  <c r="V45" i="1"/>
  <c r="V42" i="1"/>
  <c r="U36" i="1"/>
  <c r="V33" i="1"/>
  <c r="V44" i="1"/>
  <c r="U39" i="1"/>
  <c r="V35" i="1"/>
  <c r="V32" i="1"/>
  <c r="U44" i="1"/>
  <c r="V41" i="1"/>
  <c r="V38" i="1"/>
  <c r="U35" i="1"/>
  <c r="U32" i="1"/>
  <c r="U42" i="1"/>
  <c r="V31" i="1"/>
  <c r="V25" i="1"/>
  <c r="V22" i="1"/>
  <c r="U41" i="1"/>
  <c r="V39" i="1"/>
  <c r="D29" i="1"/>
  <c r="V28" i="1"/>
  <c r="U25" i="1"/>
  <c r="U22" i="1"/>
  <c r="U28" i="1"/>
  <c r="V24" i="1"/>
  <c r="U38" i="1"/>
  <c r="V30" i="1"/>
  <c r="U24" i="1"/>
  <c r="V37" i="1"/>
  <c r="U30" i="1"/>
  <c r="D28" i="1"/>
  <c r="V27" i="1"/>
  <c r="U21" i="1"/>
  <c r="U27" i="1"/>
  <c r="V23" i="1"/>
  <c r="U45" i="1"/>
  <c r="V14" i="1"/>
  <c r="U15" i="1"/>
  <c r="V19" i="1"/>
  <c r="V34" i="1"/>
  <c r="V16" i="1"/>
  <c r="I17" i="1"/>
  <c r="U20" i="1"/>
  <c r="U33" i="1"/>
  <c r="U17" i="1"/>
  <c r="V20" i="1"/>
  <c r="V21" i="1"/>
  <c r="U26" i="1"/>
  <c r="V17" i="1"/>
  <c r="I18" i="1"/>
  <c r="V26" i="1"/>
  <c r="V43" i="1"/>
  <c r="X13" i="1" l="1"/>
  <c r="X5" i="1"/>
  <c r="W16" i="1"/>
  <c r="X12" i="1"/>
  <c r="X8" i="1"/>
  <c r="W18" i="1"/>
  <c r="J25" i="3"/>
  <c r="J54" i="3"/>
  <c r="J55" i="3"/>
  <c r="J24" i="3"/>
  <c r="AE35" i="1"/>
  <c r="AE33" i="1"/>
  <c r="W12" i="1"/>
  <c r="AE42" i="1"/>
  <c r="AE24" i="1"/>
  <c r="AE31" i="1"/>
  <c r="AE14" i="1"/>
  <c r="AE27" i="1"/>
  <c r="AE11" i="1"/>
  <c r="W6" i="1"/>
  <c r="W5" i="1"/>
  <c r="I20" i="1"/>
  <c r="W9" i="1"/>
  <c r="AE7" i="1"/>
  <c r="AE6" i="1"/>
  <c r="AE17" i="1"/>
  <c r="AE37" i="1"/>
  <c r="AE13" i="1"/>
  <c r="AE5" i="1"/>
  <c r="AE21" i="1"/>
  <c r="I33" i="1"/>
  <c r="AE9" i="1"/>
  <c r="AE12" i="1"/>
  <c r="AE26" i="1"/>
  <c r="AE40" i="1"/>
  <c r="AE20" i="1"/>
  <c r="AE10" i="1"/>
  <c r="AE32" i="1"/>
  <c r="AE45" i="1"/>
  <c r="AE15" i="1"/>
  <c r="AE43" i="1"/>
  <c r="AE30" i="1"/>
  <c r="AE29" i="1"/>
  <c r="AE34" i="1"/>
  <c r="AE41" i="1"/>
  <c r="D27" i="1"/>
  <c r="AE25" i="1"/>
  <c r="AE8" i="1"/>
  <c r="AE28" i="1"/>
  <c r="AE36" i="1"/>
  <c r="AE38" i="1"/>
  <c r="AE23" i="1"/>
  <c r="AE44" i="1"/>
  <c r="AE39" i="1"/>
  <c r="AE18" i="1"/>
  <c r="AE16" i="1"/>
  <c r="AE22" i="1"/>
  <c r="X15" i="1"/>
  <c r="W23" i="1"/>
  <c r="W10" i="1"/>
  <c r="W29" i="1"/>
  <c r="X7" i="1"/>
  <c r="X18" i="1"/>
  <c r="W8" i="1"/>
  <c r="X9" i="1"/>
  <c r="X6" i="1"/>
  <c r="W7" i="1"/>
  <c r="X10" i="1"/>
  <c r="W13" i="1"/>
  <c r="W11" i="1"/>
  <c r="W30" i="1"/>
  <c r="W25" i="1"/>
  <c r="W42" i="1"/>
  <c r="W39" i="1"/>
  <c r="W31" i="1"/>
  <c r="X16" i="1"/>
  <c r="X37" i="1"/>
  <c r="X28" i="1"/>
  <c r="W32" i="1"/>
  <c r="X44" i="1"/>
  <c r="W34" i="1"/>
  <c r="W17" i="1"/>
  <c r="W24" i="1"/>
  <c r="D31" i="1"/>
  <c r="W35" i="1"/>
  <c r="X33" i="1"/>
  <c r="W37" i="1"/>
  <c r="X43" i="1"/>
  <c r="W26" i="1"/>
  <c r="X23" i="1"/>
  <c r="X30" i="1"/>
  <c r="X39" i="1"/>
  <c r="X38" i="1"/>
  <c r="W36" i="1"/>
  <c r="X40" i="1"/>
  <c r="X19" i="1"/>
  <c r="W27" i="1"/>
  <c r="W38" i="1"/>
  <c r="W41" i="1"/>
  <c r="X41" i="1"/>
  <c r="X42" i="1"/>
  <c r="W43" i="1"/>
  <c r="W20" i="1"/>
  <c r="W19" i="1"/>
  <c r="W15" i="1"/>
  <c r="W21" i="1"/>
  <c r="X24" i="1"/>
  <c r="X22" i="1"/>
  <c r="W44" i="1"/>
  <c r="X45" i="1"/>
  <c r="X17" i="1"/>
  <c r="X21" i="1"/>
  <c r="W33" i="1"/>
  <c r="X14" i="1"/>
  <c r="X27" i="1"/>
  <c r="W28" i="1"/>
  <c r="X25" i="1"/>
  <c r="X32" i="1"/>
  <c r="X36" i="1"/>
  <c r="W14" i="1"/>
  <c r="X26" i="1"/>
  <c r="X20" i="1"/>
  <c r="I19" i="1"/>
  <c r="X34" i="1"/>
  <c r="W45" i="1"/>
  <c r="D30" i="1"/>
  <c r="W22" i="1"/>
  <c r="X31" i="1"/>
  <c r="X35" i="1"/>
  <c r="W40" i="1"/>
  <c r="J56" i="3" l="1"/>
  <c r="Y6" i="1"/>
  <c r="Z6" i="1" s="1"/>
  <c r="AB6" i="1" s="1"/>
  <c r="AG6" i="1" s="1"/>
  <c r="Y10" i="1"/>
  <c r="Z10" i="1" s="1"/>
  <c r="Y40" i="1"/>
  <c r="Z40" i="1" s="1"/>
  <c r="Y28" i="1"/>
  <c r="Z28" i="1" s="1"/>
  <c r="Y31" i="1"/>
  <c r="Z31" i="1" s="1"/>
  <c r="AA31" i="1" s="1"/>
  <c r="Y21" i="1"/>
  <c r="Z21" i="1" s="1"/>
  <c r="AB21" i="1" s="1"/>
  <c r="Y34" i="1"/>
  <c r="Z34" i="1" s="1"/>
  <c r="AA34" i="1" s="1"/>
  <c r="Y42" i="1"/>
  <c r="Z42" i="1" s="1"/>
  <c r="AB42" i="1" s="1"/>
  <c r="Y14" i="1"/>
  <c r="Z14" i="1" s="1"/>
  <c r="Y19" i="1"/>
  <c r="Z19" i="1" s="1"/>
  <c r="Y25" i="1"/>
  <c r="Z25" i="1" s="1"/>
  <c r="AA25" i="1" s="1"/>
  <c r="Y8" i="1"/>
  <c r="Z8" i="1" s="1"/>
  <c r="AB8" i="1" s="1"/>
  <c r="Y12" i="1"/>
  <c r="Z12" i="1" s="1"/>
  <c r="AB12" i="1" s="1"/>
  <c r="I21" i="1"/>
  <c r="I22" i="1" s="1"/>
  <c r="I24" i="1" s="1"/>
  <c r="Y38" i="1"/>
  <c r="Z38" i="1" s="1"/>
  <c r="Y20" i="1"/>
  <c r="Z20" i="1" s="1"/>
  <c r="AB20" i="1" s="1"/>
  <c r="Y32" i="1"/>
  <c r="Z32" i="1" s="1"/>
  <c r="AA32" i="1" s="1"/>
  <c r="Y30" i="1"/>
  <c r="Z30" i="1" s="1"/>
  <c r="AA30" i="1" s="1"/>
  <c r="Y18" i="1"/>
  <c r="Z18" i="1" s="1"/>
  <c r="Y36" i="1"/>
  <c r="Z36" i="1" s="1"/>
  <c r="AA36" i="1" s="1"/>
  <c r="Y11" i="1"/>
  <c r="Z11" i="1" s="1"/>
  <c r="AB11" i="1" s="1"/>
  <c r="AG11" i="1" s="1"/>
  <c r="Y9" i="1"/>
  <c r="Z9" i="1" s="1"/>
  <c r="AA9" i="1" s="1"/>
  <c r="AF9" i="1" s="1"/>
  <c r="Y17" i="1"/>
  <c r="Z17" i="1" s="1"/>
  <c r="AB17" i="1" s="1"/>
  <c r="Y22" i="1"/>
  <c r="Z22" i="1" s="1"/>
  <c r="Y37" i="1"/>
  <c r="Z37" i="1" s="1"/>
  <c r="D32" i="1"/>
  <c r="D34" i="1" s="1"/>
  <c r="Y43" i="1"/>
  <c r="Z43" i="1" s="1"/>
  <c r="AB43" i="1" s="1"/>
  <c r="Y45" i="1"/>
  <c r="Z45" i="1" s="1"/>
  <c r="AA45" i="1" s="1"/>
  <c r="Y44" i="1"/>
  <c r="Z44" i="1" s="1"/>
  <c r="Y35" i="1"/>
  <c r="Z35" i="1" s="1"/>
  <c r="AB35" i="1" s="1"/>
  <c r="Y16" i="1"/>
  <c r="Z16" i="1" s="1"/>
  <c r="AA16" i="1" s="1"/>
  <c r="Y41" i="1"/>
  <c r="Z41" i="1" s="1"/>
  <c r="AB41" i="1" s="1"/>
  <c r="Y24" i="1"/>
  <c r="Z24" i="1" s="1"/>
  <c r="AA24" i="1" s="1"/>
  <c r="Y13" i="1"/>
  <c r="Z13" i="1" s="1"/>
  <c r="AA13" i="1" s="1"/>
  <c r="AF13" i="1" s="1"/>
  <c r="Y29" i="1"/>
  <c r="Z29" i="1" s="1"/>
  <c r="AB29" i="1" s="1"/>
  <c r="Y5" i="1"/>
  <c r="Z5" i="1" s="1"/>
  <c r="AA5" i="1" s="1"/>
  <c r="AF5" i="1" s="1"/>
  <c r="Y33" i="1"/>
  <c r="Z33" i="1" s="1"/>
  <c r="Y15" i="1"/>
  <c r="Z15" i="1" s="1"/>
  <c r="AA15" i="1" s="1"/>
  <c r="Y27" i="1"/>
  <c r="Z27" i="1" s="1"/>
  <c r="AB27" i="1" s="1"/>
  <c r="Y26" i="1"/>
  <c r="Z26" i="1" s="1"/>
  <c r="AA26" i="1" s="1"/>
  <c r="Y39" i="1"/>
  <c r="Z39" i="1" s="1"/>
  <c r="AB39" i="1" s="1"/>
  <c r="Y7" i="1"/>
  <c r="Z7" i="1" s="1"/>
  <c r="AA7" i="1" s="1"/>
  <c r="AF7" i="1" s="1"/>
  <c r="Y23" i="1"/>
  <c r="Z23" i="1" s="1"/>
  <c r="AA8" i="1" l="1"/>
  <c r="AC8" i="1" s="1"/>
  <c r="AB15" i="1"/>
  <c r="AG15" i="1" s="1"/>
  <c r="AB18" i="1"/>
  <c r="AG18" i="1" s="1"/>
  <c r="AA18" i="1"/>
  <c r="AF18" i="1" s="1"/>
  <c r="I23" i="1"/>
  <c r="I36" i="1" s="1"/>
  <c r="AA29" i="1"/>
  <c r="AF29" i="1" s="1"/>
  <c r="AA10" i="1"/>
  <c r="AF10" i="1" s="1"/>
  <c r="AB10" i="1"/>
  <c r="AG10" i="1" s="1"/>
  <c r="AA11" i="1"/>
  <c r="AC11" i="1" s="1"/>
  <c r="AD11" i="1" s="1"/>
  <c r="AA12" i="1"/>
  <c r="AC12" i="1" s="1"/>
  <c r="AB9" i="1"/>
  <c r="AG9" i="1" s="1"/>
  <c r="AB23" i="1"/>
  <c r="BI23" i="1" s="1"/>
  <c r="AA23" i="1"/>
  <c r="AF23" i="1" s="1"/>
  <c r="AB13" i="1"/>
  <c r="BI13" i="1" s="1"/>
  <c r="AB16" i="1"/>
  <c r="AG16" i="1" s="1"/>
  <c r="AA42" i="1"/>
  <c r="AF42" i="1" s="1"/>
  <c r="AB5" i="1"/>
  <c r="AG5" i="1" s="1"/>
  <c r="AA6" i="1"/>
  <c r="AF6" i="1" s="1"/>
  <c r="AB32" i="1"/>
  <c r="BI32" i="1" s="1"/>
  <c r="AB7" i="1"/>
  <c r="AG7" i="1" s="1"/>
  <c r="AA27" i="1"/>
  <c r="AC27" i="1" s="1"/>
  <c r="AA20" i="1"/>
  <c r="AF20" i="1" s="1"/>
  <c r="AB36" i="1"/>
  <c r="AC36" i="1" s="1"/>
  <c r="AB24" i="1"/>
  <c r="BI24" i="1" s="1"/>
  <c r="AB34" i="1"/>
  <c r="AC34" i="1" s="1"/>
  <c r="AA21" i="1"/>
  <c r="AF21" i="1" s="1"/>
  <c r="AA43" i="1"/>
  <c r="AF43" i="1" s="1"/>
  <c r="AA41" i="1"/>
  <c r="AC41" i="1" s="1"/>
  <c r="AA17" i="1"/>
  <c r="AF17" i="1" s="1"/>
  <c r="AB25" i="1"/>
  <c r="BI25" i="1" s="1"/>
  <c r="AB30" i="1"/>
  <c r="AC30" i="1" s="1"/>
  <c r="AB31" i="1"/>
  <c r="AC31" i="1" s="1"/>
  <c r="AA39" i="1"/>
  <c r="AF39" i="1" s="1"/>
  <c r="AA35" i="1"/>
  <c r="AC35" i="1" s="1"/>
  <c r="AB45" i="1"/>
  <c r="BI45" i="1" s="1"/>
  <c r="BI6" i="1"/>
  <c r="AB26" i="1"/>
  <c r="AG26" i="1" s="1"/>
  <c r="AF36" i="1"/>
  <c r="AB38" i="1"/>
  <c r="AA38" i="1"/>
  <c r="AB37" i="1"/>
  <c r="AA37" i="1"/>
  <c r="AF30" i="1"/>
  <c r="AF24" i="1"/>
  <c r="AA28" i="1"/>
  <c r="AB28" i="1"/>
  <c r="BI27" i="1"/>
  <c r="AG27" i="1"/>
  <c r="BI8" i="1"/>
  <c r="AG8" i="1"/>
  <c r="BI43" i="1"/>
  <c r="AG43" i="1"/>
  <c r="D35" i="1"/>
  <c r="D36" i="1"/>
  <c r="BI29" i="1"/>
  <c r="AG29" i="1"/>
  <c r="AA44" i="1"/>
  <c r="AB44" i="1"/>
  <c r="AF26" i="1"/>
  <c r="BI39" i="1"/>
  <c r="AG39" i="1"/>
  <c r="AF45" i="1"/>
  <c r="AF25" i="1"/>
  <c r="AA22" i="1"/>
  <c r="AB22" i="1"/>
  <c r="BI20" i="1"/>
  <c r="AG20" i="1"/>
  <c r="AF31" i="1"/>
  <c r="BI12" i="1"/>
  <c r="AG12" i="1"/>
  <c r="BI17" i="1"/>
  <c r="AG17" i="1"/>
  <c r="BI42" i="1"/>
  <c r="AG42" i="1"/>
  <c r="AF34" i="1"/>
  <c r="AA14" i="1"/>
  <c r="AB14" i="1"/>
  <c r="AF15" i="1"/>
  <c r="AA19" i="1"/>
  <c r="AB19" i="1"/>
  <c r="AF32" i="1"/>
  <c r="BI21" i="1"/>
  <c r="AG21" i="1"/>
  <c r="BI35" i="1"/>
  <c r="AG35" i="1"/>
  <c r="AF16" i="1"/>
  <c r="AA33" i="1"/>
  <c r="AB33" i="1"/>
  <c r="BI41" i="1"/>
  <c r="AG41" i="1"/>
  <c r="AA40" i="1"/>
  <c r="AB40" i="1"/>
  <c r="I30" i="1"/>
  <c r="BI11" i="1"/>
  <c r="AF8" i="1" l="1"/>
  <c r="AC32" i="1"/>
  <c r="AH32" i="1" s="1"/>
  <c r="BI15" i="1"/>
  <c r="AC15" i="1"/>
  <c r="AH15" i="1" s="1"/>
  <c r="AF27" i="1"/>
  <c r="AC7" i="1"/>
  <c r="AD7" i="1" s="1"/>
  <c r="BI7" i="1"/>
  <c r="I29" i="1"/>
  <c r="I31" i="1" s="1"/>
  <c r="BI10" i="1"/>
  <c r="AC42" i="1"/>
  <c r="AD42" i="1" s="1"/>
  <c r="AC16" i="1"/>
  <c r="AH16" i="1" s="1"/>
  <c r="AF12" i="1"/>
  <c r="AF11" i="1"/>
  <c r="AC29" i="1"/>
  <c r="AH29" i="1" s="1"/>
  <c r="AC10" i="1"/>
  <c r="AD10" i="1" s="1"/>
  <c r="AC18" i="1"/>
  <c r="AD18" i="1" s="1"/>
  <c r="AG36" i="1"/>
  <c r="AG32" i="1"/>
  <c r="BI36" i="1"/>
  <c r="AG23" i="1"/>
  <c r="BI9" i="1"/>
  <c r="BI18" i="1"/>
  <c r="BI16" i="1"/>
  <c r="AC23" i="1"/>
  <c r="AH23" i="1" s="1"/>
  <c r="AC9" i="1"/>
  <c r="AD9" i="1" s="1"/>
  <c r="AC13" i="1"/>
  <c r="AD13" i="1" s="1"/>
  <c r="AG13" i="1"/>
  <c r="AC43" i="1"/>
  <c r="AH43" i="1" s="1"/>
  <c r="AC6" i="1"/>
  <c r="AD6" i="1" s="1"/>
  <c r="BI5" i="1"/>
  <c r="AC5" i="1"/>
  <c r="AD5" i="1" s="1"/>
  <c r="AF35" i="1"/>
  <c r="AC20" i="1"/>
  <c r="AH20" i="1" s="1"/>
  <c r="AC21" i="1"/>
  <c r="AD21" i="1" s="1"/>
  <c r="AF41" i="1"/>
  <c r="AG30" i="1"/>
  <c r="BI30" i="1"/>
  <c r="AG34" i="1"/>
  <c r="AC24" i="1"/>
  <c r="AD24" i="1" s="1"/>
  <c r="AC17" i="1"/>
  <c r="AD17" i="1" s="1"/>
  <c r="BI34" i="1"/>
  <c r="AG24" i="1"/>
  <c r="BI31" i="1"/>
  <c r="AG25" i="1"/>
  <c r="AC25" i="1"/>
  <c r="AD25" i="1" s="1"/>
  <c r="AG31" i="1"/>
  <c r="AC39" i="1"/>
  <c r="AH39" i="1" s="1"/>
  <c r="AC26" i="1"/>
  <c r="AH26" i="1" s="1"/>
  <c r="BI26" i="1"/>
  <c r="AG45" i="1"/>
  <c r="AC45" i="1"/>
  <c r="AH45" i="1" s="1"/>
  <c r="AC38" i="1"/>
  <c r="AF38" i="1"/>
  <c r="D40" i="1"/>
  <c r="D42" i="1"/>
  <c r="D44" i="1" s="1"/>
  <c r="I35" i="1"/>
  <c r="AF19" i="1"/>
  <c r="AC19" i="1"/>
  <c r="AH41" i="1"/>
  <c r="AD41" i="1"/>
  <c r="BI38" i="1"/>
  <c r="AG38" i="1"/>
  <c r="BI28" i="1"/>
  <c r="AG28" i="1"/>
  <c r="AH8" i="1"/>
  <c r="AD8" i="1"/>
  <c r="AC22" i="1"/>
  <c r="AF22" i="1"/>
  <c r="AH30" i="1"/>
  <c r="AD30" i="1"/>
  <c r="BI44" i="1"/>
  <c r="AG44" i="1"/>
  <c r="AF44" i="1"/>
  <c r="AC44" i="1"/>
  <c r="AC28" i="1"/>
  <c r="AF28" i="1"/>
  <c r="AC14" i="1"/>
  <c r="AF14" i="1"/>
  <c r="BI40" i="1"/>
  <c r="AG40" i="1"/>
  <c r="AH31" i="1"/>
  <c r="AD31" i="1"/>
  <c r="AD36" i="1"/>
  <c r="AH36" i="1"/>
  <c r="AH12" i="1"/>
  <c r="AD12" i="1"/>
  <c r="AH27" i="1"/>
  <c r="AD27" i="1"/>
  <c r="AH11" i="1"/>
  <c r="D41" i="1"/>
  <c r="I37" i="1" s="1"/>
  <c r="I38" i="1" s="1"/>
  <c r="I34" i="1"/>
  <c r="BI22" i="1"/>
  <c r="AG22" i="1"/>
  <c r="BI14" i="1"/>
  <c r="AG14" i="1"/>
  <c r="AC37" i="1"/>
  <c r="AF37" i="1"/>
  <c r="BI37" i="1"/>
  <c r="AG37" i="1"/>
  <c r="BI33" i="1"/>
  <c r="AG33" i="1"/>
  <c r="AC40" i="1"/>
  <c r="AF40" i="1"/>
  <c r="AF33" i="1"/>
  <c r="AC33" i="1"/>
  <c r="AH35" i="1"/>
  <c r="AD35" i="1"/>
  <c r="BI19" i="1"/>
  <c r="AG19" i="1"/>
  <c r="AH34" i="1"/>
  <c r="AD34" i="1"/>
  <c r="AD15" i="1" l="1"/>
  <c r="AD32" i="1"/>
  <c r="AH7" i="1"/>
  <c r="AK7" i="1" s="1"/>
  <c r="AH21" i="1"/>
  <c r="AK21" i="1" s="1"/>
  <c r="AH6" i="1"/>
  <c r="AJ6" i="1" s="1"/>
  <c r="AD29" i="1"/>
  <c r="AD43" i="1"/>
  <c r="AD16" i="1"/>
  <c r="AH10" i="1"/>
  <c r="AK10" i="1" s="1"/>
  <c r="AH42" i="1"/>
  <c r="AK42" i="1" s="1"/>
  <c r="AH5" i="1"/>
  <c r="AJ5" i="1" s="1"/>
  <c r="AH9" i="1"/>
  <c r="AJ9" i="1" s="1"/>
  <c r="AH13" i="1"/>
  <c r="AJ13" i="1" s="1"/>
  <c r="AH18" i="1"/>
  <c r="AK18" i="1" s="1"/>
  <c r="AD23" i="1"/>
  <c r="AD20" i="1"/>
  <c r="AH25" i="1"/>
  <c r="AK25" i="1" s="1"/>
  <c r="AH17" i="1"/>
  <c r="AK17" i="1" s="1"/>
  <c r="AH24" i="1"/>
  <c r="AK24" i="1" s="1"/>
  <c r="AD39" i="1"/>
  <c r="AD26" i="1"/>
  <c r="AD45" i="1"/>
  <c r="D43" i="1"/>
  <c r="AK41" i="1"/>
  <c r="AJ41" i="1"/>
  <c r="AK11" i="1"/>
  <c r="AJ11" i="1"/>
  <c r="AK30" i="1"/>
  <c r="AJ30" i="1"/>
  <c r="AJ29" i="1"/>
  <c r="AK29" i="1"/>
  <c r="AK43" i="1"/>
  <c r="AJ43" i="1"/>
  <c r="AK16" i="1"/>
  <c r="AJ16" i="1"/>
  <c r="AK20" i="1"/>
  <c r="AJ20" i="1"/>
  <c r="AK31" i="1"/>
  <c r="AJ31" i="1"/>
  <c r="AD33" i="1"/>
  <c r="AH33" i="1"/>
  <c r="AH19" i="1"/>
  <c r="AD19" i="1"/>
  <c r="AD40" i="1"/>
  <c r="AH40" i="1"/>
  <c r="AH14" i="1"/>
  <c r="AD14" i="1"/>
  <c r="AJ8" i="1"/>
  <c r="AK8" i="1"/>
  <c r="AH38" i="1"/>
  <c r="AD38" i="1"/>
  <c r="AK27" i="1"/>
  <c r="AJ27" i="1"/>
  <c r="AK36" i="1"/>
  <c r="AJ36" i="1"/>
  <c r="AK32" i="1"/>
  <c r="AJ32" i="1"/>
  <c r="AD37" i="1"/>
  <c r="AH37" i="1"/>
  <c r="I40" i="1"/>
  <c r="I41" i="1"/>
  <c r="AK15" i="1"/>
  <c r="AJ15" i="1"/>
  <c r="AJ26" i="1"/>
  <c r="AK26" i="1"/>
  <c r="AH44" i="1"/>
  <c r="AD44" i="1"/>
  <c r="AK23" i="1"/>
  <c r="AJ23" i="1"/>
  <c r="AK39" i="1"/>
  <c r="AJ39" i="1"/>
  <c r="AK34" i="1"/>
  <c r="AJ34" i="1"/>
  <c r="AK35" i="1"/>
  <c r="AJ35" i="1"/>
  <c r="AJ12" i="1"/>
  <c r="AK12" i="1"/>
  <c r="AD28" i="1"/>
  <c r="AH28" i="1"/>
  <c r="AD22" i="1"/>
  <c r="AH22" i="1"/>
  <c r="AJ45" i="1"/>
  <c r="AK45" i="1"/>
  <c r="AJ7" i="1" l="1"/>
  <c r="AL7" i="1" s="1"/>
  <c r="AN7" i="1" s="1"/>
  <c r="AK6" i="1"/>
  <c r="AL6" i="1" s="1"/>
  <c r="AO6" i="1" s="1"/>
  <c r="AJ21" i="1"/>
  <c r="AS21" i="1" s="1"/>
  <c r="AJ10" i="1"/>
  <c r="AL10" i="1" s="1"/>
  <c r="AN10" i="1" s="1"/>
  <c r="AK9" i="1"/>
  <c r="AL9" i="1" s="1"/>
  <c r="AO9" i="1" s="1"/>
  <c r="AK13" i="1"/>
  <c r="AL13" i="1" s="1"/>
  <c r="AO13" i="1" s="1"/>
  <c r="AJ42" i="1"/>
  <c r="AL42" i="1" s="1"/>
  <c r="AK5" i="1"/>
  <c r="AQ5" i="1" s="1"/>
  <c r="AJ18" i="1"/>
  <c r="AS18" i="1" s="1"/>
  <c r="AJ24" i="1"/>
  <c r="AL24" i="1" s="1"/>
  <c r="AJ25" i="1"/>
  <c r="AS25" i="1" s="1"/>
  <c r="AJ17" i="1"/>
  <c r="AL17" i="1" s="1"/>
  <c r="AO17" i="1" s="1"/>
  <c r="I47" i="1"/>
  <c r="AQ34" i="1"/>
  <c r="AR34" i="1"/>
  <c r="AS6" i="1"/>
  <c r="AS9" i="1"/>
  <c r="AS13" i="1"/>
  <c r="AQ15" i="1"/>
  <c r="AR15" i="1"/>
  <c r="AR27" i="1"/>
  <c r="AQ27" i="1"/>
  <c r="AS31" i="1"/>
  <c r="AL31" i="1"/>
  <c r="AO31" i="1" s="1"/>
  <c r="AS43" i="1"/>
  <c r="AL43" i="1"/>
  <c r="AO43" i="1" s="1"/>
  <c r="AQ23" i="1"/>
  <c r="AR23" i="1"/>
  <c r="AK14" i="1"/>
  <c r="AJ14" i="1"/>
  <c r="AK19" i="1"/>
  <c r="AJ19" i="1"/>
  <c r="AR31" i="1"/>
  <c r="AQ31" i="1"/>
  <c r="AS5" i="1"/>
  <c r="AQ43" i="1"/>
  <c r="AR43" i="1"/>
  <c r="AL30" i="1"/>
  <c r="AS30" i="1"/>
  <c r="AR42" i="1"/>
  <c r="AS7" i="1"/>
  <c r="AK38" i="1"/>
  <c r="AJ38" i="1"/>
  <c r="AQ12" i="1"/>
  <c r="AR12" i="1"/>
  <c r="AS39" i="1"/>
  <c r="AL39" i="1"/>
  <c r="AO39" i="1" s="1"/>
  <c r="I42" i="1"/>
  <c r="I45" i="1" s="1"/>
  <c r="I49" i="1"/>
  <c r="I48" i="1"/>
  <c r="AR10" i="1"/>
  <c r="AQ8" i="1"/>
  <c r="AR8" i="1"/>
  <c r="AL20" i="1"/>
  <c r="AN20" i="1" s="1"/>
  <c r="AS20" i="1"/>
  <c r="AQ30" i="1"/>
  <c r="AR30" i="1"/>
  <c r="AL36" i="1"/>
  <c r="AO36" i="1" s="1"/>
  <c r="AS36" i="1"/>
  <c r="AL15" i="1"/>
  <c r="AO15" i="1" s="1"/>
  <c r="AS15" i="1"/>
  <c r="AQ45" i="1"/>
  <c r="AR45" i="1"/>
  <c r="AS12" i="1"/>
  <c r="AL12" i="1"/>
  <c r="AO12" i="1" s="1"/>
  <c r="AK44" i="1"/>
  <c r="AJ44" i="1"/>
  <c r="AK37" i="1"/>
  <c r="AJ37" i="1"/>
  <c r="AL32" i="1"/>
  <c r="AO32" i="1" s="1"/>
  <c r="AS32" i="1"/>
  <c r="AL8" i="1"/>
  <c r="AN8" i="1" s="1"/>
  <c r="AS8" i="1"/>
  <c r="AR20" i="1"/>
  <c r="AQ20" i="1"/>
  <c r="AS11" i="1"/>
  <c r="AL11" i="1"/>
  <c r="AO11" i="1" s="1"/>
  <c r="AQ35" i="1"/>
  <c r="AR35" i="1"/>
  <c r="AR25" i="1"/>
  <c r="AL27" i="1"/>
  <c r="AS27" i="1"/>
  <c r="AL45" i="1"/>
  <c r="AO45" i="1" s="1"/>
  <c r="AS45" i="1"/>
  <c r="AK22" i="1"/>
  <c r="AJ22" i="1"/>
  <c r="AR39" i="1"/>
  <c r="AQ39" i="1"/>
  <c r="AL35" i="1"/>
  <c r="AO35" i="1" s="1"/>
  <c r="AS35" i="1"/>
  <c r="AS23" i="1"/>
  <c r="AL23" i="1"/>
  <c r="AN23" i="1" s="1"/>
  <c r="AQ32" i="1"/>
  <c r="AR32" i="1"/>
  <c r="AJ33" i="1"/>
  <c r="AK33" i="1"/>
  <c r="AS16" i="1"/>
  <c r="AL16" i="1"/>
  <c r="AO16" i="1" s="1"/>
  <c r="AR24" i="1"/>
  <c r="AR21" i="1"/>
  <c r="AR11" i="1"/>
  <c r="AQ11" i="1"/>
  <c r="AQ26" i="1"/>
  <c r="AR26" i="1"/>
  <c r="AL41" i="1"/>
  <c r="AO41" i="1" s="1"/>
  <c r="AS41" i="1"/>
  <c r="AQ16" i="1"/>
  <c r="AR16" i="1"/>
  <c r="AR29" i="1"/>
  <c r="AQ29" i="1"/>
  <c r="AK28" i="1"/>
  <c r="AJ28" i="1"/>
  <c r="AS34" i="1"/>
  <c r="AL34" i="1"/>
  <c r="AN34" i="1" s="1"/>
  <c r="AS26" i="1"/>
  <c r="AL26" i="1"/>
  <c r="AN26" i="1" s="1"/>
  <c r="AR17" i="1"/>
  <c r="AR7" i="1"/>
  <c r="AQ36" i="1"/>
  <c r="AR36" i="1"/>
  <c r="AK40" i="1"/>
  <c r="AJ40" i="1"/>
  <c r="AR18" i="1"/>
  <c r="AS29" i="1"/>
  <c r="AL29" i="1"/>
  <c r="AQ41" i="1"/>
  <c r="AR41" i="1"/>
  <c r="AQ7" i="1" l="1"/>
  <c r="AQ21" i="1"/>
  <c r="AR6" i="1"/>
  <c r="AL21" i="1"/>
  <c r="AO21" i="1" s="1"/>
  <c r="AS10" i="1"/>
  <c r="AQ6" i="1"/>
  <c r="AQ10" i="1"/>
  <c r="AR9" i="1"/>
  <c r="AL5" i="1"/>
  <c r="AO5" i="1" s="1"/>
  <c r="AR5" i="1"/>
  <c r="AQ9" i="1"/>
  <c r="AR13" i="1"/>
  <c r="AQ18" i="1"/>
  <c r="AQ13" i="1"/>
  <c r="AS42" i="1"/>
  <c r="AQ42" i="1"/>
  <c r="AL25" i="1"/>
  <c r="AO25" i="1" s="1"/>
  <c r="AQ25" i="1"/>
  <c r="AQ24" i="1"/>
  <c r="AL18" i="1"/>
  <c r="AN18" i="1" s="1"/>
  <c r="AS24" i="1"/>
  <c r="AS17" i="1"/>
  <c r="AQ17" i="1"/>
  <c r="AO7" i="1"/>
  <c r="AO20" i="1"/>
  <c r="AN39" i="1"/>
  <c r="AO10" i="1"/>
  <c r="AN15" i="1"/>
  <c r="AN45" i="1"/>
  <c r="AN35" i="1"/>
  <c r="AN43" i="1"/>
  <c r="AS38" i="1"/>
  <c r="AL38" i="1"/>
  <c r="AO38" i="1" s="1"/>
  <c r="AM42" i="1"/>
  <c r="AT42" i="1"/>
  <c r="AW42" i="1" s="1"/>
  <c r="AV42" i="1"/>
  <c r="AY42" i="1" s="1"/>
  <c r="AU42" i="1"/>
  <c r="AX42" i="1" s="1"/>
  <c r="AT24" i="1"/>
  <c r="AW24" i="1" s="1"/>
  <c r="AM24" i="1"/>
  <c r="AU24" i="1"/>
  <c r="AX24" i="1" s="1"/>
  <c r="AV24" i="1"/>
  <c r="AY24" i="1" s="1"/>
  <c r="AQ38" i="1"/>
  <c r="AR38" i="1"/>
  <c r="AT30" i="1"/>
  <c r="AW30" i="1" s="1"/>
  <c r="AM30" i="1"/>
  <c r="AU30" i="1"/>
  <c r="AX30" i="1" s="1"/>
  <c r="AV30" i="1"/>
  <c r="AY30" i="1" s="1"/>
  <c r="AM9" i="1"/>
  <c r="AT9" i="1"/>
  <c r="AW9" i="1" s="1"/>
  <c r="AV9" i="1"/>
  <c r="AY9" i="1" s="1"/>
  <c r="AU9" i="1"/>
  <c r="AX9" i="1" s="1"/>
  <c r="AN42" i="1"/>
  <c r="AM41" i="1"/>
  <c r="AT41" i="1"/>
  <c r="AW41" i="1" s="1"/>
  <c r="AU41" i="1"/>
  <c r="AX41" i="1" s="1"/>
  <c r="AV41" i="1"/>
  <c r="AY41" i="1" s="1"/>
  <c r="AN16" i="1"/>
  <c r="AT27" i="1"/>
  <c r="AW27" i="1" s="1"/>
  <c r="AM27" i="1"/>
  <c r="AU27" i="1"/>
  <c r="AX27" i="1" s="1"/>
  <c r="AV27" i="1"/>
  <c r="AY27" i="1" s="1"/>
  <c r="AT11" i="1"/>
  <c r="AW11" i="1" s="1"/>
  <c r="AM11" i="1"/>
  <c r="AV11" i="1"/>
  <c r="AY11" i="1" s="1"/>
  <c r="AU11" i="1"/>
  <c r="AX11" i="1" s="1"/>
  <c r="AN24" i="1"/>
  <c r="AM32" i="1"/>
  <c r="AT32" i="1"/>
  <c r="AW32" i="1" s="1"/>
  <c r="AV32" i="1"/>
  <c r="AY32" i="1" s="1"/>
  <c r="AU32" i="1"/>
  <c r="AX32" i="1" s="1"/>
  <c r="AN12" i="1"/>
  <c r="AM36" i="1"/>
  <c r="AT36" i="1"/>
  <c r="AW36" i="1" s="1"/>
  <c r="AU36" i="1"/>
  <c r="AX36" i="1" s="1"/>
  <c r="AV36" i="1"/>
  <c r="AY36" i="1" s="1"/>
  <c r="AT7" i="1"/>
  <c r="AW7" i="1" s="1"/>
  <c r="AM7" i="1"/>
  <c r="AV7" i="1"/>
  <c r="AY7" i="1" s="1"/>
  <c r="AU7" i="1"/>
  <c r="AX7" i="1" s="1"/>
  <c r="AN30" i="1"/>
  <c r="AS14" i="1"/>
  <c r="AL14" i="1"/>
  <c r="AN14" i="1" s="1"/>
  <c r="AM43" i="1"/>
  <c r="AT43" i="1"/>
  <c r="AW43" i="1" s="1"/>
  <c r="AU43" i="1"/>
  <c r="AX43" i="1" s="1"/>
  <c r="AV43" i="1"/>
  <c r="AY43" i="1" s="1"/>
  <c r="AO27" i="1"/>
  <c r="AM34" i="1"/>
  <c r="AT34" i="1"/>
  <c r="AW34" i="1" s="1"/>
  <c r="AV34" i="1"/>
  <c r="AY34" i="1" s="1"/>
  <c r="AU34" i="1"/>
  <c r="AX34" i="1" s="1"/>
  <c r="AN41" i="1"/>
  <c r="AQ33" i="1"/>
  <c r="AR33" i="1"/>
  <c r="AT23" i="1"/>
  <c r="AW23" i="1" s="1"/>
  <c r="AM23" i="1"/>
  <c r="AV23" i="1"/>
  <c r="AY23" i="1" s="1"/>
  <c r="AU23" i="1"/>
  <c r="AX23" i="1" s="1"/>
  <c r="AN27" i="1"/>
  <c r="AN32" i="1"/>
  <c r="AN36" i="1"/>
  <c r="AM20" i="1"/>
  <c r="AT20" i="1"/>
  <c r="AW20" i="1" s="1"/>
  <c r="AU20" i="1"/>
  <c r="AX20" i="1" s="1"/>
  <c r="AV20" i="1"/>
  <c r="AY20" i="1" s="1"/>
  <c r="AR14" i="1"/>
  <c r="AQ14" i="1"/>
  <c r="AN9" i="1"/>
  <c r="AL33" i="1"/>
  <c r="AN33" i="1" s="1"/>
  <c r="AS33" i="1"/>
  <c r="AS22" i="1"/>
  <c r="AL22" i="1"/>
  <c r="AN11" i="1"/>
  <c r="AS37" i="1"/>
  <c r="AL37" i="1"/>
  <c r="AO37" i="1" s="1"/>
  <c r="AS19" i="1"/>
  <c r="AL19" i="1"/>
  <c r="AT6" i="1"/>
  <c r="AW6" i="1" s="1"/>
  <c r="AM6" i="1"/>
  <c r="AU6" i="1"/>
  <c r="AX6" i="1" s="1"/>
  <c r="AV6" i="1"/>
  <c r="AY6" i="1" s="1"/>
  <c r="AO34" i="1"/>
  <c r="AT16" i="1"/>
  <c r="AW16" i="1" s="1"/>
  <c r="AM16" i="1"/>
  <c r="AV16" i="1"/>
  <c r="AY16" i="1" s="1"/>
  <c r="AU16" i="1"/>
  <c r="AX16" i="1" s="1"/>
  <c r="AM12" i="1"/>
  <c r="AT12" i="1"/>
  <c r="AW12" i="1" s="1"/>
  <c r="AU12" i="1"/>
  <c r="AX12" i="1" s="1"/>
  <c r="AV12" i="1"/>
  <c r="AY12" i="1" s="1"/>
  <c r="AR22" i="1"/>
  <c r="AQ22" i="1"/>
  <c r="I43" i="1"/>
  <c r="I50" i="1"/>
  <c r="I53" i="1" s="1"/>
  <c r="I51" i="1"/>
  <c r="I54" i="1" s="1"/>
  <c r="I52" i="1"/>
  <c r="I55" i="1" s="1"/>
  <c r="AQ19" i="1"/>
  <c r="AR19" i="1"/>
  <c r="AM31" i="1"/>
  <c r="AT31" i="1"/>
  <c r="AW31" i="1" s="1"/>
  <c r="AU31" i="1"/>
  <c r="AX31" i="1" s="1"/>
  <c r="AV31" i="1"/>
  <c r="AY31" i="1" s="1"/>
  <c r="AM26" i="1"/>
  <c r="AT26" i="1"/>
  <c r="AW26" i="1" s="1"/>
  <c r="AV26" i="1"/>
  <c r="AY26" i="1" s="1"/>
  <c r="AU26" i="1"/>
  <c r="AX26" i="1" s="1"/>
  <c r="AM29" i="1"/>
  <c r="AT29" i="1"/>
  <c r="AW29" i="1" s="1"/>
  <c r="AV29" i="1"/>
  <c r="AY29" i="1" s="1"/>
  <c r="AU29" i="1"/>
  <c r="AX29" i="1" s="1"/>
  <c r="AO29" i="1"/>
  <c r="AQ37" i="1"/>
  <c r="AR37" i="1"/>
  <c r="AQ40" i="1"/>
  <c r="AR40" i="1"/>
  <c r="AL28" i="1"/>
  <c r="AO28" i="1" s="1"/>
  <c r="AS28" i="1"/>
  <c r="AO26" i="1"/>
  <c r="AT21" i="1"/>
  <c r="AW21" i="1" s="1"/>
  <c r="AU21" i="1"/>
  <c r="AX21" i="1" s="1"/>
  <c r="AL44" i="1"/>
  <c r="AO44" i="1" s="1"/>
  <c r="AS44" i="1"/>
  <c r="AO30" i="1"/>
  <c r="I44" i="1"/>
  <c r="AO23" i="1"/>
  <c r="AT13" i="1"/>
  <c r="AW13" i="1" s="1"/>
  <c r="AM13" i="1"/>
  <c r="AV13" i="1"/>
  <c r="AY13" i="1" s="1"/>
  <c r="AU13" i="1"/>
  <c r="AX13" i="1" s="1"/>
  <c r="AN6" i="1"/>
  <c r="AT17" i="1"/>
  <c r="AW17" i="1" s="1"/>
  <c r="AM17" i="1"/>
  <c r="AU17" i="1"/>
  <c r="AX17" i="1" s="1"/>
  <c r="AV17" i="1"/>
  <c r="AY17" i="1" s="1"/>
  <c r="AL40" i="1"/>
  <c r="AO40" i="1" s="1"/>
  <c r="AS40" i="1"/>
  <c r="AN29" i="1"/>
  <c r="AQ28" i="1"/>
  <c r="AR28" i="1"/>
  <c r="AO24" i="1"/>
  <c r="AM35" i="1"/>
  <c r="AT35" i="1"/>
  <c r="AW35" i="1" s="1"/>
  <c r="AV35" i="1"/>
  <c r="AY35" i="1" s="1"/>
  <c r="AU35" i="1"/>
  <c r="AX35" i="1" s="1"/>
  <c r="AM45" i="1"/>
  <c r="AT45" i="1"/>
  <c r="AW45" i="1" s="1"/>
  <c r="AU45" i="1"/>
  <c r="AX45" i="1" s="1"/>
  <c r="AV45" i="1"/>
  <c r="AY45" i="1" s="1"/>
  <c r="AN21" i="1"/>
  <c r="AT8" i="1"/>
  <c r="AW8" i="1" s="1"/>
  <c r="AM8" i="1"/>
  <c r="AU8" i="1"/>
  <c r="AX8" i="1" s="1"/>
  <c r="AV8" i="1"/>
  <c r="AY8" i="1" s="1"/>
  <c r="AQ44" i="1"/>
  <c r="AR44" i="1"/>
  <c r="AT15" i="1"/>
  <c r="AW15" i="1" s="1"/>
  <c r="AM15" i="1"/>
  <c r="AU15" i="1"/>
  <c r="AX15" i="1" s="1"/>
  <c r="AV15" i="1"/>
  <c r="AY15" i="1" s="1"/>
  <c r="AO8" i="1"/>
  <c r="AM39" i="1"/>
  <c r="AT39" i="1"/>
  <c r="AW39" i="1" s="1"/>
  <c r="AU39" i="1"/>
  <c r="AX39" i="1" s="1"/>
  <c r="AV39" i="1"/>
  <c r="AY39" i="1" s="1"/>
  <c r="AO42" i="1"/>
  <c r="AT10" i="1"/>
  <c r="AW10" i="1" s="1"/>
  <c r="AM10" i="1"/>
  <c r="AV10" i="1"/>
  <c r="AY10" i="1" s="1"/>
  <c r="AU10" i="1"/>
  <c r="AX10" i="1" s="1"/>
  <c r="AN31" i="1"/>
  <c r="AN13" i="1"/>
  <c r="AN17" i="1"/>
  <c r="AM21" i="1" l="1"/>
  <c r="AP21" i="1" s="1"/>
  <c r="AV21" i="1"/>
  <c r="AY21" i="1" s="1"/>
  <c r="BA21" i="1" s="1"/>
  <c r="AV5" i="1"/>
  <c r="AY5" i="1" s="1"/>
  <c r="AU5" i="1"/>
  <c r="AX5" i="1" s="1"/>
  <c r="AM5" i="1"/>
  <c r="AT5" i="1"/>
  <c r="AW5" i="1" s="1"/>
  <c r="AN5" i="1"/>
  <c r="AV25" i="1"/>
  <c r="AY25" i="1" s="1"/>
  <c r="AP39" i="1"/>
  <c r="BB39" i="1" s="1"/>
  <c r="AT25" i="1"/>
  <c r="AW25" i="1" s="1"/>
  <c r="AU25" i="1"/>
  <c r="AX25" i="1" s="1"/>
  <c r="AM25" i="1"/>
  <c r="AN25" i="1"/>
  <c r="AV18" i="1"/>
  <c r="AY18" i="1" s="1"/>
  <c r="AO18" i="1"/>
  <c r="AM18" i="1"/>
  <c r="AT18" i="1"/>
  <c r="AW18" i="1" s="1"/>
  <c r="AU18" i="1"/>
  <c r="AX18" i="1" s="1"/>
  <c r="AP7" i="1"/>
  <c r="BB7" i="1" s="1"/>
  <c r="AP16" i="1"/>
  <c r="BB16" i="1" s="1"/>
  <c r="AP10" i="1"/>
  <c r="BB10" i="1" s="1"/>
  <c r="AP45" i="1"/>
  <c r="BB45" i="1" s="1"/>
  <c r="AO14" i="1"/>
  <c r="AP15" i="1"/>
  <c r="BB15" i="1" s="1"/>
  <c r="AP20" i="1"/>
  <c r="BB20" i="1" s="1"/>
  <c r="AP12" i="1"/>
  <c r="BB12" i="1" s="1"/>
  <c r="AP35" i="1"/>
  <c r="BB35" i="1" s="1"/>
  <c r="AP26" i="1"/>
  <c r="BB26" i="1" s="1"/>
  <c r="AP29" i="1"/>
  <c r="BB29" i="1" s="1"/>
  <c r="AP43" i="1"/>
  <c r="BB43" i="1" s="1"/>
  <c r="I46" i="1"/>
  <c r="I61" i="1" s="1"/>
  <c r="AP8" i="1"/>
  <c r="BB8" i="1" s="1"/>
  <c r="AZ29" i="1"/>
  <c r="BA29" i="1"/>
  <c r="BA31" i="1"/>
  <c r="AZ31" i="1"/>
  <c r="AZ6" i="1"/>
  <c r="BA6" i="1"/>
  <c r="AT22" i="1"/>
  <c r="AW22" i="1" s="1"/>
  <c r="AM22" i="1"/>
  <c r="AV22" i="1"/>
  <c r="AY22" i="1" s="1"/>
  <c r="AU22" i="1"/>
  <c r="AX22" i="1" s="1"/>
  <c r="BA43" i="1"/>
  <c r="AZ43" i="1"/>
  <c r="AP41" i="1"/>
  <c r="BB41" i="1" s="1"/>
  <c r="AP30" i="1"/>
  <c r="BB30" i="1" s="1"/>
  <c r="BA24" i="1"/>
  <c r="AZ24" i="1"/>
  <c r="AP31" i="1"/>
  <c r="BB31" i="1" s="1"/>
  <c r="AT19" i="1"/>
  <c r="AW19" i="1" s="1"/>
  <c r="AM19" i="1"/>
  <c r="AV19" i="1"/>
  <c r="AY19" i="1" s="1"/>
  <c r="AU19" i="1"/>
  <c r="AX19" i="1" s="1"/>
  <c r="BA7" i="1"/>
  <c r="AZ7" i="1"/>
  <c r="BA32" i="1"/>
  <c r="AZ32" i="1"/>
  <c r="AZ30" i="1"/>
  <c r="BA30" i="1"/>
  <c r="AM40" i="1"/>
  <c r="AT40" i="1"/>
  <c r="AW40" i="1" s="1"/>
  <c r="AV40" i="1"/>
  <c r="AY40" i="1" s="1"/>
  <c r="AU40" i="1"/>
  <c r="AX40" i="1" s="1"/>
  <c r="AN22" i="1"/>
  <c r="AT14" i="1"/>
  <c r="AW14" i="1" s="1"/>
  <c r="AM14" i="1"/>
  <c r="AU14" i="1"/>
  <c r="AX14" i="1" s="1"/>
  <c r="AV14" i="1"/>
  <c r="AY14" i="1" s="1"/>
  <c r="AP32" i="1"/>
  <c r="BB32" i="1" s="1"/>
  <c r="AP27" i="1"/>
  <c r="BB27" i="1" s="1"/>
  <c r="BA39" i="1"/>
  <c r="AZ39" i="1"/>
  <c r="AZ45" i="1"/>
  <c r="BA45" i="1"/>
  <c r="AN40" i="1"/>
  <c r="AP13" i="1"/>
  <c r="BB13" i="1" s="1"/>
  <c r="AO22" i="1"/>
  <c r="BA16" i="1"/>
  <c r="AZ16" i="1"/>
  <c r="AN19" i="1"/>
  <c r="AP23" i="1"/>
  <c r="BB23" i="1" s="1"/>
  <c r="BA34" i="1"/>
  <c r="AZ34" i="1"/>
  <c r="BA27" i="1"/>
  <c r="AZ27" i="1"/>
  <c r="AZ42" i="1"/>
  <c r="BA42" i="1"/>
  <c r="BA13" i="1"/>
  <c r="AZ13" i="1"/>
  <c r="AZ26" i="1"/>
  <c r="BA26" i="1"/>
  <c r="AO19" i="1"/>
  <c r="AM37" i="1"/>
  <c r="AT37" i="1"/>
  <c r="AW37" i="1" s="1"/>
  <c r="AU37" i="1"/>
  <c r="AX37" i="1" s="1"/>
  <c r="AV37" i="1"/>
  <c r="AY37" i="1" s="1"/>
  <c r="AT33" i="1"/>
  <c r="AW33" i="1" s="1"/>
  <c r="AM33" i="1"/>
  <c r="AU33" i="1"/>
  <c r="AX33" i="1" s="1"/>
  <c r="AV33" i="1"/>
  <c r="AY33" i="1" s="1"/>
  <c r="AZ20" i="1"/>
  <c r="BA20" i="1"/>
  <c r="BA23" i="1"/>
  <c r="AZ23" i="1"/>
  <c r="AP34" i="1"/>
  <c r="BB34" i="1" s="1"/>
  <c r="BA36" i="1"/>
  <c r="AZ36" i="1"/>
  <c r="BA9" i="1"/>
  <c r="AZ9" i="1"/>
  <c r="AP42" i="1"/>
  <c r="BB42" i="1" s="1"/>
  <c r="AM44" i="1"/>
  <c r="AT44" i="1"/>
  <c r="AW44" i="1" s="1"/>
  <c r="AV44" i="1"/>
  <c r="AY44" i="1" s="1"/>
  <c r="AU44" i="1"/>
  <c r="AX44" i="1" s="1"/>
  <c r="AM28" i="1"/>
  <c r="AT28" i="1"/>
  <c r="AW28" i="1" s="1"/>
  <c r="AV28" i="1"/>
  <c r="AY28" i="1" s="1"/>
  <c r="AU28" i="1"/>
  <c r="AX28" i="1" s="1"/>
  <c r="AP36" i="1"/>
  <c r="BB36" i="1" s="1"/>
  <c r="AP9" i="1"/>
  <c r="BB9" i="1" s="1"/>
  <c r="AM38" i="1"/>
  <c r="AT38" i="1"/>
  <c r="AW38" i="1" s="1"/>
  <c r="AU38" i="1"/>
  <c r="AX38" i="1" s="1"/>
  <c r="AV38" i="1"/>
  <c r="AY38" i="1" s="1"/>
  <c r="BA10" i="1"/>
  <c r="AZ10" i="1"/>
  <c r="BA35" i="1"/>
  <c r="AZ35" i="1"/>
  <c r="BA15" i="1"/>
  <c r="AZ15" i="1"/>
  <c r="AP17" i="1"/>
  <c r="BB17" i="1" s="1"/>
  <c r="AN44" i="1"/>
  <c r="AN28" i="1"/>
  <c r="AZ12" i="1"/>
  <c r="BA12" i="1"/>
  <c r="AN37" i="1"/>
  <c r="AP11" i="1"/>
  <c r="BB11" i="1" s="1"/>
  <c r="AZ8" i="1"/>
  <c r="BA8" i="1"/>
  <c r="BA17" i="1"/>
  <c r="AZ17" i="1"/>
  <c r="I59" i="1"/>
  <c r="I60" i="1"/>
  <c r="AP6" i="1"/>
  <c r="BB6" i="1" s="1"/>
  <c r="AO33" i="1"/>
  <c r="BA11" i="1"/>
  <c r="AZ11" i="1"/>
  <c r="BA41" i="1"/>
  <c r="AZ41" i="1"/>
  <c r="AP24" i="1"/>
  <c r="BB24" i="1" s="1"/>
  <c r="AN38" i="1"/>
  <c r="AZ21" i="1" l="1"/>
  <c r="BD21" i="1" s="1"/>
  <c r="BB21" i="1"/>
  <c r="BA5" i="1"/>
  <c r="AP5" i="1"/>
  <c r="BB5" i="1" s="1"/>
  <c r="AZ5" i="1"/>
  <c r="BA25" i="1"/>
  <c r="AP25" i="1"/>
  <c r="BB25" i="1" s="1"/>
  <c r="AP18" i="1"/>
  <c r="BB18" i="1" s="1"/>
  <c r="AZ25" i="1"/>
  <c r="AZ18" i="1"/>
  <c r="BA18" i="1"/>
  <c r="AP14" i="1"/>
  <c r="BB14" i="1" s="1"/>
  <c r="AP40" i="1"/>
  <c r="BB40" i="1" s="1"/>
  <c r="BC10" i="1"/>
  <c r="BD10" i="1"/>
  <c r="AP33" i="1"/>
  <c r="BB33" i="1" s="1"/>
  <c r="BD45" i="1"/>
  <c r="BC45" i="1"/>
  <c r="BA40" i="1"/>
  <c r="AZ40" i="1"/>
  <c r="BD23" i="1"/>
  <c r="BC23" i="1"/>
  <c r="AZ33" i="1"/>
  <c r="BA33" i="1"/>
  <c r="BD26" i="1"/>
  <c r="BC26" i="1"/>
  <c r="BD27" i="1"/>
  <c r="BC27" i="1"/>
  <c r="BD16" i="1"/>
  <c r="BC16" i="1"/>
  <c r="BA14" i="1"/>
  <c r="AZ14" i="1"/>
  <c r="BC7" i="1"/>
  <c r="BD7" i="1"/>
  <c r="BD43" i="1"/>
  <c r="BC43" i="1"/>
  <c r="BD6" i="1"/>
  <c r="BC6" i="1"/>
  <c r="BD12" i="1"/>
  <c r="BC12" i="1"/>
  <c r="BD35" i="1"/>
  <c r="BC35" i="1"/>
  <c r="BA28" i="1"/>
  <c r="AZ28" i="1"/>
  <c r="BC9" i="1"/>
  <c r="BD9" i="1"/>
  <c r="BD39" i="1"/>
  <c r="BC39" i="1"/>
  <c r="BC41" i="1"/>
  <c r="BD41" i="1"/>
  <c r="AP28" i="1"/>
  <c r="BB28" i="1" s="1"/>
  <c r="BD13" i="1"/>
  <c r="BC13" i="1"/>
  <c r="BD31" i="1"/>
  <c r="BC31" i="1"/>
  <c r="BA37" i="1"/>
  <c r="AZ37" i="1"/>
  <c r="BD34" i="1"/>
  <c r="BC34" i="1"/>
  <c r="BD30" i="1"/>
  <c r="BC30" i="1"/>
  <c r="BD24" i="1"/>
  <c r="BC24" i="1"/>
  <c r="AZ38" i="1"/>
  <c r="BA38" i="1"/>
  <c r="BC8" i="1"/>
  <c r="BD8" i="1"/>
  <c r="AP38" i="1"/>
  <c r="BB38" i="1" s="1"/>
  <c r="BC36" i="1"/>
  <c r="BD36" i="1"/>
  <c r="BD20" i="1"/>
  <c r="BC20" i="1"/>
  <c r="AP37" i="1"/>
  <c r="BB37" i="1" s="1"/>
  <c r="AP19" i="1"/>
  <c r="BB19" i="1" s="1"/>
  <c r="AP22" i="1"/>
  <c r="BB22" i="1" s="1"/>
  <c r="BC17" i="1"/>
  <c r="BD17" i="1"/>
  <c r="BA44" i="1"/>
  <c r="AZ44" i="1"/>
  <c r="BD32" i="1"/>
  <c r="BC32" i="1"/>
  <c r="BA19" i="1"/>
  <c r="AZ19" i="1"/>
  <c r="BA22" i="1"/>
  <c r="AZ22" i="1"/>
  <c r="I63" i="1"/>
  <c r="I62" i="1"/>
  <c r="BC11" i="1"/>
  <c r="BD11" i="1"/>
  <c r="BD15" i="1"/>
  <c r="BC15" i="1"/>
  <c r="AP44" i="1"/>
  <c r="BB44" i="1" s="1"/>
  <c r="BD42" i="1"/>
  <c r="BC42" i="1"/>
  <c r="BD29" i="1"/>
  <c r="BC29" i="1"/>
  <c r="BC21" i="1" l="1"/>
  <c r="BE21" i="1" s="1"/>
  <c r="BF21" i="1" s="1"/>
  <c r="BD5" i="1"/>
  <c r="BC25" i="1"/>
  <c r="BC5" i="1"/>
  <c r="BD25" i="1"/>
  <c r="BC18" i="1"/>
  <c r="BD18" i="1"/>
  <c r="BE11" i="1"/>
  <c r="BF11" i="1" s="1"/>
  <c r="BE7" i="1"/>
  <c r="BF7" i="1" s="1"/>
  <c r="BE10" i="1"/>
  <c r="BF10" i="1" s="1"/>
  <c r="BE45" i="1"/>
  <c r="BG45" i="1" s="1"/>
  <c r="BE16" i="1"/>
  <c r="BF16" i="1" s="1"/>
  <c r="BE8" i="1"/>
  <c r="BF8" i="1" s="1"/>
  <c r="BE26" i="1"/>
  <c r="BF26" i="1" s="1"/>
  <c r="I64" i="1"/>
  <c r="I65" i="1" s="1"/>
  <c r="BE32" i="1"/>
  <c r="BF32" i="1" s="1"/>
  <c r="BE17" i="1"/>
  <c r="BF17" i="1" s="1"/>
  <c r="BE24" i="1"/>
  <c r="BF24" i="1" s="1"/>
  <c r="BE13" i="1"/>
  <c r="BE6" i="1"/>
  <c r="BD14" i="1"/>
  <c r="BC14" i="1"/>
  <c r="BD40" i="1"/>
  <c r="BC40" i="1"/>
  <c r="BE15" i="1"/>
  <c r="BD44" i="1"/>
  <c r="BC44" i="1"/>
  <c r="BE20" i="1"/>
  <c r="BC38" i="1"/>
  <c r="BD38" i="1"/>
  <c r="BE34" i="1"/>
  <c r="BC28" i="1"/>
  <c r="BD28" i="1"/>
  <c r="BD22" i="1"/>
  <c r="BC22" i="1"/>
  <c r="BE36" i="1"/>
  <c r="BE41" i="1"/>
  <c r="BE43" i="1"/>
  <c r="BD33" i="1"/>
  <c r="BC33" i="1"/>
  <c r="BD19" i="1"/>
  <c r="BC19" i="1"/>
  <c r="BE35" i="1"/>
  <c r="BE23" i="1"/>
  <c r="BD37" i="1"/>
  <c r="BC37" i="1"/>
  <c r="BE30" i="1"/>
  <c r="BE39" i="1"/>
  <c r="BE27" i="1"/>
  <c r="BE29" i="1"/>
  <c r="BE42" i="1"/>
  <c r="BE31" i="1"/>
  <c r="BE9" i="1"/>
  <c r="BE12" i="1"/>
  <c r="BE25" i="1" l="1"/>
  <c r="BF25" i="1" s="1"/>
  <c r="BE5" i="1"/>
  <c r="BF5" i="1" s="1"/>
  <c r="BE18" i="1"/>
  <c r="BG18" i="1" s="1"/>
  <c r="BG7" i="1"/>
  <c r="BH7" i="1" s="1"/>
  <c r="BG11" i="1"/>
  <c r="BH11" i="1" s="1"/>
  <c r="BG10" i="1"/>
  <c r="BH10" i="1" s="1"/>
  <c r="BG24" i="1"/>
  <c r="BH24" i="1" s="1"/>
  <c r="BG16" i="1"/>
  <c r="BH16" i="1" s="1"/>
  <c r="BF45" i="1"/>
  <c r="BH45" i="1" s="1"/>
  <c r="BG32" i="1"/>
  <c r="BH32" i="1" s="1"/>
  <c r="BG17" i="1"/>
  <c r="BH17" i="1" s="1"/>
  <c r="BG26" i="1"/>
  <c r="BH26" i="1" s="1"/>
  <c r="BG8" i="1"/>
  <c r="BH8" i="1" s="1"/>
  <c r="BE22" i="1"/>
  <c r="BG22" i="1" s="1"/>
  <c r="I66" i="1"/>
  <c r="I67" i="1" s="1"/>
  <c r="BG21" i="1"/>
  <c r="BH21" i="1" s="1"/>
  <c r="BE38" i="1"/>
  <c r="BF38" i="1" s="1"/>
  <c r="BF30" i="1"/>
  <c r="BG30" i="1"/>
  <c r="BF43" i="1"/>
  <c r="BG43" i="1"/>
  <c r="BF41" i="1"/>
  <c r="BG41" i="1"/>
  <c r="BF34" i="1"/>
  <c r="BG34" i="1"/>
  <c r="BF9" i="1"/>
  <c r="BG9" i="1"/>
  <c r="BF36" i="1"/>
  <c r="BG36" i="1"/>
  <c r="BF35" i="1"/>
  <c r="BG35" i="1"/>
  <c r="BF31" i="1"/>
  <c r="BG31" i="1"/>
  <c r="BE19" i="1"/>
  <c r="BE40" i="1"/>
  <c r="BF20" i="1"/>
  <c r="BG20" i="1"/>
  <c r="BF12" i="1"/>
  <c r="BG12" i="1"/>
  <c r="BF29" i="1"/>
  <c r="BG29" i="1"/>
  <c r="BE14" i="1"/>
  <c r="BF27" i="1"/>
  <c r="BG27" i="1"/>
  <c r="BE37" i="1"/>
  <c r="BE44" i="1"/>
  <c r="BF6" i="1"/>
  <c r="BG6" i="1"/>
  <c r="BF42" i="1"/>
  <c r="BG42" i="1"/>
  <c r="BF39" i="1"/>
  <c r="BG39" i="1"/>
  <c r="BF23" i="1"/>
  <c r="BG23" i="1"/>
  <c r="BE33" i="1"/>
  <c r="BE28" i="1"/>
  <c r="BF15" i="1"/>
  <c r="BG15" i="1"/>
  <c r="BF13" i="1"/>
  <c r="BG13" i="1"/>
  <c r="BG25" i="1" l="1"/>
  <c r="BH25" i="1" s="1"/>
  <c r="BG5" i="1"/>
  <c r="BH5" i="1" s="1"/>
  <c r="BF18" i="1"/>
  <c r="BH18" i="1" s="1"/>
  <c r="BF22" i="1"/>
  <c r="BH22" i="1" s="1"/>
  <c r="BH12" i="1"/>
  <c r="BH36" i="1"/>
  <c r="BH43" i="1"/>
  <c r="BH23" i="1"/>
  <c r="BH35" i="1"/>
  <c r="BH6" i="1"/>
  <c r="BG38" i="1"/>
  <c r="BH38" i="1" s="1"/>
  <c r="BF33" i="1"/>
  <c r="BG33" i="1"/>
  <c r="BH27" i="1"/>
  <c r="BF14" i="1"/>
  <c r="BG14" i="1"/>
  <c r="BH20" i="1"/>
  <c r="BH31" i="1"/>
  <c r="BH42" i="1"/>
  <c r="BH9" i="1"/>
  <c r="BF28" i="1"/>
  <c r="BG28" i="1"/>
  <c r="BF40" i="1"/>
  <c r="BG40" i="1"/>
  <c r="BH34" i="1"/>
  <c r="BH30" i="1"/>
  <c r="BF44" i="1"/>
  <c r="BG44" i="1"/>
  <c r="BH39" i="1"/>
  <c r="BH29" i="1"/>
  <c r="BH13" i="1"/>
  <c r="BH15" i="1"/>
  <c r="BF37" i="1"/>
  <c r="BG37" i="1"/>
  <c r="BF19" i="1"/>
  <c r="BG19" i="1"/>
  <c r="BH41" i="1"/>
  <c r="BH37" i="1" l="1"/>
  <c r="BH14" i="1"/>
  <c r="BH40" i="1"/>
  <c r="BH28" i="1"/>
  <c r="BH19" i="1"/>
  <c r="BH44" i="1"/>
  <c r="BH33" i="1"/>
</calcChain>
</file>

<file path=xl/sharedStrings.xml><?xml version="1.0" encoding="utf-8"?>
<sst xmlns="http://schemas.openxmlformats.org/spreadsheetml/2006/main" count="622" uniqueCount="347">
  <si>
    <t>Camber offset (deg):</t>
  </si>
  <si>
    <t>Suspension Arm Pivot Hardpoints (Inputs)</t>
  </si>
  <si>
    <t>Steering Hardpoints (Inputs)</t>
  </si>
  <si>
    <t>Suspension Configuration (Input Values into Suspension Hardpoints)</t>
  </si>
  <si>
    <t>Geometry Inputs</t>
  </si>
  <si>
    <t>Value</t>
  </si>
  <si>
    <t>Unit</t>
  </si>
  <si>
    <t>Description</t>
  </si>
  <si>
    <t>Parameter</t>
  </si>
  <si>
    <t>Front Upper</t>
  </si>
  <si>
    <t>Front Lower</t>
  </si>
  <si>
    <t>Rear Upper</t>
  </si>
  <si>
    <t>Rear Lower</t>
  </si>
  <si>
    <t>theta_U</t>
  </si>
  <si>
    <t>UOP_y</t>
  </si>
  <si>
    <t>UOP_z</t>
  </si>
  <si>
    <t>D_1</t>
  </si>
  <si>
    <t>theta_1</t>
  </si>
  <si>
    <t>theta_2</t>
  </si>
  <si>
    <t>theta_L</t>
  </si>
  <si>
    <t>LOP_Y</t>
  </si>
  <si>
    <t>LOP_Z</t>
  </si>
  <si>
    <t>KPI</t>
  </si>
  <si>
    <t>camber</t>
  </si>
  <si>
    <t>k_x</t>
  </si>
  <si>
    <t>k_y</t>
  </si>
  <si>
    <t>k_z</t>
  </si>
  <si>
    <t>d_beta</t>
  </si>
  <si>
    <t>arm_xp</t>
  </si>
  <si>
    <t>arm_yp</t>
  </si>
  <si>
    <t>arm_zp</t>
  </si>
  <si>
    <t>dot_k</t>
  </si>
  <si>
    <t>perp_x</t>
  </si>
  <si>
    <t>perp_y</t>
  </si>
  <si>
    <t>perp_z</t>
  </si>
  <si>
    <t>r_perp</t>
  </si>
  <si>
    <t>w_x</t>
  </si>
  <si>
    <t>w_y</t>
  </si>
  <si>
    <t>w_z</t>
  </si>
  <si>
    <t>F_x</t>
  </si>
  <si>
    <t>F_y</t>
  </si>
  <si>
    <t>F_z</t>
  </si>
  <si>
    <t>g_x</t>
  </si>
  <si>
    <t>g_y</t>
  </si>
  <si>
    <t>g_z</t>
  </si>
  <si>
    <t>A_coeff</t>
  </si>
  <si>
    <t>B_coeff</t>
  </si>
  <si>
    <t>C_coeff</t>
  </si>
  <si>
    <t>R_amp</t>
  </si>
  <si>
    <t>delta</t>
  </si>
  <si>
    <t>phi</t>
  </si>
  <si>
    <t>head_x</t>
  </si>
  <si>
    <t>head_y</t>
  </si>
  <si>
    <t>toe</t>
  </si>
  <si>
    <t>travel</t>
  </si>
  <si>
    <t>Y_U</t>
  </si>
  <si>
    <t>mm</t>
  </si>
  <si>
    <t>Upper inboard pickup axis lateral position (from origin)</t>
  </si>
  <si>
    <t>X_TI</t>
  </si>
  <si>
    <t>Tie rod inboard rod end center longitudinal position</t>
  </si>
  <si>
    <t>Member Length (mm)</t>
  </si>
  <si>
    <t>Z_U</t>
  </si>
  <si>
    <t>Upper inboard pickup axis vertical position (from origin)</t>
  </si>
  <si>
    <t>Y_TI</t>
  </si>
  <si>
    <t>Tie rod inboard rod end center lateral position</t>
  </si>
  <si>
    <t>Front Pivot  Horizontal Position  (Approximate)</t>
  </si>
  <si>
    <t>Y_L</t>
  </si>
  <si>
    <t>Lower inboard pickup axis lateral position (from origin)</t>
  </si>
  <si>
    <t>Z_TI</t>
  </si>
  <si>
    <t>Tie rod inboard rod end center vertical position</t>
  </si>
  <si>
    <t xml:space="preserve">Front Pivot Vertical Position </t>
  </si>
  <si>
    <t>Z_L</t>
  </si>
  <si>
    <t>Lower inboard pickup axis vertical position (from origin)</t>
  </si>
  <si>
    <t>arm_x</t>
  </si>
  <si>
    <t>static steering arm vector x magnitude (from LOP to TO)</t>
  </si>
  <si>
    <t xml:space="preserve">Front Pivot Longitudinal Position </t>
  </si>
  <si>
    <t>L_U</t>
  </si>
  <si>
    <t>Upper arm member length</t>
  </si>
  <si>
    <t>arm_y</t>
  </si>
  <si>
    <t>static steering arm vector y magnitude (from LOP to TO)</t>
  </si>
  <si>
    <t>Rear Pivot Horizontal Position  (Approximate)</t>
  </si>
  <si>
    <t>L_L</t>
  </si>
  <si>
    <t>Lower arm member length</t>
  </si>
  <si>
    <t>arm_z</t>
  </si>
  <si>
    <t>static steering arm vector z magnitude (from LOP to TO)</t>
  </si>
  <si>
    <t xml:space="preserve">Rear Pivot Vertical Position </t>
  </si>
  <si>
    <t>L_u</t>
  </si>
  <si>
    <t>Upright length (linear distance between upper and lower outboard rod end centers)</t>
  </si>
  <si>
    <t>static_toe</t>
  </si>
  <si>
    <t>deg</t>
  </si>
  <si>
    <t>static toe value at straight ahead steering wheel heading</t>
  </si>
  <si>
    <t xml:space="preserve">Rear Pivot Longitudinal Position </t>
  </si>
  <si>
    <t>X_uf</t>
  </si>
  <si>
    <t>Longitudinal position of the upper front pickup (from origin)</t>
  </si>
  <si>
    <t>Jeb_toe</t>
  </si>
  <si>
    <t>const</t>
  </si>
  <si>
    <t>the value of toe jeb tell us which of the 2 mathematically possible ways the steering arm points IRL</t>
  </si>
  <si>
    <t>X_ur</t>
  </si>
  <si>
    <t>Longitudinal position of the upper rear pickup (from origin)</t>
  </si>
  <si>
    <t>Camber - KPI Offset</t>
  </si>
  <si>
    <t>X_lf</t>
  </si>
  <si>
    <t>Longitudinal position of the lower front pickup (from origin)</t>
  </si>
  <si>
    <t>Suspension - Steering Reference Intermediate Values</t>
  </si>
  <si>
    <t>X_lr</t>
  </si>
  <si>
    <t>Longitudinal position of the lower rear pickup (from origin)</t>
  </si>
  <si>
    <t>Parameter Name</t>
  </si>
  <si>
    <t>Upper arm angle from horizontal</t>
  </si>
  <si>
    <t>theta_U0</t>
  </si>
  <si>
    <t>upper arm angle at static ride height</t>
  </si>
  <si>
    <t>UOP_y0</t>
  </si>
  <si>
    <t>vertical position of upper outboard pivot at static refernce arm angle</t>
  </si>
  <si>
    <t>Calculated Intermediate Suspenion Values</t>
  </si>
  <si>
    <t>UOP_z0</t>
  </si>
  <si>
    <t>D1_0</t>
  </si>
  <si>
    <t>diagonal distance from lower inboard pivot to upper outboard point (splits the 4 bar linkage into 2 triangles) at reference angle</t>
  </si>
  <si>
    <t>base_U</t>
  </si>
  <si>
    <t>longitudinal spacing between the 2 upper inboard pickup points</t>
  </si>
  <si>
    <t>theta_1_0</t>
  </si>
  <si>
    <t>Angle from D1 to horizontal at reference arm angle</t>
  </si>
  <si>
    <t>base_L</t>
  </si>
  <si>
    <t>longitudinal spacing between the 2 lower inboard pickup points</t>
  </si>
  <si>
    <t>theta_2_0</t>
  </si>
  <si>
    <t>Angle from D1 to lower arm at reference angle</t>
  </si>
  <si>
    <t>R_U</t>
  </si>
  <si>
    <t>upper arm swing radius</t>
  </si>
  <si>
    <t>theta_L0</t>
  </si>
  <si>
    <t>Lower arm angle from horizontal at reference arm angle</t>
  </si>
  <si>
    <t>R_L</t>
  </si>
  <si>
    <t>lower arm swing radius</t>
  </si>
  <si>
    <t>LOP_y0</t>
  </si>
  <si>
    <t>lateral position of lower outboard pivot at reference arm angle</t>
  </si>
  <si>
    <t>X_UOP</t>
  </si>
  <si>
    <t>logitudinal position of the upper outboard pivot on the upright</t>
  </si>
  <si>
    <t>LOP_z0</t>
  </si>
  <si>
    <t>vertical position of lower outboard pivot at reference arm angle</t>
  </si>
  <si>
    <t>X_LOP</t>
  </si>
  <si>
    <t>logitudinal position of the lower outboard pivot on the upright</t>
  </si>
  <si>
    <t>dX</t>
  </si>
  <si>
    <t>longitudinal distance between upper and lower outboard pivots</t>
  </si>
  <si>
    <t>Calculated Intermediate Steering Values (3D rotations)</t>
  </si>
  <si>
    <t>D_2</t>
  </si>
  <si>
    <t>linear distance between upper and lower outboard points from a front view</t>
  </si>
  <si>
    <t>lateral position of upper outboard pivot at current upper arm angle</t>
  </si>
  <si>
    <t>TO_x</t>
  </si>
  <si>
    <t>x coordinate of the outer steering rod end</t>
  </si>
  <si>
    <t>vertical position of upper outboard pivot at current upper arm angle</t>
  </si>
  <si>
    <t>TO_y</t>
  </si>
  <si>
    <t>y coordinate of the outer steering rod end</t>
  </si>
  <si>
    <t>diagonal distance from lower inboard pivot to upper outboard point (splits the 4 bar linkage into 2 triangles)</t>
  </si>
  <si>
    <t>TO_z</t>
  </si>
  <si>
    <t>z coordiante of the outer steering rod end</t>
  </si>
  <si>
    <t>Angle from D1 to horizontal</t>
  </si>
  <si>
    <t>L_tie</t>
  </si>
  <si>
    <t>tie rod length (distance between TI and TO)</t>
  </si>
  <si>
    <t>Angle from D1 to lower arm</t>
  </si>
  <si>
    <t>L_dia</t>
  </si>
  <si>
    <t>magnitude of the steering arm vector from LOP to TO (|arm_x, arm_y, arm_z|)</t>
  </si>
  <si>
    <t>Jeb_main</t>
  </si>
  <si>
    <t>the value of jeb tell us which of the 2 mathematically possible ways the linkage folds IRL</t>
  </si>
  <si>
    <t>kingpin axis unit vector x component at current suspension angle (corresponds to n_hat_x from Rodriguez video)</t>
  </si>
  <si>
    <t xml:space="preserve">Lower arm angle from horizontal </t>
  </si>
  <si>
    <t>kingpin axis unit vector y magnitude at current suspension angle (corresponds to n_hat_y from Rodriguez video)</t>
  </si>
  <si>
    <t>lateral position of lower outboard pivot at current upper arm angle</t>
  </si>
  <si>
    <t>kingpin axis unit vector z magnitude at current suspension angle (corresponds to n_hat_z from Rodriguez video)</t>
  </si>
  <si>
    <t>vertical position of lower outboard pivot at current upper arm angle</t>
  </si>
  <si>
    <t>beta_0</t>
  </si>
  <si>
    <t>KPI angle at reference suspension angle (0 deg upper arm angle?)</t>
  </si>
  <si>
    <t xml:space="preserve">beta </t>
  </si>
  <si>
    <t xml:space="preserve">instantaneous KPI value </t>
  </si>
  <si>
    <t>Caluclated Final Values</t>
  </si>
  <si>
    <t xml:space="preserve">instantaneous anglular displacement of kingpin axis </t>
  </si>
  <si>
    <t>arm_x_prime</t>
  </si>
  <si>
    <t>instantaneous steering arm vector x component (corresponds to Rx from Rodriguez video)</t>
  </si>
  <si>
    <t>caster</t>
  </si>
  <si>
    <t>side view angle of the steering axis from vertical</t>
  </si>
  <si>
    <t>arm_y_prime</t>
  </si>
  <si>
    <t>instantaneous steering arm vector y component (corresponds to Ry from Rodriguez video)</t>
  </si>
  <si>
    <t>arm_z_prime</t>
  </si>
  <si>
    <t>instantaneous steering arm vector z component (corresponds to Rz from Rodriguez video)</t>
  </si>
  <si>
    <t>IC_det</t>
  </si>
  <si>
    <t>mm^2</t>
  </si>
  <si>
    <t>determinant of the two arm direction vectors (0 when the arms are parallel and increasesd when they diverege)</t>
  </si>
  <si>
    <t>arm_prime_dot_k</t>
  </si>
  <si>
    <t>The projection of the carried arm vector onto the instantaneous kingpin axis (length of OL from Rodrigues video)</t>
  </si>
  <si>
    <t>IC_y</t>
  </si>
  <si>
    <t>horizontal position of the instant center</t>
  </si>
  <si>
    <t>arm_prime_perp_x</t>
  </si>
  <si>
    <t>x component of the the perpendicular steering arm vector (corresponds to LM or R_perpendicular from Rodrigues Video)</t>
  </si>
  <si>
    <t>IC_z</t>
  </si>
  <si>
    <t>vertical position of the instant center</t>
  </si>
  <si>
    <t>arm_prime_perp_y</t>
  </si>
  <si>
    <t>y component of the the perpendicular steering arm vector (LM)</t>
  </si>
  <si>
    <t>arm_prime_perp_z</t>
  </si>
  <si>
    <t>z component of the the perpendicular steering arm vector (LM)</t>
  </si>
  <si>
    <t>magnitude of the perpendicular steering arm vector (LM)</t>
  </si>
  <si>
    <t>x component of the cross product between k and arm_prime (corresponds to PN_x from Rodriguez Video)</t>
  </si>
  <si>
    <t>y component of the cross product between k and arm_prime (corresponds to PN_y  from the Rodrigues video)</t>
  </si>
  <si>
    <t>z component of the cross product between k and arm_prime (corresponds to PN_z from the Rodriguez Video</t>
  </si>
  <si>
    <t>x coordinate of the point arounf which the steering arm rotates (L_x from the Rodriguez video)</t>
  </si>
  <si>
    <t>y coordinate of the point arounf which the steering arm rotates (L_y from the Rodriguez video)</t>
  </si>
  <si>
    <t>z coordinate of the point arounf which the steering arm rotates (L_z from the Rodriguez video)</t>
  </si>
  <si>
    <t>x component of the vector from TI to point F</t>
  </si>
  <si>
    <t>y component of the vector from TI to point F</t>
  </si>
  <si>
    <t>z component of the vector from TI to point F</t>
  </si>
  <si>
    <t>Calculated Final Steering Values (Tie Rod Spin Equation)</t>
  </si>
  <si>
    <t>Weight of the cos term in the spin equation (A cos + B sin = C) 2x the dot product of g (the vector from the tie-rod anchor TI to the circle center L) with R⊥ (the rest-radius LM).</t>
  </si>
  <si>
    <t>The weight on the sine term. Twice the dot product of g with w (the full-length partner radius, 90° around the circle in the n_hat x R direction).</t>
  </si>
  <si>
    <t>The fixed target the cosine-and-sine combination must equal.</t>
  </si>
  <si>
    <t>The amplitude of the single combined wave. Adding a cosine wave weighted by A to a sine wave weighted by B always gives one wave, this is its height.</t>
  </si>
  <si>
    <t>The phase shift of the combined wave</t>
  </si>
  <si>
    <t>The spin angle (the amount the rest-radius LM must rotate about the axis n to become the actual radius LN)</t>
  </si>
  <si>
    <t>n/a</t>
  </si>
  <si>
    <t>The fore/aft component of the wheel's forward-pointing arrow after it's been spun by φ about the axis n̂.</t>
  </si>
  <si>
    <t>The lateral component of that same spun forward arrow</t>
  </si>
  <si>
    <t>TOE ANGLE</t>
  </si>
  <si>
    <t>The wheel's steer angle</t>
  </si>
  <si>
    <t>TRAVEL SWEEP: theta_U from -20 to +20 deg</t>
  </si>
  <si>
    <t>a</t>
  </si>
  <si>
    <t>c</t>
  </si>
  <si>
    <t xml:space="preserve">b </t>
  </si>
  <si>
    <t>Decceleration</t>
  </si>
  <si>
    <t>g</t>
  </si>
  <si>
    <t>Braking Load Transfer Calculator</t>
  </si>
  <si>
    <t>Inputs</t>
  </si>
  <si>
    <t>Static Front Axle Load</t>
  </si>
  <si>
    <t>Static Rear Axle Load</t>
  </si>
  <si>
    <t>N</t>
  </si>
  <si>
    <t>kg</t>
  </si>
  <si>
    <t>Dynamic Front Axle Load</t>
  </si>
  <si>
    <t>Dynamic Rear Axle Load</t>
  </si>
  <si>
    <t>Vehicle + Driver Mass</t>
  </si>
  <si>
    <t>Dynamic Front Weight Proportion</t>
  </si>
  <si>
    <t>Dynamic Rear Weight Proportion</t>
  </si>
  <si>
    <t>%</t>
  </si>
  <si>
    <t>Weight Distribution Outputs</t>
  </si>
  <si>
    <t>Tire Outer Diameter</t>
  </si>
  <si>
    <t>Braking Torque Outputs</t>
  </si>
  <si>
    <t>Required Front Axle Braking Torque</t>
  </si>
  <si>
    <t>Required Rear Axle Braking Torque</t>
  </si>
  <si>
    <t>N-m</t>
  </si>
  <si>
    <t>Density</t>
  </si>
  <si>
    <t>ID</t>
  </si>
  <si>
    <t>OD</t>
  </si>
  <si>
    <t>Wall Thickness</t>
  </si>
  <si>
    <t>in</t>
  </si>
  <si>
    <t>Frame Weight Calculations</t>
  </si>
  <si>
    <t>Total Member Length</t>
  </si>
  <si>
    <t>Frame Weight</t>
  </si>
  <si>
    <t>ft</t>
  </si>
  <si>
    <t>Outputs</t>
  </si>
  <si>
    <t>Cross Section</t>
  </si>
  <si>
    <t>in^2</t>
  </si>
  <si>
    <t>lbs</t>
  </si>
  <si>
    <t>Suspension and Brakes Weight Calculations</t>
  </si>
  <si>
    <t>Upright Weight</t>
  </si>
  <si>
    <t>Wheel Bearing Weight</t>
  </si>
  <si>
    <t>Wheel Hub Assembly Weight</t>
  </si>
  <si>
    <t>Rim Weight</t>
  </si>
  <si>
    <t>Tire Weight</t>
  </si>
  <si>
    <t>Arm Density</t>
  </si>
  <si>
    <t>Arm Wall OD</t>
  </si>
  <si>
    <t>Arm Wall Thickness</t>
  </si>
  <si>
    <t>Rod End Weight</t>
  </si>
  <si>
    <t>Rod End Count</t>
  </si>
  <si>
    <t>Bracket Weight</t>
  </si>
  <si>
    <t>Bracket Count</t>
  </si>
  <si>
    <t>Steering Assembly Weight Estimate</t>
  </si>
  <si>
    <t>Arm ID</t>
  </si>
  <si>
    <t>Arm Cross Section</t>
  </si>
  <si>
    <t xml:space="preserve">Suspension and Brakes Weight </t>
  </si>
  <si>
    <t>Misc Hardware Estimate</t>
  </si>
  <si>
    <t>Drivetrain Weight Calculations</t>
  </si>
  <si>
    <t>Engine Weight</t>
  </si>
  <si>
    <t>Differential Weight</t>
  </si>
  <si>
    <t>CV Axle Weight</t>
  </si>
  <si>
    <t>Output</t>
  </si>
  <si>
    <t>Total Weight</t>
  </si>
  <si>
    <t>Cockpit Weight Calculations</t>
  </si>
  <si>
    <t>Average Driver Weight</t>
  </si>
  <si>
    <t>Seat Weight</t>
  </si>
  <si>
    <t>Steering Wheel Weight</t>
  </si>
  <si>
    <t>Pedal Box Weight</t>
  </si>
  <si>
    <t>Pneumatic Actuator Weight</t>
  </si>
  <si>
    <t>lb/in^3</t>
  </si>
  <si>
    <t>Arm Average Member Length</t>
  </si>
  <si>
    <t>#</t>
  </si>
  <si>
    <t>Brake Caliper Weight</t>
  </si>
  <si>
    <t>Arm Weight</t>
  </si>
  <si>
    <t>Arm Member Count</t>
  </si>
  <si>
    <t>CV Axle Count</t>
  </si>
  <si>
    <t>Vehicle Weight</t>
  </si>
  <si>
    <t>Paramter</t>
  </si>
  <si>
    <t xml:space="preserve">Unit </t>
  </si>
  <si>
    <t>Vehicle (Imperial)</t>
  </si>
  <si>
    <t>Vehicle (Metric)</t>
  </si>
  <si>
    <t>Vehicle + Driver (Imperial)</t>
  </si>
  <si>
    <t>Vehicle + Driver (Metric)</t>
  </si>
  <si>
    <t>Brake System Sizing Calculator</t>
  </si>
  <si>
    <t xml:space="preserve">Inputs </t>
  </si>
  <si>
    <t>Front Brake Bias (BB_f)</t>
  </si>
  <si>
    <t>Effective Rotor Radius (r_eff)</t>
  </si>
  <si>
    <t>Pedal Ratio (PR)</t>
  </si>
  <si>
    <t>Supplied Front Braking Torque</t>
  </si>
  <si>
    <t>Supplied Rear Braking Torque</t>
  </si>
  <si>
    <t>Front Caliper Piston Area</t>
  </si>
  <si>
    <t>Front Pad Coefficient of Friction (mu_pad_f)</t>
  </si>
  <si>
    <t>Rear Pad Coeffient of Friction (mu_pad_r)</t>
  </si>
  <si>
    <t>Rear Caliper Piston Area</t>
  </si>
  <si>
    <t>Required Front MC Area</t>
  </si>
  <si>
    <t>Required Rear MC Area</t>
  </si>
  <si>
    <t>Panic Braking force</t>
  </si>
  <si>
    <t>Front Circuit Lock Pressuure</t>
  </si>
  <si>
    <t>Rear Circuit Lock Pressure</t>
  </si>
  <si>
    <t>Front Circuit Lock Pedal Force</t>
  </si>
  <si>
    <t>Rear Circuit Lock Pedal Force</t>
  </si>
  <si>
    <t>Required Pedal Force</t>
  </si>
  <si>
    <t>Front Panic Pressure</t>
  </si>
  <si>
    <t>Rear Panic Pressure</t>
  </si>
  <si>
    <t>Front Master Cylinder Bore</t>
  </si>
  <si>
    <t>Rear Master Cylinder Bore</t>
  </si>
  <si>
    <t>Front Caliper Piston Diameter</t>
  </si>
  <si>
    <t>Rear Caliper Piston Diameter</t>
  </si>
  <si>
    <t xml:space="preserve">in </t>
  </si>
  <si>
    <t>m^2</t>
  </si>
  <si>
    <t>psi</t>
  </si>
  <si>
    <t>500-700</t>
  </si>
  <si>
    <t>Outboard Suspension Bearing Housing Sizing</t>
  </si>
  <si>
    <t>Lateral Acceleration</t>
  </si>
  <si>
    <t>Relative Force at Corner of interest</t>
  </si>
  <si>
    <t>Bearing Stress at C/S</t>
  </si>
  <si>
    <t>Mpa</t>
  </si>
  <si>
    <t>Housing Height</t>
  </si>
  <si>
    <t>Suspension Arm Loading</t>
  </si>
  <si>
    <t>Moment Arm</t>
  </si>
  <si>
    <t>Acceleration</t>
  </si>
  <si>
    <t>Area Moment of Inertia</t>
  </si>
  <si>
    <t>m^4</t>
  </si>
  <si>
    <t>Shit Improv</t>
  </si>
  <si>
    <t>defelection</t>
  </si>
  <si>
    <t>Modulus of Elasticity</t>
  </si>
  <si>
    <t>Length</t>
  </si>
  <si>
    <t>Force</t>
  </si>
  <si>
    <t>GPa</t>
  </si>
  <si>
    <t>Diameter</t>
  </si>
  <si>
    <t>Total Force</t>
  </si>
  <si>
    <t>Cantilever Adjusted Force</t>
  </si>
  <si>
    <t>(Kingpin inclination) front view angle between the steering axis and vertical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</si>
</sst>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0"/>
  </numFmts>
  <fonts count="5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</font>
    <font>
      <sz val="11"/>
      <name val="Aptos Narrow"/>
      <family val="2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2CC"/>
      </patternFill>
    </fill>
    <fill>
      <patternFill patternType="solid">
        <fgColor rgb="FFD9D9D9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3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164" fontId="0" fillId="8" borderId="1" xfId="0" applyNumberFormat="1" applyFill="1" applyBorder="1" applyAlignment="1">
      <alignment horizontal="center"/>
    </xf>
    <xf numFmtId="165" fontId="0" fillId="8" borderId="1" xfId="0" applyNumberFormat="1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164" fontId="0" fillId="9" borderId="1" xfId="0" applyNumberFormat="1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0" fontId="0" fillId="6" borderId="1" xfId="0" applyFill="1" applyBorder="1"/>
    <xf numFmtId="0" fontId="0" fillId="7" borderId="1" xfId="0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/>
    </xf>
    <xf numFmtId="0" fontId="0" fillId="10" borderId="1" xfId="0" applyFill="1" applyBorder="1"/>
    <xf numFmtId="0" fontId="0" fillId="0" borderId="1" xfId="0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1" fillId="0" borderId="0" xfId="0" applyFont="1"/>
    <xf numFmtId="0" fontId="0" fillId="13" borderId="4" xfId="0" applyFill="1" applyBorder="1"/>
    <xf numFmtId="0" fontId="1" fillId="14" borderId="4" xfId="0" applyFont="1" applyFill="1" applyBorder="1" applyAlignment="1">
      <alignment horizontal="center"/>
    </xf>
    <xf numFmtId="1" fontId="0" fillId="0" borderId="4" xfId="0" applyNumberFormat="1" applyBorder="1"/>
    <xf numFmtId="164" fontId="0" fillId="0" borderId="4" xfId="0" applyNumberFormat="1" applyBorder="1"/>
    <xf numFmtId="0" fontId="0" fillId="16" borderId="1" xfId="0" applyFill="1" applyBorder="1" applyAlignment="1">
      <alignment horizontal="center"/>
    </xf>
    <xf numFmtId="1" fontId="0" fillId="16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4" fillId="16" borderId="1" xfId="0" applyFont="1" applyFill="1" applyBorder="1" applyAlignment="1">
      <alignment horizontal="center"/>
    </xf>
    <xf numFmtId="164" fontId="0" fillId="16" borderId="1" xfId="0" applyNumberFormat="1" applyFill="1" applyBorder="1" applyAlignment="1">
      <alignment horizontal="center"/>
    </xf>
    <xf numFmtId="166" fontId="0" fillId="16" borderId="1" xfId="0" applyNumberFormat="1" applyFill="1" applyBorder="1" applyAlignment="1">
      <alignment horizontal="center"/>
    </xf>
    <xf numFmtId="1" fontId="0" fillId="8" borderId="1" xfId="0" applyNumberFormat="1" applyFill="1" applyBorder="1" applyAlignment="1">
      <alignment horizontal="center"/>
    </xf>
    <xf numFmtId="1" fontId="4" fillId="16" borderId="1" xfId="0" applyNumberFormat="1" applyFont="1" applyFill="1" applyBorder="1" applyAlignment="1">
      <alignment horizontal="center"/>
    </xf>
    <xf numFmtId="0" fontId="0" fillId="0" borderId="1" xfId="0" applyBorder="1"/>
    <xf numFmtId="0" fontId="0" fillId="8" borderId="1" xfId="0" applyFill="1" applyBorder="1"/>
    <xf numFmtId="0" fontId="0" fillId="4" borderId="1" xfId="0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2" fillId="11" borderId="0" xfId="0" applyFont="1" applyFill="1"/>
    <xf numFmtId="0" fontId="3" fillId="11" borderId="0" xfId="0" applyFont="1" applyFill="1"/>
    <xf numFmtId="0" fontId="0" fillId="4" borderId="0" xfId="0" applyFill="1" applyAlignment="1">
      <alignment horizontal="center"/>
    </xf>
    <xf numFmtId="0" fontId="0" fillId="0" borderId="0" xfId="0"/>
    <xf numFmtId="0" fontId="0" fillId="11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4" fillId="8" borderId="5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0" fontId="4" fillId="8" borderId="3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4" fillId="16" borderId="1" xfId="0" applyFont="1" applyFill="1" applyBorder="1" applyAlignment="1">
      <alignment horizontal="center"/>
    </xf>
    <xf numFmtId="0" fontId="0" fillId="16" borderId="5" xfId="0" applyFill="1" applyBorder="1" applyAlignment="1">
      <alignment horizontal="center"/>
    </xf>
    <xf numFmtId="0" fontId="0" fillId="16" borderId="3" xfId="0" applyFill="1" applyBorder="1" applyAlignment="1">
      <alignment horizontal="center"/>
    </xf>
    <xf numFmtId="0" fontId="0" fillId="15" borderId="5" xfId="0" applyFill="1" applyBorder="1" applyAlignment="1">
      <alignment horizontal="center"/>
    </xf>
    <xf numFmtId="0" fontId="0" fillId="15" borderId="2" xfId="0" applyFill="1" applyBorder="1" applyAlignment="1">
      <alignment horizontal="center"/>
    </xf>
    <xf numFmtId="0" fontId="0" fillId="15" borderId="3" xfId="0" applyFill="1" applyBorder="1" applyAlignment="1">
      <alignment horizontal="center"/>
    </xf>
    <xf numFmtId="0" fontId="4" fillId="16" borderId="5" xfId="0" applyFont="1" applyFill="1" applyBorder="1" applyAlignment="1">
      <alignment horizontal="center"/>
    </xf>
    <xf numFmtId="0" fontId="4" fillId="16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Camber vs Wheel Travel</a:t>
            </a:r>
          </a:p>
        </c:rich>
      </c:tx>
      <c:layout>
        <c:manualLayout>
          <c:xMode val="edge"/>
          <c:yMode val="edge"/>
          <c:x val="0.37345077160493828"/>
          <c:y val="0"/>
        </c:manualLayout>
      </c:layout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Camber (deg)</c:v>
          </c:tx>
          <c:spPr>
            <a:ln w="20000">
              <a:solidFill>
                <a:srgbClr val="4472C4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'Suspension Analyzer'!$BI$5:$BI$45</c:f>
              <c:numCache>
                <c:formatCode>0.000</c:formatCode>
                <c:ptCount val="41"/>
                <c:pt idx="0">
                  <c:v>-94.580565638107814</c:v>
                </c:pt>
                <c:pt idx="1">
                  <c:v>-90.040633651817529</c:v>
                </c:pt>
                <c:pt idx="2">
                  <c:v>-85.472432311664136</c:v>
                </c:pt>
                <c:pt idx="3">
                  <c:v>-80.87733406815677</c:v>
                </c:pt>
                <c:pt idx="4">
                  <c:v>-76.256717956314034</c:v>
                </c:pt>
                <c:pt idx="5">
                  <c:v>-71.611969142639779</c:v>
                </c:pt>
                <c:pt idx="6">
                  <c:v>-66.94447846617301</c:v>
                </c:pt>
                <c:pt idx="7">
                  <c:v>-62.255641973755928</c:v>
                </c:pt>
                <c:pt idx="8">
                  <c:v>-57.546860449647681</c:v>
                </c:pt>
                <c:pt idx="9">
                  <c:v>-52.819538939593485</c:v>
                </c:pt>
                <c:pt idx="10">
                  <c:v>-48.075086269444782</c:v>
                </c:pt>
                <c:pt idx="11">
                  <c:v>-43.314914558413363</c:v>
                </c:pt>
                <c:pt idx="12">
                  <c:v>-38.540438727026071</c:v>
                </c:pt>
                <c:pt idx="13">
                  <c:v>-33.753075999836426</c:v>
                </c:pt>
                <c:pt idx="14">
                  <c:v>-28.954245402935243</c:v>
                </c:pt>
                <c:pt idx="15">
                  <c:v>-24.145367256288438</c:v>
                </c:pt>
                <c:pt idx="16">
                  <c:v>-19.327862660924637</c:v>
                </c:pt>
                <c:pt idx="17">
                  <c:v>-14.503152980976239</c:v>
                </c:pt>
                <c:pt idx="18">
                  <c:v>-9.6726593205686697</c:v>
                </c:pt>
                <c:pt idx="19">
                  <c:v>-4.8378019955457887</c:v>
                </c:pt>
                <c:pt idx="20">
                  <c:v>0</c:v>
                </c:pt>
                <c:pt idx="21">
                  <c:v>4.8393295324269161</c:v>
                </c:pt>
                <c:pt idx="22">
                  <c:v>9.678771872523356</c:v>
                </c:pt>
                <c:pt idx="23">
                  <c:v>14.516915244824986</c:v>
                </c:pt>
                <c:pt idx="24">
                  <c:v>19.352351382340515</c:v>
                </c:pt>
                <c:pt idx="25">
                  <c:v>24.183676086764649</c:v>
                </c:pt>
                <c:pt idx="26">
                  <c:v>29.009489794267097</c:v>
                </c:pt>
                <c:pt idx="27">
                  <c:v>33.828398146960524</c:v>
                </c:pt>
                <c:pt idx="28">
                  <c:v>38.639012570150641</c:v>
                </c:pt>
                <c:pt idx="29">
                  <c:v>43.439950855490792</c:v>
                </c:pt>
                <c:pt idx="30">
                  <c:v>48.229837750164279</c:v>
                </c:pt>
                <c:pt idx="31">
                  <c:v>53.00730555222961</c:v>
                </c:pt>
                <c:pt idx="32">
                  <c:v>57.770994712267509</c:v>
                </c:pt>
                <c:pt idx="33">
                  <c:v>62.519554441480182</c:v>
                </c:pt>
                <c:pt idx="34">
                  <c:v>67.251643326391701</c:v>
                </c:pt>
                <c:pt idx="35">
                  <c:v>71.965929950307668</c:v>
                </c:pt>
                <c:pt idx="36">
                  <c:v>76.661093521694056</c:v>
                </c:pt>
                <c:pt idx="37">
                  <c:v>81.335824509634421</c:v>
                </c:pt>
                <c:pt idx="38">
                  <c:v>85.988825286524047</c:v>
                </c:pt>
                <c:pt idx="39">
                  <c:v>90.618810778162072</c:v>
                </c:pt>
                <c:pt idx="40">
                  <c:v>95.224509121388905</c:v>
                </c:pt>
              </c:numCache>
            </c:numRef>
          </c:xVal>
          <c:yVal>
            <c:numRef>
              <c:f>'Suspension Analyzer'!$AD$5:$AD$45</c:f>
              <c:numCache>
                <c:formatCode>0.000</c:formatCode>
                <c:ptCount val="41"/>
                <c:pt idx="0">
                  <c:v>3.6647933890352924E-2</c:v>
                </c:pt>
                <c:pt idx="1">
                  <c:v>0.16443026542820013</c:v>
                </c:pt>
                <c:pt idx="2">
                  <c:v>0.29304586064596005</c:v>
                </c:pt>
                <c:pt idx="3">
                  <c:v>0.42253725591256536</c:v>
                </c:pt>
                <c:pt idx="4">
                  <c:v>0.55294710038271966</c:v>
                </c:pt>
                <c:pt idx="5">
                  <c:v>0.68431821808594551</c:v>
                </c:pt>
                <c:pt idx="6">
                  <c:v>0.81669366792908415</c:v>
                </c:pt>
                <c:pt idx="7">
                  <c:v>0.95011680185867475</c:v>
                </c:pt>
                <c:pt idx="8">
                  <c:v>1.0846313214062233</c:v>
                </c:pt>
                <c:pt idx="9">
                  <c:v>1.2202813328210187</c:v>
                </c:pt>
                <c:pt idx="10">
                  <c:v>1.3571114009766083</c:v>
                </c:pt>
                <c:pt idx="11">
                  <c:v>1.4951666022204073</c:v>
                </c:pt>
                <c:pt idx="12">
                  <c:v>1.6344925763225202</c:v>
                </c:pt>
                <c:pt idx="13">
                  <c:v>1.775135577665732</c:v>
                </c:pt>
                <c:pt idx="14">
                  <c:v>1.9171425258039472</c:v>
                </c:pt>
                <c:pt idx="15">
                  <c:v>2.0605610555101053</c:v>
                </c:pt>
                <c:pt idx="16">
                  <c:v>2.2054395664173074</c:v>
                </c:pt>
                <c:pt idx="17">
                  <c:v>2.3518272723515463</c:v>
                </c:pt>
                <c:pt idx="18">
                  <c:v>2.4997742504438003</c:v>
                </c:pt>
                <c:pt idx="19">
                  <c:v>2.6493314900982416</c:v>
                </c:pt>
                <c:pt idx="20">
                  <c:v>2.8005509418867254</c:v>
                </c:pt>
                <c:pt idx="21">
                  <c:v>2.9534855664310085</c:v>
                </c:pt>
                <c:pt idx="22">
                  <c:v>3.1081893833242056</c:v>
                </c:pt>
                <c:pt idx="23">
                  <c:v>3.2647175201367591</c:v>
                </c:pt>
                <c:pt idx="24">
                  <c:v>3.4231262615428641</c:v>
                </c:pt>
                <c:pt idx="25">
                  <c:v>3.5834730985952179</c:v>
                </c:pt>
                <c:pt idx="26">
                  <c:v>3.7458167781684293</c:v>
                </c:pt>
                <c:pt idx="27">
                  <c:v>3.9102173525811561</c:v>
                </c:pt>
                <c:pt idx="28">
                  <c:v>4.0767362294008773</c:v>
                </c:pt>
                <c:pt idx="29">
                  <c:v>4.2454362214232475</c:v>
                </c:pt>
                <c:pt idx="30">
                  <c:v>4.416381596810858</c:v>
                </c:pt>
                <c:pt idx="31">
                  <c:v>4.5896381293653992</c:v>
                </c:pt>
                <c:pt idx="32">
                  <c:v>4.7652731488965072</c:v>
                </c:pt>
                <c:pt idx="33">
                  <c:v>4.9433555916403105</c:v>
                </c:pt>
                <c:pt idx="34">
                  <c:v>5.1239560506697259</c:v>
                </c:pt>
                <c:pt idx="35">
                  <c:v>5.3071468262238692</c:v>
                </c:pt>
                <c:pt idx="36">
                  <c:v>5.4930019758748312</c:v>
                </c:pt>
                <c:pt idx="37">
                  <c:v>5.6815973644328723</c:v>
                </c:pt>
                <c:pt idx="38">
                  <c:v>5.873010713479065</c:v>
                </c:pt>
                <c:pt idx="39">
                  <c:v>6.0673216503976146</c:v>
                </c:pt>
                <c:pt idx="40">
                  <c:v>6.2646117567651016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A5F-466D-AA93-7DA36A3151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800"/>
                  <a:t>Wheel travel (mm)   [+bump / -droop]</a:t>
                </a:r>
              </a:p>
            </c:rich>
          </c:tx>
          <c:layout>
            <c:manualLayout>
              <c:xMode val="edge"/>
              <c:yMode val="edge"/>
              <c:x val="0.3238168209876543"/>
              <c:y val="0.95829338741711334"/>
            </c:manualLayout>
          </c:layout>
          <c:overlay val="1"/>
        </c:title>
        <c:numFmt formatCode="0.0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Camber (deg)</a:t>
                </a:r>
              </a:p>
            </c:rich>
          </c:tx>
          <c:overlay val="1"/>
        </c:title>
        <c:numFmt formatCode="0.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Toe vs Wheel Travel   (BUMP STEER)</a:t>
            </a:r>
          </a:p>
        </c:rich>
      </c:tx>
      <c:layout>
        <c:manualLayout>
          <c:xMode val="edge"/>
          <c:yMode val="edge"/>
          <c:x val="0.34857500000000002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6.0839506172839508E-2"/>
          <c:y val="5.4264900876641563E-2"/>
          <c:w val="0.74788132716049383"/>
          <c:h val="0.87845364854254393"/>
        </c:manualLayout>
      </c:layout>
      <c:scatterChart>
        <c:scatterStyle val="lineMarker"/>
        <c:varyColors val="1"/>
        <c:ser>
          <c:idx val="0"/>
          <c:order val="0"/>
          <c:tx>
            <c:v>Toe (deg)</c:v>
          </c:tx>
          <c:spPr>
            <a:ln w="20000">
              <a:solidFill>
                <a:srgbClr val="C00000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'Suspension Analyzer'!$BI$5:$BI$45</c:f>
              <c:numCache>
                <c:formatCode>0.000</c:formatCode>
                <c:ptCount val="41"/>
                <c:pt idx="0">
                  <c:v>-94.580565638107814</c:v>
                </c:pt>
                <c:pt idx="1">
                  <c:v>-90.040633651817529</c:v>
                </c:pt>
                <c:pt idx="2">
                  <c:v>-85.472432311664136</c:v>
                </c:pt>
                <c:pt idx="3">
                  <c:v>-80.87733406815677</c:v>
                </c:pt>
                <c:pt idx="4">
                  <c:v>-76.256717956314034</c:v>
                </c:pt>
                <c:pt idx="5">
                  <c:v>-71.611969142639779</c:v>
                </c:pt>
                <c:pt idx="6">
                  <c:v>-66.94447846617301</c:v>
                </c:pt>
                <c:pt idx="7">
                  <c:v>-62.255641973755928</c:v>
                </c:pt>
                <c:pt idx="8">
                  <c:v>-57.546860449647681</c:v>
                </c:pt>
                <c:pt idx="9">
                  <c:v>-52.819538939593485</c:v>
                </c:pt>
                <c:pt idx="10">
                  <c:v>-48.075086269444782</c:v>
                </c:pt>
                <c:pt idx="11">
                  <c:v>-43.314914558413363</c:v>
                </c:pt>
                <c:pt idx="12">
                  <c:v>-38.540438727026071</c:v>
                </c:pt>
                <c:pt idx="13">
                  <c:v>-33.753075999836426</c:v>
                </c:pt>
                <c:pt idx="14">
                  <c:v>-28.954245402935243</c:v>
                </c:pt>
                <c:pt idx="15">
                  <c:v>-24.145367256288438</c:v>
                </c:pt>
                <c:pt idx="16">
                  <c:v>-19.327862660924637</c:v>
                </c:pt>
                <c:pt idx="17">
                  <c:v>-14.503152980976239</c:v>
                </c:pt>
                <c:pt idx="18">
                  <c:v>-9.6726593205686697</c:v>
                </c:pt>
                <c:pt idx="19">
                  <c:v>-4.8378019955457887</c:v>
                </c:pt>
                <c:pt idx="20">
                  <c:v>0</c:v>
                </c:pt>
                <c:pt idx="21">
                  <c:v>4.8393295324269161</c:v>
                </c:pt>
                <c:pt idx="22">
                  <c:v>9.678771872523356</c:v>
                </c:pt>
                <c:pt idx="23">
                  <c:v>14.516915244824986</c:v>
                </c:pt>
                <c:pt idx="24">
                  <c:v>19.352351382340515</c:v>
                </c:pt>
                <c:pt idx="25">
                  <c:v>24.183676086764649</c:v>
                </c:pt>
                <c:pt idx="26">
                  <c:v>29.009489794267097</c:v>
                </c:pt>
                <c:pt idx="27">
                  <c:v>33.828398146960524</c:v>
                </c:pt>
                <c:pt idx="28">
                  <c:v>38.639012570150641</c:v>
                </c:pt>
                <c:pt idx="29">
                  <c:v>43.439950855490792</c:v>
                </c:pt>
                <c:pt idx="30">
                  <c:v>48.229837750164279</c:v>
                </c:pt>
                <c:pt idx="31">
                  <c:v>53.00730555222961</c:v>
                </c:pt>
                <c:pt idx="32">
                  <c:v>57.770994712267509</c:v>
                </c:pt>
                <c:pt idx="33">
                  <c:v>62.519554441480182</c:v>
                </c:pt>
                <c:pt idx="34">
                  <c:v>67.251643326391701</c:v>
                </c:pt>
                <c:pt idx="35">
                  <c:v>71.965929950307668</c:v>
                </c:pt>
                <c:pt idx="36">
                  <c:v>76.661093521694056</c:v>
                </c:pt>
                <c:pt idx="37">
                  <c:v>81.335824509634421</c:v>
                </c:pt>
                <c:pt idx="38">
                  <c:v>85.988825286524047</c:v>
                </c:pt>
                <c:pt idx="39">
                  <c:v>90.618810778162072</c:v>
                </c:pt>
                <c:pt idx="40">
                  <c:v>95.224509121388905</c:v>
                </c:pt>
              </c:numCache>
            </c:numRef>
          </c:xVal>
          <c:yVal>
            <c:numRef>
              <c:f>'Suspension Analyzer'!$BH$5:$BH$45</c:f>
              <c:numCache>
                <c:formatCode>0.000</c:formatCode>
                <c:ptCount val="4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735-42AA-8795-7B201ABED0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Wheel travel (mm)   [+bump / -droop]</a:t>
                </a:r>
              </a:p>
            </c:rich>
          </c:tx>
          <c:overlay val="1"/>
        </c:title>
        <c:numFmt formatCode="0.0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Toe (deg)</a:t>
                </a:r>
              </a:p>
            </c:rich>
          </c:tx>
          <c:overlay val="1"/>
        </c:title>
        <c:numFmt formatCode="0.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356347</xdr:colOff>
      <xdr:row>48</xdr:row>
      <xdr:rowOff>96371</xdr:rowOff>
    </xdr:from>
    <xdr:to>
      <xdr:col>5</xdr:col>
      <xdr:colOff>8950277</xdr:colOff>
      <xdr:row>84</xdr:row>
      <xdr:rowOff>40170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80229" y="9430871"/>
          <a:ext cx="9021434" cy="680179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372596</xdr:colOff>
      <xdr:row>71</xdr:row>
      <xdr:rowOff>84043</xdr:rowOff>
    </xdr:from>
    <xdr:to>
      <xdr:col>10</xdr:col>
      <xdr:colOff>4872990</xdr:colOff>
      <xdr:row>118</xdr:row>
      <xdr:rowOff>72762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01390" y="13609543"/>
          <a:ext cx="6913245" cy="8923169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12</xdr:col>
      <xdr:colOff>867793</xdr:colOff>
      <xdr:row>46</xdr:row>
      <xdr:rowOff>83301</xdr:rowOff>
    </xdr:from>
    <xdr:ext cx="7101195" cy="3901108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19</xdr:col>
      <xdr:colOff>3313</xdr:colOff>
      <xdr:row>69</xdr:row>
      <xdr:rowOff>190499</xdr:rowOff>
    </xdr:from>
    <xdr:ext cx="6480000" cy="3768587"/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401242</xdr:colOff>
      <xdr:row>0</xdr:row>
      <xdr:rowOff>0</xdr:rowOff>
    </xdr:from>
    <xdr:to>
      <xdr:col>9</xdr:col>
      <xdr:colOff>108348</xdr:colOff>
      <xdr:row>11</xdr:row>
      <xdr:rowOff>189281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8741C8-17D0-685F-4D8E-6C90F2FBCD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29289" y="0"/>
          <a:ext cx="4183856" cy="228478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472720</xdr:colOff>
      <xdr:row>1</xdr:row>
      <xdr:rowOff>98647</xdr:rowOff>
    </xdr:from>
    <xdr:to>
      <xdr:col>28</xdr:col>
      <xdr:colOff>396785</xdr:colOff>
      <xdr:row>32</xdr:row>
      <xdr:rowOff>43001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5916596-C219-CE78-DAAA-CBD806D18F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05451" y="289147"/>
          <a:ext cx="11537238" cy="584985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1266825</xdr:colOff>
      <xdr:row>1</xdr:row>
      <xdr:rowOff>114300</xdr:rowOff>
    </xdr:from>
    <xdr:to>
      <xdr:col>19</xdr:col>
      <xdr:colOff>554064</xdr:colOff>
      <xdr:row>56</xdr:row>
      <xdr:rowOff>58604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EAF0EC-AADA-7037-6FDE-1DE584B4F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6425" y="304800"/>
          <a:ext cx="11564964" cy="104218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BI67"/>
  <sheetViews>
    <sheetView topLeftCell="K27" zoomScale="115" zoomScaleNormal="115" workbookViewId="0">
      <selection activeCell="D16" sqref="D16"/>
    </sheetView>
  </sheetViews>
  <sheetFormatPr defaultRowHeight="14.4" x14ac:dyDescent="0.3"/>
  <cols>
    <col min="3" max="3" width="16" bestFit="1" customWidth="1"/>
    <col min="4" max="4" width="15" bestFit="1" customWidth="1"/>
    <col min="5" max="5" width="6.5546875" bestFit="1" customWidth="1"/>
    <col min="6" max="6" width="159" bestFit="1" customWidth="1"/>
    <col min="7" max="7" width="13.6640625" customWidth="1"/>
    <col min="8" max="8" width="17.44140625" bestFit="1" customWidth="1"/>
    <col min="9" max="9" width="12.88671875" bestFit="1" customWidth="1"/>
    <col min="10" max="10" width="5.88671875" bestFit="1" customWidth="1"/>
    <col min="11" max="11" width="153.44140625" bestFit="1" customWidth="1"/>
    <col min="12" max="12" width="9.44140625" customWidth="1"/>
    <col min="13" max="13" width="42.5546875" bestFit="1" customWidth="1"/>
    <col min="14" max="14" width="11.33203125" bestFit="1" customWidth="1"/>
    <col min="15" max="15" width="11.109375" bestFit="1" customWidth="1"/>
    <col min="16" max="17" width="10.6640625" bestFit="1" customWidth="1"/>
    <col min="20" max="21" width="9" bestFit="1" customWidth="1"/>
    <col min="22" max="22" width="9" customWidth="1"/>
    <col min="23" max="25" width="9" bestFit="1" customWidth="1"/>
    <col min="26" max="26" width="9" customWidth="1"/>
    <col min="27" max="30" width="9" bestFit="1" customWidth="1"/>
    <col min="31" max="61" width="9" customWidth="1"/>
  </cols>
  <sheetData>
    <row r="2" spans="3:61" x14ac:dyDescent="0.3">
      <c r="T2" s="19" t="s">
        <v>0</v>
      </c>
      <c r="W2" s="20">
        <v>0</v>
      </c>
    </row>
    <row r="3" spans="3:61" x14ac:dyDescent="0.3">
      <c r="C3" s="42" t="s">
        <v>1</v>
      </c>
      <c r="D3" s="35"/>
      <c r="E3" s="35"/>
      <c r="F3" s="36"/>
      <c r="H3" s="42" t="s">
        <v>2</v>
      </c>
      <c r="I3" s="35"/>
      <c r="J3" s="35"/>
      <c r="K3" s="36"/>
      <c r="M3" s="34" t="s">
        <v>3</v>
      </c>
      <c r="N3" s="35"/>
      <c r="O3" s="35"/>
      <c r="P3" s="35"/>
      <c r="Q3" s="36"/>
      <c r="T3" s="37" t="s">
        <v>216</v>
      </c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  <c r="BE3" s="38"/>
      <c r="BF3" s="38"/>
      <c r="BG3" s="38"/>
      <c r="BH3" s="38"/>
      <c r="BI3" s="38"/>
    </row>
    <row r="4" spans="3:61" x14ac:dyDescent="0.3">
      <c r="C4" s="2" t="s">
        <v>4</v>
      </c>
      <c r="D4" s="2" t="s">
        <v>5</v>
      </c>
      <c r="E4" s="2" t="s">
        <v>6</v>
      </c>
      <c r="F4" s="2" t="s">
        <v>7</v>
      </c>
      <c r="H4" s="2" t="s">
        <v>4</v>
      </c>
      <c r="I4" s="2" t="s">
        <v>5</v>
      </c>
      <c r="J4" s="2" t="s">
        <v>6</v>
      </c>
      <c r="K4" s="2" t="s">
        <v>7</v>
      </c>
      <c r="M4" s="2" t="s">
        <v>8</v>
      </c>
      <c r="N4" s="2" t="s">
        <v>9</v>
      </c>
      <c r="O4" s="2" t="s">
        <v>10</v>
      </c>
      <c r="P4" s="2" t="s">
        <v>11</v>
      </c>
      <c r="Q4" s="2" t="s">
        <v>12</v>
      </c>
      <c r="T4" s="21" t="s">
        <v>13</v>
      </c>
      <c r="U4" s="21" t="s">
        <v>14</v>
      </c>
      <c r="V4" s="21" t="s">
        <v>15</v>
      </c>
      <c r="W4" s="21" t="s">
        <v>16</v>
      </c>
      <c r="X4" s="21" t="s">
        <v>17</v>
      </c>
      <c r="Y4" s="21" t="s">
        <v>18</v>
      </c>
      <c r="Z4" s="21" t="s">
        <v>19</v>
      </c>
      <c r="AA4" s="21" t="s">
        <v>20</v>
      </c>
      <c r="AB4" s="21" t="s">
        <v>21</v>
      </c>
      <c r="AC4" s="21" t="s">
        <v>22</v>
      </c>
      <c r="AD4" s="21" t="s">
        <v>23</v>
      </c>
      <c r="AE4" s="21" t="s">
        <v>24</v>
      </c>
      <c r="AF4" s="21" t="s">
        <v>25</v>
      </c>
      <c r="AG4" s="21" t="s">
        <v>26</v>
      </c>
      <c r="AH4" s="21" t="s">
        <v>27</v>
      </c>
      <c r="AI4" s="21" t="s">
        <v>28</v>
      </c>
      <c r="AJ4" s="21" t="s">
        <v>29</v>
      </c>
      <c r="AK4" s="21" t="s">
        <v>30</v>
      </c>
      <c r="AL4" s="21" t="s">
        <v>31</v>
      </c>
      <c r="AM4" s="21" t="s">
        <v>32</v>
      </c>
      <c r="AN4" s="21" t="s">
        <v>33</v>
      </c>
      <c r="AO4" s="21" t="s">
        <v>34</v>
      </c>
      <c r="AP4" s="21" t="s">
        <v>35</v>
      </c>
      <c r="AQ4" s="21" t="s">
        <v>36</v>
      </c>
      <c r="AR4" s="21" t="s">
        <v>37</v>
      </c>
      <c r="AS4" s="21" t="s">
        <v>38</v>
      </c>
      <c r="AT4" s="21" t="s">
        <v>39</v>
      </c>
      <c r="AU4" s="21" t="s">
        <v>40</v>
      </c>
      <c r="AV4" s="21" t="s">
        <v>41</v>
      </c>
      <c r="AW4" s="21" t="s">
        <v>42</v>
      </c>
      <c r="AX4" s="21" t="s">
        <v>43</v>
      </c>
      <c r="AY4" s="21" t="s">
        <v>44</v>
      </c>
      <c r="AZ4" s="21" t="s">
        <v>45</v>
      </c>
      <c r="BA4" s="21" t="s">
        <v>46</v>
      </c>
      <c r="BB4" s="21" t="s">
        <v>47</v>
      </c>
      <c r="BC4" s="21" t="s">
        <v>48</v>
      </c>
      <c r="BD4" s="21" t="s">
        <v>49</v>
      </c>
      <c r="BE4" s="21" t="s">
        <v>50</v>
      </c>
      <c r="BF4" s="21" t="s">
        <v>51</v>
      </c>
      <c r="BG4" s="21" t="s">
        <v>52</v>
      </c>
      <c r="BH4" s="21" t="s">
        <v>53</v>
      </c>
      <c r="BI4" s="21" t="s">
        <v>54</v>
      </c>
    </row>
    <row r="5" spans="3:61" x14ac:dyDescent="0.3">
      <c r="C5" s="4" t="s">
        <v>55</v>
      </c>
      <c r="D5" s="4">
        <v>289</v>
      </c>
      <c r="E5" s="4" t="s">
        <v>56</v>
      </c>
      <c r="F5" s="4" t="s">
        <v>57</v>
      </c>
      <c r="H5" s="4" t="s">
        <v>58</v>
      </c>
      <c r="I5" s="4"/>
      <c r="J5" s="4" t="s">
        <v>56</v>
      </c>
      <c r="K5" s="4" t="s">
        <v>59</v>
      </c>
      <c r="M5" s="6" t="s">
        <v>60</v>
      </c>
      <c r="N5" s="14">
        <v>370</v>
      </c>
      <c r="O5" s="14">
        <v>380</v>
      </c>
      <c r="P5" s="14">
        <v>390</v>
      </c>
      <c r="Q5" s="14">
        <v>400</v>
      </c>
      <c r="T5" s="22">
        <v>-20</v>
      </c>
      <c r="U5" s="23">
        <f t="shared" ref="U5:U45" si="0">$D$5+$D$22*COS(RADIANS(T5))</f>
        <v>548.26832937367431</v>
      </c>
      <c r="V5" s="23">
        <f t="shared" ref="V5:V45" si="1">$D$6+$D$22*SIN(RADIANS(T5))</f>
        <v>255.63404542005685</v>
      </c>
      <c r="W5" s="23">
        <f t="shared" ref="W5:W45" si="2">SQRT((U5-$D$7)^2+(V5-$D$8)^2)</f>
        <v>279.8540039149471</v>
      </c>
      <c r="X5" s="23">
        <f t="shared" ref="X5:X45" si="3">DEGREES(ATAN((V5-$D$8)/(U5-$D$7)))</f>
        <v>11.466600675067115</v>
      </c>
      <c r="Y5" s="23">
        <f t="shared" ref="Y5:Y45" si="4">DEGREES(ACOS(($D$23^2+W5^2-$D$27^2)/(2*$D$23*W5)))</f>
        <v>35.801129930793515</v>
      </c>
      <c r="Z5" s="23">
        <f t="shared" ref="Z5:Z45" si="5">X5+$D$33*Y5</f>
        <v>-24.334529255726402</v>
      </c>
      <c r="AA5" s="23">
        <f t="shared" ref="AA5:AA45" si="6">$D$7+$D$23*COS(RADIANS(Z5))</f>
        <v>548.38328443421142</v>
      </c>
      <c r="AB5" s="23">
        <f t="shared" ref="AB5:AB45" si="7">$D$8+$D$23*SIN(RADIANS(Z5))</f>
        <v>75.912074628130441</v>
      </c>
      <c r="AC5" s="23">
        <f t="shared" ref="AC5:AC45" si="8">-DEGREES(ATAN((U5-AA5)/(V5-AB5)))</f>
        <v>3.6647933890352924E-2</v>
      </c>
      <c r="AD5" s="23">
        <f t="shared" ref="AD5:AD45" si="9">AC5+$W$2</f>
        <v>3.6647933890352924E-2</v>
      </c>
      <c r="AE5" s="23">
        <f t="shared" ref="AE5:AE45" si="10">$D$26/$D$11</f>
        <v>5.5555555555555552E-2</v>
      </c>
      <c r="AF5" s="23">
        <f t="shared" ref="AF5:AF45" si="11">(U5-AA5)/$D$11</f>
        <v>-6.3863922520618463E-4</v>
      </c>
      <c r="AG5" s="23">
        <f t="shared" ref="AG5:AG45" si="12">(V5-AB5)/$D$11</f>
        <v>0.9984553932884801</v>
      </c>
      <c r="AH5" s="23">
        <f t="shared" ref="AH5:AH45" si="13">AC5-$I$36</f>
        <v>-2.7639030079963725</v>
      </c>
      <c r="AI5" s="23">
        <f t="shared" ref="AI5:AI45" si="14">$I$8</f>
        <v>0</v>
      </c>
      <c r="AJ5" s="23">
        <f t="shared" ref="AJ5:AJ45" si="15">$I$9*COS(RADIANS(AH5))-$I$10*SIN(RADIANS(AH5))</f>
        <v>0</v>
      </c>
      <c r="AK5" s="23">
        <f t="shared" ref="AK5:AK45" si="16">$I$9*SIN(RADIANS(AH5))+$I$10*COS(RADIANS(AH5))</f>
        <v>0</v>
      </c>
      <c r="AL5" s="23">
        <f t="shared" ref="AL5:AL45" si="17">AI5*AE5+AJ5*AF5+AK5*AG5</f>
        <v>0</v>
      </c>
      <c r="AM5" s="23">
        <f t="shared" ref="AM5:AM45" si="18">AI5-AL5*AE5</f>
        <v>0</v>
      </c>
      <c r="AN5" s="23">
        <f t="shared" ref="AN5:AN45" si="19">AJ5-AL5*AF5</f>
        <v>0</v>
      </c>
      <c r="AO5" s="23">
        <f t="shared" ref="AO5:AO45" si="20">AK5-AL5*AG5</f>
        <v>0</v>
      </c>
      <c r="AP5" s="23">
        <f t="shared" ref="AP5:AP45" si="21">SQRT(AM5^2+AN5^2+AO5^2)</f>
        <v>0</v>
      </c>
      <c r="AQ5" s="23">
        <f t="shared" ref="AQ5:AQ45" si="22">AF5*AK5-AG5*AJ5</f>
        <v>0</v>
      </c>
      <c r="AR5" s="23">
        <f t="shared" ref="AR5:AR45" si="23">AG5*AI5-AE5*AK5</f>
        <v>0</v>
      </c>
      <c r="AS5" s="23">
        <f t="shared" ref="AS5:AS45" si="24">AE5*AJ5-AF5*AI5</f>
        <v>0</v>
      </c>
      <c r="AT5" s="23">
        <f t="shared" ref="AT5:AT45" si="25">$D$25+AL5*AE5</f>
        <v>480</v>
      </c>
      <c r="AU5" s="23">
        <f t="shared" ref="AU5:AU45" si="26">AA5+AL5*AF5</f>
        <v>548.38328443421142</v>
      </c>
      <c r="AV5" s="23">
        <f t="shared" ref="AV5:AV45" si="27">AB5+AL5*AG5</f>
        <v>75.912074628130441</v>
      </c>
      <c r="AW5" s="23">
        <f t="shared" ref="AW5:AW45" si="28">AT5-$I$5</f>
        <v>480</v>
      </c>
      <c r="AX5" s="23">
        <f t="shared" ref="AX5:AX45" si="29">AU5-$I$6</f>
        <v>548.38328443421142</v>
      </c>
      <c r="AY5" s="23">
        <f t="shared" ref="AY5:AY45" si="30">AV5-$I$7</f>
        <v>75.912074628130441</v>
      </c>
      <c r="AZ5" s="22">
        <f t="shared" ref="AZ5:AZ45" si="31">2*(AW5*AM5+AX5*AN5+AY5*AO5)</f>
        <v>0</v>
      </c>
      <c r="BA5" s="22">
        <f t="shared" ref="BA5:BA45" si="32">2*(AW5*AQ5+AX5*AR5+AY5*AS5)</f>
        <v>0</v>
      </c>
      <c r="BB5" s="22">
        <f t="shared" ref="BB5:BB45" si="33">$I$31^2-(AW5^2+AX5^2+AY5^2)-AP5^2</f>
        <v>51699.592900821823</v>
      </c>
      <c r="BC5" s="22">
        <f t="shared" ref="BC5:BC45" si="34">SQRT(AZ5^2+BA5^2)</f>
        <v>0</v>
      </c>
      <c r="BD5" s="23" t="e">
        <f t="shared" ref="BD5:BD45" si="35">DEGREES(ATAN2(AZ5,BA5))</f>
        <v>#DIV/0!</v>
      </c>
      <c r="BE5" s="23" t="e">
        <f t="shared" ref="BE5:BE45" si="36">IFERROR(BD5+$I$12*DEGREES(ACOS(BB5/BC5)),NA())</f>
        <v>#N/A</v>
      </c>
      <c r="BF5" s="23" t="e">
        <f t="shared" ref="BF5:BF45" si="37">IFERROR(COS(RADIANS(BE5))+AE5^2*(1-COS(RADIANS(BE5))),NA())</f>
        <v>#N/A</v>
      </c>
      <c r="BG5" s="23" t="e">
        <f t="shared" ref="BG5:BG45" si="38">IFERROR(AG5*SIN(RADIANS(BE5))+AE5*AF5*(1-COS(RADIANS(BE5))),NA())</f>
        <v>#N/A</v>
      </c>
      <c r="BH5" s="23" t="e">
        <f t="shared" ref="BH5:BH45" si="39">IFERROR($I$11+DEGREES(ATAN2(BF5,BG5)),NA())</f>
        <v>#N/A</v>
      </c>
      <c r="BI5" s="23">
        <f t="shared" ref="BI5:BI45" si="40">AB5-$I$24</f>
        <v>-94.580565638107814</v>
      </c>
    </row>
    <row r="6" spans="3:61" x14ac:dyDescent="0.3">
      <c r="C6" s="4" t="s">
        <v>61</v>
      </c>
      <c r="D6" s="4">
        <v>350</v>
      </c>
      <c r="E6" s="4" t="s">
        <v>56</v>
      </c>
      <c r="F6" s="4" t="s">
        <v>62</v>
      </c>
      <c r="H6" s="4" t="s">
        <v>63</v>
      </c>
      <c r="I6" s="4"/>
      <c r="J6" s="4" t="s">
        <v>56</v>
      </c>
      <c r="K6" s="4" t="s">
        <v>64</v>
      </c>
      <c r="M6" s="15" t="s">
        <v>65</v>
      </c>
      <c r="N6" s="16">
        <v>289</v>
      </c>
      <c r="O6" s="16">
        <v>274</v>
      </c>
      <c r="P6" s="16">
        <v>289</v>
      </c>
      <c r="Q6" s="16">
        <v>274</v>
      </c>
      <c r="T6" s="22">
        <v>-19</v>
      </c>
      <c r="U6" s="23">
        <f t="shared" si="0"/>
        <v>549.87575454448779</v>
      </c>
      <c r="V6" s="23">
        <f t="shared" si="1"/>
        <v>260.17327407255596</v>
      </c>
      <c r="W6" s="23">
        <f t="shared" si="2"/>
        <v>282.3619217566374</v>
      </c>
      <c r="X6" s="23">
        <f t="shared" si="3"/>
        <v>12.304486997928725</v>
      </c>
      <c r="Y6" s="23">
        <f t="shared" si="4"/>
        <v>35.69448122829786</v>
      </c>
      <c r="Z6" s="23">
        <f t="shared" si="5"/>
        <v>-23.389994230369133</v>
      </c>
      <c r="AA6" s="23">
        <f t="shared" si="6"/>
        <v>550.3915289539126</v>
      </c>
      <c r="AB6" s="23">
        <f t="shared" si="7"/>
        <v>80.452006614420725</v>
      </c>
      <c r="AC6" s="23">
        <f t="shared" si="8"/>
        <v>0.16443026542820013</v>
      </c>
      <c r="AD6" s="23">
        <f t="shared" si="9"/>
        <v>0.16443026542820013</v>
      </c>
      <c r="AE6" s="23">
        <f t="shared" si="10"/>
        <v>5.5555555555555552E-2</v>
      </c>
      <c r="AF6" s="23">
        <f t="shared" si="11"/>
        <v>-2.8654133856933742E-3</v>
      </c>
      <c r="AG6" s="23">
        <f t="shared" si="12"/>
        <v>0.99845148587852905</v>
      </c>
      <c r="AH6" s="23">
        <f t="shared" si="13"/>
        <v>-2.6361206764585252</v>
      </c>
      <c r="AI6" s="23">
        <f t="shared" si="14"/>
        <v>0</v>
      </c>
      <c r="AJ6" s="23">
        <f t="shared" si="15"/>
        <v>0</v>
      </c>
      <c r="AK6" s="23">
        <f t="shared" si="16"/>
        <v>0</v>
      </c>
      <c r="AL6" s="23">
        <f t="shared" si="17"/>
        <v>0</v>
      </c>
      <c r="AM6" s="23">
        <f t="shared" si="18"/>
        <v>0</v>
      </c>
      <c r="AN6" s="23">
        <f t="shared" si="19"/>
        <v>0</v>
      </c>
      <c r="AO6" s="23">
        <f t="shared" si="20"/>
        <v>0</v>
      </c>
      <c r="AP6" s="23">
        <f t="shared" si="21"/>
        <v>0</v>
      </c>
      <c r="AQ6" s="23">
        <f t="shared" si="22"/>
        <v>0</v>
      </c>
      <c r="AR6" s="23">
        <f t="shared" si="23"/>
        <v>0</v>
      </c>
      <c r="AS6" s="23">
        <f t="shared" si="24"/>
        <v>0</v>
      </c>
      <c r="AT6" s="23">
        <f t="shared" si="25"/>
        <v>480</v>
      </c>
      <c r="AU6" s="23">
        <f t="shared" si="26"/>
        <v>550.3915289539126</v>
      </c>
      <c r="AV6" s="23">
        <f t="shared" si="27"/>
        <v>80.452006614420725</v>
      </c>
      <c r="AW6" s="23">
        <f t="shared" si="28"/>
        <v>480</v>
      </c>
      <c r="AX6" s="23">
        <f t="shared" si="29"/>
        <v>550.3915289539126</v>
      </c>
      <c r="AY6" s="23">
        <f t="shared" si="30"/>
        <v>80.452006614420725</v>
      </c>
      <c r="AZ6" s="22">
        <f t="shared" si="31"/>
        <v>0</v>
      </c>
      <c r="BA6" s="22">
        <f t="shared" si="32"/>
        <v>0</v>
      </c>
      <c r="BB6" s="22">
        <f t="shared" si="33"/>
        <v>48783.102109509404</v>
      </c>
      <c r="BC6" s="22">
        <f t="shared" si="34"/>
        <v>0</v>
      </c>
      <c r="BD6" s="23" t="e">
        <f t="shared" si="35"/>
        <v>#DIV/0!</v>
      </c>
      <c r="BE6" s="23" t="e">
        <f t="shared" si="36"/>
        <v>#N/A</v>
      </c>
      <c r="BF6" s="23" t="e">
        <f t="shared" si="37"/>
        <v>#N/A</v>
      </c>
      <c r="BG6" s="23" t="e">
        <f t="shared" si="38"/>
        <v>#N/A</v>
      </c>
      <c r="BH6" s="23" t="e">
        <f t="shared" si="39"/>
        <v>#N/A</v>
      </c>
      <c r="BI6" s="23">
        <f t="shared" si="40"/>
        <v>-90.040633651817529</v>
      </c>
    </row>
    <row r="7" spans="3:61" x14ac:dyDescent="0.3">
      <c r="C7" s="4" t="s">
        <v>66</v>
      </c>
      <c r="D7" s="4">
        <v>274</v>
      </c>
      <c r="E7" s="4" t="s">
        <v>56</v>
      </c>
      <c r="F7" s="4" t="s">
        <v>67</v>
      </c>
      <c r="H7" s="4" t="s">
        <v>68</v>
      </c>
      <c r="I7" s="4"/>
      <c r="J7" s="4" t="s">
        <v>56</v>
      </c>
      <c r="K7" s="4" t="s">
        <v>69</v>
      </c>
      <c r="M7" s="15" t="s">
        <v>70</v>
      </c>
      <c r="N7" s="16">
        <v>350</v>
      </c>
      <c r="O7" s="16">
        <v>350</v>
      </c>
      <c r="P7" s="16">
        <v>350</v>
      </c>
      <c r="Q7" s="16">
        <v>350</v>
      </c>
      <c r="T7" s="22">
        <v>-18</v>
      </c>
      <c r="U7" s="23">
        <f t="shared" si="0"/>
        <v>551.40371443330673</v>
      </c>
      <c r="V7" s="23">
        <f t="shared" si="1"/>
        <v>264.73986481594363</v>
      </c>
      <c r="W7" s="23">
        <f t="shared" si="2"/>
        <v>284.85798370026816</v>
      </c>
      <c r="X7" s="23">
        <f t="shared" si="3"/>
        <v>13.136437747581528</v>
      </c>
      <c r="Y7" s="23">
        <f t="shared" si="4"/>
        <v>35.582765409117705</v>
      </c>
      <c r="Z7" s="23">
        <f t="shared" si="5"/>
        <v>-22.446327661536177</v>
      </c>
      <c r="AA7" s="23">
        <f t="shared" si="6"/>
        <v>552.32291932428166</v>
      </c>
      <c r="AB7" s="23">
        <f t="shared" si="7"/>
        <v>85.020207954574119</v>
      </c>
      <c r="AC7" s="23">
        <f t="shared" si="8"/>
        <v>0.29304586064596005</v>
      </c>
      <c r="AD7" s="23">
        <f t="shared" si="9"/>
        <v>0.29304586064596005</v>
      </c>
      <c r="AE7" s="23">
        <f t="shared" si="10"/>
        <v>5.5555555555555552E-2</v>
      </c>
      <c r="AF7" s="23">
        <f t="shared" si="11"/>
        <v>-5.1066938387495809E-3</v>
      </c>
      <c r="AG7" s="23">
        <f t="shared" si="12"/>
        <v>0.99844253811871952</v>
      </c>
      <c r="AH7" s="23">
        <f t="shared" si="13"/>
        <v>-2.5075050812407653</v>
      </c>
      <c r="AI7" s="23">
        <f t="shared" si="14"/>
        <v>0</v>
      </c>
      <c r="AJ7" s="23">
        <f t="shared" si="15"/>
        <v>0</v>
      </c>
      <c r="AK7" s="23">
        <f t="shared" si="16"/>
        <v>0</v>
      </c>
      <c r="AL7" s="23">
        <f t="shared" si="17"/>
        <v>0</v>
      </c>
      <c r="AM7" s="23">
        <f t="shared" si="18"/>
        <v>0</v>
      </c>
      <c r="AN7" s="23">
        <f t="shared" si="19"/>
        <v>0</v>
      </c>
      <c r="AO7" s="23">
        <f t="shared" si="20"/>
        <v>0</v>
      </c>
      <c r="AP7" s="23">
        <f t="shared" si="21"/>
        <v>0</v>
      </c>
      <c r="AQ7" s="23">
        <f t="shared" si="22"/>
        <v>0</v>
      </c>
      <c r="AR7" s="23">
        <f t="shared" si="23"/>
        <v>0</v>
      </c>
      <c r="AS7" s="23">
        <f t="shared" si="24"/>
        <v>0</v>
      </c>
      <c r="AT7" s="23">
        <f t="shared" si="25"/>
        <v>480</v>
      </c>
      <c r="AU7" s="23">
        <f t="shared" si="26"/>
        <v>552.32291932428166</v>
      </c>
      <c r="AV7" s="23">
        <f t="shared" si="27"/>
        <v>85.020207954574119</v>
      </c>
      <c r="AW7" s="23">
        <f t="shared" si="28"/>
        <v>480</v>
      </c>
      <c r="AX7" s="23">
        <f t="shared" si="29"/>
        <v>552.32291932428166</v>
      </c>
      <c r="AY7" s="23">
        <f t="shared" si="30"/>
        <v>85.020207954574119</v>
      </c>
      <c r="AZ7" s="22">
        <f t="shared" si="31"/>
        <v>0</v>
      </c>
      <c r="BA7" s="22">
        <f t="shared" si="32"/>
        <v>0</v>
      </c>
      <c r="BB7" s="22">
        <f t="shared" si="33"/>
        <v>45897.419650485856</v>
      </c>
      <c r="BC7" s="22">
        <f t="shared" si="34"/>
        <v>0</v>
      </c>
      <c r="BD7" s="23" t="e">
        <f t="shared" si="35"/>
        <v>#DIV/0!</v>
      </c>
      <c r="BE7" s="23" t="e">
        <f t="shared" si="36"/>
        <v>#N/A</v>
      </c>
      <c r="BF7" s="23" t="e">
        <f t="shared" si="37"/>
        <v>#N/A</v>
      </c>
      <c r="BG7" s="23" t="e">
        <f t="shared" si="38"/>
        <v>#N/A</v>
      </c>
      <c r="BH7" s="23" t="e">
        <f t="shared" si="39"/>
        <v>#N/A</v>
      </c>
      <c r="BI7" s="23">
        <f t="shared" si="40"/>
        <v>-85.472432311664136</v>
      </c>
    </row>
    <row r="8" spans="3:61" x14ac:dyDescent="0.3">
      <c r="C8" s="4" t="s">
        <v>71</v>
      </c>
      <c r="D8" s="4">
        <v>200</v>
      </c>
      <c r="E8" s="4" t="s">
        <v>56</v>
      </c>
      <c r="F8" s="4" t="s">
        <v>72</v>
      </c>
      <c r="H8" s="4" t="s">
        <v>73</v>
      </c>
      <c r="I8" s="4"/>
      <c r="J8" s="4" t="s">
        <v>56</v>
      </c>
      <c r="K8" s="4" t="s">
        <v>74</v>
      </c>
      <c r="M8" s="15" t="s">
        <v>75</v>
      </c>
      <c r="N8" s="16">
        <v>360</v>
      </c>
      <c r="O8" s="16">
        <v>350</v>
      </c>
      <c r="P8" s="16">
        <v>2180</v>
      </c>
      <c r="Q8" s="16">
        <v>2180</v>
      </c>
      <c r="T8" s="22">
        <v>-17</v>
      </c>
      <c r="U8" s="23">
        <f t="shared" si="0"/>
        <v>552.85174360874748</v>
      </c>
      <c r="V8" s="23">
        <f t="shared" si="1"/>
        <v>269.33242662244186</v>
      </c>
      <c r="W8" s="23">
        <f t="shared" si="2"/>
        <v>287.34174826327433</v>
      </c>
      <c r="X8" s="23">
        <f t="shared" si="3"/>
        <v>13.962635503909075</v>
      </c>
      <c r="Y8" s="23">
        <f t="shared" si="4"/>
        <v>35.466174352174555</v>
      </c>
      <c r="Z8" s="23">
        <f t="shared" si="5"/>
        <v>-21.503538848265478</v>
      </c>
      <c r="AA8" s="23">
        <f t="shared" si="6"/>
        <v>554.17712143259791</v>
      </c>
      <c r="AB8" s="23">
        <f t="shared" si="7"/>
        <v>89.615306198081484</v>
      </c>
      <c r="AC8" s="23">
        <f t="shared" si="8"/>
        <v>0.42253725591256536</v>
      </c>
      <c r="AD8" s="23">
        <f t="shared" si="9"/>
        <v>0.42253725591256536</v>
      </c>
      <c r="AE8" s="23">
        <f t="shared" si="10"/>
        <v>5.5555555555555552E-2</v>
      </c>
      <c r="AF8" s="23">
        <f t="shared" si="11"/>
        <v>-7.3632101325023947E-3</v>
      </c>
      <c r="AG8" s="23">
        <f t="shared" si="12"/>
        <v>0.99842844680200205</v>
      </c>
      <c r="AH8" s="23">
        <f t="shared" si="13"/>
        <v>-2.3780136859741599</v>
      </c>
      <c r="AI8" s="23">
        <f t="shared" si="14"/>
        <v>0</v>
      </c>
      <c r="AJ8" s="23">
        <f t="shared" si="15"/>
        <v>0</v>
      </c>
      <c r="AK8" s="23">
        <f t="shared" si="16"/>
        <v>0</v>
      </c>
      <c r="AL8" s="23">
        <f t="shared" si="17"/>
        <v>0</v>
      </c>
      <c r="AM8" s="23">
        <f t="shared" si="18"/>
        <v>0</v>
      </c>
      <c r="AN8" s="23">
        <f t="shared" si="19"/>
        <v>0</v>
      </c>
      <c r="AO8" s="23">
        <f t="shared" si="20"/>
        <v>0</v>
      </c>
      <c r="AP8" s="23">
        <f t="shared" si="21"/>
        <v>0</v>
      </c>
      <c r="AQ8" s="23">
        <f t="shared" si="22"/>
        <v>0</v>
      </c>
      <c r="AR8" s="23">
        <f t="shared" si="23"/>
        <v>0</v>
      </c>
      <c r="AS8" s="23">
        <f t="shared" si="24"/>
        <v>0</v>
      </c>
      <c r="AT8" s="23">
        <f t="shared" si="25"/>
        <v>480</v>
      </c>
      <c r="AU8" s="23">
        <f t="shared" si="26"/>
        <v>554.17712143259791</v>
      </c>
      <c r="AV8" s="23">
        <f t="shared" si="27"/>
        <v>89.615306198081484</v>
      </c>
      <c r="AW8" s="23">
        <f t="shared" si="28"/>
        <v>480</v>
      </c>
      <c r="AX8" s="23">
        <f t="shared" si="29"/>
        <v>554.17712143259791</v>
      </c>
      <c r="AY8" s="23">
        <f t="shared" si="30"/>
        <v>89.615306198081484</v>
      </c>
      <c r="AZ8" s="22">
        <f t="shared" si="31"/>
        <v>0</v>
      </c>
      <c r="BA8" s="22">
        <f t="shared" si="32"/>
        <v>0</v>
      </c>
      <c r="BB8" s="22">
        <f t="shared" si="33"/>
        <v>43043.277597725508</v>
      </c>
      <c r="BC8" s="22">
        <f t="shared" si="34"/>
        <v>0</v>
      </c>
      <c r="BD8" s="23" t="e">
        <f t="shared" si="35"/>
        <v>#DIV/0!</v>
      </c>
      <c r="BE8" s="23" t="e">
        <f t="shared" si="36"/>
        <v>#N/A</v>
      </c>
      <c r="BF8" s="23" t="e">
        <f t="shared" si="37"/>
        <v>#N/A</v>
      </c>
      <c r="BG8" s="23" t="e">
        <f t="shared" si="38"/>
        <v>#N/A</v>
      </c>
      <c r="BH8" s="23" t="e">
        <f t="shared" si="39"/>
        <v>#N/A</v>
      </c>
      <c r="BI8" s="23">
        <f t="shared" si="40"/>
        <v>-80.87733406815677</v>
      </c>
    </row>
    <row r="9" spans="3:61" x14ac:dyDescent="0.3">
      <c r="C9" s="4" t="s">
        <v>76</v>
      </c>
      <c r="D9" s="4">
        <v>305</v>
      </c>
      <c r="E9" s="4" t="s">
        <v>56</v>
      </c>
      <c r="F9" s="4" t="s">
        <v>77</v>
      </c>
      <c r="H9" s="4" t="s">
        <v>78</v>
      </c>
      <c r="I9" s="4"/>
      <c r="J9" s="4" t="s">
        <v>56</v>
      </c>
      <c r="K9" s="4" t="s">
        <v>79</v>
      </c>
      <c r="M9" s="15" t="s">
        <v>80</v>
      </c>
      <c r="N9" s="16">
        <v>289</v>
      </c>
      <c r="O9" s="16">
        <v>274</v>
      </c>
      <c r="P9" s="16">
        <v>289</v>
      </c>
      <c r="Q9" s="16">
        <v>274</v>
      </c>
      <c r="T9" s="22">
        <v>-16</v>
      </c>
      <c r="U9" s="23">
        <f t="shared" si="0"/>
        <v>554.21940098709592</v>
      </c>
      <c r="V9" s="23">
        <f t="shared" si="1"/>
        <v>273.94956055323524</v>
      </c>
      <c r="W9" s="23">
        <f t="shared" si="2"/>
        <v>289.81278473453079</v>
      </c>
      <c r="X9" s="23">
        <f t="shared" si="3"/>
        <v>14.783256342713125</v>
      </c>
      <c r="Y9" s="23">
        <f t="shared" si="4"/>
        <v>35.344894229835482</v>
      </c>
      <c r="Z9" s="23">
        <f t="shared" si="5"/>
        <v>-20.561637887122359</v>
      </c>
      <c r="AA9" s="23">
        <f t="shared" si="6"/>
        <v>555.95382577714327</v>
      </c>
      <c r="AB9" s="23">
        <f t="shared" si="7"/>
        <v>94.23592230992422</v>
      </c>
      <c r="AC9" s="23">
        <f t="shared" si="8"/>
        <v>0.55294710038271966</v>
      </c>
      <c r="AD9" s="23">
        <f t="shared" si="9"/>
        <v>0.55294710038271966</v>
      </c>
      <c r="AE9" s="23">
        <f t="shared" si="10"/>
        <v>5.5555555555555552E-2</v>
      </c>
      <c r="AF9" s="23">
        <f t="shared" si="11"/>
        <v>-9.635693278040789E-3</v>
      </c>
      <c r="AG9" s="23">
        <f t="shared" si="12"/>
        <v>0.998409101351728</v>
      </c>
      <c r="AH9" s="23">
        <f t="shared" si="13"/>
        <v>-2.2476038415040058</v>
      </c>
      <c r="AI9" s="23">
        <f t="shared" si="14"/>
        <v>0</v>
      </c>
      <c r="AJ9" s="23">
        <f t="shared" si="15"/>
        <v>0</v>
      </c>
      <c r="AK9" s="23">
        <f t="shared" si="16"/>
        <v>0</v>
      </c>
      <c r="AL9" s="23">
        <f t="shared" si="17"/>
        <v>0</v>
      </c>
      <c r="AM9" s="23">
        <f t="shared" si="18"/>
        <v>0</v>
      </c>
      <c r="AN9" s="23">
        <f t="shared" si="19"/>
        <v>0</v>
      </c>
      <c r="AO9" s="23">
        <f t="shared" si="20"/>
        <v>0</v>
      </c>
      <c r="AP9" s="23">
        <f t="shared" si="21"/>
        <v>0</v>
      </c>
      <c r="AQ9" s="23">
        <f t="shared" si="22"/>
        <v>0</v>
      </c>
      <c r="AR9" s="23">
        <f t="shared" si="23"/>
        <v>0</v>
      </c>
      <c r="AS9" s="23">
        <f t="shared" si="24"/>
        <v>0</v>
      </c>
      <c r="AT9" s="23">
        <f t="shared" si="25"/>
        <v>480</v>
      </c>
      <c r="AU9" s="23">
        <f t="shared" si="26"/>
        <v>555.95382577714327</v>
      </c>
      <c r="AV9" s="23">
        <f t="shared" si="27"/>
        <v>94.23592230992422</v>
      </c>
      <c r="AW9" s="23">
        <f t="shared" si="28"/>
        <v>480</v>
      </c>
      <c r="AX9" s="23">
        <f t="shared" si="29"/>
        <v>555.95382577714327</v>
      </c>
      <c r="AY9" s="23">
        <f t="shared" si="30"/>
        <v>94.23592230992422</v>
      </c>
      <c r="AZ9" s="22">
        <f t="shared" si="31"/>
        <v>0</v>
      </c>
      <c r="BA9" s="22">
        <f t="shared" si="32"/>
        <v>0</v>
      </c>
      <c r="BB9" s="22">
        <f t="shared" si="33"/>
        <v>40221.397172177676</v>
      </c>
      <c r="BC9" s="22">
        <f t="shared" si="34"/>
        <v>0</v>
      </c>
      <c r="BD9" s="23" t="e">
        <f t="shared" si="35"/>
        <v>#DIV/0!</v>
      </c>
      <c r="BE9" s="23" t="e">
        <f t="shared" si="36"/>
        <v>#N/A</v>
      </c>
      <c r="BF9" s="23" t="e">
        <f t="shared" si="37"/>
        <v>#N/A</v>
      </c>
      <c r="BG9" s="23" t="e">
        <f t="shared" si="38"/>
        <v>#N/A</v>
      </c>
      <c r="BH9" s="23" t="e">
        <f t="shared" si="39"/>
        <v>#N/A</v>
      </c>
      <c r="BI9" s="23">
        <f t="shared" si="40"/>
        <v>-76.256717956314034</v>
      </c>
    </row>
    <row r="10" spans="3:61" x14ac:dyDescent="0.3">
      <c r="C10" s="4" t="s">
        <v>81</v>
      </c>
      <c r="D10" s="4">
        <v>328</v>
      </c>
      <c r="E10" s="4" t="s">
        <v>56</v>
      </c>
      <c r="F10" s="4" t="s">
        <v>82</v>
      </c>
      <c r="H10" s="4" t="s">
        <v>83</v>
      </c>
      <c r="I10" s="4"/>
      <c r="J10" s="4" t="s">
        <v>56</v>
      </c>
      <c r="K10" s="4" t="s">
        <v>84</v>
      </c>
      <c r="M10" s="15" t="s">
        <v>85</v>
      </c>
      <c r="N10" s="16">
        <v>350</v>
      </c>
      <c r="O10" s="16">
        <v>350</v>
      </c>
      <c r="P10" s="16">
        <v>350</v>
      </c>
      <c r="Q10" s="16">
        <v>350</v>
      </c>
      <c r="T10" s="22">
        <v>-15</v>
      </c>
      <c r="U10" s="23">
        <f t="shared" si="0"/>
        <v>555.50626996666551</v>
      </c>
      <c r="V10" s="23">
        <f t="shared" si="1"/>
        <v>278.58986018460121</v>
      </c>
      <c r="W10" s="23">
        <f t="shared" si="2"/>
        <v>292.27067275794252</v>
      </c>
      <c r="X10" s="23">
        <f t="shared" si="3"/>
        <v>15.598470097831482</v>
      </c>
      <c r="Y10" s="23">
        <f t="shared" si="4"/>
        <v>35.219105760348313</v>
      </c>
      <c r="Z10" s="23">
        <f t="shared" si="5"/>
        <v>-19.620635662516833</v>
      </c>
      <c r="AA10" s="23">
        <f t="shared" si="6"/>
        <v>557.65274778782975</v>
      </c>
      <c r="AB10" s="23">
        <f t="shared" si="7"/>
        <v>98.880671123598475</v>
      </c>
      <c r="AC10" s="23">
        <f t="shared" si="8"/>
        <v>0.68431821808594551</v>
      </c>
      <c r="AD10" s="23">
        <f t="shared" si="9"/>
        <v>0.68431821808594551</v>
      </c>
      <c r="AE10" s="23">
        <f t="shared" si="10"/>
        <v>5.5555555555555552E-2</v>
      </c>
      <c r="AF10" s="23">
        <f t="shared" si="11"/>
        <v>-1.1924876784245777E-2</v>
      </c>
      <c r="AG10" s="23">
        <f t="shared" si="12"/>
        <v>0.99838438367223747</v>
      </c>
      <c r="AH10" s="23">
        <f t="shared" si="13"/>
        <v>-2.1162327238007799</v>
      </c>
      <c r="AI10" s="23">
        <f t="shared" si="14"/>
        <v>0</v>
      </c>
      <c r="AJ10" s="23">
        <f t="shared" si="15"/>
        <v>0</v>
      </c>
      <c r="AK10" s="23">
        <f t="shared" si="16"/>
        <v>0</v>
      </c>
      <c r="AL10" s="23">
        <f t="shared" si="17"/>
        <v>0</v>
      </c>
      <c r="AM10" s="23">
        <f t="shared" si="18"/>
        <v>0</v>
      </c>
      <c r="AN10" s="23">
        <f t="shared" si="19"/>
        <v>0</v>
      </c>
      <c r="AO10" s="23">
        <f t="shared" si="20"/>
        <v>0</v>
      </c>
      <c r="AP10" s="23">
        <f t="shared" si="21"/>
        <v>0</v>
      </c>
      <c r="AQ10" s="23">
        <f t="shared" si="22"/>
        <v>0</v>
      </c>
      <c r="AR10" s="23">
        <f t="shared" si="23"/>
        <v>0</v>
      </c>
      <c r="AS10" s="23">
        <f t="shared" si="24"/>
        <v>0</v>
      </c>
      <c r="AT10" s="23">
        <f t="shared" si="25"/>
        <v>480</v>
      </c>
      <c r="AU10" s="23">
        <f t="shared" si="26"/>
        <v>557.65274778782975</v>
      </c>
      <c r="AV10" s="23">
        <f t="shared" si="27"/>
        <v>98.880671123598475</v>
      </c>
      <c r="AW10" s="23">
        <f t="shared" si="28"/>
        <v>480</v>
      </c>
      <c r="AX10" s="23">
        <f t="shared" si="29"/>
        <v>557.65274778782975</v>
      </c>
      <c r="AY10" s="23">
        <f t="shared" si="30"/>
        <v>98.880671123598475</v>
      </c>
      <c r="AZ10" s="22">
        <f t="shared" si="31"/>
        <v>0</v>
      </c>
      <c r="BA10" s="22">
        <f t="shared" si="32"/>
        <v>0</v>
      </c>
      <c r="BB10" s="22">
        <f t="shared" si="33"/>
        <v>37432.48838485172</v>
      </c>
      <c r="BC10" s="22">
        <f t="shared" si="34"/>
        <v>0</v>
      </c>
      <c r="BD10" s="23" t="e">
        <f t="shared" si="35"/>
        <v>#DIV/0!</v>
      </c>
      <c r="BE10" s="23" t="e">
        <f t="shared" si="36"/>
        <v>#N/A</v>
      </c>
      <c r="BF10" s="23" t="e">
        <f t="shared" si="37"/>
        <v>#N/A</v>
      </c>
      <c r="BG10" s="23" t="e">
        <f t="shared" si="38"/>
        <v>#N/A</v>
      </c>
      <c r="BH10" s="23" t="e">
        <f t="shared" si="39"/>
        <v>#N/A</v>
      </c>
      <c r="BI10" s="23">
        <f t="shared" si="40"/>
        <v>-71.611969142639779</v>
      </c>
    </row>
    <row r="11" spans="3:61" x14ac:dyDescent="0.3">
      <c r="C11" s="4" t="s">
        <v>86</v>
      </c>
      <c r="D11" s="4">
        <v>180</v>
      </c>
      <c r="E11" s="4" t="s">
        <v>56</v>
      </c>
      <c r="F11" s="4" t="s">
        <v>87</v>
      </c>
      <c r="H11" s="4" t="s">
        <v>88</v>
      </c>
      <c r="I11" s="4"/>
      <c r="J11" s="4" t="s">
        <v>89</v>
      </c>
      <c r="K11" s="4" t="s">
        <v>90</v>
      </c>
      <c r="M11" s="15" t="s">
        <v>91</v>
      </c>
      <c r="N11" s="16">
        <v>620</v>
      </c>
      <c r="O11" s="16">
        <v>610</v>
      </c>
      <c r="P11" s="16">
        <v>2440</v>
      </c>
      <c r="Q11" s="16">
        <v>2440</v>
      </c>
      <c r="T11" s="22">
        <v>-14</v>
      </c>
      <c r="U11" s="23">
        <f t="shared" si="0"/>
        <v>556.71195855469909</v>
      </c>
      <c r="V11" s="23">
        <f t="shared" si="1"/>
        <v>283.2519120363205</v>
      </c>
      <c r="W11" s="23">
        <f t="shared" si="2"/>
        <v>294.7150019383763</v>
      </c>
      <c r="X11" s="23">
        <f t="shared" si="3"/>
        <v>16.408440612917069</v>
      </c>
      <c r="Y11" s="23">
        <f t="shared" si="4"/>
        <v>35.088984451958076</v>
      </c>
      <c r="Z11" s="23">
        <f t="shared" si="5"/>
        <v>-18.680543839041007</v>
      </c>
      <c r="AA11" s="23">
        <f t="shared" si="6"/>
        <v>559.27362813245395</v>
      </c>
      <c r="AB11" s="23">
        <f t="shared" si="7"/>
        <v>103.54816180006524</v>
      </c>
      <c r="AC11" s="23">
        <f t="shared" si="8"/>
        <v>0.81669366792908415</v>
      </c>
      <c r="AD11" s="23">
        <f t="shared" si="9"/>
        <v>0.81669366792908415</v>
      </c>
      <c r="AE11" s="23">
        <f t="shared" si="10"/>
        <v>5.5555555555555552E-2</v>
      </c>
      <c r="AF11" s="23">
        <f t="shared" si="11"/>
        <v>-1.4231497654193643E-2</v>
      </c>
      <c r="AG11" s="23">
        <f t="shared" si="12"/>
        <v>0.99835416797919585</v>
      </c>
      <c r="AH11" s="23">
        <f t="shared" si="13"/>
        <v>-1.9838572739576412</v>
      </c>
      <c r="AI11" s="23">
        <f t="shared" si="14"/>
        <v>0</v>
      </c>
      <c r="AJ11" s="23">
        <f t="shared" si="15"/>
        <v>0</v>
      </c>
      <c r="AK11" s="23">
        <f t="shared" si="16"/>
        <v>0</v>
      </c>
      <c r="AL11" s="23">
        <f t="shared" si="17"/>
        <v>0</v>
      </c>
      <c r="AM11" s="23">
        <f t="shared" si="18"/>
        <v>0</v>
      </c>
      <c r="AN11" s="23">
        <f t="shared" si="19"/>
        <v>0</v>
      </c>
      <c r="AO11" s="23">
        <f t="shared" si="20"/>
        <v>0</v>
      </c>
      <c r="AP11" s="23">
        <f t="shared" si="21"/>
        <v>0</v>
      </c>
      <c r="AQ11" s="23">
        <f t="shared" si="22"/>
        <v>0</v>
      </c>
      <c r="AR11" s="23">
        <f t="shared" si="23"/>
        <v>0</v>
      </c>
      <c r="AS11" s="23">
        <f t="shared" si="24"/>
        <v>0</v>
      </c>
      <c r="AT11" s="23">
        <f t="shared" si="25"/>
        <v>480</v>
      </c>
      <c r="AU11" s="23">
        <f t="shared" si="26"/>
        <v>559.27362813245395</v>
      </c>
      <c r="AV11" s="23">
        <f t="shared" si="27"/>
        <v>103.54816180006524</v>
      </c>
      <c r="AW11" s="23">
        <f t="shared" si="28"/>
        <v>480</v>
      </c>
      <c r="AX11" s="23">
        <f t="shared" si="29"/>
        <v>559.27362813245395</v>
      </c>
      <c r="AY11" s="23">
        <f t="shared" si="30"/>
        <v>103.54816180006524</v>
      </c>
      <c r="AZ11" s="22">
        <f t="shared" si="31"/>
        <v>0</v>
      </c>
      <c r="BA11" s="22">
        <f t="shared" si="32"/>
        <v>0</v>
      </c>
      <c r="BB11" s="22">
        <f t="shared" si="33"/>
        <v>34677.249685410992</v>
      </c>
      <c r="BC11" s="22">
        <f t="shared" si="34"/>
        <v>0</v>
      </c>
      <c r="BD11" s="23" t="e">
        <f t="shared" si="35"/>
        <v>#DIV/0!</v>
      </c>
      <c r="BE11" s="23" t="e">
        <f t="shared" si="36"/>
        <v>#N/A</v>
      </c>
      <c r="BF11" s="23" t="e">
        <f t="shared" si="37"/>
        <v>#N/A</v>
      </c>
      <c r="BG11" s="23" t="e">
        <f t="shared" si="38"/>
        <v>#N/A</v>
      </c>
      <c r="BH11" s="23" t="e">
        <f t="shared" si="39"/>
        <v>#N/A</v>
      </c>
      <c r="BI11" s="23">
        <f t="shared" si="40"/>
        <v>-66.94447846617301</v>
      </c>
    </row>
    <row r="12" spans="3:61" x14ac:dyDescent="0.3">
      <c r="C12" s="4" t="s">
        <v>92</v>
      </c>
      <c r="D12" s="4">
        <v>360</v>
      </c>
      <c r="E12" s="4" t="s">
        <v>56</v>
      </c>
      <c r="F12" s="4" t="s">
        <v>93</v>
      </c>
      <c r="H12" s="4" t="s">
        <v>94</v>
      </c>
      <c r="I12" s="4"/>
      <c r="J12" s="4" t="s">
        <v>95</v>
      </c>
      <c r="K12" s="4" t="s">
        <v>96</v>
      </c>
      <c r="T12" s="22">
        <v>-13</v>
      </c>
      <c r="U12" s="23">
        <f t="shared" si="0"/>
        <v>557.83609948677281</v>
      </c>
      <c r="V12" s="23">
        <f t="shared" si="1"/>
        <v>287.93429600223681</v>
      </c>
      <c r="W12" s="23">
        <f t="shared" si="2"/>
        <v>297.14537146870418</v>
      </c>
      <c r="X12" s="23">
        <f t="shared" si="3"/>
        <v>17.21332598316695</v>
      </c>
      <c r="Y12" s="23">
        <f t="shared" si="4"/>
        <v>34.954700838865179</v>
      </c>
      <c r="Z12" s="23">
        <f t="shared" si="5"/>
        <v>-17.741374855698229</v>
      </c>
      <c r="AA12" s="23">
        <f t="shared" si="6"/>
        <v>560.81623300926697</v>
      </c>
      <c r="AB12" s="23">
        <f t="shared" si="7"/>
        <v>108.23699829248233</v>
      </c>
      <c r="AC12" s="23">
        <f t="shared" si="8"/>
        <v>0.95011680185867475</v>
      </c>
      <c r="AD12" s="23">
        <f t="shared" si="9"/>
        <v>0.95011680185867475</v>
      </c>
      <c r="AE12" s="23">
        <f t="shared" si="10"/>
        <v>5.5555555555555552E-2</v>
      </c>
      <c r="AF12" s="23">
        <f t="shared" si="11"/>
        <v>-1.6556297347189761E-2</v>
      </c>
      <c r="AG12" s="23">
        <f t="shared" si="12"/>
        <v>0.99831832060974712</v>
      </c>
      <c r="AH12" s="23">
        <f t="shared" si="13"/>
        <v>-1.8504341400280506</v>
      </c>
      <c r="AI12" s="23">
        <f t="shared" si="14"/>
        <v>0</v>
      </c>
      <c r="AJ12" s="23">
        <f t="shared" si="15"/>
        <v>0</v>
      </c>
      <c r="AK12" s="23">
        <f t="shared" si="16"/>
        <v>0</v>
      </c>
      <c r="AL12" s="23">
        <f t="shared" si="17"/>
        <v>0</v>
      </c>
      <c r="AM12" s="23">
        <f t="shared" si="18"/>
        <v>0</v>
      </c>
      <c r="AN12" s="23">
        <f t="shared" si="19"/>
        <v>0</v>
      </c>
      <c r="AO12" s="23">
        <f t="shared" si="20"/>
        <v>0</v>
      </c>
      <c r="AP12" s="23">
        <f t="shared" si="21"/>
        <v>0</v>
      </c>
      <c r="AQ12" s="23">
        <f t="shared" si="22"/>
        <v>0</v>
      </c>
      <c r="AR12" s="23">
        <f t="shared" si="23"/>
        <v>0</v>
      </c>
      <c r="AS12" s="23">
        <f t="shared" si="24"/>
        <v>0</v>
      </c>
      <c r="AT12" s="23">
        <f t="shared" si="25"/>
        <v>480</v>
      </c>
      <c r="AU12" s="23">
        <f t="shared" si="26"/>
        <v>560.81623300926697</v>
      </c>
      <c r="AV12" s="23">
        <f t="shared" si="27"/>
        <v>108.23699829248233</v>
      </c>
      <c r="AW12" s="23">
        <f t="shared" si="28"/>
        <v>480</v>
      </c>
      <c r="AX12" s="23">
        <f t="shared" si="29"/>
        <v>560.81623300926697</v>
      </c>
      <c r="AY12" s="23">
        <f t="shared" si="30"/>
        <v>108.23699829248233</v>
      </c>
      <c r="AZ12" s="22">
        <f t="shared" si="31"/>
        <v>0</v>
      </c>
      <c r="BA12" s="22">
        <f t="shared" si="32"/>
        <v>0</v>
      </c>
      <c r="BB12" s="22">
        <f t="shared" si="33"/>
        <v>31956.367615950527</v>
      </c>
      <c r="BC12" s="22">
        <f t="shared" si="34"/>
        <v>0</v>
      </c>
      <c r="BD12" s="23" t="e">
        <f t="shared" si="35"/>
        <v>#DIV/0!</v>
      </c>
      <c r="BE12" s="23" t="e">
        <f t="shared" si="36"/>
        <v>#N/A</v>
      </c>
      <c r="BF12" s="23" t="e">
        <f t="shared" si="37"/>
        <v>#N/A</v>
      </c>
      <c r="BG12" s="23" t="e">
        <f t="shared" si="38"/>
        <v>#N/A</v>
      </c>
      <c r="BH12" s="23" t="e">
        <f t="shared" si="39"/>
        <v>#N/A</v>
      </c>
      <c r="BI12" s="23">
        <f t="shared" si="40"/>
        <v>-62.255641973755928</v>
      </c>
    </row>
    <row r="13" spans="3:61" x14ac:dyDescent="0.3">
      <c r="C13" s="4" t="s">
        <v>97</v>
      </c>
      <c r="D13" s="4">
        <v>620</v>
      </c>
      <c r="E13" s="4" t="s">
        <v>56</v>
      </c>
      <c r="F13" s="4" t="s">
        <v>98</v>
      </c>
      <c r="M13" s="34" t="s">
        <v>99</v>
      </c>
      <c r="N13" s="35"/>
      <c r="O13" s="35"/>
      <c r="P13" s="35"/>
      <c r="Q13" s="36"/>
      <c r="T13" s="22">
        <v>-12</v>
      </c>
      <c r="U13" s="23">
        <f t="shared" si="0"/>
        <v>558.87835033866918</v>
      </c>
      <c r="V13" s="23">
        <f t="shared" si="1"/>
        <v>292.63558578283482</v>
      </c>
      <c r="W13" s="23">
        <f t="shared" si="2"/>
        <v>299.56138977680433</v>
      </c>
      <c r="X13" s="23">
        <f t="shared" si="3"/>
        <v>18.013278787302411</v>
      </c>
      <c r="Y13" s="23">
        <f t="shared" si="4"/>
        <v>34.816420709210711</v>
      </c>
      <c r="Z13" s="23">
        <f t="shared" si="5"/>
        <v>-16.803141921908299</v>
      </c>
      <c r="AA13" s="23">
        <f t="shared" si="6"/>
        <v>562.28035442648275</v>
      </c>
      <c r="AB13" s="23">
        <f t="shared" si="7"/>
        <v>112.94577981659057</v>
      </c>
      <c r="AC13" s="23">
        <f t="shared" si="8"/>
        <v>1.0846313214062233</v>
      </c>
      <c r="AD13" s="23">
        <f t="shared" si="9"/>
        <v>1.0846313214062233</v>
      </c>
      <c r="AE13" s="23">
        <f t="shared" si="10"/>
        <v>5.5555555555555552E-2</v>
      </c>
      <c r="AF13" s="23">
        <f t="shared" si="11"/>
        <v>-1.8900022710075366E-2</v>
      </c>
      <c r="AG13" s="23">
        <f t="shared" si="12"/>
        <v>0.99827669981246803</v>
      </c>
      <c r="AH13" s="23">
        <f t="shared" si="13"/>
        <v>-1.7159196204805021</v>
      </c>
      <c r="AI13" s="23">
        <f t="shared" si="14"/>
        <v>0</v>
      </c>
      <c r="AJ13" s="23">
        <f t="shared" si="15"/>
        <v>0</v>
      </c>
      <c r="AK13" s="23">
        <f t="shared" si="16"/>
        <v>0</v>
      </c>
      <c r="AL13" s="23">
        <f t="shared" si="17"/>
        <v>0</v>
      </c>
      <c r="AM13" s="23">
        <f t="shared" si="18"/>
        <v>0</v>
      </c>
      <c r="AN13" s="23">
        <f t="shared" si="19"/>
        <v>0</v>
      </c>
      <c r="AO13" s="23">
        <f t="shared" si="20"/>
        <v>0</v>
      </c>
      <c r="AP13" s="23">
        <f t="shared" si="21"/>
        <v>0</v>
      </c>
      <c r="AQ13" s="23">
        <f t="shared" si="22"/>
        <v>0</v>
      </c>
      <c r="AR13" s="23">
        <f t="shared" si="23"/>
        <v>0</v>
      </c>
      <c r="AS13" s="23">
        <f t="shared" si="24"/>
        <v>0</v>
      </c>
      <c r="AT13" s="23">
        <f t="shared" si="25"/>
        <v>480</v>
      </c>
      <c r="AU13" s="23">
        <f t="shared" si="26"/>
        <v>562.28035442648275</v>
      </c>
      <c r="AV13" s="23">
        <f t="shared" si="27"/>
        <v>112.94577981659057</v>
      </c>
      <c r="AW13" s="23">
        <f t="shared" si="28"/>
        <v>480</v>
      </c>
      <c r="AX13" s="23">
        <f t="shared" si="29"/>
        <v>562.28035442648275</v>
      </c>
      <c r="AY13" s="23">
        <f t="shared" si="30"/>
        <v>112.94577981659057</v>
      </c>
      <c r="AZ13" s="22">
        <f t="shared" si="31"/>
        <v>0</v>
      </c>
      <c r="BA13" s="22">
        <f t="shared" si="32"/>
        <v>0</v>
      </c>
      <c r="BB13" s="22">
        <f t="shared" si="33"/>
        <v>29270.516469672904</v>
      </c>
      <c r="BC13" s="22">
        <f t="shared" si="34"/>
        <v>0</v>
      </c>
      <c r="BD13" s="23" t="e">
        <f t="shared" si="35"/>
        <v>#DIV/0!</v>
      </c>
      <c r="BE13" s="23" t="e">
        <f t="shared" si="36"/>
        <v>#N/A</v>
      </c>
      <c r="BF13" s="23" t="e">
        <f t="shared" si="37"/>
        <v>#N/A</v>
      </c>
      <c r="BG13" s="23" t="e">
        <f t="shared" si="38"/>
        <v>#N/A</v>
      </c>
      <c r="BH13" s="23" t="e">
        <f t="shared" si="39"/>
        <v>#N/A</v>
      </c>
      <c r="BI13" s="23">
        <f t="shared" si="40"/>
        <v>-57.546860449647681</v>
      </c>
    </row>
    <row r="14" spans="3:61" x14ac:dyDescent="0.3">
      <c r="C14" s="4" t="s">
        <v>100</v>
      </c>
      <c r="D14" s="4">
        <v>350</v>
      </c>
      <c r="E14" s="4" t="s">
        <v>56</v>
      </c>
      <c r="F14" s="4" t="s">
        <v>101</v>
      </c>
      <c r="H14" s="34" t="s">
        <v>102</v>
      </c>
      <c r="I14" s="35"/>
      <c r="J14" s="35"/>
      <c r="K14" s="36"/>
      <c r="M14" s="41">
        <v>0</v>
      </c>
      <c r="N14" s="35"/>
      <c r="O14" s="35"/>
      <c r="P14" s="35"/>
      <c r="Q14" s="36"/>
      <c r="T14" s="22">
        <v>-11</v>
      </c>
      <c r="U14" s="23">
        <f t="shared" si="0"/>
        <v>559.83839363068216</v>
      </c>
      <c r="V14" s="23">
        <f t="shared" si="1"/>
        <v>297.35434931970491</v>
      </c>
      <c r="W14" s="23">
        <f t="shared" si="2"/>
        <v>301.96267419141714</v>
      </c>
      <c r="X14" s="23">
        <f t="shared" si="3"/>
        <v>18.808446310109577</v>
      </c>
      <c r="Y14" s="23">
        <f t="shared" si="4"/>
        <v>34.674305325293034</v>
      </c>
      <c r="Z14" s="23">
        <f t="shared" si="5"/>
        <v>-15.865859015183457</v>
      </c>
      <c r="AA14" s="23">
        <f t="shared" si="6"/>
        <v>563.66581046928388</v>
      </c>
      <c r="AB14" s="23">
        <f t="shared" si="7"/>
        <v>117.67310132664477</v>
      </c>
      <c r="AC14" s="23">
        <f t="shared" si="8"/>
        <v>1.2202813328210187</v>
      </c>
      <c r="AD14" s="23">
        <f t="shared" si="9"/>
        <v>1.2202813328210187</v>
      </c>
      <c r="AE14" s="23">
        <f t="shared" si="10"/>
        <v>5.5555555555555552E-2</v>
      </c>
      <c r="AF14" s="23">
        <f t="shared" si="11"/>
        <v>-2.1263426881120671E-2</v>
      </c>
      <c r="AG14" s="23">
        <f t="shared" si="12"/>
        <v>0.99822915551700075</v>
      </c>
      <c r="AH14" s="23">
        <f t="shared" si="13"/>
        <v>-1.5802696090657067</v>
      </c>
      <c r="AI14" s="23">
        <f t="shared" si="14"/>
        <v>0</v>
      </c>
      <c r="AJ14" s="23">
        <f t="shared" si="15"/>
        <v>0</v>
      </c>
      <c r="AK14" s="23">
        <f t="shared" si="16"/>
        <v>0</v>
      </c>
      <c r="AL14" s="23">
        <f t="shared" si="17"/>
        <v>0</v>
      </c>
      <c r="AM14" s="23">
        <f t="shared" si="18"/>
        <v>0</v>
      </c>
      <c r="AN14" s="23">
        <f t="shared" si="19"/>
        <v>0</v>
      </c>
      <c r="AO14" s="23">
        <f t="shared" si="20"/>
        <v>0</v>
      </c>
      <c r="AP14" s="23">
        <f t="shared" si="21"/>
        <v>0</v>
      </c>
      <c r="AQ14" s="23">
        <f t="shared" si="22"/>
        <v>0</v>
      </c>
      <c r="AR14" s="23">
        <f t="shared" si="23"/>
        <v>0</v>
      </c>
      <c r="AS14" s="23">
        <f t="shared" si="24"/>
        <v>0</v>
      </c>
      <c r="AT14" s="23">
        <f t="shared" si="25"/>
        <v>480</v>
      </c>
      <c r="AU14" s="23">
        <f t="shared" si="26"/>
        <v>563.66581046928388</v>
      </c>
      <c r="AV14" s="23">
        <f t="shared" si="27"/>
        <v>117.67310132664477</v>
      </c>
      <c r="AW14" s="23">
        <f t="shared" si="28"/>
        <v>480</v>
      </c>
      <c r="AX14" s="23">
        <f t="shared" si="29"/>
        <v>563.66581046928388</v>
      </c>
      <c r="AY14" s="23">
        <f t="shared" si="30"/>
        <v>117.67310132664477</v>
      </c>
      <c r="AZ14" s="22">
        <f t="shared" si="31"/>
        <v>0</v>
      </c>
      <c r="BA14" s="22">
        <f t="shared" si="32"/>
        <v>0</v>
      </c>
      <c r="BB14" s="22">
        <f t="shared" si="33"/>
        <v>26620.357954196283</v>
      </c>
      <c r="BC14" s="22">
        <f t="shared" si="34"/>
        <v>0</v>
      </c>
      <c r="BD14" s="23" t="e">
        <f t="shared" si="35"/>
        <v>#DIV/0!</v>
      </c>
      <c r="BE14" s="23" t="e">
        <f t="shared" si="36"/>
        <v>#N/A</v>
      </c>
      <c r="BF14" s="23" t="e">
        <f t="shared" si="37"/>
        <v>#N/A</v>
      </c>
      <c r="BG14" s="23" t="e">
        <f t="shared" si="38"/>
        <v>#N/A</v>
      </c>
      <c r="BH14" s="23" t="e">
        <f t="shared" si="39"/>
        <v>#N/A</v>
      </c>
      <c r="BI14" s="23">
        <f t="shared" si="40"/>
        <v>-52.819538939593485</v>
      </c>
    </row>
    <row r="15" spans="3:61" x14ac:dyDescent="0.3">
      <c r="C15" s="4" t="s">
        <v>103</v>
      </c>
      <c r="D15" s="4">
        <v>610</v>
      </c>
      <c r="E15" s="4" t="s">
        <v>56</v>
      </c>
      <c r="F15" s="4" t="s">
        <v>104</v>
      </c>
      <c r="H15" s="1" t="s">
        <v>105</v>
      </c>
      <c r="I15" s="1" t="s">
        <v>5</v>
      </c>
      <c r="J15" s="1" t="s">
        <v>6</v>
      </c>
      <c r="K15" s="1" t="s">
        <v>7</v>
      </c>
      <c r="T15" s="22">
        <v>-10</v>
      </c>
      <c r="U15" s="23">
        <f t="shared" si="0"/>
        <v>560.71593692432475</v>
      </c>
      <c r="V15" s="23">
        <f t="shared" si="1"/>
        <v>302.08914923176212</v>
      </c>
      <c r="W15" s="23">
        <f t="shared" si="2"/>
        <v>304.34885062582111</v>
      </c>
      <c r="X15" s="23">
        <f t="shared" si="3"/>
        <v>19.598970755855241</v>
      </c>
      <c r="Y15" s="23">
        <f t="shared" si="4"/>
        <v>34.528511636235159</v>
      </c>
      <c r="Z15" s="23">
        <f t="shared" si="5"/>
        <v>-14.929540880379918</v>
      </c>
      <c r="AA15" s="23">
        <f t="shared" si="6"/>
        <v>564.97244555483178</v>
      </c>
      <c r="AB15" s="23">
        <f t="shared" si="7"/>
        <v>122.41755399679347</v>
      </c>
      <c r="AC15" s="23">
        <f t="shared" si="8"/>
        <v>1.3571114009766083</v>
      </c>
      <c r="AD15" s="23">
        <f t="shared" si="9"/>
        <v>1.3571114009766083</v>
      </c>
      <c r="AE15" s="23">
        <f t="shared" si="10"/>
        <v>5.5555555555555552E-2</v>
      </c>
      <c r="AF15" s="23">
        <f t="shared" si="11"/>
        <v>-2.3647270169483488E-2</v>
      </c>
      <c r="AG15" s="23">
        <f t="shared" si="12"/>
        <v>0.99817552908315921</v>
      </c>
      <c r="AH15" s="23">
        <f t="shared" si="13"/>
        <v>-1.4434395409101171</v>
      </c>
      <c r="AI15" s="23">
        <f t="shared" si="14"/>
        <v>0</v>
      </c>
      <c r="AJ15" s="23">
        <f t="shared" si="15"/>
        <v>0</v>
      </c>
      <c r="AK15" s="23">
        <f t="shared" si="16"/>
        <v>0</v>
      </c>
      <c r="AL15" s="23">
        <f t="shared" si="17"/>
        <v>0</v>
      </c>
      <c r="AM15" s="23">
        <f t="shared" si="18"/>
        <v>0</v>
      </c>
      <c r="AN15" s="23">
        <f t="shared" si="19"/>
        <v>0</v>
      </c>
      <c r="AO15" s="23">
        <f t="shared" si="20"/>
        <v>0</v>
      </c>
      <c r="AP15" s="23">
        <f t="shared" si="21"/>
        <v>0</v>
      </c>
      <c r="AQ15" s="23">
        <f t="shared" si="22"/>
        <v>0</v>
      </c>
      <c r="AR15" s="23">
        <f t="shared" si="23"/>
        <v>0</v>
      </c>
      <c r="AS15" s="23">
        <f t="shared" si="24"/>
        <v>0</v>
      </c>
      <c r="AT15" s="23">
        <f t="shared" si="25"/>
        <v>480</v>
      </c>
      <c r="AU15" s="23">
        <f t="shared" si="26"/>
        <v>564.97244555483178</v>
      </c>
      <c r="AV15" s="23">
        <f t="shared" si="27"/>
        <v>122.41755399679347</v>
      </c>
      <c r="AW15" s="23">
        <f t="shared" si="28"/>
        <v>480</v>
      </c>
      <c r="AX15" s="23">
        <f t="shared" si="29"/>
        <v>564.97244555483178</v>
      </c>
      <c r="AY15" s="23">
        <f t="shared" si="30"/>
        <v>122.41755399679347</v>
      </c>
      <c r="AZ15" s="22">
        <f t="shared" si="31"/>
        <v>0</v>
      </c>
      <c r="BA15" s="22">
        <f t="shared" si="32"/>
        <v>0</v>
      </c>
      <c r="BB15" s="22">
        <f t="shared" si="33"/>
        <v>24006.540859256522</v>
      </c>
      <c r="BC15" s="22">
        <f t="shared" si="34"/>
        <v>0</v>
      </c>
      <c r="BD15" s="23" t="e">
        <f t="shared" si="35"/>
        <v>#DIV/0!</v>
      </c>
      <c r="BE15" s="23" t="e">
        <f t="shared" si="36"/>
        <v>#N/A</v>
      </c>
      <c r="BF15" s="23" t="e">
        <f t="shared" si="37"/>
        <v>#N/A</v>
      </c>
      <c r="BG15" s="23" t="e">
        <f t="shared" si="38"/>
        <v>#N/A</v>
      </c>
      <c r="BH15" s="23" t="e">
        <f t="shared" si="39"/>
        <v>#N/A</v>
      </c>
      <c r="BI15" s="23">
        <f t="shared" si="40"/>
        <v>-48.075086269444782</v>
      </c>
    </row>
    <row r="16" spans="3:61" x14ac:dyDescent="0.3">
      <c r="C16" s="4" t="s">
        <v>13</v>
      </c>
      <c r="D16" s="4">
        <v>0</v>
      </c>
      <c r="E16" s="4" t="s">
        <v>89</v>
      </c>
      <c r="F16" s="4" t="s">
        <v>106</v>
      </c>
      <c r="H16" s="5" t="s">
        <v>107</v>
      </c>
      <c r="I16" s="5">
        <v>0</v>
      </c>
      <c r="J16" s="5" t="s">
        <v>89</v>
      </c>
      <c r="K16" s="5" t="s">
        <v>108</v>
      </c>
      <c r="T16" s="22">
        <v>-9</v>
      </c>
      <c r="U16" s="23">
        <f t="shared" si="0"/>
        <v>561.51071291140875</v>
      </c>
      <c r="V16" s="23">
        <f t="shared" si="1"/>
        <v>306.83854325308613</v>
      </c>
      <c r="W16" s="23">
        <f t="shared" si="2"/>
        <v>306.71955327834587</v>
      </c>
      <c r="X16" s="23">
        <f t="shared" si="3"/>
        <v>20.384989452894676</v>
      </c>
      <c r="Y16" s="23">
        <f t="shared" si="4"/>
        <v>34.379192483333419</v>
      </c>
      <c r="Z16" s="23">
        <f t="shared" si="5"/>
        <v>-13.994203030438744</v>
      </c>
      <c r="AA16" s="23">
        <f t="shared" si="6"/>
        <v>566.20013067573268</v>
      </c>
      <c r="AB16" s="23">
        <f t="shared" si="7"/>
        <v>127.17772570782489</v>
      </c>
      <c r="AC16" s="23">
        <f t="shared" si="8"/>
        <v>1.4951666022204073</v>
      </c>
      <c r="AD16" s="23">
        <f t="shared" si="9"/>
        <v>1.4951666022204073</v>
      </c>
      <c r="AE16" s="23">
        <f t="shared" si="10"/>
        <v>5.5555555555555552E-2</v>
      </c>
      <c r="AF16" s="23">
        <f t="shared" si="11"/>
        <v>-2.6052320912910747E-2</v>
      </c>
      <c r="AG16" s="23">
        <f t="shared" si="12"/>
        <v>0.99811565302922911</v>
      </c>
      <c r="AH16" s="23">
        <f t="shared" si="13"/>
        <v>-1.3053843396663181</v>
      </c>
      <c r="AI16" s="23">
        <f t="shared" si="14"/>
        <v>0</v>
      </c>
      <c r="AJ16" s="23">
        <f t="shared" si="15"/>
        <v>0</v>
      </c>
      <c r="AK16" s="23">
        <f t="shared" si="16"/>
        <v>0</v>
      </c>
      <c r="AL16" s="23">
        <f t="shared" si="17"/>
        <v>0</v>
      </c>
      <c r="AM16" s="23">
        <f t="shared" si="18"/>
        <v>0</v>
      </c>
      <c r="AN16" s="23">
        <f t="shared" si="19"/>
        <v>0</v>
      </c>
      <c r="AO16" s="23">
        <f t="shared" si="20"/>
        <v>0</v>
      </c>
      <c r="AP16" s="23">
        <f t="shared" si="21"/>
        <v>0</v>
      </c>
      <c r="AQ16" s="23">
        <f t="shared" si="22"/>
        <v>0</v>
      </c>
      <c r="AR16" s="23">
        <f t="shared" si="23"/>
        <v>0</v>
      </c>
      <c r="AS16" s="23">
        <f t="shared" si="24"/>
        <v>0</v>
      </c>
      <c r="AT16" s="23">
        <f t="shared" si="25"/>
        <v>480</v>
      </c>
      <c r="AU16" s="23">
        <f t="shared" si="26"/>
        <v>566.20013067573268</v>
      </c>
      <c r="AV16" s="23">
        <f t="shared" si="27"/>
        <v>127.17772570782489</v>
      </c>
      <c r="AW16" s="23">
        <f t="shared" si="28"/>
        <v>480</v>
      </c>
      <c r="AX16" s="23">
        <f t="shared" si="29"/>
        <v>566.20013067573268</v>
      </c>
      <c r="AY16" s="23">
        <f t="shared" si="30"/>
        <v>127.17772570782489</v>
      </c>
      <c r="AZ16" s="22">
        <f t="shared" si="31"/>
        <v>0</v>
      </c>
      <c r="BA16" s="22">
        <f t="shared" si="32"/>
        <v>0</v>
      </c>
      <c r="BB16" s="22">
        <f t="shared" si="33"/>
        <v>21429.700728590251</v>
      </c>
      <c r="BC16" s="22">
        <f t="shared" si="34"/>
        <v>0</v>
      </c>
      <c r="BD16" s="23" t="e">
        <f t="shared" si="35"/>
        <v>#DIV/0!</v>
      </c>
      <c r="BE16" s="23" t="e">
        <f t="shared" si="36"/>
        <v>#N/A</v>
      </c>
      <c r="BF16" s="23" t="e">
        <f t="shared" si="37"/>
        <v>#N/A</v>
      </c>
      <c r="BG16" s="23" t="e">
        <f t="shared" si="38"/>
        <v>#N/A</v>
      </c>
      <c r="BH16" s="23" t="e">
        <f t="shared" si="39"/>
        <v>#N/A</v>
      </c>
      <c r="BI16" s="23">
        <f t="shared" si="40"/>
        <v>-43.314914558413363</v>
      </c>
    </row>
    <row r="17" spans="3:61" x14ac:dyDescent="0.3">
      <c r="H17" s="5" t="s">
        <v>109</v>
      </c>
      <c r="I17" s="7">
        <f>D5+D22*COS(RADIANS(I16))</f>
        <v>564.90759322642793</v>
      </c>
      <c r="J17" s="5" t="s">
        <v>56</v>
      </c>
      <c r="K17" s="5" t="s">
        <v>110</v>
      </c>
      <c r="T17" s="22">
        <v>-8</v>
      </c>
      <c r="U17" s="23">
        <f t="shared" si="0"/>
        <v>562.22247949546954</v>
      </c>
      <c r="V17" s="23">
        <f t="shared" si="1"/>
        <v>311.60108467224967</v>
      </c>
      <c r="W17" s="23">
        <f t="shared" si="2"/>
        <v>309.07442434879499</v>
      </c>
      <c r="X17" s="23">
        <f t="shared" si="3"/>
        <v>21.16663504978845</v>
      </c>
      <c r="Y17" s="23">
        <f t="shared" si="4"/>
        <v>34.226496798325272</v>
      </c>
      <c r="Z17" s="23">
        <f t="shared" si="5"/>
        <v>-13.059861748536822</v>
      </c>
      <c r="AA17" s="23">
        <f t="shared" si="6"/>
        <v>567.34876363236981</v>
      </c>
      <c r="AB17" s="23">
        <f t="shared" si="7"/>
        <v>131.95220153921218</v>
      </c>
      <c r="AC17" s="23">
        <f t="shared" si="8"/>
        <v>1.6344925763225202</v>
      </c>
      <c r="AD17" s="23">
        <f t="shared" si="9"/>
        <v>1.6344925763225202</v>
      </c>
      <c r="AE17" s="23">
        <f t="shared" si="10"/>
        <v>5.5555555555555552E-2</v>
      </c>
      <c r="AF17" s="23">
        <f t="shared" si="11"/>
        <v>-2.8479356316112595E-2</v>
      </c>
      <c r="AG17" s="23">
        <f t="shared" si="12"/>
        <v>0.99804935073909717</v>
      </c>
      <c r="AH17" s="23">
        <f t="shared" si="13"/>
        <v>-1.1660583655642052</v>
      </c>
      <c r="AI17" s="23">
        <f t="shared" si="14"/>
        <v>0</v>
      </c>
      <c r="AJ17" s="23">
        <f t="shared" si="15"/>
        <v>0</v>
      </c>
      <c r="AK17" s="23">
        <f t="shared" si="16"/>
        <v>0</v>
      </c>
      <c r="AL17" s="23">
        <f t="shared" si="17"/>
        <v>0</v>
      </c>
      <c r="AM17" s="23">
        <f t="shared" si="18"/>
        <v>0</v>
      </c>
      <c r="AN17" s="23">
        <f t="shared" si="19"/>
        <v>0</v>
      </c>
      <c r="AO17" s="23">
        <f t="shared" si="20"/>
        <v>0</v>
      </c>
      <c r="AP17" s="23">
        <f t="shared" si="21"/>
        <v>0</v>
      </c>
      <c r="AQ17" s="23">
        <f t="shared" si="22"/>
        <v>0</v>
      </c>
      <c r="AR17" s="23">
        <f t="shared" si="23"/>
        <v>0</v>
      </c>
      <c r="AS17" s="23">
        <f t="shared" si="24"/>
        <v>0</v>
      </c>
      <c r="AT17" s="23">
        <f t="shared" si="25"/>
        <v>480</v>
      </c>
      <c r="AU17" s="23">
        <f t="shared" si="26"/>
        <v>567.34876363236981</v>
      </c>
      <c r="AV17" s="23">
        <f t="shared" si="27"/>
        <v>131.95220153921218</v>
      </c>
      <c r="AW17" s="23">
        <f t="shared" si="28"/>
        <v>480</v>
      </c>
      <c r="AX17" s="23">
        <f t="shared" si="29"/>
        <v>567.34876363236981</v>
      </c>
      <c r="AY17" s="23">
        <f t="shared" si="30"/>
        <v>131.95220153921218</v>
      </c>
      <c r="AZ17" s="22">
        <f t="shared" si="31"/>
        <v>0</v>
      </c>
      <c r="BA17" s="22">
        <f t="shared" si="32"/>
        <v>0</v>
      </c>
      <c r="BB17" s="22">
        <f t="shared" si="33"/>
        <v>18890.459535798291</v>
      </c>
      <c r="BC17" s="22">
        <f t="shared" si="34"/>
        <v>0</v>
      </c>
      <c r="BD17" s="23" t="e">
        <f t="shared" si="35"/>
        <v>#DIV/0!</v>
      </c>
      <c r="BE17" s="23" t="e">
        <f t="shared" si="36"/>
        <v>#N/A</v>
      </c>
      <c r="BF17" s="23" t="e">
        <f t="shared" si="37"/>
        <v>#N/A</v>
      </c>
      <c r="BG17" s="23" t="e">
        <f t="shared" si="38"/>
        <v>#N/A</v>
      </c>
      <c r="BH17" s="23" t="e">
        <f t="shared" si="39"/>
        <v>#N/A</v>
      </c>
      <c r="BI17" s="23">
        <f t="shared" si="40"/>
        <v>-38.540438727026071</v>
      </c>
    </row>
    <row r="18" spans="3:61" x14ac:dyDescent="0.3">
      <c r="C18" s="34" t="s">
        <v>111</v>
      </c>
      <c r="D18" s="35"/>
      <c r="E18" s="35"/>
      <c r="F18" s="36"/>
      <c r="H18" s="5" t="s">
        <v>112</v>
      </c>
      <c r="I18" s="7">
        <f>D6+D22*SIN(RADIANS(I16))</f>
        <v>350</v>
      </c>
      <c r="J18" s="5" t="s">
        <v>56</v>
      </c>
      <c r="K18" s="5" t="s">
        <v>110</v>
      </c>
      <c r="T18" s="22">
        <v>-7</v>
      </c>
      <c r="U18" s="23">
        <f t="shared" si="0"/>
        <v>562.85101986551024</v>
      </c>
      <c r="V18" s="23">
        <f t="shared" si="1"/>
        <v>316.37532277300073</v>
      </c>
      <c r="W18" s="23">
        <f t="shared" si="2"/>
        <v>311.41311376990132</v>
      </c>
      <c r="X18" s="23">
        <f t="shared" si="3"/>
        <v>21.9440357032429</v>
      </c>
      <c r="Y18" s="23">
        <f t="shared" si="4"/>
        <v>34.070569794819001</v>
      </c>
      <c r="Z18" s="23">
        <f t="shared" si="5"/>
        <v>-12.126534091576101</v>
      </c>
      <c r="AA18" s="23">
        <f t="shared" si="6"/>
        <v>568.41826925446617</v>
      </c>
      <c r="AB18" s="23">
        <f t="shared" si="7"/>
        <v>136.73956426640183</v>
      </c>
      <c r="AC18" s="23">
        <f t="shared" si="8"/>
        <v>1.775135577665732</v>
      </c>
      <c r="AD18" s="23">
        <f t="shared" si="9"/>
        <v>1.775135577665732</v>
      </c>
      <c r="AE18" s="23">
        <f t="shared" si="10"/>
        <v>5.5555555555555552E-2</v>
      </c>
      <c r="AF18" s="23">
        <f t="shared" si="11"/>
        <v>-3.0929163271977384E-2</v>
      </c>
      <c r="AG18" s="23">
        <f t="shared" si="12"/>
        <v>0.99797643614777165</v>
      </c>
      <c r="AH18" s="23">
        <f t="shared" si="13"/>
        <v>-1.0254153642209933</v>
      </c>
      <c r="AI18" s="23">
        <f t="shared" si="14"/>
        <v>0</v>
      </c>
      <c r="AJ18" s="23">
        <f t="shared" si="15"/>
        <v>0</v>
      </c>
      <c r="AK18" s="23">
        <f t="shared" si="16"/>
        <v>0</v>
      </c>
      <c r="AL18" s="23">
        <f t="shared" si="17"/>
        <v>0</v>
      </c>
      <c r="AM18" s="23">
        <f t="shared" si="18"/>
        <v>0</v>
      </c>
      <c r="AN18" s="23">
        <f t="shared" si="19"/>
        <v>0</v>
      </c>
      <c r="AO18" s="23">
        <f t="shared" si="20"/>
        <v>0</v>
      </c>
      <c r="AP18" s="23">
        <f t="shared" si="21"/>
        <v>0</v>
      </c>
      <c r="AQ18" s="23">
        <f t="shared" si="22"/>
        <v>0</v>
      </c>
      <c r="AR18" s="23">
        <f t="shared" si="23"/>
        <v>0</v>
      </c>
      <c r="AS18" s="23">
        <f t="shared" si="24"/>
        <v>0</v>
      </c>
      <c r="AT18" s="23">
        <f t="shared" si="25"/>
        <v>480</v>
      </c>
      <c r="AU18" s="23">
        <f t="shared" si="26"/>
        <v>568.41826925446617</v>
      </c>
      <c r="AV18" s="23">
        <f t="shared" si="27"/>
        <v>136.73956426640183</v>
      </c>
      <c r="AW18" s="23">
        <f t="shared" si="28"/>
        <v>480</v>
      </c>
      <c r="AX18" s="23">
        <f t="shared" si="29"/>
        <v>568.41826925446617</v>
      </c>
      <c r="AY18" s="23">
        <f t="shared" si="30"/>
        <v>136.73956426640183</v>
      </c>
      <c r="AZ18" s="22">
        <f t="shared" si="31"/>
        <v>0</v>
      </c>
      <c r="BA18" s="22">
        <f t="shared" si="32"/>
        <v>0</v>
      </c>
      <c r="BB18" s="22">
        <f t="shared" si="33"/>
        <v>16389.425364013528</v>
      </c>
      <c r="BC18" s="22">
        <f t="shared" si="34"/>
        <v>0</v>
      </c>
      <c r="BD18" s="23" t="e">
        <f t="shared" si="35"/>
        <v>#DIV/0!</v>
      </c>
      <c r="BE18" s="23" t="e">
        <f t="shared" si="36"/>
        <v>#N/A</v>
      </c>
      <c r="BF18" s="23" t="e">
        <f t="shared" si="37"/>
        <v>#N/A</v>
      </c>
      <c r="BG18" s="23" t="e">
        <f t="shared" si="38"/>
        <v>#N/A</v>
      </c>
      <c r="BH18" s="23" t="e">
        <f t="shared" si="39"/>
        <v>#N/A</v>
      </c>
      <c r="BI18" s="23">
        <f t="shared" si="40"/>
        <v>-33.753075999836426</v>
      </c>
    </row>
    <row r="19" spans="3:61" x14ac:dyDescent="0.3">
      <c r="C19" s="2" t="s">
        <v>105</v>
      </c>
      <c r="D19" s="2" t="s">
        <v>5</v>
      </c>
      <c r="E19" s="2" t="s">
        <v>6</v>
      </c>
      <c r="F19" s="2" t="s">
        <v>7</v>
      </c>
      <c r="H19" s="5" t="s">
        <v>113</v>
      </c>
      <c r="I19" s="7">
        <f>SQRT((I17-D7)^2 + (I18-D8)^2)</f>
        <v>327.30296026280126</v>
      </c>
      <c r="J19" s="5" t="s">
        <v>56</v>
      </c>
      <c r="K19" s="5" t="s">
        <v>114</v>
      </c>
      <c r="T19" s="22">
        <v>-6</v>
      </c>
      <c r="U19" s="23">
        <f t="shared" si="0"/>
        <v>563.39614256204561</v>
      </c>
      <c r="V19" s="23">
        <f t="shared" si="1"/>
        <v>321.15980327616467</v>
      </c>
      <c r="W19" s="23">
        <f t="shared" si="2"/>
        <v>313.73527895299048</v>
      </c>
      <c r="X19" s="23">
        <f t="shared" si="3"/>
        <v>22.717315258185284</v>
      </c>
      <c r="Y19" s="23">
        <f t="shared" si="4"/>
        <v>33.911553153130129</v>
      </c>
      <c r="Z19" s="23">
        <f t="shared" si="5"/>
        <v>-11.194237894944845</v>
      </c>
      <c r="AA19" s="23">
        <f t="shared" si="6"/>
        <v>569.40859961219974</v>
      </c>
      <c r="AB19" s="23">
        <f t="shared" si="7"/>
        <v>141.53839486330301</v>
      </c>
      <c r="AC19" s="23">
        <f t="shared" si="8"/>
        <v>1.9171425258039472</v>
      </c>
      <c r="AD19" s="23">
        <f t="shared" si="9"/>
        <v>1.9171425258039472</v>
      </c>
      <c r="AE19" s="23">
        <f t="shared" si="10"/>
        <v>5.5555555555555552E-2</v>
      </c>
      <c r="AF19" s="23">
        <f t="shared" si="11"/>
        <v>-3.3402539167522921E-2</v>
      </c>
      <c r="AG19" s="23">
        <f t="shared" si="12"/>
        <v>0.99789671340478692</v>
      </c>
      <c r="AH19" s="23">
        <f t="shared" si="13"/>
        <v>-0.8834084160827782</v>
      </c>
      <c r="AI19" s="23">
        <f t="shared" si="14"/>
        <v>0</v>
      </c>
      <c r="AJ19" s="23">
        <f t="shared" si="15"/>
        <v>0</v>
      </c>
      <c r="AK19" s="23">
        <f t="shared" si="16"/>
        <v>0</v>
      </c>
      <c r="AL19" s="23">
        <f t="shared" si="17"/>
        <v>0</v>
      </c>
      <c r="AM19" s="23">
        <f t="shared" si="18"/>
        <v>0</v>
      </c>
      <c r="AN19" s="23">
        <f t="shared" si="19"/>
        <v>0</v>
      </c>
      <c r="AO19" s="23">
        <f t="shared" si="20"/>
        <v>0</v>
      </c>
      <c r="AP19" s="23">
        <f t="shared" si="21"/>
        <v>0</v>
      </c>
      <c r="AQ19" s="23">
        <f t="shared" si="22"/>
        <v>0</v>
      </c>
      <c r="AR19" s="23">
        <f t="shared" si="23"/>
        <v>0</v>
      </c>
      <c r="AS19" s="23">
        <f t="shared" si="24"/>
        <v>0</v>
      </c>
      <c r="AT19" s="23">
        <f t="shared" si="25"/>
        <v>480</v>
      </c>
      <c r="AU19" s="23">
        <f t="shared" si="26"/>
        <v>569.40859961219974</v>
      </c>
      <c r="AV19" s="23">
        <f t="shared" si="27"/>
        <v>141.53839486330301</v>
      </c>
      <c r="AW19" s="23">
        <f t="shared" si="28"/>
        <v>480</v>
      </c>
      <c r="AX19" s="23">
        <f t="shared" si="29"/>
        <v>569.40859961219974</v>
      </c>
      <c r="AY19" s="23">
        <f t="shared" si="30"/>
        <v>141.53839486330301</v>
      </c>
      <c r="AZ19" s="22">
        <f t="shared" si="31"/>
        <v>0</v>
      </c>
      <c r="BA19" s="22">
        <f t="shared" si="32"/>
        <v>0</v>
      </c>
      <c r="BB19" s="22">
        <f t="shared" si="33"/>
        <v>13927.192089215154</v>
      </c>
      <c r="BC19" s="22">
        <f t="shared" si="34"/>
        <v>0</v>
      </c>
      <c r="BD19" s="23" t="e">
        <f t="shared" si="35"/>
        <v>#DIV/0!</v>
      </c>
      <c r="BE19" s="23" t="e">
        <f t="shared" si="36"/>
        <v>#N/A</v>
      </c>
      <c r="BF19" s="23" t="e">
        <f t="shared" si="37"/>
        <v>#N/A</v>
      </c>
      <c r="BG19" s="23" t="e">
        <f t="shared" si="38"/>
        <v>#N/A</v>
      </c>
      <c r="BH19" s="23" t="e">
        <f t="shared" si="39"/>
        <v>#N/A</v>
      </c>
      <c r="BI19" s="23">
        <f t="shared" si="40"/>
        <v>-28.954245402935243</v>
      </c>
    </row>
    <row r="20" spans="3:61" x14ac:dyDescent="0.3">
      <c r="C20" s="3" t="s">
        <v>115</v>
      </c>
      <c r="D20" s="9">
        <f>(D13-D12)</f>
        <v>260</v>
      </c>
      <c r="E20" s="3" t="s">
        <v>56</v>
      </c>
      <c r="F20" s="3" t="s">
        <v>116</v>
      </c>
      <c r="H20" s="5" t="s">
        <v>117</v>
      </c>
      <c r="I20" s="8">
        <f>DEGREES(ATAN((I18-D8)/(I17-D7)))</f>
        <v>27.276883535406075</v>
      </c>
      <c r="J20" s="5" t="s">
        <v>89</v>
      </c>
      <c r="K20" s="5" t="s">
        <v>118</v>
      </c>
      <c r="T20" s="22">
        <v>-5</v>
      </c>
      <c r="U20" s="23">
        <f t="shared" si="0"/>
        <v>563.85768153542153</v>
      </c>
      <c r="V20" s="23">
        <f t="shared" si="1"/>
        <v>325.95306878263193</v>
      </c>
      <c r="W20" s="23">
        <f t="shared" si="2"/>
        <v>316.04058454706774</v>
      </c>
      <c r="X20" s="23">
        <f t="shared" si="3"/>
        <v>23.486593420280094</v>
      </c>
      <c r="Y20" s="23">
        <f t="shared" si="4"/>
        <v>33.749585198769516</v>
      </c>
      <c r="Z20" s="23">
        <f t="shared" si="5"/>
        <v>-10.262991778489422</v>
      </c>
      <c r="AA20" s="23">
        <f t="shared" si="6"/>
        <v>570.31973421716475</v>
      </c>
      <c r="AB20" s="23">
        <f t="shared" si="7"/>
        <v>146.34727300994982</v>
      </c>
      <c r="AC20" s="23">
        <f t="shared" si="8"/>
        <v>2.0605610555101053</v>
      </c>
      <c r="AD20" s="23">
        <f t="shared" si="9"/>
        <v>2.0605610555101053</v>
      </c>
      <c r="AE20" s="23">
        <f t="shared" si="10"/>
        <v>5.5555555555555552E-2</v>
      </c>
      <c r="AF20" s="23">
        <f t="shared" si="11"/>
        <v>-3.5900292676351205E-2</v>
      </c>
      <c r="AG20" s="23">
        <f t="shared" si="12"/>
        <v>0.99780997651490067</v>
      </c>
      <c r="AH20" s="23">
        <f t="shared" si="13"/>
        <v>-0.73998988637662011</v>
      </c>
      <c r="AI20" s="23">
        <f t="shared" si="14"/>
        <v>0</v>
      </c>
      <c r="AJ20" s="23">
        <f t="shared" si="15"/>
        <v>0</v>
      </c>
      <c r="AK20" s="23">
        <f t="shared" si="16"/>
        <v>0</v>
      </c>
      <c r="AL20" s="23">
        <f t="shared" si="17"/>
        <v>0</v>
      </c>
      <c r="AM20" s="23">
        <f t="shared" si="18"/>
        <v>0</v>
      </c>
      <c r="AN20" s="23">
        <f t="shared" si="19"/>
        <v>0</v>
      </c>
      <c r="AO20" s="23">
        <f t="shared" si="20"/>
        <v>0</v>
      </c>
      <c r="AP20" s="23">
        <f t="shared" si="21"/>
        <v>0</v>
      </c>
      <c r="AQ20" s="23">
        <f t="shared" si="22"/>
        <v>0</v>
      </c>
      <c r="AR20" s="23">
        <f t="shared" si="23"/>
        <v>0</v>
      </c>
      <c r="AS20" s="23">
        <f t="shared" si="24"/>
        <v>0</v>
      </c>
      <c r="AT20" s="23">
        <f t="shared" si="25"/>
        <v>480</v>
      </c>
      <c r="AU20" s="23">
        <f t="shared" si="26"/>
        <v>570.31973421716475</v>
      </c>
      <c r="AV20" s="23">
        <f t="shared" si="27"/>
        <v>146.34727300994982</v>
      </c>
      <c r="AW20" s="23">
        <f t="shared" si="28"/>
        <v>480</v>
      </c>
      <c r="AX20" s="23">
        <f t="shared" si="29"/>
        <v>570.31973421716475</v>
      </c>
      <c r="AY20" s="23">
        <f t="shared" si="30"/>
        <v>146.34727300994982</v>
      </c>
      <c r="AZ20" s="22">
        <f t="shared" si="31"/>
        <v>0</v>
      </c>
      <c r="BA20" s="22">
        <f t="shared" si="32"/>
        <v>0</v>
      </c>
      <c r="BB20" s="22">
        <f t="shared" si="33"/>
        <v>11504.339067035471</v>
      </c>
      <c r="BC20" s="22">
        <f t="shared" si="34"/>
        <v>0</v>
      </c>
      <c r="BD20" s="23" t="e">
        <f t="shared" si="35"/>
        <v>#DIV/0!</v>
      </c>
      <c r="BE20" s="23" t="e">
        <f t="shared" si="36"/>
        <v>#N/A</v>
      </c>
      <c r="BF20" s="23" t="e">
        <f t="shared" si="37"/>
        <v>#N/A</v>
      </c>
      <c r="BG20" s="23" t="e">
        <f t="shared" si="38"/>
        <v>#N/A</v>
      </c>
      <c r="BH20" s="23" t="e">
        <f t="shared" si="39"/>
        <v>#N/A</v>
      </c>
      <c r="BI20" s="23">
        <f t="shared" si="40"/>
        <v>-24.145367256288438</v>
      </c>
    </row>
    <row r="21" spans="3:61" x14ac:dyDescent="0.3">
      <c r="C21" s="3" t="s">
        <v>119</v>
      </c>
      <c r="D21" s="9">
        <f>(D15-D14)</f>
        <v>260</v>
      </c>
      <c r="E21" s="3" t="s">
        <v>56</v>
      </c>
      <c r="F21" s="3" t="s">
        <v>120</v>
      </c>
      <c r="H21" s="5" t="s">
        <v>121</v>
      </c>
      <c r="I21" s="5">
        <f>DEGREES(ACOS((D23^2 + I19^2 - D27^2)/(2*D23*I19)))</f>
        <v>32.900103529648661</v>
      </c>
      <c r="J21" s="5" t="s">
        <v>89</v>
      </c>
      <c r="K21" s="5" t="s">
        <v>122</v>
      </c>
      <c r="T21" s="22">
        <v>-4</v>
      </c>
      <c r="U21" s="23">
        <f t="shared" si="0"/>
        <v>564.23549619639539</v>
      </c>
      <c r="V21" s="23">
        <f t="shared" si="1"/>
        <v>330.75365921729588</v>
      </c>
      <c r="W21" s="23">
        <f t="shared" si="2"/>
        <v>318.32870221059329</v>
      </c>
      <c r="X21" s="23">
        <f t="shared" si="3"/>
        <v>24.251985921186336</v>
      </c>
      <c r="Y21" s="23">
        <f t="shared" si="4"/>
        <v>33.584801074827183</v>
      </c>
      <c r="Z21" s="23">
        <f t="shared" si="5"/>
        <v>-9.3328151536408477</v>
      </c>
      <c r="AA21" s="23">
        <f t="shared" si="6"/>
        <v>571.15168021342492</v>
      </c>
      <c r="AB21" s="23">
        <f t="shared" si="7"/>
        <v>151.16477760531362</v>
      </c>
      <c r="AC21" s="23">
        <f t="shared" si="8"/>
        <v>2.2054395664173074</v>
      </c>
      <c r="AD21" s="23">
        <f t="shared" si="9"/>
        <v>2.2054395664173074</v>
      </c>
      <c r="AE21" s="23">
        <f t="shared" si="10"/>
        <v>5.5555555555555552E-2</v>
      </c>
      <c r="AF21" s="23">
        <f t="shared" si="11"/>
        <v>-3.8423244539052978E-2</v>
      </c>
      <c r="AG21" s="23">
        <f t="shared" si="12"/>
        <v>0.99771600895545698</v>
      </c>
      <c r="AH21" s="23">
        <f t="shared" si="13"/>
        <v>-0.59511137546941795</v>
      </c>
      <c r="AI21" s="23">
        <f t="shared" si="14"/>
        <v>0</v>
      </c>
      <c r="AJ21" s="23">
        <f t="shared" si="15"/>
        <v>0</v>
      </c>
      <c r="AK21" s="23">
        <f t="shared" si="16"/>
        <v>0</v>
      </c>
      <c r="AL21" s="23">
        <f t="shared" si="17"/>
        <v>0</v>
      </c>
      <c r="AM21" s="23">
        <f t="shared" si="18"/>
        <v>0</v>
      </c>
      <c r="AN21" s="23">
        <f t="shared" si="19"/>
        <v>0</v>
      </c>
      <c r="AO21" s="23">
        <f t="shared" si="20"/>
        <v>0</v>
      </c>
      <c r="AP21" s="23">
        <f t="shared" si="21"/>
        <v>0</v>
      </c>
      <c r="AQ21" s="23">
        <f t="shared" si="22"/>
        <v>0</v>
      </c>
      <c r="AR21" s="23">
        <f t="shared" si="23"/>
        <v>0</v>
      </c>
      <c r="AS21" s="23">
        <f t="shared" si="24"/>
        <v>0</v>
      </c>
      <c r="AT21" s="23">
        <f t="shared" si="25"/>
        <v>480</v>
      </c>
      <c r="AU21" s="23">
        <f t="shared" si="26"/>
        <v>571.15168021342492</v>
      </c>
      <c r="AV21" s="23">
        <f t="shared" si="27"/>
        <v>151.16477760531362</v>
      </c>
      <c r="AW21" s="23">
        <f t="shared" si="28"/>
        <v>480</v>
      </c>
      <c r="AX21" s="23">
        <f t="shared" si="29"/>
        <v>571.15168021342492</v>
      </c>
      <c r="AY21" s="23">
        <f t="shared" si="30"/>
        <v>151.16477760531362</v>
      </c>
      <c r="AZ21" s="22">
        <f t="shared" si="31"/>
        <v>0</v>
      </c>
      <c r="BA21" s="22">
        <f t="shared" si="32"/>
        <v>0</v>
      </c>
      <c r="BB21" s="22">
        <f t="shared" si="33"/>
        <v>9121.4308229393791</v>
      </c>
      <c r="BC21" s="22">
        <f t="shared" si="34"/>
        <v>0</v>
      </c>
      <c r="BD21" s="23" t="e">
        <f t="shared" si="35"/>
        <v>#DIV/0!</v>
      </c>
      <c r="BE21" s="23" t="e">
        <f t="shared" si="36"/>
        <v>#N/A</v>
      </c>
      <c r="BF21" s="23" t="e">
        <f t="shared" si="37"/>
        <v>#N/A</v>
      </c>
      <c r="BG21" s="23" t="e">
        <f t="shared" si="38"/>
        <v>#N/A</v>
      </c>
      <c r="BH21" s="23" t="e">
        <f t="shared" si="39"/>
        <v>#N/A</v>
      </c>
      <c r="BI21" s="23">
        <f t="shared" si="40"/>
        <v>-19.327862660924637</v>
      </c>
    </row>
    <row r="22" spans="3:61" x14ac:dyDescent="0.3">
      <c r="C22" s="3" t="s">
        <v>123</v>
      </c>
      <c r="D22" s="9">
        <f>SQRT((D9)^2-(D20/2)^2)</f>
        <v>275.90759322642788</v>
      </c>
      <c r="E22" s="3" t="s">
        <v>56</v>
      </c>
      <c r="F22" s="3" t="s">
        <v>124</v>
      </c>
      <c r="H22" s="5" t="s">
        <v>125</v>
      </c>
      <c r="I22" s="8">
        <f>I20+(D33*I21)</f>
        <v>-5.6232199942425858</v>
      </c>
      <c r="J22" s="5" t="s">
        <v>89</v>
      </c>
      <c r="K22" s="5" t="s">
        <v>126</v>
      </c>
      <c r="T22" s="22">
        <v>-3</v>
      </c>
      <c r="U22" s="23">
        <f t="shared" si="0"/>
        <v>564.52947145896189</v>
      </c>
      <c r="V22" s="23">
        <f t="shared" si="1"/>
        <v>335.56011227380571</v>
      </c>
      <c r="W22" s="23">
        <f t="shared" si="2"/>
        <v>320.59931039525111</v>
      </c>
      <c r="X22" s="23">
        <f t="shared" si="3"/>
        <v>25.013604676848921</v>
      </c>
      <c r="Y22" s="23">
        <f t="shared" si="4"/>
        <v>33.417332908491701</v>
      </c>
      <c r="Z22" s="23">
        <f t="shared" si="5"/>
        <v>-8.4037282316427806</v>
      </c>
      <c r="AA22" s="23">
        <f t="shared" si="6"/>
        <v>571.90447255888239</v>
      </c>
      <c r="AB22" s="23">
        <f t="shared" si="7"/>
        <v>155.98948728526202</v>
      </c>
      <c r="AC22" s="23">
        <f t="shared" si="8"/>
        <v>2.3518272723515463</v>
      </c>
      <c r="AD22" s="23">
        <f t="shared" si="9"/>
        <v>2.3518272723515463</v>
      </c>
      <c r="AE22" s="23">
        <f t="shared" si="10"/>
        <v>5.5555555555555552E-2</v>
      </c>
      <c r="AF22" s="23">
        <f t="shared" si="11"/>
        <v>-4.0972228332891644E-2</v>
      </c>
      <c r="AG22" s="23">
        <f t="shared" si="12"/>
        <v>0.99761458326968722</v>
      </c>
      <c r="AH22" s="23">
        <f t="shared" si="13"/>
        <v>-0.44872366953517906</v>
      </c>
      <c r="AI22" s="23">
        <f t="shared" si="14"/>
        <v>0</v>
      </c>
      <c r="AJ22" s="23">
        <f t="shared" si="15"/>
        <v>0</v>
      </c>
      <c r="AK22" s="23">
        <f t="shared" si="16"/>
        <v>0</v>
      </c>
      <c r="AL22" s="23">
        <f t="shared" si="17"/>
        <v>0</v>
      </c>
      <c r="AM22" s="23">
        <f t="shared" si="18"/>
        <v>0</v>
      </c>
      <c r="AN22" s="23">
        <f t="shared" si="19"/>
        <v>0</v>
      </c>
      <c r="AO22" s="23">
        <f t="shared" si="20"/>
        <v>0</v>
      </c>
      <c r="AP22" s="23">
        <f t="shared" si="21"/>
        <v>0</v>
      </c>
      <c r="AQ22" s="23">
        <f t="shared" si="22"/>
        <v>0</v>
      </c>
      <c r="AR22" s="23">
        <f t="shared" si="23"/>
        <v>0</v>
      </c>
      <c r="AS22" s="23">
        <f t="shared" si="24"/>
        <v>0</v>
      </c>
      <c r="AT22" s="23">
        <f t="shared" si="25"/>
        <v>480</v>
      </c>
      <c r="AU22" s="23">
        <f t="shared" si="26"/>
        <v>571.90447255888239</v>
      </c>
      <c r="AV22" s="23">
        <f t="shared" si="27"/>
        <v>155.98948728526202</v>
      </c>
      <c r="AW22" s="23">
        <f t="shared" si="28"/>
        <v>480</v>
      </c>
      <c r="AX22" s="23">
        <f t="shared" si="29"/>
        <v>571.90447255888239</v>
      </c>
      <c r="AY22" s="23">
        <f t="shared" si="30"/>
        <v>155.98948728526202</v>
      </c>
      <c r="AZ22" s="22">
        <f t="shared" si="31"/>
        <v>0</v>
      </c>
      <c r="BA22" s="22">
        <f t="shared" si="32"/>
        <v>0</v>
      </c>
      <c r="BB22" s="22">
        <f t="shared" si="33"/>
        <v>6779.016745649511</v>
      </c>
      <c r="BC22" s="22">
        <f t="shared" si="34"/>
        <v>0</v>
      </c>
      <c r="BD22" s="23" t="e">
        <f t="shared" si="35"/>
        <v>#DIV/0!</v>
      </c>
      <c r="BE22" s="23" t="e">
        <f t="shared" si="36"/>
        <v>#N/A</v>
      </c>
      <c r="BF22" s="23" t="e">
        <f t="shared" si="37"/>
        <v>#N/A</v>
      </c>
      <c r="BG22" s="23" t="e">
        <f t="shared" si="38"/>
        <v>#N/A</v>
      </c>
      <c r="BH22" s="23" t="e">
        <f t="shared" si="39"/>
        <v>#N/A</v>
      </c>
      <c r="BI22" s="23">
        <f t="shared" si="40"/>
        <v>-14.503152980976239</v>
      </c>
    </row>
    <row r="23" spans="3:61" x14ac:dyDescent="0.3">
      <c r="C23" s="3" t="s">
        <v>127</v>
      </c>
      <c r="D23" s="9">
        <f>SQRT((D10)^2-(D21/2)^2)</f>
        <v>301.13784219191052</v>
      </c>
      <c r="E23" s="3" t="s">
        <v>56</v>
      </c>
      <c r="F23" s="3" t="s">
        <v>128</v>
      </c>
      <c r="H23" s="5" t="s">
        <v>129</v>
      </c>
      <c r="I23" s="5">
        <f>D7+(D23)*(COS(RADIANS(I22)))</f>
        <v>573.68869802103382</v>
      </c>
      <c r="J23" s="5" t="s">
        <v>56</v>
      </c>
      <c r="K23" s="5" t="s">
        <v>130</v>
      </c>
      <c r="T23" s="22">
        <v>-2</v>
      </c>
      <c r="U23" s="23">
        <f t="shared" si="0"/>
        <v>564.7395177754081</v>
      </c>
      <c r="V23" s="23">
        <f t="shared" si="1"/>
        <v>340.37096385999928</v>
      </c>
      <c r="W23" s="23">
        <f t="shared" si="2"/>
        <v>322.85209414105105</v>
      </c>
      <c r="X23" s="23">
        <f t="shared" si="3"/>
        <v>25.77155793911027</v>
      </c>
      <c r="Y23" s="23">
        <f t="shared" si="4"/>
        <v>33.247309971941419</v>
      </c>
      <c r="Z23" s="23">
        <f t="shared" si="5"/>
        <v>-7.4757520328311493</v>
      </c>
      <c r="AA23" s="23">
        <f t="shared" si="6"/>
        <v>572.57817419714775</v>
      </c>
      <c r="AB23" s="23">
        <f t="shared" si="7"/>
        <v>160.81998094566958</v>
      </c>
      <c r="AC23" s="23">
        <f t="shared" si="8"/>
        <v>2.4997742504438003</v>
      </c>
      <c r="AD23" s="23">
        <f t="shared" si="9"/>
        <v>2.4997742504438003</v>
      </c>
      <c r="AE23" s="23">
        <f t="shared" si="10"/>
        <v>5.5555555555555552E-2</v>
      </c>
      <c r="AF23" s="23">
        <f t="shared" si="11"/>
        <v>-4.3548091231886903E-2</v>
      </c>
      <c r="AG23" s="23">
        <f t="shared" si="12"/>
        <v>0.99750546063516499</v>
      </c>
      <c r="AH23" s="23">
        <f t="shared" si="13"/>
        <v>-0.30077669144292507</v>
      </c>
      <c r="AI23" s="23">
        <f t="shared" si="14"/>
        <v>0</v>
      </c>
      <c r="AJ23" s="23">
        <f t="shared" si="15"/>
        <v>0</v>
      </c>
      <c r="AK23" s="23">
        <f t="shared" si="16"/>
        <v>0</v>
      </c>
      <c r="AL23" s="23">
        <f t="shared" si="17"/>
        <v>0</v>
      </c>
      <c r="AM23" s="23">
        <f t="shared" si="18"/>
        <v>0</v>
      </c>
      <c r="AN23" s="23">
        <f t="shared" si="19"/>
        <v>0</v>
      </c>
      <c r="AO23" s="23">
        <f t="shared" si="20"/>
        <v>0</v>
      </c>
      <c r="AP23" s="23">
        <f t="shared" si="21"/>
        <v>0</v>
      </c>
      <c r="AQ23" s="23">
        <f t="shared" si="22"/>
        <v>0</v>
      </c>
      <c r="AR23" s="23">
        <f t="shared" si="23"/>
        <v>0</v>
      </c>
      <c r="AS23" s="23">
        <f t="shared" si="24"/>
        <v>0</v>
      </c>
      <c r="AT23" s="23">
        <f t="shared" si="25"/>
        <v>480</v>
      </c>
      <c r="AU23" s="23">
        <f t="shared" si="26"/>
        <v>572.57817419714775</v>
      </c>
      <c r="AV23" s="23">
        <f t="shared" si="27"/>
        <v>160.81998094566958</v>
      </c>
      <c r="AW23" s="23">
        <f t="shared" si="28"/>
        <v>480</v>
      </c>
      <c r="AX23" s="23">
        <f t="shared" si="29"/>
        <v>572.57817419714775</v>
      </c>
      <c r="AY23" s="23">
        <f t="shared" si="30"/>
        <v>160.81998094566958</v>
      </c>
      <c r="AZ23" s="22">
        <f t="shared" si="31"/>
        <v>0</v>
      </c>
      <c r="BA23" s="22">
        <f t="shared" si="32"/>
        <v>0</v>
      </c>
      <c r="BB23" s="22">
        <f t="shared" si="33"/>
        <v>4477.6307837170316</v>
      </c>
      <c r="BC23" s="22">
        <f t="shared" si="34"/>
        <v>0</v>
      </c>
      <c r="BD23" s="23" t="e">
        <f t="shared" si="35"/>
        <v>#DIV/0!</v>
      </c>
      <c r="BE23" s="23" t="e">
        <f t="shared" si="36"/>
        <v>#N/A</v>
      </c>
      <c r="BF23" s="23" t="e">
        <f t="shared" si="37"/>
        <v>#N/A</v>
      </c>
      <c r="BG23" s="23" t="e">
        <f t="shared" si="38"/>
        <v>#N/A</v>
      </c>
      <c r="BH23" s="23" t="e">
        <f t="shared" si="39"/>
        <v>#N/A</v>
      </c>
      <c r="BI23" s="23">
        <f t="shared" si="40"/>
        <v>-9.6726593205686697</v>
      </c>
    </row>
    <row r="24" spans="3:61" x14ac:dyDescent="0.3">
      <c r="C24" s="3" t="s">
        <v>131</v>
      </c>
      <c r="D24" s="9">
        <f>(D12+D13)/2</f>
        <v>490</v>
      </c>
      <c r="E24" s="3" t="s">
        <v>56</v>
      </c>
      <c r="F24" s="3" t="s">
        <v>132</v>
      </c>
      <c r="H24" s="5" t="s">
        <v>133</v>
      </c>
      <c r="I24" s="5">
        <f>D8+(D23)*(SIN(RADIANS(I22)))</f>
        <v>170.49264026623825</v>
      </c>
      <c r="J24" s="5" t="s">
        <v>56</v>
      </c>
      <c r="K24" s="5" t="s">
        <v>134</v>
      </c>
      <c r="T24" s="22">
        <v>-1</v>
      </c>
      <c r="U24" s="23">
        <f t="shared" si="0"/>
        <v>564.86557116359108</v>
      </c>
      <c r="V24" s="23">
        <f t="shared" si="1"/>
        <v>345.18474854387966</v>
      </c>
      <c r="W24" s="23">
        <f t="shared" si="2"/>
        <v>325.08674488214933</v>
      </c>
      <c r="X24" s="23">
        <f t="shared" si="3"/>
        <v>26.525950440919125</v>
      </c>
      <c r="Y24" s="23">
        <f t="shared" si="4"/>
        <v>33.074858837838391</v>
      </c>
      <c r="Z24" s="23">
        <f t="shared" si="5"/>
        <v>-6.5489083969192663</v>
      </c>
      <c r="AA24" s="23">
        <f t="shared" si="6"/>
        <v>573.17287622006734</v>
      </c>
      <c r="AB24" s="23">
        <f t="shared" si="7"/>
        <v>165.65483827069247</v>
      </c>
      <c r="AC24" s="23">
        <f t="shared" si="8"/>
        <v>2.6493314900982416</v>
      </c>
      <c r="AD24" s="23">
        <f t="shared" si="9"/>
        <v>2.6493314900982416</v>
      </c>
      <c r="AE24" s="23">
        <f t="shared" si="10"/>
        <v>5.5555555555555552E-2</v>
      </c>
      <c r="AF24" s="23">
        <f t="shared" si="11"/>
        <v>-4.6151694758201404E-2</v>
      </c>
      <c r="AG24" s="23">
        <f t="shared" si="12"/>
        <v>0.99738839040659555</v>
      </c>
      <c r="AH24" s="23">
        <f t="shared" si="13"/>
        <v>-0.15121945178848373</v>
      </c>
      <c r="AI24" s="23">
        <f t="shared" si="14"/>
        <v>0</v>
      </c>
      <c r="AJ24" s="23">
        <f t="shared" si="15"/>
        <v>0</v>
      </c>
      <c r="AK24" s="23">
        <f t="shared" si="16"/>
        <v>0</v>
      </c>
      <c r="AL24" s="23">
        <f t="shared" si="17"/>
        <v>0</v>
      </c>
      <c r="AM24" s="23">
        <f t="shared" si="18"/>
        <v>0</v>
      </c>
      <c r="AN24" s="23">
        <f t="shared" si="19"/>
        <v>0</v>
      </c>
      <c r="AO24" s="23">
        <f t="shared" si="20"/>
        <v>0</v>
      </c>
      <c r="AP24" s="23">
        <f t="shared" si="21"/>
        <v>0</v>
      </c>
      <c r="AQ24" s="23">
        <f t="shared" si="22"/>
        <v>0</v>
      </c>
      <c r="AR24" s="23">
        <f t="shared" si="23"/>
        <v>0</v>
      </c>
      <c r="AS24" s="23">
        <f t="shared" si="24"/>
        <v>0</v>
      </c>
      <c r="AT24" s="23">
        <f t="shared" si="25"/>
        <v>480</v>
      </c>
      <c r="AU24" s="23">
        <f t="shared" si="26"/>
        <v>573.17287622006734</v>
      </c>
      <c r="AV24" s="23">
        <f t="shared" si="27"/>
        <v>165.65483827069247</v>
      </c>
      <c r="AW24" s="23">
        <f t="shared" si="28"/>
        <v>480</v>
      </c>
      <c r="AX24" s="23">
        <f t="shared" si="29"/>
        <v>573.17287622006734</v>
      </c>
      <c r="AY24" s="23">
        <f t="shared" si="30"/>
        <v>165.65483827069247</v>
      </c>
      <c r="AZ24" s="22">
        <f t="shared" si="31"/>
        <v>0</v>
      </c>
      <c r="BA24" s="22">
        <f t="shared" si="32"/>
        <v>0</v>
      </c>
      <c r="BB24" s="22">
        <f t="shared" si="33"/>
        <v>2217.7911451478722</v>
      </c>
      <c r="BC24" s="22">
        <f t="shared" si="34"/>
        <v>0</v>
      </c>
      <c r="BD24" s="23" t="e">
        <f t="shared" si="35"/>
        <v>#DIV/0!</v>
      </c>
      <c r="BE24" s="23" t="e">
        <f t="shared" si="36"/>
        <v>#N/A</v>
      </c>
      <c r="BF24" s="23" t="e">
        <f t="shared" si="37"/>
        <v>#N/A</v>
      </c>
      <c r="BG24" s="23" t="e">
        <f t="shared" si="38"/>
        <v>#N/A</v>
      </c>
      <c r="BH24" s="23" t="e">
        <f t="shared" si="39"/>
        <v>#N/A</v>
      </c>
      <c r="BI24" s="23">
        <f t="shared" si="40"/>
        <v>-4.8378019955457887</v>
      </c>
    </row>
    <row r="25" spans="3:61" x14ac:dyDescent="0.3">
      <c r="C25" s="3" t="s">
        <v>135</v>
      </c>
      <c r="D25" s="9">
        <f>(D14+D15)/2</f>
        <v>480</v>
      </c>
      <c r="E25" s="3" t="s">
        <v>56</v>
      </c>
      <c r="F25" s="3" t="s">
        <v>136</v>
      </c>
      <c r="T25" s="22">
        <v>0</v>
      </c>
      <c r="U25" s="23">
        <f t="shared" si="0"/>
        <v>564.90759322642793</v>
      </c>
      <c r="V25" s="23">
        <f t="shared" si="1"/>
        <v>350</v>
      </c>
      <c r="W25" s="23">
        <f t="shared" si="2"/>
        <v>327.30296026280126</v>
      </c>
      <c r="X25" s="23">
        <f t="shared" si="3"/>
        <v>27.276883535406075</v>
      </c>
      <c r="Y25" s="23">
        <f t="shared" si="4"/>
        <v>32.900103529648661</v>
      </c>
      <c r="Z25" s="23">
        <f t="shared" si="5"/>
        <v>-5.6232199942425858</v>
      </c>
      <c r="AA25" s="23">
        <f t="shared" si="6"/>
        <v>573.68869802103382</v>
      </c>
      <c r="AB25" s="23">
        <f t="shared" si="7"/>
        <v>170.49264026623825</v>
      </c>
      <c r="AC25" s="23">
        <f t="shared" si="8"/>
        <v>2.8005509418867254</v>
      </c>
      <c r="AD25" s="23">
        <f t="shared" si="9"/>
        <v>2.8005509418867254</v>
      </c>
      <c r="AE25" s="23">
        <f t="shared" si="10"/>
        <v>5.5555555555555552E-2</v>
      </c>
      <c r="AF25" s="23">
        <f t="shared" si="11"/>
        <v>-4.8783915525588223E-2</v>
      </c>
      <c r="AG25" s="23">
        <f t="shared" si="12"/>
        <v>0.9972631096320097</v>
      </c>
      <c r="AH25" s="23">
        <f t="shared" si="13"/>
        <v>0</v>
      </c>
      <c r="AI25" s="23">
        <f t="shared" si="14"/>
        <v>0</v>
      </c>
      <c r="AJ25" s="23">
        <f t="shared" si="15"/>
        <v>0</v>
      </c>
      <c r="AK25" s="23">
        <f t="shared" si="16"/>
        <v>0</v>
      </c>
      <c r="AL25" s="23">
        <f t="shared" si="17"/>
        <v>0</v>
      </c>
      <c r="AM25" s="23">
        <f t="shared" si="18"/>
        <v>0</v>
      </c>
      <c r="AN25" s="23">
        <f t="shared" si="19"/>
        <v>0</v>
      </c>
      <c r="AO25" s="23">
        <f t="shared" si="20"/>
        <v>0</v>
      </c>
      <c r="AP25" s="23">
        <f t="shared" si="21"/>
        <v>0</v>
      </c>
      <c r="AQ25" s="23">
        <f t="shared" si="22"/>
        <v>0</v>
      </c>
      <c r="AR25" s="23">
        <f t="shared" si="23"/>
        <v>0</v>
      </c>
      <c r="AS25" s="23">
        <f t="shared" si="24"/>
        <v>0</v>
      </c>
      <c r="AT25" s="23">
        <f t="shared" si="25"/>
        <v>480</v>
      </c>
      <c r="AU25" s="23">
        <f t="shared" si="26"/>
        <v>573.68869802103382</v>
      </c>
      <c r="AV25" s="23">
        <f t="shared" si="27"/>
        <v>170.49264026623825</v>
      </c>
      <c r="AW25" s="23">
        <f t="shared" si="28"/>
        <v>480</v>
      </c>
      <c r="AX25" s="23">
        <f t="shared" si="29"/>
        <v>573.68869802103382</v>
      </c>
      <c r="AY25" s="23">
        <f t="shared" si="30"/>
        <v>170.49264026623825</v>
      </c>
      <c r="AZ25" s="22">
        <f t="shared" si="31"/>
        <v>0</v>
      </c>
      <c r="BA25" s="22">
        <f t="shared" si="32"/>
        <v>0</v>
      </c>
      <c r="BB25" s="22">
        <f t="shared" si="33"/>
        <v>-1.1641532182693481E-10</v>
      </c>
      <c r="BC25" s="22">
        <f t="shared" si="34"/>
        <v>0</v>
      </c>
      <c r="BD25" s="23" t="e">
        <f t="shared" si="35"/>
        <v>#DIV/0!</v>
      </c>
      <c r="BE25" s="23" t="e">
        <f t="shared" si="36"/>
        <v>#N/A</v>
      </c>
      <c r="BF25" s="23" t="e">
        <f t="shared" si="37"/>
        <v>#N/A</v>
      </c>
      <c r="BG25" s="23" t="e">
        <f t="shared" si="38"/>
        <v>#N/A</v>
      </c>
      <c r="BH25" s="23" t="e">
        <f t="shared" si="39"/>
        <v>#N/A</v>
      </c>
      <c r="BI25" s="23">
        <f t="shared" si="40"/>
        <v>0</v>
      </c>
    </row>
    <row r="26" spans="3:61" x14ac:dyDescent="0.3">
      <c r="C26" s="3" t="s">
        <v>137</v>
      </c>
      <c r="D26" s="9">
        <f>D24-D25</f>
        <v>10</v>
      </c>
      <c r="E26" s="3" t="s">
        <v>56</v>
      </c>
      <c r="F26" s="3" t="s">
        <v>138</v>
      </c>
      <c r="H26" s="42" t="s">
        <v>139</v>
      </c>
      <c r="I26" s="35"/>
      <c r="J26" s="35"/>
      <c r="K26" s="36"/>
      <c r="T26" s="22">
        <v>1</v>
      </c>
      <c r="U26" s="23">
        <f t="shared" si="0"/>
        <v>564.86557116359108</v>
      </c>
      <c r="V26" s="23">
        <f t="shared" si="1"/>
        <v>354.81525145612034</v>
      </c>
      <c r="W26" s="23">
        <f t="shared" si="2"/>
        <v>329.50044396289337</v>
      </c>
      <c r="X26" s="23">
        <f t="shared" si="3"/>
        <v>28.024455329086258</v>
      </c>
      <c r="Y26" s="23">
        <f t="shared" si="4"/>
        <v>32.72316566700669</v>
      </c>
      <c r="Z26" s="23">
        <f t="shared" si="5"/>
        <v>-4.6987103379204314</v>
      </c>
      <c r="AA26" s="23">
        <f t="shared" si="6"/>
        <v>574.12578743917697</v>
      </c>
      <c r="AB26" s="23">
        <f t="shared" si="7"/>
        <v>175.33196979866517</v>
      </c>
      <c r="AC26" s="23">
        <f t="shared" si="8"/>
        <v>2.9534855664310085</v>
      </c>
      <c r="AD26" s="23">
        <f t="shared" si="9"/>
        <v>2.9534855664310085</v>
      </c>
      <c r="AE26" s="23">
        <f t="shared" si="10"/>
        <v>5.5555555555555552E-2</v>
      </c>
      <c r="AF26" s="23">
        <f t="shared" si="11"/>
        <v>-5.1445645975477169E-2</v>
      </c>
      <c r="AG26" s="23">
        <f t="shared" si="12"/>
        <v>0.99712934254141761</v>
      </c>
      <c r="AH26" s="23">
        <f t="shared" si="13"/>
        <v>0.15293462454428308</v>
      </c>
      <c r="AI26" s="23">
        <f t="shared" si="14"/>
        <v>0</v>
      </c>
      <c r="AJ26" s="23">
        <f t="shared" si="15"/>
        <v>0</v>
      </c>
      <c r="AK26" s="23">
        <f t="shared" si="16"/>
        <v>0</v>
      </c>
      <c r="AL26" s="23">
        <f t="shared" si="17"/>
        <v>0</v>
      </c>
      <c r="AM26" s="23">
        <f t="shared" si="18"/>
        <v>0</v>
      </c>
      <c r="AN26" s="23">
        <f t="shared" si="19"/>
        <v>0</v>
      </c>
      <c r="AO26" s="23">
        <f t="shared" si="20"/>
        <v>0</v>
      </c>
      <c r="AP26" s="23">
        <f t="shared" si="21"/>
        <v>0</v>
      </c>
      <c r="AQ26" s="23">
        <f t="shared" si="22"/>
        <v>0</v>
      </c>
      <c r="AR26" s="23">
        <f t="shared" si="23"/>
        <v>0</v>
      </c>
      <c r="AS26" s="23">
        <f t="shared" si="24"/>
        <v>0</v>
      </c>
      <c r="AT26" s="23">
        <f t="shared" si="25"/>
        <v>480</v>
      </c>
      <c r="AU26" s="23">
        <f t="shared" si="26"/>
        <v>574.12578743917697</v>
      </c>
      <c r="AV26" s="23">
        <f t="shared" si="27"/>
        <v>175.33196979866517</v>
      </c>
      <c r="AW26" s="23">
        <f t="shared" si="28"/>
        <v>480</v>
      </c>
      <c r="AX26" s="23">
        <f t="shared" si="29"/>
        <v>574.12578743917697</v>
      </c>
      <c r="AY26" s="23">
        <f t="shared" si="30"/>
        <v>175.33196979866517</v>
      </c>
      <c r="AZ26" s="22">
        <f t="shared" si="31"/>
        <v>0</v>
      </c>
      <c r="BA26" s="22">
        <f t="shared" si="32"/>
        <v>0</v>
      </c>
      <c r="BB26" s="22">
        <f t="shared" si="33"/>
        <v>-2175.256814113236</v>
      </c>
      <c r="BC26" s="22">
        <f t="shared" si="34"/>
        <v>0</v>
      </c>
      <c r="BD26" s="23" t="e">
        <f t="shared" si="35"/>
        <v>#DIV/0!</v>
      </c>
      <c r="BE26" s="23" t="e">
        <f t="shared" si="36"/>
        <v>#N/A</v>
      </c>
      <c r="BF26" s="23" t="e">
        <f t="shared" si="37"/>
        <v>#N/A</v>
      </c>
      <c r="BG26" s="23" t="e">
        <f t="shared" si="38"/>
        <v>#N/A</v>
      </c>
      <c r="BH26" s="23" t="e">
        <f t="shared" si="39"/>
        <v>#N/A</v>
      </c>
      <c r="BI26" s="23">
        <f t="shared" si="40"/>
        <v>4.8393295324269161</v>
      </c>
    </row>
    <row r="27" spans="3:61" x14ac:dyDescent="0.3">
      <c r="C27" s="3" t="s">
        <v>140</v>
      </c>
      <c r="D27" s="9">
        <f>SQRT((D11^2)-(D26^2))</f>
        <v>179.72200755611428</v>
      </c>
      <c r="E27" s="3" t="s">
        <v>56</v>
      </c>
      <c r="F27" s="3" t="s">
        <v>141</v>
      </c>
      <c r="H27" s="2" t="s">
        <v>105</v>
      </c>
      <c r="I27" s="2" t="s">
        <v>5</v>
      </c>
      <c r="J27" s="2" t="s">
        <v>6</v>
      </c>
      <c r="K27" s="2" t="s">
        <v>7</v>
      </c>
      <c r="T27" s="22">
        <v>2</v>
      </c>
      <c r="U27" s="23">
        <f t="shared" si="0"/>
        <v>564.7395177754081</v>
      </c>
      <c r="V27" s="23">
        <f t="shared" si="1"/>
        <v>359.62903614000072</v>
      </c>
      <c r="W27" s="23">
        <f t="shared" si="2"/>
        <v>331.67890553253835</v>
      </c>
      <c r="X27" s="23">
        <f t="shared" si="3"/>
        <v>28.768760809440739</v>
      </c>
      <c r="Y27" s="23">
        <f t="shared" si="4"/>
        <v>32.544164606332728</v>
      </c>
      <c r="Z27" s="23">
        <f t="shared" si="5"/>
        <v>-3.7754037968919896</v>
      </c>
      <c r="AA27" s="23">
        <f t="shared" si="6"/>
        <v>574.48432089450057</v>
      </c>
      <c r="AB27" s="23">
        <f t="shared" si="7"/>
        <v>180.17141213876161</v>
      </c>
      <c r="AC27" s="23">
        <f t="shared" si="8"/>
        <v>3.1081893833242056</v>
      </c>
      <c r="AD27" s="23">
        <f t="shared" si="9"/>
        <v>3.1081893833242056</v>
      </c>
      <c r="AE27" s="23">
        <f t="shared" si="10"/>
        <v>5.5555555555555552E-2</v>
      </c>
      <c r="AF27" s="23">
        <f t="shared" si="11"/>
        <v>-5.413779510606926E-2</v>
      </c>
      <c r="AG27" s="23">
        <f t="shared" si="12"/>
        <v>0.996986800006884</v>
      </c>
      <c r="AH27" s="23">
        <f t="shared" si="13"/>
        <v>0.3076384414374802</v>
      </c>
      <c r="AI27" s="23">
        <f t="shared" si="14"/>
        <v>0</v>
      </c>
      <c r="AJ27" s="23">
        <f t="shared" si="15"/>
        <v>0</v>
      </c>
      <c r="AK27" s="23">
        <f t="shared" si="16"/>
        <v>0</v>
      </c>
      <c r="AL27" s="23">
        <f t="shared" si="17"/>
        <v>0</v>
      </c>
      <c r="AM27" s="23">
        <f t="shared" si="18"/>
        <v>0</v>
      </c>
      <c r="AN27" s="23">
        <f t="shared" si="19"/>
        <v>0</v>
      </c>
      <c r="AO27" s="23">
        <f t="shared" si="20"/>
        <v>0</v>
      </c>
      <c r="AP27" s="23">
        <f t="shared" si="21"/>
        <v>0</v>
      </c>
      <c r="AQ27" s="23">
        <f t="shared" si="22"/>
        <v>0</v>
      </c>
      <c r="AR27" s="23">
        <f t="shared" si="23"/>
        <v>0</v>
      </c>
      <c r="AS27" s="23">
        <f t="shared" si="24"/>
        <v>0</v>
      </c>
      <c r="AT27" s="23">
        <f t="shared" si="25"/>
        <v>480</v>
      </c>
      <c r="AU27" s="23">
        <f t="shared" si="26"/>
        <v>574.48432089450057</v>
      </c>
      <c r="AV27" s="23">
        <f t="shared" si="27"/>
        <v>180.17141213876161</v>
      </c>
      <c r="AW27" s="23">
        <f t="shared" si="28"/>
        <v>480</v>
      </c>
      <c r="AX27" s="23">
        <f t="shared" si="29"/>
        <v>574.48432089450057</v>
      </c>
      <c r="AY27" s="23">
        <f t="shared" si="30"/>
        <v>180.17141213876161</v>
      </c>
      <c r="AZ27" s="22">
        <f t="shared" si="31"/>
        <v>0</v>
      </c>
      <c r="BA27" s="22">
        <f t="shared" si="32"/>
        <v>0</v>
      </c>
      <c r="BB27" s="22">
        <f t="shared" si="33"/>
        <v>-4307.5100836693309</v>
      </c>
      <c r="BC27" s="22">
        <f t="shared" si="34"/>
        <v>0</v>
      </c>
      <c r="BD27" s="23" t="e">
        <f t="shared" si="35"/>
        <v>#DIV/0!</v>
      </c>
      <c r="BE27" s="23" t="e">
        <f t="shared" si="36"/>
        <v>#N/A</v>
      </c>
      <c r="BF27" s="23" t="e">
        <f t="shared" si="37"/>
        <v>#N/A</v>
      </c>
      <c r="BG27" s="23" t="e">
        <f t="shared" si="38"/>
        <v>#N/A</v>
      </c>
      <c r="BH27" s="23" t="e">
        <f t="shared" si="39"/>
        <v>#N/A</v>
      </c>
      <c r="BI27" s="23">
        <f t="shared" si="40"/>
        <v>9.678771872523356</v>
      </c>
    </row>
    <row r="28" spans="3:61" x14ac:dyDescent="0.3">
      <c r="C28" s="3" t="s">
        <v>14</v>
      </c>
      <c r="D28" s="9">
        <f>D5+D22*COS(RADIANS(D16))</f>
        <v>564.90759322642793</v>
      </c>
      <c r="E28" s="3" t="s">
        <v>56</v>
      </c>
      <c r="F28" s="3" t="s">
        <v>142</v>
      </c>
      <c r="H28" s="3" t="s">
        <v>143</v>
      </c>
      <c r="I28" s="9">
        <f>D25+I8</f>
        <v>480</v>
      </c>
      <c r="J28" s="3" t="s">
        <v>56</v>
      </c>
      <c r="K28" s="3" t="s">
        <v>144</v>
      </c>
      <c r="T28" s="22">
        <v>3</v>
      </c>
      <c r="U28" s="23">
        <f t="shared" si="0"/>
        <v>564.52947145896189</v>
      </c>
      <c r="V28" s="23">
        <f t="shared" si="1"/>
        <v>364.43988772619429</v>
      </c>
      <c r="W28" s="23">
        <f t="shared" si="2"/>
        <v>333.83806023523908</v>
      </c>
      <c r="X28" s="23">
        <f t="shared" si="3"/>
        <v>29.509891967119479</v>
      </c>
      <c r="Y28" s="23">
        <f t="shared" si="4"/>
        <v>32.363217576904411</v>
      </c>
      <c r="Z28" s="23">
        <f t="shared" si="5"/>
        <v>-2.8533256097849318</v>
      </c>
      <c r="AA28" s="23">
        <f t="shared" si="6"/>
        <v>574.76450351400194</v>
      </c>
      <c r="AB28" s="23">
        <f t="shared" si="7"/>
        <v>185.00955551106324</v>
      </c>
      <c r="AC28" s="23">
        <f t="shared" si="8"/>
        <v>3.2647175201367591</v>
      </c>
      <c r="AD28" s="23">
        <f t="shared" si="9"/>
        <v>3.2647175201367591</v>
      </c>
      <c r="AE28" s="23">
        <f t="shared" si="10"/>
        <v>5.5555555555555552E-2</v>
      </c>
      <c r="AF28" s="23">
        <f t="shared" si="11"/>
        <v>-5.6861289194666952E-2</v>
      </c>
      <c r="AG28" s="23">
        <f t="shared" si="12"/>
        <v>0.99683517897295026</v>
      </c>
      <c r="AH28" s="23">
        <f t="shared" si="13"/>
        <v>0.46416657825003371</v>
      </c>
      <c r="AI28" s="23">
        <f t="shared" si="14"/>
        <v>0</v>
      </c>
      <c r="AJ28" s="23">
        <f t="shared" si="15"/>
        <v>0</v>
      </c>
      <c r="AK28" s="23">
        <f t="shared" si="16"/>
        <v>0</v>
      </c>
      <c r="AL28" s="23">
        <f t="shared" si="17"/>
        <v>0</v>
      </c>
      <c r="AM28" s="23">
        <f t="shared" si="18"/>
        <v>0</v>
      </c>
      <c r="AN28" s="23">
        <f t="shared" si="19"/>
        <v>0</v>
      </c>
      <c r="AO28" s="23">
        <f t="shared" si="20"/>
        <v>0</v>
      </c>
      <c r="AP28" s="23">
        <f t="shared" si="21"/>
        <v>0</v>
      </c>
      <c r="AQ28" s="23">
        <f t="shared" si="22"/>
        <v>0</v>
      </c>
      <c r="AR28" s="23">
        <f t="shared" si="23"/>
        <v>0</v>
      </c>
      <c r="AS28" s="23">
        <f t="shared" si="24"/>
        <v>0</v>
      </c>
      <c r="AT28" s="23">
        <f t="shared" si="25"/>
        <v>480</v>
      </c>
      <c r="AU28" s="23">
        <f t="shared" si="26"/>
        <v>574.76450351400194</v>
      </c>
      <c r="AV28" s="23">
        <f t="shared" si="27"/>
        <v>185.00955551106324</v>
      </c>
      <c r="AW28" s="23">
        <f t="shared" si="28"/>
        <v>480</v>
      </c>
      <c r="AX28" s="23">
        <f t="shared" si="29"/>
        <v>574.76450351400194</v>
      </c>
      <c r="AY28" s="23">
        <f t="shared" si="30"/>
        <v>185.00955551106324</v>
      </c>
      <c r="AZ28" s="22">
        <f t="shared" si="31"/>
        <v>0</v>
      </c>
      <c r="BA28" s="22">
        <f t="shared" si="32"/>
        <v>0</v>
      </c>
      <c r="BB28" s="22">
        <f t="shared" si="33"/>
        <v>-6396.3075080765411</v>
      </c>
      <c r="BC28" s="22">
        <f t="shared" si="34"/>
        <v>0</v>
      </c>
      <c r="BD28" s="23" t="e">
        <f t="shared" si="35"/>
        <v>#DIV/0!</v>
      </c>
      <c r="BE28" s="23" t="e">
        <f t="shared" si="36"/>
        <v>#N/A</v>
      </c>
      <c r="BF28" s="23" t="e">
        <f t="shared" si="37"/>
        <v>#N/A</v>
      </c>
      <c r="BG28" s="23" t="e">
        <f t="shared" si="38"/>
        <v>#N/A</v>
      </c>
      <c r="BH28" s="23" t="e">
        <f t="shared" si="39"/>
        <v>#N/A</v>
      </c>
      <c r="BI28" s="23">
        <f t="shared" si="40"/>
        <v>14.516915244824986</v>
      </c>
    </row>
    <row r="29" spans="3:61" x14ac:dyDescent="0.3">
      <c r="C29" s="3" t="s">
        <v>15</v>
      </c>
      <c r="D29" s="9">
        <f>D6+D22*SIN(RADIANS(D16))</f>
        <v>350</v>
      </c>
      <c r="E29" s="3" t="s">
        <v>56</v>
      </c>
      <c r="F29" s="3" t="s">
        <v>145</v>
      </c>
      <c r="H29" s="3" t="s">
        <v>146</v>
      </c>
      <c r="I29" s="3">
        <f>I23+I9</f>
        <v>573.68869802103382</v>
      </c>
      <c r="J29" s="3" t="s">
        <v>56</v>
      </c>
      <c r="K29" s="3" t="s">
        <v>147</v>
      </c>
      <c r="T29" s="22">
        <v>4</v>
      </c>
      <c r="U29" s="23">
        <f t="shared" si="0"/>
        <v>564.23549619639539</v>
      </c>
      <c r="V29" s="23">
        <f t="shared" si="1"/>
        <v>369.24634078270412</v>
      </c>
      <c r="W29" s="23">
        <f t="shared" si="2"/>
        <v>335.97762889916203</v>
      </c>
      <c r="X29" s="23">
        <f t="shared" si="3"/>
        <v>30.24793791299955</v>
      </c>
      <c r="Y29" s="23">
        <f t="shared" si="4"/>
        <v>32.180439812574356</v>
      </c>
      <c r="Z29" s="23">
        <f t="shared" si="5"/>
        <v>-1.932501899574806</v>
      </c>
      <c r="AA29" s="23">
        <f t="shared" si="6"/>
        <v>574.96656924878312</v>
      </c>
      <c r="AB29" s="23">
        <f t="shared" si="7"/>
        <v>189.84499164857877</v>
      </c>
      <c r="AC29" s="23">
        <f t="shared" si="8"/>
        <v>3.4231262615428641</v>
      </c>
      <c r="AD29" s="23">
        <f t="shared" si="9"/>
        <v>3.4231262615428641</v>
      </c>
      <c r="AE29" s="23">
        <f t="shared" si="10"/>
        <v>5.5555555555555552E-2</v>
      </c>
      <c r="AF29" s="23">
        <f t="shared" si="11"/>
        <v>-5.961707251326516E-2</v>
      </c>
      <c r="AG29" s="23">
        <f t="shared" si="12"/>
        <v>0.99667416185625202</v>
      </c>
      <c r="AH29" s="23">
        <f t="shared" si="13"/>
        <v>0.62257531965613877</v>
      </c>
      <c r="AI29" s="23">
        <f t="shared" si="14"/>
        <v>0</v>
      </c>
      <c r="AJ29" s="23">
        <f t="shared" si="15"/>
        <v>0</v>
      </c>
      <c r="AK29" s="23">
        <f t="shared" si="16"/>
        <v>0</v>
      </c>
      <c r="AL29" s="23">
        <f t="shared" si="17"/>
        <v>0</v>
      </c>
      <c r="AM29" s="23">
        <f t="shared" si="18"/>
        <v>0</v>
      </c>
      <c r="AN29" s="23">
        <f t="shared" si="19"/>
        <v>0</v>
      </c>
      <c r="AO29" s="23">
        <f t="shared" si="20"/>
        <v>0</v>
      </c>
      <c r="AP29" s="23">
        <f t="shared" si="21"/>
        <v>0</v>
      </c>
      <c r="AQ29" s="23">
        <f t="shared" si="22"/>
        <v>0</v>
      </c>
      <c r="AR29" s="23">
        <f t="shared" si="23"/>
        <v>0</v>
      </c>
      <c r="AS29" s="23">
        <f t="shared" si="24"/>
        <v>0</v>
      </c>
      <c r="AT29" s="23">
        <f t="shared" si="25"/>
        <v>480</v>
      </c>
      <c r="AU29" s="23">
        <f t="shared" si="26"/>
        <v>574.96656924878312</v>
      </c>
      <c r="AV29" s="23">
        <f t="shared" si="27"/>
        <v>189.84499164857877</v>
      </c>
      <c r="AW29" s="23">
        <f t="shared" si="28"/>
        <v>480</v>
      </c>
      <c r="AX29" s="23">
        <f t="shared" si="29"/>
        <v>574.96656924878312</v>
      </c>
      <c r="AY29" s="23">
        <f t="shared" si="30"/>
        <v>189.84499164857877</v>
      </c>
      <c r="AZ29" s="22">
        <f t="shared" si="31"/>
        <v>0</v>
      </c>
      <c r="BA29" s="22">
        <f t="shared" si="32"/>
        <v>0</v>
      </c>
      <c r="BB29" s="22">
        <f t="shared" si="33"/>
        <v>-8441.2139857428847</v>
      </c>
      <c r="BC29" s="22">
        <f t="shared" si="34"/>
        <v>0</v>
      </c>
      <c r="BD29" s="23" t="e">
        <f t="shared" si="35"/>
        <v>#DIV/0!</v>
      </c>
      <c r="BE29" s="23" t="e">
        <f t="shared" si="36"/>
        <v>#N/A</v>
      </c>
      <c r="BF29" s="23" t="e">
        <f t="shared" si="37"/>
        <v>#N/A</v>
      </c>
      <c r="BG29" s="23" t="e">
        <f t="shared" si="38"/>
        <v>#N/A</v>
      </c>
      <c r="BH29" s="23" t="e">
        <f t="shared" si="39"/>
        <v>#N/A</v>
      </c>
      <c r="BI29" s="23">
        <f t="shared" si="40"/>
        <v>19.352351382340515</v>
      </c>
    </row>
    <row r="30" spans="3:61" x14ac:dyDescent="0.3">
      <c r="C30" s="3" t="s">
        <v>16</v>
      </c>
      <c r="D30" s="9">
        <f>SQRT((D28-D7)^2 + (D29-D8)^2)</f>
        <v>327.30296026280126</v>
      </c>
      <c r="E30" s="3" t="s">
        <v>56</v>
      </c>
      <c r="F30" s="3" t="s">
        <v>148</v>
      </c>
      <c r="H30" s="3" t="s">
        <v>149</v>
      </c>
      <c r="I30" s="3">
        <f>I24+I10</f>
        <v>170.49264026623825</v>
      </c>
      <c r="J30" s="3" t="s">
        <v>56</v>
      </c>
      <c r="K30" s="3" t="s">
        <v>150</v>
      </c>
      <c r="T30" s="22">
        <v>5</v>
      </c>
      <c r="U30" s="23">
        <f t="shared" si="0"/>
        <v>563.85768153542153</v>
      </c>
      <c r="V30" s="23">
        <f t="shared" si="1"/>
        <v>374.04693121736807</v>
      </c>
      <c r="W30" s="23">
        <f t="shared" si="2"/>
        <v>338.09733777608056</v>
      </c>
      <c r="X30" s="23">
        <f t="shared" si="3"/>
        <v>30.98298499032386</v>
      </c>
      <c r="Y30" s="23">
        <f t="shared" si="4"/>
        <v>31.995944679317002</v>
      </c>
      <c r="Z30" s="23">
        <f t="shared" si="5"/>
        <v>-1.012959688993142</v>
      </c>
      <c r="AA30" s="23">
        <f t="shared" si="6"/>
        <v>575.09078098212626</v>
      </c>
      <c r="AB30" s="23">
        <f t="shared" si="7"/>
        <v>194.6763163530029</v>
      </c>
      <c r="AC30" s="23">
        <f t="shared" si="8"/>
        <v>3.5834730985952179</v>
      </c>
      <c r="AD30" s="23">
        <f t="shared" si="9"/>
        <v>3.5834730985952179</v>
      </c>
      <c r="AE30" s="23">
        <f t="shared" si="10"/>
        <v>5.5555555555555552E-2</v>
      </c>
      <c r="AF30" s="23">
        <f t="shared" si="11"/>
        <v>-6.2406108037248484E-2</v>
      </c>
      <c r="AG30" s="23">
        <f t="shared" si="12"/>
        <v>0.99650341591313985</v>
      </c>
      <c r="AH30" s="23">
        <f t="shared" si="13"/>
        <v>0.78292215670849252</v>
      </c>
      <c r="AI30" s="23">
        <f t="shared" si="14"/>
        <v>0</v>
      </c>
      <c r="AJ30" s="23">
        <f t="shared" si="15"/>
        <v>0</v>
      </c>
      <c r="AK30" s="23">
        <f t="shared" si="16"/>
        <v>0</v>
      </c>
      <c r="AL30" s="23">
        <f t="shared" si="17"/>
        <v>0</v>
      </c>
      <c r="AM30" s="23">
        <f t="shared" si="18"/>
        <v>0</v>
      </c>
      <c r="AN30" s="23">
        <f t="shared" si="19"/>
        <v>0</v>
      </c>
      <c r="AO30" s="23">
        <f t="shared" si="20"/>
        <v>0</v>
      </c>
      <c r="AP30" s="23">
        <f t="shared" si="21"/>
        <v>0</v>
      </c>
      <c r="AQ30" s="23">
        <f t="shared" si="22"/>
        <v>0</v>
      </c>
      <c r="AR30" s="23">
        <f t="shared" si="23"/>
        <v>0</v>
      </c>
      <c r="AS30" s="23">
        <f t="shared" si="24"/>
        <v>0</v>
      </c>
      <c r="AT30" s="23">
        <f t="shared" si="25"/>
        <v>480</v>
      </c>
      <c r="AU30" s="23">
        <f t="shared" si="26"/>
        <v>575.09078098212626</v>
      </c>
      <c r="AV30" s="23">
        <f t="shared" si="27"/>
        <v>194.6763163530029</v>
      </c>
      <c r="AW30" s="23">
        <f t="shared" si="28"/>
        <v>480</v>
      </c>
      <c r="AX30" s="23">
        <f t="shared" si="29"/>
        <v>575.09078098212626</v>
      </c>
      <c r="AY30" s="23">
        <f t="shared" si="30"/>
        <v>194.6763163530029</v>
      </c>
      <c r="AZ30" s="22">
        <f t="shared" si="31"/>
        <v>0</v>
      </c>
      <c r="BA30" s="22">
        <f t="shared" si="32"/>
        <v>0</v>
      </c>
      <c r="BB30" s="22">
        <f t="shared" si="33"/>
        <v>-10441.811897384585</v>
      </c>
      <c r="BC30" s="22">
        <f t="shared" si="34"/>
        <v>0</v>
      </c>
      <c r="BD30" s="23" t="e">
        <f t="shared" si="35"/>
        <v>#DIV/0!</v>
      </c>
      <c r="BE30" s="23" t="e">
        <f t="shared" si="36"/>
        <v>#N/A</v>
      </c>
      <c r="BF30" s="23" t="e">
        <f t="shared" si="37"/>
        <v>#N/A</v>
      </c>
      <c r="BG30" s="23" t="e">
        <f t="shared" si="38"/>
        <v>#N/A</v>
      </c>
      <c r="BH30" s="23" t="e">
        <f t="shared" si="39"/>
        <v>#N/A</v>
      </c>
      <c r="BI30" s="23">
        <f t="shared" si="40"/>
        <v>24.183676086764649</v>
      </c>
    </row>
    <row r="31" spans="3:61" x14ac:dyDescent="0.3">
      <c r="C31" s="3" t="s">
        <v>17</v>
      </c>
      <c r="D31" s="9">
        <f>DEGREES(ATAN(((D29-D8)/(D28-D7))))</f>
        <v>27.276883535406075</v>
      </c>
      <c r="E31" s="3" t="s">
        <v>89</v>
      </c>
      <c r="F31" s="3" t="s">
        <v>151</v>
      </c>
      <c r="H31" s="3" t="s">
        <v>152</v>
      </c>
      <c r="I31" s="3">
        <f>SQRT((I28-I5)^2+(I29-I6)^2+(I30-I7)^2)</f>
        <v>767.19388854579768</v>
      </c>
      <c r="J31" s="3" t="s">
        <v>56</v>
      </c>
      <c r="K31" s="3" t="s">
        <v>153</v>
      </c>
      <c r="T31" s="22">
        <v>6</v>
      </c>
      <c r="U31" s="23">
        <f t="shared" si="0"/>
        <v>563.39614256204561</v>
      </c>
      <c r="V31" s="23">
        <f t="shared" si="1"/>
        <v>378.84019672383533</v>
      </c>
      <c r="W31" s="23">
        <f t="shared" si="2"/>
        <v>340.19691840757753</v>
      </c>
      <c r="X31" s="23">
        <f t="shared" si="3"/>
        <v>31.715116882136485</v>
      </c>
      <c r="Y31" s="23">
        <f t="shared" si="4"/>
        <v>31.809843798777795</v>
      </c>
      <c r="Z31" s="23">
        <f t="shared" si="5"/>
        <v>-9.4726916641310055E-2</v>
      </c>
      <c r="AA31" s="23">
        <f t="shared" si="6"/>
        <v>575.1374306284813</v>
      </c>
      <c r="AB31" s="23">
        <f t="shared" si="7"/>
        <v>199.50213006050535</v>
      </c>
      <c r="AC31" s="23">
        <f t="shared" si="8"/>
        <v>3.7458167781684293</v>
      </c>
      <c r="AD31" s="23">
        <f t="shared" si="9"/>
        <v>3.7458167781684293</v>
      </c>
      <c r="AE31" s="23">
        <f t="shared" si="10"/>
        <v>5.5555555555555552E-2</v>
      </c>
      <c r="AF31" s="23">
        <f t="shared" si="11"/>
        <v>-6.5229378146864928E-2</v>
      </c>
      <c r="AG31" s="23">
        <f t="shared" si="12"/>
        <v>0.99632259257405542</v>
      </c>
      <c r="AH31" s="23">
        <f t="shared" si="13"/>
        <v>0.94526583628170391</v>
      </c>
      <c r="AI31" s="23">
        <f t="shared" si="14"/>
        <v>0</v>
      </c>
      <c r="AJ31" s="23">
        <f t="shared" si="15"/>
        <v>0</v>
      </c>
      <c r="AK31" s="23">
        <f t="shared" si="16"/>
        <v>0</v>
      </c>
      <c r="AL31" s="23">
        <f t="shared" si="17"/>
        <v>0</v>
      </c>
      <c r="AM31" s="23">
        <f t="shared" si="18"/>
        <v>0</v>
      </c>
      <c r="AN31" s="23">
        <f t="shared" si="19"/>
        <v>0</v>
      </c>
      <c r="AO31" s="23">
        <f t="shared" si="20"/>
        <v>0</v>
      </c>
      <c r="AP31" s="23">
        <f t="shared" si="21"/>
        <v>0</v>
      </c>
      <c r="AQ31" s="23">
        <f t="shared" si="22"/>
        <v>0</v>
      </c>
      <c r="AR31" s="23">
        <f t="shared" si="23"/>
        <v>0</v>
      </c>
      <c r="AS31" s="23">
        <f t="shared" si="24"/>
        <v>0</v>
      </c>
      <c r="AT31" s="23">
        <f t="shared" si="25"/>
        <v>480</v>
      </c>
      <c r="AU31" s="23">
        <f t="shared" si="26"/>
        <v>575.1374306284813</v>
      </c>
      <c r="AV31" s="23">
        <f t="shared" si="27"/>
        <v>199.50213006050535</v>
      </c>
      <c r="AW31" s="23">
        <f t="shared" si="28"/>
        <v>480</v>
      </c>
      <c r="AX31" s="23">
        <f t="shared" si="29"/>
        <v>575.1374306284813</v>
      </c>
      <c r="AY31" s="23">
        <f t="shared" si="30"/>
        <v>199.50213006050535</v>
      </c>
      <c r="AZ31" s="22">
        <f t="shared" si="31"/>
        <v>0</v>
      </c>
      <c r="BA31" s="22">
        <f t="shared" si="32"/>
        <v>0</v>
      </c>
      <c r="BB31" s="22">
        <f t="shared" si="33"/>
        <v>-12397.70138658816</v>
      </c>
      <c r="BC31" s="22">
        <f t="shared" si="34"/>
        <v>0</v>
      </c>
      <c r="BD31" s="23" t="e">
        <f t="shared" si="35"/>
        <v>#DIV/0!</v>
      </c>
      <c r="BE31" s="23" t="e">
        <f t="shared" si="36"/>
        <v>#N/A</v>
      </c>
      <c r="BF31" s="23" t="e">
        <f t="shared" si="37"/>
        <v>#N/A</v>
      </c>
      <c r="BG31" s="23" t="e">
        <f t="shared" si="38"/>
        <v>#N/A</v>
      </c>
      <c r="BH31" s="23" t="e">
        <f t="shared" si="39"/>
        <v>#N/A</v>
      </c>
      <c r="BI31" s="23">
        <f t="shared" si="40"/>
        <v>29.009489794267097</v>
      </c>
    </row>
    <row r="32" spans="3:61" x14ac:dyDescent="0.3">
      <c r="C32" s="3" t="s">
        <v>18</v>
      </c>
      <c r="D32" s="9">
        <f>DEGREES(ACOS((D23^2 + D30^2 - D27^2)/(2*D23*D30)))</f>
        <v>32.900103529648661</v>
      </c>
      <c r="E32" s="3" t="s">
        <v>89</v>
      </c>
      <c r="F32" s="3" t="s">
        <v>154</v>
      </c>
      <c r="H32" s="3" t="s">
        <v>155</v>
      </c>
      <c r="I32" s="3">
        <f>SQRT(I8^2+I9^2+I10^2)</f>
        <v>0</v>
      </c>
      <c r="J32" s="3" t="s">
        <v>56</v>
      </c>
      <c r="K32" s="3" t="s">
        <v>156</v>
      </c>
      <c r="T32" s="22">
        <v>7</v>
      </c>
      <c r="U32" s="23">
        <f t="shared" si="0"/>
        <v>562.85101986551024</v>
      </c>
      <c r="V32" s="23">
        <f t="shared" si="1"/>
        <v>383.62467722699927</v>
      </c>
      <c r="W32" s="23">
        <f t="shared" si="2"/>
        <v>342.27610749812067</v>
      </c>
      <c r="X32" s="23">
        <f t="shared" si="3"/>
        <v>32.444414714222283</v>
      </c>
      <c r="Y32" s="23">
        <f t="shared" si="4"/>
        <v>31.622247167987378</v>
      </c>
      <c r="Z32" s="23">
        <f t="shared" si="5"/>
        <v>0.82216754623490473</v>
      </c>
      <c r="AA32" s="23">
        <f t="shared" si="6"/>
        <v>575.10683922327576</v>
      </c>
      <c r="AB32" s="23">
        <f t="shared" si="7"/>
        <v>204.32103841319878</v>
      </c>
      <c r="AC32" s="23">
        <f t="shared" si="8"/>
        <v>3.9102173525811561</v>
      </c>
      <c r="AD32" s="23">
        <f t="shared" si="9"/>
        <v>3.9102173525811561</v>
      </c>
      <c r="AE32" s="23">
        <f t="shared" si="10"/>
        <v>5.5555555555555552E-2</v>
      </c>
      <c r="AF32" s="23">
        <f t="shared" si="11"/>
        <v>-6.8087885320919542E-2</v>
      </c>
      <c r="AG32" s="23">
        <f t="shared" si="12"/>
        <v>0.99613132674333604</v>
      </c>
      <c r="AH32" s="23">
        <f t="shared" si="13"/>
        <v>1.1096664106944307</v>
      </c>
      <c r="AI32" s="23">
        <f t="shared" si="14"/>
        <v>0</v>
      </c>
      <c r="AJ32" s="23">
        <f t="shared" si="15"/>
        <v>0</v>
      </c>
      <c r="AK32" s="23">
        <f t="shared" si="16"/>
        <v>0</v>
      </c>
      <c r="AL32" s="23">
        <f t="shared" si="17"/>
        <v>0</v>
      </c>
      <c r="AM32" s="23">
        <f t="shared" si="18"/>
        <v>0</v>
      </c>
      <c r="AN32" s="23">
        <f t="shared" si="19"/>
        <v>0</v>
      </c>
      <c r="AO32" s="23">
        <f t="shared" si="20"/>
        <v>0</v>
      </c>
      <c r="AP32" s="23">
        <f t="shared" si="21"/>
        <v>0</v>
      </c>
      <c r="AQ32" s="23">
        <f t="shared" si="22"/>
        <v>0</v>
      </c>
      <c r="AR32" s="23">
        <f t="shared" si="23"/>
        <v>0</v>
      </c>
      <c r="AS32" s="23">
        <f t="shared" si="24"/>
        <v>0</v>
      </c>
      <c r="AT32" s="23">
        <f t="shared" si="25"/>
        <v>480</v>
      </c>
      <c r="AU32" s="23">
        <f t="shared" si="26"/>
        <v>575.10683922327576</v>
      </c>
      <c r="AV32" s="23">
        <f t="shared" si="27"/>
        <v>204.32103841319878</v>
      </c>
      <c r="AW32" s="23">
        <f t="shared" si="28"/>
        <v>480</v>
      </c>
      <c r="AX32" s="23">
        <f t="shared" si="29"/>
        <v>575.10683922327576</v>
      </c>
      <c r="AY32" s="23">
        <f t="shared" si="30"/>
        <v>204.32103841319878</v>
      </c>
      <c r="AZ32" s="22">
        <f t="shared" si="31"/>
        <v>0</v>
      </c>
      <c r="BA32" s="22">
        <f t="shared" si="32"/>
        <v>0</v>
      </c>
      <c r="BB32" s="22">
        <f t="shared" si="33"/>
        <v>-14308.500637612771</v>
      </c>
      <c r="BC32" s="22">
        <f t="shared" si="34"/>
        <v>0</v>
      </c>
      <c r="BD32" s="23" t="e">
        <f t="shared" si="35"/>
        <v>#DIV/0!</v>
      </c>
      <c r="BE32" s="23" t="e">
        <f t="shared" si="36"/>
        <v>#N/A</v>
      </c>
      <c r="BF32" s="23" t="e">
        <f t="shared" si="37"/>
        <v>#N/A</v>
      </c>
      <c r="BG32" s="23" t="e">
        <f t="shared" si="38"/>
        <v>#N/A</v>
      </c>
      <c r="BH32" s="23" t="e">
        <f t="shared" si="39"/>
        <v>#N/A</v>
      </c>
      <c r="BI32" s="23">
        <f t="shared" si="40"/>
        <v>33.828398146960524</v>
      </c>
    </row>
    <row r="33" spans="3:61" x14ac:dyDescent="0.3">
      <c r="C33" s="3" t="s">
        <v>157</v>
      </c>
      <c r="D33" s="3">
        <v>-1</v>
      </c>
      <c r="E33" s="3" t="s">
        <v>95</v>
      </c>
      <c r="F33" s="3" t="s">
        <v>158</v>
      </c>
      <c r="H33" s="4" t="s">
        <v>24</v>
      </c>
      <c r="I33" s="11">
        <f>D26/D11</f>
        <v>5.5555555555555552E-2</v>
      </c>
      <c r="J33" s="4" t="s">
        <v>56</v>
      </c>
      <c r="K33" s="4" t="s">
        <v>159</v>
      </c>
      <c r="T33" s="22">
        <v>8</v>
      </c>
      <c r="U33" s="23">
        <f t="shared" si="0"/>
        <v>562.22247949546954</v>
      </c>
      <c r="V33" s="23">
        <f t="shared" si="1"/>
        <v>388.39891532775033</v>
      </c>
      <c r="W33" s="23">
        <f t="shared" si="2"/>
        <v>344.33464679463958</v>
      </c>
      <c r="X33" s="23">
        <f t="shared" si="3"/>
        <v>33.170957153750201</v>
      </c>
      <c r="Y33" s="23">
        <f t="shared" si="4"/>
        <v>31.433263275394847</v>
      </c>
      <c r="Z33" s="23">
        <f t="shared" si="5"/>
        <v>1.7376938783553548</v>
      </c>
      <c r="AA33" s="23">
        <f t="shared" si="6"/>
        <v>574.99935700342564</v>
      </c>
      <c r="AB33" s="23">
        <f t="shared" si="7"/>
        <v>209.13165283638889</v>
      </c>
      <c r="AC33" s="23">
        <f t="shared" si="8"/>
        <v>4.0767362294008773</v>
      </c>
      <c r="AD33" s="23">
        <f t="shared" si="9"/>
        <v>4.0767362294008773</v>
      </c>
      <c r="AE33" s="23">
        <f t="shared" si="10"/>
        <v>5.5555555555555552E-2</v>
      </c>
      <c r="AF33" s="23">
        <f t="shared" si="11"/>
        <v>-7.098265282197834E-2</v>
      </c>
      <c r="AG33" s="23">
        <f t="shared" si="12"/>
        <v>0.99592923606311912</v>
      </c>
      <c r="AH33" s="23">
        <f t="shared" si="13"/>
        <v>1.2761852875141519</v>
      </c>
      <c r="AI33" s="23">
        <f t="shared" si="14"/>
        <v>0</v>
      </c>
      <c r="AJ33" s="23">
        <f t="shared" si="15"/>
        <v>0</v>
      </c>
      <c r="AK33" s="23">
        <f t="shared" si="16"/>
        <v>0</v>
      </c>
      <c r="AL33" s="23">
        <f t="shared" si="17"/>
        <v>0</v>
      </c>
      <c r="AM33" s="23">
        <f t="shared" si="18"/>
        <v>0</v>
      </c>
      <c r="AN33" s="23">
        <f t="shared" si="19"/>
        <v>0</v>
      </c>
      <c r="AO33" s="23">
        <f t="shared" si="20"/>
        <v>0</v>
      </c>
      <c r="AP33" s="23">
        <f t="shared" si="21"/>
        <v>0</v>
      </c>
      <c r="AQ33" s="23">
        <f t="shared" si="22"/>
        <v>0</v>
      </c>
      <c r="AR33" s="23">
        <f t="shared" si="23"/>
        <v>0</v>
      </c>
      <c r="AS33" s="23">
        <f t="shared" si="24"/>
        <v>0</v>
      </c>
      <c r="AT33" s="23">
        <f t="shared" si="25"/>
        <v>480</v>
      </c>
      <c r="AU33" s="23">
        <f t="shared" si="26"/>
        <v>574.99935700342564</v>
      </c>
      <c r="AV33" s="23">
        <f t="shared" si="27"/>
        <v>209.13165283638889</v>
      </c>
      <c r="AW33" s="23">
        <f t="shared" si="28"/>
        <v>480</v>
      </c>
      <c r="AX33" s="23">
        <f t="shared" si="29"/>
        <v>574.99935700342564</v>
      </c>
      <c r="AY33" s="23">
        <f t="shared" si="30"/>
        <v>209.13165283638889</v>
      </c>
      <c r="AZ33" s="22">
        <f t="shared" si="31"/>
        <v>0</v>
      </c>
      <c r="BA33" s="22">
        <f t="shared" si="32"/>
        <v>0</v>
      </c>
      <c r="BB33" s="22">
        <f t="shared" si="33"/>
        <v>-16173.84615041106</v>
      </c>
      <c r="BC33" s="22">
        <f t="shared" si="34"/>
        <v>0</v>
      </c>
      <c r="BD33" s="23" t="e">
        <f t="shared" si="35"/>
        <v>#DIV/0!</v>
      </c>
      <c r="BE33" s="23" t="e">
        <f t="shared" si="36"/>
        <v>#N/A</v>
      </c>
      <c r="BF33" s="23" t="e">
        <f t="shared" si="37"/>
        <v>#N/A</v>
      </c>
      <c r="BG33" s="23" t="e">
        <f t="shared" si="38"/>
        <v>#N/A</v>
      </c>
      <c r="BH33" s="23" t="e">
        <f t="shared" si="39"/>
        <v>#N/A</v>
      </c>
      <c r="BI33" s="23">
        <f t="shared" si="40"/>
        <v>38.639012570150641</v>
      </c>
    </row>
    <row r="34" spans="3:61" x14ac:dyDescent="0.3">
      <c r="C34" s="3" t="s">
        <v>19</v>
      </c>
      <c r="D34" s="9">
        <f>D31+(D33*D32)</f>
        <v>-5.6232199942425858</v>
      </c>
      <c r="E34" s="3" t="s">
        <v>89</v>
      </c>
      <c r="F34" s="3" t="s">
        <v>160</v>
      </c>
      <c r="H34" s="4" t="s">
        <v>25</v>
      </c>
      <c r="I34" s="11">
        <f>(D28-D35)/D11</f>
        <v>-4.8783915525588223E-2</v>
      </c>
      <c r="J34" s="4" t="s">
        <v>56</v>
      </c>
      <c r="K34" s="4" t="s">
        <v>161</v>
      </c>
      <c r="T34" s="22">
        <v>9</v>
      </c>
      <c r="U34" s="23">
        <f t="shared" si="0"/>
        <v>561.51071291140875</v>
      </c>
      <c r="V34" s="23">
        <f t="shared" si="1"/>
        <v>393.16145674691387</v>
      </c>
      <c r="W34" s="23">
        <f t="shared" si="2"/>
        <v>346.37228297226147</v>
      </c>
      <c r="X34" s="23">
        <f t="shared" si="3"/>
        <v>33.894820503811211</v>
      </c>
      <c r="Y34" s="23">
        <f t="shared" si="4"/>
        <v>31.242999213361333</v>
      </c>
      <c r="Z34" s="23">
        <f t="shared" si="5"/>
        <v>2.6518212904498775</v>
      </c>
      <c r="AA34" s="23">
        <f t="shared" si="6"/>
        <v>574.81536347838801</v>
      </c>
      <c r="AB34" s="23">
        <f t="shared" si="7"/>
        <v>213.93259112172905</v>
      </c>
      <c r="AC34" s="23">
        <f t="shared" si="8"/>
        <v>4.2454362214232475</v>
      </c>
      <c r="AD34" s="23">
        <f t="shared" si="9"/>
        <v>4.2454362214232475</v>
      </c>
      <c r="AE34" s="23">
        <f t="shared" si="10"/>
        <v>5.5555555555555552E-2</v>
      </c>
      <c r="AF34" s="23">
        <f t="shared" si="11"/>
        <v>-7.3914725372107012E-2</v>
      </c>
      <c r="AG34" s="23">
        <f t="shared" si="12"/>
        <v>0.99571592013991572</v>
      </c>
      <c r="AH34" s="23">
        <f t="shared" si="13"/>
        <v>1.4448852795365221</v>
      </c>
      <c r="AI34" s="23">
        <f t="shared" si="14"/>
        <v>0</v>
      </c>
      <c r="AJ34" s="23">
        <f t="shared" si="15"/>
        <v>0</v>
      </c>
      <c r="AK34" s="23">
        <f t="shared" si="16"/>
        <v>0</v>
      </c>
      <c r="AL34" s="23">
        <f t="shared" si="17"/>
        <v>0</v>
      </c>
      <c r="AM34" s="23">
        <f t="shared" si="18"/>
        <v>0</v>
      </c>
      <c r="AN34" s="23">
        <f t="shared" si="19"/>
        <v>0</v>
      </c>
      <c r="AO34" s="23">
        <f t="shared" si="20"/>
        <v>0</v>
      </c>
      <c r="AP34" s="23">
        <f t="shared" si="21"/>
        <v>0</v>
      </c>
      <c r="AQ34" s="23">
        <f t="shared" si="22"/>
        <v>0</v>
      </c>
      <c r="AR34" s="23">
        <f t="shared" si="23"/>
        <v>0</v>
      </c>
      <c r="AS34" s="23">
        <f t="shared" si="24"/>
        <v>0</v>
      </c>
      <c r="AT34" s="23">
        <f t="shared" si="25"/>
        <v>480</v>
      </c>
      <c r="AU34" s="23">
        <f t="shared" si="26"/>
        <v>574.81536347838801</v>
      </c>
      <c r="AV34" s="23">
        <f t="shared" si="27"/>
        <v>213.93259112172905</v>
      </c>
      <c r="AW34" s="23">
        <f t="shared" si="28"/>
        <v>480</v>
      </c>
      <c r="AX34" s="23">
        <f t="shared" si="29"/>
        <v>574.81536347838801</v>
      </c>
      <c r="AY34" s="23">
        <f t="shared" si="30"/>
        <v>213.93259112172905</v>
      </c>
      <c r="AZ34" s="22">
        <f t="shared" si="31"/>
        <v>0</v>
      </c>
      <c r="BA34" s="22">
        <f t="shared" si="32"/>
        <v>0</v>
      </c>
      <c r="BB34" s="22">
        <f t="shared" si="33"/>
        <v>-17993.393012826447</v>
      </c>
      <c r="BC34" s="22">
        <f t="shared" si="34"/>
        <v>0</v>
      </c>
      <c r="BD34" s="23" t="e">
        <f t="shared" si="35"/>
        <v>#DIV/0!</v>
      </c>
      <c r="BE34" s="23" t="e">
        <f t="shared" si="36"/>
        <v>#N/A</v>
      </c>
      <c r="BF34" s="23" t="e">
        <f t="shared" si="37"/>
        <v>#N/A</v>
      </c>
      <c r="BG34" s="23" t="e">
        <f t="shared" si="38"/>
        <v>#N/A</v>
      </c>
      <c r="BH34" s="23" t="e">
        <f t="shared" si="39"/>
        <v>#N/A</v>
      </c>
      <c r="BI34" s="23">
        <f t="shared" si="40"/>
        <v>43.439950855490792</v>
      </c>
    </row>
    <row r="35" spans="3:61" x14ac:dyDescent="0.3">
      <c r="C35" s="3" t="s">
        <v>20</v>
      </c>
      <c r="D35" s="9">
        <f>D7+(D23)*(COS(RADIANS(D34)))</f>
        <v>573.68869802103382</v>
      </c>
      <c r="E35" s="3" t="s">
        <v>56</v>
      </c>
      <c r="F35" s="3" t="s">
        <v>162</v>
      </c>
      <c r="H35" s="4" t="s">
        <v>26</v>
      </c>
      <c r="I35" s="11">
        <f>(D29-D36)/D11</f>
        <v>0.9972631096320097</v>
      </c>
      <c r="J35" s="4" t="s">
        <v>56</v>
      </c>
      <c r="K35" s="4" t="s">
        <v>163</v>
      </c>
      <c r="T35" s="22">
        <v>10</v>
      </c>
      <c r="U35" s="23">
        <f t="shared" si="0"/>
        <v>560.71593692432475</v>
      </c>
      <c r="V35" s="23">
        <f t="shared" si="1"/>
        <v>397.91085076823788</v>
      </c>
      <c r="W35" s="23">
        <f t="shared" si="2"/>
        <v>348.38876752587919</v>
      </c>
      <c r="X35" s="23">
        <f t="shared" si="3"/>
        <v>34.616078794033754</v>
      </c>
      <c r="Y35" s="23">
        <f t="shared" si="4"/>
        <v>31.051560787245958</v>
      </c>
      <c r="Z35" s="23">
        <f t="shared" si="5"/>
        <v>3.5645180067877966</v>
      </c>
      <c r="AA35" s="23">
        <f t="shared" si="6"/>
        <v>574.55526749156354</v>
      </c>
      <c r="AB35" s="23">
        <f t="shared" si="7"/>
        <v>218.72247801640253</v>
      </c>
      <c r="AC35" s="23">
        <f t="shared" si="8"/>
        <v>4.416381596810858</v>
      </c>
      <c r="AD35" s="23">
        <f t="shared" si="9"/>
        <v>4.416381596810858</v>
      </c>
      <c r="AE35" s="23">
        <f t="shared" si="10"/>
        <v>5.5555555555555552E-2</v>
      </c>
      <c r="AF35" s="23">
        <f t="shared" si="11"/>
        <v>-7.6885169817993274E-2</v>
      </c>
      <c r="AG35" s="23">
        <f t="shared" si="12"/>
        <v>0.99549095973241863</v>
      </c>
      <c r="AH35" s="23">
        <f t="shared" si="13"/>
        <v>1.6158306549241326</v>
      </c>
      <c r="AI35" s="23">
        <f t="shared" si="14"/>
        <v>0</v>
      </c>
      <c r="AJ35" s="23">
        <f t="shared" si="15"/>
        <v>0</v>
      </c>
      <c r="AK35" s="23">
        <f t="shared" si="16"/>
        <v>0</v>
      </c>
      <c r="AL35" s="23">
        <f t="shared" si="17"/>
        <v>0</v>
      </c>
      <c r="AM35" s="23">
        <f t="shared" si="18"/>
        <v>0</v>
      </c>
      <c r="AN35" s="23">
        <f t="shared" si="19"/>
        <v>0</v>
      </c>
      <c r="AO35" s="23">
        <f t="shared" si="20"/>
        <v>0</v>
      </c>
      <c r="AP35" s="23">
        <f t="shared" si="21"/>
        <v>0</v>
      </c>
      <c r="AQ35" s="23">
        <f t="shared" si="22"/>
        <v>0</v>
      </c>
      <c r="AR35" s="23">
        <f t="shared" si="23"/>
        <v>0</v>
      </c>
      <c r="AS35" s="23">
        <f t="shared" si="24"/>
        <v>0</v>
      </c>
      <c r="AT35" s="23">
        <f t="shared" si="25"/>
        <v>480</v>
      </c>
      <c r="AU35" s="23">
        <f t="shared" si="26"/>
        <v>574.55526749156354</v>
      </c>
      <c r="AV35" s="23">
        <f t="shared" si="27"/>
        <v>218.72247801640253</v>
      </c>
      <c r="AW35" s="23">
        <f t="shared" si="28"/>
        <v>480</v>
      </c>
      <c r="AX35" s="23">
        <f t="shared" si="29"/>
        <v>574.55526749156354</v>
      </c>
      <c r="AY35" s="23">
        <f t="shared" si="30"/>
        <v>218.72247801640253</v>
      </c>
      <c r="AZ35" s="22">
        <f t="shared" si="31"/>
        <v>0</v>
      </c>
      <c r="BA35" s="22">
        <f t="shared" si="32"/>
        <v>0</v>
      </c>
      <c r="BB35" s="22">
        <f t="shared" si="33"/>
        <v>-19766.815169916023</v>
      </c>
      <c r="BC35" s="22">
        <f t="shared" si="34"/>
        <v>0</v>
      </c>
      <c r="BD35" s="23" t="e">
        <f t="shared" si="35"/>
        <v>#DIV/0!</v>
      </c>
      <c r="BE35" s="23" t="e">
        <f t="shared" si="36"/>
        <v>#N/A</v>
      </c>
      <c r="BF35" s="23" t="e">
        <f t="shared" si="37"/>
        <v>#N/A</v>
      </c>
      <c r="BG35" s="23" t="e">
        <f t="shared" si="38"/>
        <v>#N/A</v>
      </c>
      <c r="BH35" s="23" t="e">
        <f t="shared" si="39"/>
        <v>#N/A</v>
      </c>
      <c r="BI35" s="23">
        <f t="shared" si="40"/>
        <v>48.229837750164279</v>
      </c>
    </row>
    <row r="36" spans="3:61" x14ac:dyDescent="0.3">
      <c r="C36" s="3" t="s">
        <v>21</v>
      </c>
      <c r="D36" s="9">
        <f>D8+(D23)*(SIN(RADIANS(D34)))</f>
        <v>170.49264026623825</v>
      </c>
      <c r="E36" s="3" t="s">
        <v>56</v>
      </c>
      <c r="F36" s="3" t="s">
        <v>164</v>
      </c>
      <c r="H36" s="4" t="s">
        <v>165</v>
      </c>
      <c r="I36" s="4">
        <f>-DEGREES(ATAN((I17-I23)/(I18-I24)))</f>
        <v>2.8005509418867254</v>
      </c>
      <c r="J36" s="4" t="s">
        <v>89</v>
      </c>
      <c r="K36" s="4" t="s">
        <v>166</v>
      </c>
      <c r="T36" s="22">
        <v>11</v>
      </c>
      <c r="U36" s="23">
        <f t="shared" si="0"/>
        <v>559.83839363068216</v>
      </c>
      <c r="V36" s="23">
        <f t="shared" si="1"/>
        <v>402.64565068029509</v>
      </c>
      <c r="W36" s="23">
        <f t="shared" si="2"/>
        <v>350.38385666724002</v>
      </c>
      <c r="X36" s="23">
        <f t="shared" si="3"/>
        <v>35.334803867452464</v>
      </c>
      <c r="Y36" s="23">
        <f t="shared" si="4"/>
        <v>30.859052621204508</v>
      </c>
      <c r="Z36" s="23">
        <f t="shared" si="5"/>
        <v>4.4757512462479561</v>
      </c>
      <c r="AA36" s="23">
        <f t="shared" si="6"/>
        <v>574.21950727181115</v>
      </c>
      <c r="AB36" s="23">
        <f t="shared" si="7"/>
        <v>223.49994581846786</v>
      </c>
      <c r="AC36" s="23">
        <f t="shared" si="8"/>
        <v>4.5896381293653992</v>
      </c>
      <c r="AD36" s="23">
        <f t="shared" si="9"/>
        <v>4.5896381293653992</v>
      </c>
      <c r="AE36" s="23">
        <f t="shared" si="10"/>
        <v>5.5555555555555552E-2</v>
      </c>
      <c r="AF36" s="23">
        <f t="shared" si="11"/>
        <v>-7.9895075784049946E-2</v>
      </c>
      <c r="AG36" s="23">
        <f t="shared" si="12"/>
        <v>0.99525391589904011</v>
      </c>
      <c r="AH36" s="23">
        <f t="shared" si="13"/>
        <v>1.7890871874786738</v>
      </c>
      <c r="AI36" s="23">
        <f t="shared" si="14"/>
        <v>0</v>
      </c>
      <c r="AJ36" s="23">
        <f t="shared" si="15"/>
        <v>0</v>
      </c>
      <c r="AK36" s="23">
        <f t="shared" si="16"/>
        <v>0</v>
      </c>
      <c r="AL36" s="23">
        <f t="shared" si="17"/>
        <v>0</v>
      </c>
      <c r="AM36" s="23">
        <f t="shared" si="18"/>
        <v>0</v>
      </c>
      <c r="AN36" s="23">
        <f t="shared" si="19"/>
        <v>0</v>
      </c>
      <c r="AO36" s="23">
        <f t="shared" si="20"/>
        <v>0</v>
      </c>
      <c r="AP36" s="23">
        <f t="shared" si="21"/>
        <v>0</v>
      </c>
      <c r="AQ36" s="23">
        <f t="shared" si="22"/>
        <v>0</v>
      </c>
      <c r="AR36" s="23">
        <f t="shared" si="23"/>
        <v>0</v>
      </c>
      <c r="AS36" s="23">
        <f t="shared" si="24"/>
        <v>0</v>
      </c>
      <c r="AT36" s="23">
        <f t="shared" si="25"/>
        <v>480</v>
      </c>
      <c r="AU36" s="23">
        <f t="shared" si="26"/>
        <v>574.21950727181115</v>
      </c>
      <c r="AV36" s="23">
        <f t="shared" si="27"/>
        <v>223.49994581846786</v>
      </c>
      <c r="AW36" s="23">
        <f t="shared" si="28"/>
        <v>480</v>
      </c>
      <c r="AX36" s="23">
        <f t="shared" si="29"/>
        <v>574.21950727181115</v>
      </c>
      <c r="AY36" s="23">
        <f t="shared" si="30"/>
        <v>223.49994581846786</v>
      </c>
      <c r="AZ36" s="22">
        <f t="shared" si="31"/>
        <v>0</v>
      </c>
      <c r="BA36" s="22">
        <f t="shared" si="32"/>
        <v>0</v>
      </c>
      <c r="BB36" s="22">
        <f t="shared" si="33"/>
        <v>-21493.80569031788</v>
      </c>
      <c r="BC36" s="22">
        <f t="shared" si="34"/>
        <v>0</v>
      </c>
      <c r="BD36" s="23" t="e">
        <f t="shared" si="35"/>
        <v>#DIV/0!</v>
      </c>
      <c r="BE36" s="23" t="e">
        <f t="shared" si="36"/>
        <v>#N/A</v>
      </c>
      <c r="BF36" s="23" t="e">
        <f t="shared" si="37"/>
        <v>#N/A</v>
      </c>
      <c r="BG36" s="23" t="e">
        <f t="shared" si="38"/>
        <v>#N/A</v>
      </c>
      <c r="BH36" s="23" t="e">
        <f t="shared" si="39"/>
        <v>#N/A</v>
      </c>
      <c r="BI36" s="23">
        <f t="shared" si="40"/>
        <v>53.00730555222961</v>
      </c>
    </row>
    <row r="37" spans="3:61" x14ac:dyDescent="0.3">
      <c r="H37" s="4" t="s">
        <v>167</v>
      </c>
      <c r="I37" s="11">
        <f>D41</f>
        <v>2.8005509418867254</v>
      </c>
      <c r="J37" s="4" t="s">
        <v>89</v>
      </c>
      <c r="K37" s="4" t="s">
        <v>168</v>
      </c>
      <c r="T37" s="22">
        <v>12</v>
      </c>
      <c r="U37" s="23">
        <f t="shared" si="0"/>
        <v>558.87835033866918</v>
      </c>
      <c r="V37" s="23">
        <f t="shared" si="1"/>
        <v>407.36441421716518</v>
      </c>
      <c r="W37" s="23">
        <f t="shared" si="2"/>
        <v>352.3573112272677</v>
      </c>
      <c r="X37" s="23">
        <f t="shared" si="3"/>
        <v>36.051065463797109</v>
      </c>
      <c r="Y37" s="23">
        <f t="shared" si="4"/>
        <v>30.665578260809578</v>
      </c>
      <c r="Z37" s="23">
        <f t="shared" si="5"/>
        <v>5.3854872029875303</v>
      </c>
      <c r="AA37" s="23">
        <f t="shared" si="6"/>
        <v>573.8085504748019</v>
      </c>
      <c r="AB37" s="23">
        <f t="shared" si="7"/>
        <v>228.26363497850576</v>
      </c>
      <c r="AC37" s="23">
        <f t="shared" si="8"/>
        <v>4.7652731488965072</v>
      </c>
      <c r="AD37" s="23">
        <f t="shared" si="9"/>
        <v>4.7652731488965072</v>
      </c>
      <c r="AE37" s="23">
        <f t="shared" si="10"/>
        <v>5.5555555555555552E-2</v>
      </c>
      <c r="AF37" s="23">
        <f t="shared" si="11"/>
        <v>-8.2945556311848481E-2</v>
      </c>
      <c r="AG37" s="23">
        <f t="shared" si="12"/>
        <v>0.99500432910366343</v>
      </c>
      <c r="AH37" s="23">
        <f t="shared" si="13"/>
        <v>1.9647222070097818</v>
      </c>
      <c r="AI37" s="23">
        <f t="shared" si="14"/>
        <v>0</v>
      </c>
      <c r="AJ37" s="23">
        <f t="shared" si="15"/>
        <v>0</v>
      </c>
      <c r="AK37" s="23">
        <f t="shared" si="16"/>
        <v>0</v>
      </c>
      <c r="AL37" s="23">
        <f t="shared" si="17"/>
        <v>0</v>
      </c>
      <c r="AM37" s="23">
        <f t="shared" si="18"/>
        <v>0</v>
      </c>
      <c r="AN37" s="23">
        <f t="shared" si="19"/>
        <v>0</v>
      </c>
      <c r="AO37" s="23">
        <f t="shared" si="20"/>
        <v>0</v>
      </c>
      <c r="AP37" s="23">
        <f t="shared" si="21"/>
        <v>0</v>
      </c>
      <c r="AQ37" s="23">
        <f t="shared" si="22"/>
        <v>0</v>
      </c>
      <c r="AR37" s="23">
        <f t="shared" si="23"/>
        <v>0</v>
      </c>
      <c r="AS37" s="23">
        <f t="shared" si="24"/>
        <v>0</v>
      </c>
      <c r="AT37" s="23">
        <f t="shared" si="25"/>
        <v>480</v>
      </c>
      <c r="AU37" s="23">
        <f t="shared" si="26"/>
        <v>573.8085504748019</v>
      </c>
      <c r="AV37" s="23">
        <f t="shared" si="27"/>
        <v>228.26363497850576</v>
      </c>
      <c r="AW37" s="23">
        <f t="shared" si="28"/>
        <v>480</v>
      </c>
      <c r="AX37" s="23">
        <f t="shared" si="29"/>
        <v>573.8085504748019</v>
      </c>
      <c r="AY37" s="23">
        <f t="shared" si="30"/>
        <v>228.26363497850576</v>
      </c>
      <c r="AZ37" s="22">
        <f t="shared" si="31"/>
        <v>0</v>
      </c>
      <c r="BA37" s="22">
        <f t="shared" si="32"/>
        <v>0</v>
      </c>
      <c r="BB37" s="22">
        <f t="shared" si="33"/>
        <v>-23174.077029571985</v>
      </c>
      <c r="BC37" s="22">
        <f t="shared" si="34"/>
        <v>0</v>
      </c>
      <c r="BD37" s="23" t="e">
        <f t="shared" si="35"/>
        <v>#DIV/0!</v>
      </c>
      <c r="BE37" s="23" t="e">
        <f t="shared" si="36"/>
        <v>#N/A</v>
      </c>
      <c r="BF37" s="23" t="e">
        <f t="shared" si="37"/>
        <v>#N/A</v>
      </c>
      <c r="BG37" s="23" t="e">
        <f t="shared" si="38"/>
        <v>#N/A</v>
      </c>
      <c r="BH37" s="23" t="e">
        <f t="shared" si="39"/>
        <v>#N/A</v>
      </c>
      <c r="BI37" s="23">
        <f t="shared" si="40"/>
        <v>57.770994712267509</v>
      </c>
    </row>
    <row r="38" spans="3:61" x14ac:dyDescent="0.3">
      <c r="C38" s="39" t="s">
        <v>169</v>
      </c>
      <c r="D38" s="40"/>
      <c r="E38" s="40"/>
      <c r="F38" s="40"/>
      <c r="H38" s="4" t="s">
        <v>27</v>
      </c>
      <c r="I38" s="11">
        <f>I37-I36</f>
        <v>0</v>
      </c>
      <c r="J38" s="4" t="s">
        <v>89</v>
      </c>
      <c r="K38" s="4" t="s">
        <v>170</v>
      </c>
      <c r="T38" s="22">
        <v>13</v>
      </c>
      <c r="U38" s="23">
        <f t="shared" si="0"/>
        <v>557.83609948677281</v>
      </c>
      <c r="V38" s="23">
        <f t="shared" si="1"/>
        <v>412.06570399776319</v>
      </c>
      <c r="W38" s="23">
        <f t="shared" si="2"/>
        <v>354.3088965633408</v>
      </c>
      <c r="X38" s="23">
        <f t="shared" si="3"/>
        <v>36.764931299362964</v>
      </c>
      <c r="Y38" s="23">
        <f t="shared" si="4"/>
        <v>30.471240272589355</v>
      </c>
      <c r="Z38" s="23">
        <f t="shared" si="5"/>
        <v>6.2936910267736081</v>
      </c>
      <c r="AA38" s="23">
        <f t="shared" si="6"/>
        <v>573.32289421389009</v>
      </c>
      <c r="AB38" s="23">
        <f t="shared" si="7"/>
        <v>233.01219470771844</v>
      </c>
      <c r="AC38" s="23">
        <f t="shared" si="8"/>
        <v>4.9433555916403105</v>
      </c>
      <c r="AD38" s="23">
        <f t="shared" si="9"/>
        <v>4.9433555916403105</v>
      </c>
      <c r="AE38" s="23">
        <f t="shared" si="10"/>
        <v>5.5555555555555552E-2</v>
      </c>
      <c r="AF38" s="23">
        <f t="shared" si="11"/>
        <v>-8.6037748483984919E-2</v>
      </c>
      <c r="AG38" s="23">
        <f t="shared" si="12"/>
        <v>0.99474171827802649</v>
      </c>
      <c r="AH38" s="23">
        <f t="shared" si="13"/>
        <v>2.1428046497535851</v>
      </c>
      <c r="AI38" s="23">
        <f t="shared" si="14"/>
        <v>0</v>
      </c>
      <c r="AJ38" s="23">
        <f t="shared" si="15"/>
        <v>0</v>
      </c>
      <c r="AK38" s="23">
        <f t="shared" si="16"/>
        <v>0</v>
      </c>
      <c r="AL38" s="23">
        <f t="shared" si="17"/>
        <v>0</v>
      </c>
      <c r="AM38" s="23">
        <f t="shared" si="18"/>
        <v>0</v>
      </c>
      <c r="AN38" s="23">
        <f t="shared" si="19"/>
        <v>0</v>
      </c>
      <c r="AO38" s="23">
        <f t="shared" si="20"/>
        <v>0</v>
      </c>
      <c r="AP38" s="23">
        <f t="shared" si="21"/>
        <v>0</v>
      </c>
      <c r="AQ38" s="23">
        <f t="shared" si="22"/>
        <v>0</v>
      </c>
      <c r="AR38" s="23">
        <f t="shared" si="23"/>
        <v>0</v>
      </c>
      <c r="AS38" s="23">
        <f t="shared" si="24"/>
        <v>0</v>
      </c>
      <c r="AT38" s="23">
        <f t="shared" si="25"/>
        <v>480</v>
      </c>
      <c r="AU38" s="23">
        <f t="shared" si="26"/>
        <v>573.32289421389009</v>
      </c>
      <c r="AV38" s="23">
        <f t="shared" si="27"/>
        <v>233.01219470771844</v>
      </c>
      <c r="AW38" s="23">
        <f t="shared" si="28"/>
        <v>480</v>
      </c>
      <c r="AX38" s="23">
        <f t="shared" si="29"/>
        <v>573.32289421389009</v>
      </c>
      <c r="AY38" s="23">
        <f t="shared" si="30"/>
        <v>233.01219470771844</v>
      </c>
      <c r="AZ38" s="22">
        <f t="shared" si="31"/>
        <v>0</v>
      </c>
      <c r="BA38" s="22">
        <f t="shared" si="32"/>
        <v>0</v>
      </c>
      <c r="BB38" s="22">
        <f t="shared" si="33"/>
        <v>-24807.361290277331</v>
      </c>
      <c r="BC38" s="22">
        <f t="shared" si="34"/>
        <v>0</v>
      </c>
      <c r="BD38" s="23" t="e">
        <f t="shared" si="35"/>
        <v>#DIV/0!</v>
      </c>
      <c r="BE38" s="23" t="e">
        <f t="shared" si="36"/>
        <v>#N/A</v>
      </c>
      <c r="BF38" s="23" t="e">
        <f t="shared" si="37"/>
        <v>#N/A</v>
      </c>
      <c r="BG38" s="23" t="e">
        <f t="shared" si="38"/>
        <v>#N/A</v>
      </c>
      <c r="BH38" s="23" t="e">
        <f t="shared" si="39"/>
        <v>#N/A</v>
      </c>
      <c r="BI38" s="23">
        <f t="shared" si="40"/>
        <v>62.519554441480182</v>
      </c>
    </row>
    <row r="39" spans="3:61" x14ac:dyDescent="0.3">
      <c r="C39" s="2" t="s">
        <v>105</v>
      </c>
      <c r="D39" s="2" t="s">
        <v>5</v>
      </c>
      <c r="E39" s="2" t="s">
        <v>6</v>
      </c>
      <c r="F39" s="2" t="s">
        <v>7</v>
      </c>
      <c r="H39" s="4" t="s">
        <v>171</v>
      </c>
      <c r="I39" s="4">
        <f>I8</f>
        <v>0</v>
      </c>
      <c r="J39" s="4" t="s">
        <v>56</v>
      </c>
      <c r="K39" s="4" t="s">
        <v>172</v>
      </c>
      <c r="T39" s="22">
        <v>14</v>
      </c>
      <c r="U39" s="23">
        <f t="shared" si="0"/>
        <v>556.71195855469909</v>
      </c>
      <c r="V39" s="23">
        <f t="shared" si="1"/>
        <v>416.7480879636795</v>
      </c>
      <c r="W39" s="23">
        <f t="shared" si="2"/>
        <v>356.23838247126719</v>
      </c>
      <c r="X39" s="23">
        <f t="shared" si="3"/>
        <v>37.476467143615544</v>
      </c>
      <c r="Y39" s="23">
        <f t="shared" si="4"/>
        <v>30.276140340570464</v>
      </c>
      <c r="Z39" s="23">
        <f t="shared" si="5"/>
        <v>7.2003268030450798</v>
      </c>
      <c r="AA39" s="23">
        <f t="shared" si="6"/>
        <v>572.76306508013863</v>
      </c>
      <c r="AB39" s="23">
        <f t="shared" si="7"/>
        <v>237.74428359262996</v>
      </c>
      <c r="AC39" s="23">
        <f t="shared" si="8"/>
        <v>5.1239560506697259</v>
      </c>
      <c r="AD39" s="23">
        <f t="shared" si="9"/>
        <v>5.1239560506697259</v>
      </c>
      <c r="AE39" s="23">
        <f t="shared" si="10"/>
        <v>5.5555555555555552E-2</v>
      </c>
      <c r="AF39" s="23">
        <f t="shared" si="11"/>
        <v>-8.9172814030219649E-2</v>
      </c>
      <c r="AG39" s="23">
        <f t="shared" si="12"/>
        <v>0.99446557983916406</v>
      </c>
      <c r="AH39" s="23">
        <f t="shared" si="13"/>
        <v>2.3234051087830005</v>
      </c>
      <c r="AI39" s="23">
        <f t="shared" si="14"/>
        <v>0</v>
      </c>
      <c r="AJ39" s="23">
        <f t="shared" si="15"/>
        <v>0</v>
      </c>
      <c r="AK39" s="23">
        <f t="shared" si="16"/>
        <v>0</v>
      </c>
      <c r="AL39" s="23">
        <f t="shared" si="17"/>
        <v>0</v>
      </c>
      <c r="AM39" s="23">
        <f t="shared" si="18"/>
        <v>0</v>
      </c>
      <c r="AN39" s="23">
        <f t="shared" si="19"/>
        <v>0</v>
      </c>
      <c r="AO39" s="23">
        <f t="shared" si="20"/>
        <v>0</v>
      </c>
      <c r="AP39" s="23">
        <f t="shared" si="21"/>
        <v>0</v>
      </c>
      <c r="AQ39" s="23">
        <f t="shared" si="22"/>
        <v>0</v>
      </c>
      <c r="AR39" s="23">
        <f t="shared" si="23"/>
        <v>0</v>
      </c>
      <c r="AS39" s="23">
        <f t="shared" si="24"/>
        <v>0</v>
      </c>
      <c r="AT39" s="23">
        <f t="shared" si="25"/>
        <v>480</v>
      </c>
      <c r="AU39" s="23">
        <f t="shared" si="26"/>
        <v>572.76306508013863</v>
      </c>
      <c r="AV39" s="23">
        <f t="shared" si="27"/>
        <v>237.74428359262996</v>
      </c>
      <c r="AW39" s="23">
        <f t="shared" si="28"/>
        <v>480</v>
      </c>
      <c r="AX39" s="23">
        <f t="shared" si="29"/>
        <v>572.76306508013863</v>
      </c>
      <c r="AY39" s="23">
        <f t="shared" si="30"/>
        <v>237.74428359262996</v>
      </c>
      <c r="AZ39" s="22">
        <f t="shared" si="31"/>
        <v>0</v>
      </c>
      <c r="BA39" s="22">
        <f t="shared" si="32"/>
        <v>0</v>
      </c>
      <c r="BB39" s="22">
        <f t="shared" si="33"/>
        <v>-26393.410478946287</v>
      </c>
      <c r="BC39" s="22">
        <f t="shared" si="34"/>
        <v>0</v>
      </c>
      <c r="BD39" s="23" t="e">
        <f t="shared" si="35"/>
        <v>#DIV/0!</v>
      </c>
      <c r="BE39" s="23" t="e">
        <f t="shared" si="36"/>
        <v>#N/A</v>
      </c>
      <c r="BF39" s="23" t="e">
        <f t="shared" si="37"/>
        <v>#N/A</v>
      </c>
      <c r="BG39" s="23" t="e">
        <f t="shared" si="38"/>
        <v>#N/A</v>
      </c>
      <c r="BH39" s="23" t="e">
        <f t="shared" si="39"/>
        <v>#N/A</v>
      </c>
      <c r="BI39" s="23">
        <f t="shared" si="40"/>
        <v>67.251643326391701</v>
      </c>
    </row>
    <row r="40" spans="3:61" x14ac:dyDescent="0.3">
      <c r="C40" s="6" t="s">
        <v>173</v>
      </c>
      <c r="D40" s="10">
        <f>DEGREES(ATAN(D26/(D29-D36)))</f>
        <v>3.1885388684489326</v>
      </c>
      <c r="E40" s="6" t="s">
        <v>89</v>
      </c>
      <c r="F40" s="6" t="s">
        <v>174</v>
      </c>
      <c r="H40" s="4" t="s">
        <v>175</v>
      </c>
      <c r="I40" s="4">
        <f>I9*COS(RADIANS(I38))-I10*SIN(RADIANS(I38))</f>
        <v>0</v>
      </c>
      <c r="J40" s="4" t="s">
        <v>56</v>
      </c>
      <c r="K40" s="4" t="s">
        <v>176</v>
      </c>
      <c r="T40" s="22">
        <v>15</v>
      </c>
      <c r="U40" s="23">
        <f t="shared" si="0"/>
        <v>555.50626996666551</v>
      </c>
      <c r="V40" s="23">
        <f t="shared" si="1"/>
        <v>421.41013981539879</v>
      </c>
      <c r="W40" s="23">
        <f t="shared" si="2"/>
        <v>358.1455431017111</v>
      </c>
      <c r="X40" s="23">
        <f t="shared" si="3"/>
        <v>38.185736892676545</v>
      </c>
      <c r="Y40" s="23">
        <f t="shared" si="4"/>
        <v>30.080379359897709</v>
      </c>
      <c r="Z40" s="23">
        <f t="shared" si="5"/>
        <v>8.1053575327788359</v>
      </c>
      <c r="AA40" s="23">
        <f t="shared" si="6"/>
        <v>572.12961915107769</v>
      </c>
      <c r="AB40" s="23">
        <f t="shared" si="7"/>
        <v>242.45857021654592</v>
      </c>
      <c r="AC40" s="23">
        <f t="shared" si="8"/>
        <v>5.3071468262238692</v>
      </c>
      <c r="AD40" s="23">
        <f t="shared" si="9"/>
        <v>5.3071468262238692</v>
      </c>
      <c r="AE40" s="23">
        <f t="shared" si="10"/>
        <v>5.5555555555555552E-2</v>
      </c>
      <c r="AF40" s="23">
        <f t="shared" si="11"/>
        <v>-9.2351939913400988E-2</v>
      </c>
      <c r="AG40" s="23">
        <f t="shared" si="12"/>
        <v>0.9941753866602937</v>
      </c>
      <c r="AH40" s="23">
        <f t="shared" si="13"/>
        <v>2.5065958843371439</v>
      </c>
      <c r="AI40" s="23">
        <f t="shared" si="14"/>
        <v>0</v>
      </c>
      <c r="AJ40" s="23">
        <f t="shared" si="15"/>
        <v>0</v>
      </c>
      <c r="AK40" s="23">
        <f t="shared" si="16"/>
        <v>0</v>
      </c>
      <c r="AL40" s="23">
        <f t="shared" si="17"/>
        <v>0</v>
      </c>
      <c r="AM40" s="23">
        <f t="shared" si="18"/>
        <v>0</v>
      </c>
      <c r="AN40" s="23">
        <f t="shared" si="19"/>
        <v>0</v>
      </c>
      <c r="AO40" s="23">
        <f t="shared" si="20"/>
        <v>0</v>
      </c>
      <c r="AP40" s="23">
        <f t="shared" si="21"/>
        <v>0</v>
      </c>
      <c r="AQ40" s="23">
        <f t="shared" si="22"/>
        <v>0</v>
      </c>
      <c r="AR40" s="23">
        <f t="shared" si="23"/>
        <v>0</v>
      </c>
      <c r="AS40" s="23">
        <f t="shared" si="24"/>
        <v>0</v>
      </c>
      <c r="AT40" s="23">
        <f t="shared" si="25"/>
        <v>480</v>
      </c>
      <c r="AU40" s="23">
        <f t="shared" si="26"/>
        <v>572.12961915107769</v>
      </c>
      <c r="AV40" s="23">
        <f t="shared" si="27"/>
        <v>242.45857021654592</v>
      </c>
      <c r="AW40" s="23">
        <f t="shared" si="28"/>
        <v>480</v>
      </c>
      <c r="AX40" s="23">
        <f t="shared" si="29"/>
        <v>572.12961915107769</v>
      </c>
      <c r="AY40" s="23">
        <f t="shared" si="30"/>
        <v>242.45857021654592</v>
      </c>
      <c r="AZ40" s="22">
        <f t="shared" si="31"/>
        <v>0</v>
      </c>
      <c r="BA40" s="22">
        <f t="shared" si="32"/>
        <v>0</v>
      </c>
      <c r="BB40" s="22">
        <f t="shared" si="33"/>
        <v>-27931.996759387199</v>
      </c>
      <c r="BC40" s="22">
        <f t="shared" si="34"/>
        <v>0</v>
      </c>
      <c r="BD40" s="23" t="e">
        <f t="shared" si="35"/>
        <v>#DIV/0!</v>
      </c>
      <c r="BE40" s="23" t="e">
        <f t="shared" si="36"/>
        <v>#N/A</v>
      </c>
      <c r="BF40" s="23" t="e">
        <f t="shared" si="37"/>
        <v>#N/A</v>
      </c>
      <c r="BG40" s="23" t="e">
        <f t="shared" si="38"/>
        <v>#N/A</v>
      </c>
      <c r="BH40" s="23" t="e">
        <f t="shared" si="39"/>
        <v>#N/A</v>
      </c>
      <c r="BI40" s="23">
        <f t="shared" si="40"/>
        <v>71.965929950307668</v>
      </c>
    </row>
    <row r="41" spans="3:61" x14ac:dyDescent="0.3">
      <c r="C41" s="6" t="s">
        <v>22</v>
      </c>
      <c r="D41" s="10">
        <f>-DEGREES(ATAN((D28-D35)/(D29-D36)))</f>
        <v>2.8005509418867254</v>
      </c>
      <c r="E41" s="6" t="s">
        <v>89</v>
      </c>
      <c r="F41" s="6" t="s">
        <v>346</v>
      </c>
      <c r="H41" s="4" t="s">
        <v>177</v>
      </c>
      <c r="I41" s="4">
        <f>I9*SIN(RADIANS(I38))+I10*COS(RADIANS(I38))</f>
        <v>0</v>
      </c>
      <c r="J41" s="4" t="s">
        <v>56</v>
      </c>
      <c r="K41" s="4" t="s">
        <v>178</v>
      </c>
      <c r="T41" s="22">
        <v>16</v>
      </c>
      <c r="U41" s="23">
        <f t="shared" si="0"/>
        <v>554.21940098709592</v>
      </c>
      <c r="V41" s="23">
        <f t="shared" si="1"/>
        <v>426.05043944676476</v>
      </c>
      <c r="W41" s="23">
        <f t="shared" si="2"/>
        <v>360.03015688084008</v>
      </c>
      <c r="X41" s="23">
        <f t="shared" si="3"/>
        <v>38.892802639830933</v>
      </c>
      <c r="Y41" s="23">
        <f t="shared" si="4"/>
        <v>29.884057527590382</v>
      </c>
      <c r="Z41" s="23">
        <f t="shared" si="5"/>
        <v>9.0087451122405504</v>
      </c>
      <c r="AA41" s="23">
        <f t="shared" si="6"/>
        <v>571.42314198773579</v>
      </c>
      <c r="AB41" s="23">
        <f t="shared" si="7"/>
        <v>247.15373378793231</v>
      </c>
      <c r="AC41" s="23">
        <f t="shared" si="8"/>
        <v>5.4930019758748312</v>
      </c>
      <c r="AD41" s="23">
        <f t="shared" si="9"/>
        <v>5.4930019758748312</v>
      </c>
      <c r="AE41" s="23">
        <f t="shared" si="10"/>
        <v>5.5555555555555552E-2</v>
      </c>
      <c r="AF41" s="23">
        <f t="shared" si="11"/>
        <v>-9.5576338892443699E-2</v>
      </c>
      <c r="AG41" s="23">
        <f t="shared" si="12"/>
        <v>0.99387058699351361</v>
      </c>
      <c r="AH41" s="23">
        <f t="shared" si="13"/>
        <v>2.6924510339881058</v>
      </c>
      <c r="AI41" s="23">
        <f t="shared" si="14"/>
        <v>0</v>
      </c>
      <c r="AJ41" s="23">
        <f t="shared" si="15"/>
        <v>0</v>
      </c>
      <c r="AK41" s="23">
        <f t="shared" si="16"/>
        <v>0</v>
      </c>
      <c r="AL41" s="23">
        <f t="shared" si="17"/>
        <v>0</v>
      </c>
      <c r="AM41" s="23">
        <f t="shared" si="18"/>
        <v>0</v>
      </c>
      <c r="AN41" s="23">
        <f t="shared" si="19"/>
        <v>0</v>
      </c>
      <c r="AO41" s="23">
        <f t="shared" si="20"/>
        <v>0</v>
      </c>
      <c r="AP41" s="23">
        <f t="shared" si="21"/>
        <v>0</v>
      </c>
      <c r="AQ41" s="23">
        <f t="shared" si="22"/>
        <v>0</v>
      </c>
      <c r="AR41" s="23">
        <f t="shared" si="23"/>
        <v>0</v>
      </c>
      <c r="AS41" s="23">
        <f t="shared" si="24"/>
        <v>0</v>
      </c>
      <c r="AT41" s="23">
        <f t="shared" si="25"/>
        <v>480</v>
      </c>
      <c r="AU41" s="23">
        <f t="shared" si="26"/>
        <v>571.42314198773579</v>
      </c>
      <c r="AV41" s="23">
        <f t="shared" si="27"/>
        <v>247.15373378793231</v>
      </c>
      <c r="AW41" s="23">
        <f t="shared" si="28"/>
        <v>480</v>
      </c>
      <c r="AX41" s="23">
        <f t="shared" si="29"/>
        <v>571.42314198773579</v>
      </c>
      <c r="AY41" s="23">
        <f t="shared" si="30"/>
        <v>247.15373378793231</v>
      </c>
      <c r="AZ41" s="22">
        <f t="shared" si="31"/>
        <v>0</v>
      </c>
      <c r="BA41" s="22">
        <f t="shared" si="32"/>
        <v>0</v>
      </c>
      <c r="BB41" s="22">
        <f t="shared" si="33"/>
        <v>-29422.912702430272</v>
      </c>
      <c r="BC41" s="22">
        <f t="shared" si="34"/>
        <v>0</v>
      </c>
      <c r="BD41" s="23" t="e">
        <f t="shared" si="35"/>
        <v>#DIV/0!</v>
      </c>
      <c r="BE41" s="23" t="e">
        <f t="shared" si="36"/>
        <v>#N/A</v>
      </c>
      <c r="BF41" s="23" t="e">
        <f t="shared" si="37"/>
        <v>#N/A</v>
      </c>
      <c r="BG41" s="23" t="e">
        <f t="shared" si="38"/>
        <v>#N/A</v>
      </c>
      <c r="BH41" s="23" t="e">
        <f t="shared" si="39"/>
        <v>#N/A</v>
      </c>
      <c r="BI41" s="23">
        <f t="shared" si="40"/>
        <v>76.661093521694056</v>
      </c>
    </row>
    <row r="42" spans="3:61" x14ac:dyDescent="0.3">
      <c r="C42" s="6" t="s">
        <v>179</v>
      </c>
      <c r="D42" s="10">
        <f>(D28-D5)*(D36-D8)-(D29-D6)*(D35-D7)</f>
        <v>-8141.3046066086144</v>
      </c>
      <c r="E42" s="6" t="s">
        <v>180</v>
      </c>
      <c r="F42" s="6" t="s">
        <v>181</v>
      </c>
      <c r="H42" s="3" t="s">
        <v>182</v>
      </c>
      <c r="I42" s="9">
        <f>I39*I33+I40*I34+I41*I35</f>
        <v>0</v>
      </c>
      <c r="J42" s="3" t="s">
        <v>56</v>
      </c>
      <c r="K42" s="3" t="s">
        <v>183</v>
      </c>
      <c r="T42" s="22">
        <v>17</v>
      </c>
      <c r="U42" s="23">
        <f t="shared" si="0"/>
        <v>552.85174360874748</v>
      </c>
      <c r="V42" s="23">
        <f t="shared" si="1"/>
        <v>430.66757337755814</v>
      </c>
      <c r="W42" s="23">
        <f t="shared" si="2"/>
        <v>361.89200643497202</v>
      </c>
      <c r="X42" s="23">
        <f t="shared" si="3"/>
        <v>39.597724743189332</v>
      </c>
      <c r="Y42" s="23">
        <f t="shared" si="4"/>
        <v>29.687274430483136</v>
      </c>
      <c r="Z42" s="23">
        <f t="shared" si="5"/>
        <v>9.910450312706196</v>
      </c>
      <c r="AA42" s="23">
        <f t="shared" si="6"/>
        <v>570.64424861941302</v>
      </c>
      <c r="AB42" s="23">
        <f t="shared" si="7"/>
        <v>251.82846477587267</v>
      </c>
      <c r="AC42" s="23">
        <f t="shared" si="8"/>
        <v>5.6815973644328723</v>
      </c>
      <c r="AD42" s="23">
        <f t="shared" si="9"/>
        <v>5.6815973644328723</v>
      </c>
      <c r="AE42" s="23">
        <f t="shared" si="10"/>
        <v>5.5555555555555552E-2</v>
      </c>
      <c r="AF42" s="23">
        <f t="shared" si="11"/>
        <v>-9.8847250059252975E-2</v>
      </c>
      <c r="AG42" s="23">
        <f t="shared" si="12"/>
        <v>0.99355060334269707</v>
      </c>
      <c r="AH42" s="23">
        <f t="shared" si="13"/>
        <v>2.881046422546147</v>
      </c>
      <c r="AI42" s="23">
        <f t="shared" si="14"/>
        <v>0</v>
      </c>
      <c r="AJ42" s="23">
        <f t="shared" si="15"/>
        <v>0</v>
      </c>
      <c r="AK42" s="23">
        <f t="shared" si="16"/>
        <v>0</v>
      </c>
      <c r="AL42" s="23">
        <f t="shared" si="17"/>
        <v>0</v>
      </c>
      <c r="AM42" s="23">
        <f t="shared" si="18"/>
        <v>0</v>
      </c>
      <c r="AN42" s="23">
        <f t="shared" si="19"/>
        <v>0</v>
      </c>
      <c r="AO42" s="23">
        <f t="shared" si="20"/>
        <v>0</v>
      </c>
      <c r="AP42" s="23">
        <f t="shared" si="21"/>
        <v>0</v>
      </c>
      <c r="AQ42" s="23">
        <f t="shared" si="22"/>
        <v>0</v>
      </c>
      <c r="AR42" s="23">
        <f t="shared" si="23"/>
        <v>0</v>
      </c>
      <c r="AS42" s="23">
        <f t="shared" si="24"/>
        <v>0</v>
      </c>
      <c r="AT42" s="23">
        <f t="shared" si="25"/>
        <v>480</v>
      </c>
      <c r="AU42" s="23">
        <f t="shared" si="26"/>
        <v>570.64424861941302</v>
      </c>
      <c r="AV42" s="23">
        <f t="shared" si="27"/>
        <v>251.82846477587267</v>
      </c>
      <c r="AW42" s="23">
        <f t="shared" si="28"/>
        <v>480</v>
      </c>
      <c r="AX42" s="23">
        <f t="shared" si="29"/>
        <v>570.64424861941302</v>
      </c>
      <c r="AY42" s="23">
        <f t="shared" si="30"/>
        <v>251.82846477587267</v>
      </c>
      <c r="AZ42" s="22">
        <f t="shared" si="31"/>
        <v>0</v>
      </c>
      <c r="BA42" s="22">
        <f t="shared" si="32"/>
        <v>0</v>
      </c>
      <c r="BB42" s="22">
        <f t="shared" si="33"/>
        <v>-30865.971531765535</v>
      </c>
      <c r="BC42" s="22">
        <f t="shared" si="34"/>
        <v>0</v>
      </c>
      <c r="BD42" s="23" t="e">
        <f t="shared" si="35"/>
        <v>#DIV/0!</v>
      </c>
      <c r="BE42" s="23" t="e">
        <f t="shared" si="36"/>
        <v>#N/A</v>
      </c>
      <c r="BF42" s="23" t="e">
        <f t="shared" si="37"/>
        <v>#N/A</v>
      </c>
      <c r="BG42" s="23" t="e">
        <f t="shared" si="38"/>
        <v>#N/A</v>
      </c>
      <c r="BH42" s="23" t="e">
        <f t="shared" si="39"/>
        <v>#N/A</v>
      </c>
      <c r="BI42" s="23">
        <f t="shared" si="40"/>
        <v>81.335824509634421</v>
      </c>
    </row>
    <row r="43" spans="3:61" x14ac:dyDescent="0.3">
      <c r="C43" s="6" t="s">
        <v>184</v>
      </c>
      <c r="D43" s="10">
        <f>D5 + (((D7-D5)*(D36-D8)-(D8-D6)*(D35-D7))/D42)*(D28-D5)</f>
        <v>-1249.4607605952756</v>
      </c>
      <c r="E43" s="6" t="s">
        <v>56</v>
      </c>
      <c r="F43" s="6" t="s">
        <v>185</v>
      </c>
      <c r="H43" s="3" t="s">
        <v>186</v>
      </c>
      <c r="I43" s="12">
        <f>I39-I42*I33</f>
        <v>0</v>
      </c>
      <c r="J43" s="3" t="s">
        <v>56</v>
      </c>
      <c r="K43" s="3" t="s">
        <v>187</v>
      </c>
      <c r="T43" s="22">
        <v>18</v>
      </c>
      <c r="U43" s="23">
        <f t="shared" si="0"/>
        <v>551.40371443330673</v>
      </c>
      <c r="V43" s="23">
        <f t="shared" si="1"/>
        <v>435.26013518405637</v>
      </c>
      <c r="W43" s="23">
        <f t="shared" si="2"/>
        <v>363.73087851901721</v>
      </c>
      <c r="X43" s="23">
        <f t="shared" si="3"/>
        <v>40.300561890633176</v>
      </c>
      <c r="Y43" s="23">
        <f t="shared" si="4"/>
        <v>29.490129130384766</v>
      </c>
      <c r="Z43" s="23">
        <f t="shared" si="5"/>
        <v>10.81043276024841</v>
      </c>
      <c r="AA43" s="23">
        <f t="shared" si="6"/>
        <v>569.79358351562018</v>
      </c>
      <c r="AB43" s="23">
        <f t="shared" si="7"/>
        <v>256.4814655527623</v>
      </c>
      <c r="AC43" s="23">
        <f t="shared" si="8"/>
        <v>5.873010713479065</v>
      </c>
      <c r="AD43" s="23">
        <f t="shared" si="9"/>
        <v>5.873010713479065</v>
      </c>
      <c r="AE43" s="23">
        <f t="shared" si="10"/>
        <v>5.5555555555555552E-2</v>
      </c>
      <c r="AF43" s="23">
        <f t="shared" si="11"/>
        <v>-0.10216593934618586</v>
      </c>
      <c r="AG43" s="23">
        <f t="shared" si="12"/>
        <v>0.99321483128496701</v>
      </c>
      <c r="AH43" s="23">
        <f t="shared" si="13"/>
        <v>3.0724597715923396</v>
      </c>
      <c r="AI43" s="23">
        <f t="shared" si="14"/>
        <v>0</v>
      </c>
      <c r="AJ43" s="23">
        <f t="shared" si="15"/>
        <v>0</v>
      </c>
      <c r="AK43" s="23">
        <f t="shared" si="16"/>
        <v>0</v>
      </c>
      <c r="AL43" s="23">
        <f t="shared" si="17"/>
        <v>0</v>
      </c>
      <c r="AM43" s="23">
        <f t="shared" si="18"/>
        <v>0</v>
      </c>
      <c r="AN43" s="23">
        <f t="shared" si="19"/>
        <v>0</v>
      </c>
      <c r="AO43" s="23">
        <f t="shared" si="20"/>
        <v>0</v>
      </c>
      <c r="AP43" s="23">
        <f t="shared" si="21"/>
        <v>0</v>
      </c>
      <c r="AQ43" s="23">
        <f t="shared" si="22"/>
        <v>0</v>
      </c>
      <c r="AR43" s="23">
        <f t="shared" si="23"/>
        <v>0</v>
      </c>
      <c r="AS43" s="23">
        <f t="shared" si="24"/>
        <v>0</v>
      </c>
      <c r="AT43" s="23">
        <f t="shared" si="25"/>
        <v>480</v>
      </c>
      <c r="AU43" s="23">
        <f t="shared" si="26"/>
        <v>569.79358351562018</v>
      </c>
      <c r="AV43" s="23">
        <f t="shared" si="27"/>
        <v>256.4814655527623</v>
      </c>
      <c r="AW43" s="23">
        <f t="shared" si="28"/>
        <v>480</v>
      </c>
      <c r="AX43" s="23">
        <f t="shared" si="29"/>
        <v>569.79358351562018</v>
      </c>
      <c r="AY43" s="23">
        <f t="shared" si="30"/>
        <v>256.4814655527623</v>
      </c>
      <c r="AZ43" s="22">
        <f t="shared" si="31"/>
        <v>0</v>
      </c>
      <c r="BA43" s="22">
        <f t="shared" si="32"/>
        <v>0</v>
      </c>
      <c r="BB43" s="22">
        <f t="shared" si="33"/>
        <v>-32261.007365643047</v>
      </c>
      <c r="BC43" s="22">
        <f t="shared" si="34"/>
        <v>0</v>
      </c>
      <c r="BD43" s="23" t="e">
        <f t="shared" si="35"/>
        <v>#DIV/0!</v>
      </c>
      <c r="BE43" s="23" t="e">
        <f t="shared" si="36"/>
        <v>#N/A</v>
      </c>
      <c r="BF43" s="23" t="e">
        <f t="shared" si="37"/>
        <v>#N/A</v>
      </c>
      <c r="BG43" s="23" t="e">
        <f t="shared" si="38"/>
        <v>#N/A</v>
      </c>
      <c r="BH43" s="23" t="e">
        <f t="shared" si="39"/>
        <v>#N/A</v>
      </c>
      <c r="BI43" s="23">
        <f t="shared" si="40"/>
        <v>85.988825286524047</v>
      </c>
    </row>
    <row r="44" spans="3:61" x14ac:dyDescent="0.3">
      <c r="C44" s="6" t="s">
        <v>188</v>
      </c>
      <c r="D44" s="6">
        <f>D6 + (((D7-D5)*(D36-D8)-(D8-D6)*(D35-D7))/D42)*(D29-D6)</f>
        <v>350</v>
      </c>
      <c r="E44" s="6" t="s">
        <v>56</v>
      </c>
      <c r="F44" s="6" t="s">
        <v>189</v>
      </c>
      <c r="H44" s="3" t="s">
        <v>190</v>
      </c>
      <c r="I44" s="12">
        <f>I40-I42*I34</f>
        <v>0</v>
      </c>
      <c r="J44" s="3" t="s">
        <v>56</v>
      </c>
      <c r="K44" s="3" t="s">
        <v>191</v>
      </c>
      <c r="T44" s="22">
        <v>19</v>
      </c>
      <c r="U44" s="23">
        <f t="shared" si="0"/>
        <v>549.87575454448779</v>
      </c>
      <c r="V44" s="23">
        <f t="shared" si="1"/>
        <v>439.82672592744404</v>
      </c>
      <c r="W44" s="23">
        <f t="shared" si="2"/>
        <v>365.54656394851781</v>
      </c>
      <c r="X44" s="23">
        <f t="shared" si="3"/>
        <v>41.00137116216505</v>
      </c>
      <c r="Y44" s="23">
        <f t="shared" si="4"/>
        <v>29.292720246474836</v>
      </c>
      <c r="Z44" s="23">
        <f t="shared" si="5"/>
        <v>11.708650915690214</v>
      </c>
      <c r="AA44" s="23">
        <f t="shared" si="6"/>
        <v>568.87182054453399</v>
      </c>
      <c r="AB44" s="23">
        <f t="shared" si="7"/>
        <v>261.11145104440033</v>
      </c>
      <c r="AC44" s="23">
        <f t="shared" si="8"/>
        <v>6.0673216503976146</v>
      </c>
      <c r="AD44" s="23">
        <f t="shared" si="9"/>
        <v>6.0673216503976146</v>
      </c>
      <c r="AE44" s="23">
        <f t="shared" si="10"/>
        <v>5.5555555555555552E-2</v>
      </c>
      <c r="AF44" s="23">
        <f t="shared" si="11"/>
        <v>-0.10553370000025666</v>
      </c>
      <c r="AG44" s="23">
        <f t="shared" si="12"/>
        <v>0.99286263823913179</v>
      </c>
      <c r="AH44" s="23">
        <f t="shared" si="13"/>
        <v>3.2667707085108892</v>
      </c>
      <c r="AI44" s="23">
        <f t="shared" si="14"/>
        <v>0</v>
      </c>
      <c r="AJ44" s="23">
        <f t="shared" si="15"/>
        <v>0</v>
      </c>
      <c r="AK44" s="23">
        <f t="shared" si="16"/>
        <v>0</v>
      </c>
      <c r="AL44" s="23">
        <f t="shared" si="17"/>
        <v>0</v>
      </c>
      <c r="AM44" s="23">
        <f t="shared" si="18"/>
        <v>0</v>
      </c>
      <c r="AN44" s="23">
        <f t="shared" si="19"/>
        <v>0</v>
      </c>
      <c r="AO44" s="23">
        <f t="shared" si="20"/>
        <v>0</v>
      </c>
      <c r="AP44" s="23">
        <f t="shared" si="21"/>
        <v>0</v>
      </c>
      <c r="AQ44" s="23">
        <f t="shared" si="22"/>
        <v>0</v>
      </c>
      <c r="AR44" s="23">
        <f t="shared" si="23"/>
        <v>0</v>
      </c>
      <c r="AS44" s="23">
        <f t="shared" si="24"/>
        <v>0</v>
      </c>
      <c r="AT44" s="23">
        <f t="shared" si="25"/>
        <v>480</v>
      </c>
      <c r="AU44" s="23">
        <f t="shared" si="26"/>
        <v>568.87182054453399</v>
      </c>
      <c r="AV44" s="23">
        <f t="shared" si="27"/>
        <v>261.11145104440033</v>
      </c>
      <c r="AW44" s="23">
        <f t="shared" si="28"/>
        <v>480</v>
      </c>
      <c r="AX44" s="23">
        <f t="shared" si="29"/>
        <v>568.87182054453399</v>
      </c>
      <c r="AY44" s="23">
        <f t="shared" si="30"/>
        <v>261.11145104440033</v>
      </c>
      <c r="AZ44" s="22">
        <f t="shared" si="31"/>
        <v>0</v>
      </c>
      <c r="BA44" s="22">
        <f t="shared" si="32"/>
        <v>0</v>
      </c>
      <c r="BB44" s="22">
        <f t="shared" si="33"/>
        <v>-33607.875454142923</v>
      </c>
      <c r="BC44" s="22">
        <f t="shared" si="34"/>
        <v>0</v>
      </c>
      <c r="BD44" s="23" t="e">
        <f t="shared" si="35"/>
        <v>#DIV/0!</v>
      </c>
      <c r="BE44" s="23" t="e">
        <f t="shared" si="36"/>
        <v>#N/A</v>
      </c>
      <c r="BF44" s="23" t="e">
        <f t="shared" si="37"/>
        <v>#N/A</v>
      </c>
      <c r="BG44" s="23" t="e">
        <f t="shared" si="38"/>
        <v>#N/A</v>
      </c>
      <c r="BH44" s="23" t="e">
        <f t="shared" si="39"/>
        <v>#N/A</v>
      </c>
      <c r="BI44" s="23">
        <f t="shared" si="40"/>
        <v>90.618810778162072</v>
      </c>
    </row>
    <row r="45" spans="3:61" x14ac:dyDescent="0.3">
      <c r="H45" s="3" t="s">
        <v>192</v>
      </c>
      <c r="I45" s="12">
        <f>I41-I42*I35</f>
        <v>0</v>
      </c>
      <c r="J45" s="3" t="s">
        <v>56</v>
      </c>
      <c r="K45" s="3" t="s">
        <v>193</v>
      </c>
      <c r="T45" s="22">
        <v>20</v>
      </c>
      <c r="U45" s="23">
        <f t="shared" si="0"/>
        <v>548.26832937367431</v>
      </c>
      <c r="V45" s="23">
        <f t="shared" si="1"/>
        <v>444.36595457994315</v>
      </c>
      <c r="W45" s="23">
        <f t="shared" si="2"/>
        <v>367.33885753510089</v>
      </c>
      <c r="X45" s="23">
        <f t="shared" si="3"/>
        <v>41.700208089780567</v>
      </c>
      <c r="Y45" s="23">
        <f t="shared" si="4"/>
        <v>29.095146034944513</v>
      </c>
      <c r="Z45" s="23">
        <f t="shared" si="5"/>
        <v>12.605062054836054</v>
      </c>
      <c r="AA45" s="23">
        <f t="shared" si="6"/>
        <v>567.87966291726332</v>
      </c>
      <c r="AB45" s="23">
        <f t="shared" si="7"/>
        <v>265.71714938762716</v>
      </c>
      <c r="AC45" s="23">
        <f t="shared" si="8"/>
        <v>6.2646117567651016</v>
      </c>
      <c r="AD45" s="23">
        <f t="shared" si="9"/>
        <v>6.2646117567651016</v>
      </c>
      <c r="AE45" s="23">
        <f t="shared" si="10"/>
        <v>5.5555555555555552E-2</v>
      </c>
      <c r="AF45" s="23">
        <f t="shared" si="11"/>
        <v>-0.10895185301993895</v>
      </c>
      <c r="AG45" s="23">
        <f t="shared" si="12"/>
        <v>0.99249336217953332</v>
      </c>
      <c r="AH45" s="23">
        <f t="shared" si="13"/>
        <v>3.4640608148783762</v>
      </c>
      <c r="AI45" s="23">
        <f t="shared" si="14"/>
        <v>0</v>
      </c>
      <c r="AJ45" s="23">
        <f t="shared" si="15"/>
        <v>0</v>
      </c>
      <c r="AK45" s="23">
        <f t="shared" si="16"/>
        <v>0</v>
      </c>
      <c r="AL45" s="23">
        <f t="shared" si="17"/>
        <v>0</v>
      </c>
      <c r="AM45" s="23">
        <f t="shared" si="18"/>
        <v>0</v>
      </c>
      <c r="AN45" s="23">
        <f t="shared" si="19"/>
        <v>0</v>
      </c>
      <c r="AO45" s="23">
        <f t="shared" si="20"/>
        <v>0</v>
      </c>
      <c r="AP45" s="23">
        <f t="shared" si="21"/>
        <v>0</v>
      </c>
      <c r="AQ45" s="23">
        <f t="shared" si="22"/>
        <v>0</v>
      </c>
      <c r="AR45" s="23">
        <f t="shared" si="23"/>
        <v>0</v>
      </c>
      <c r="AS45" s="23">
        <f t="shared" si="24"/>
        <v>0</v>
      </c>
      <c r="AT45" s="23">
        <f t="shared" si="25"/>
        <v>480</v>
      </c>
      <c r="AU45" s="23">
        <f t="shared" si="26"/>
        <v>567.87966291726332</v>
      </c>
      <c r="AV45" s="23">
        <f t="shared" si="27"/>
        <v>265.71714938762716</v>
      </c>
      <c r="AW45" s="23">
        <f t="shared" si="28"/>
        <v>480</v>
      </c>
      <c r="AX45" s="23">
        <f t="shared" si="29"/>
        <v>567.87966291726332</v>
      </c>
      <c r="AY45" s="23">
        <f t="shared" si="30"/>
        <v>265.71714938762716</v>
      </c>
      <c r="AZ45" s="22">
        <f t="shared" si="31"/>
        <v>0</v>
      </c>
      <c r="BA45" s="22">
        <f t="shared" si="32"/>
        <v>0</v>
      </c>
      <c r="BB45" s="22">
        <f t="shared" si="33"/>
        <v>-34906.45241168933</v>
      </c>
      <c r="BC45" s="22">
        <f t="shared" si="34"/>
        <v>0</v>
      </c>
      <c r="BD45" s="23" t="e">
        <f t="shared" si="35"/>
        <v>#DIV/0!</v>
      </c>
      <c r="BE45" s="23" t="e">
        <f t="shared" si="36"/>
        <v>#N/A</v>
      </c>
      <c r="BF45" s="23" t="e">
        <f t="shared" si="37"/>
        <v>#N/A</v>
      </c>
      <c r="BG45" s="23" t="e">
        <f t="shared" si="38"/>
        <v>#N/A</v>
      </c>
      <c r="BH45" s="23" t="e">
        <f t="shared" si="39"/>
        <v>#N/A</v>
      </c>
      <c r="BI45" s="23">
        <f t="shared" si="40"/>
        <v>95.224509121388905</v>
      </c>
    </row>
    <row r="46" spans="3:61" x14ac:dyDescent="0.3">
      <c r="H46" s="3" t="s">
        <v>35</v>
      </c>
      <c r="I46" s="3">
        <f>SQRT(I43^2+I44^2+I45^2)</f>
        <v>0</v>
      </c>
      <c r="J46" s="3" t="s">
        <v>56</v>
      </c>
      <c r="K46" s="3" t="s">
        <v>194</v>
      </c>
    </row>
    <row r="47" spans="3:61" x14ac:dyDescent="0.3">
      <c r="H47" s="3" t="s">
        <v>36</v>
      </c>
      <c r="I47" s="12">
        <f>I34*I41-I35*I40</f>
        <v>0</v>
      </c>
      <c r="J47" s="3" t="s">
        <v>56</v>
      </c>
      <c r="K47" s="3" t="s">
        <v>195</v>
      </c>
    </row>
    <row r="48" spans="3:61" x14ac:dyDescent="0.3">
      <c r="H48" s="3" t="s">
        <v>37</v>
      </c>
      <c r="I48" s="12">
        <f>I35*I39-I33*I41</f>
        <v>0</v>
      </c>
      <c r="J48" s="3" t="s">
        <v>56</v>
      </c>
      <c r="K48" s="3" t="s">
        <v>196</v>
      </c>
    </row>
    <row r="49" spans="8:11" x14ac:dyDescent="0.3">
      <c r="H49" s="3" t="s">
        <v>38</v>
      </c>
      <c r="I49" s="12">
        <f>I33*I40-I34*I39</f>
        <v>0</v>
      </c>
      <c r="J49" s="3" t="s">
        <v>56</v>
      </c>
      <c r="K49" s="3" t="s">
        <v>197</v>
      </c>
    </row>
    <row r="50" spans="8:11" x14ac:dyDescent="0.3">
      <c r="H50" s="4" t="s">
        <v>39</v>
      </c>
      <c r="I50" s="13">
        <f>D25+I42*I33</f>
        <v>480</v>
      </c>
      <c r="J50" s="4" t="s">
        <v>56</v>
      </c>
      <c r="K50" s="4" t="s">
        <v>198</v>
      </c>
    </row>
    <row r="51" spans="8:11" x14ac:dyDescent="0.3">
      <c r="H51" s="4" t="s">
        <v>40</v>
      </c>
      <c r="I51" s="13">
        <f>D35+I42*I34</f>
        <v>573.68869802103382</v>
      </c>
      <c r="J51" s="4" t="s">
        <v>56</v>
      </c>
      <c r="K51" s="4" t="s">
        <v>199</v>
      </c>
    </row>
    <row r="52" spans="8:11" x14ac:dyDescent="0.3">
      <c r="H52" s="4" t="s">
        <v>41</v>
      </c>
      <c r="I52" s="13">
        <f>D36+I42*I35</f>
        <v>170.49264026623825</v>
      </c>
      <c r="J52" s="4" t="s">
        <v>56</v>
      </c>
      <c r="K52" s="4" t="s">
        <v>200</v>
      </c>
    </row>
    <row r="53" spans="8:11" x14ac:dyDescent="0.3">
      <c r="H53" s="4" t="s">
        <v>42</v>
      </c>
      <c r="I53" s="13">
        <f>I50-I5</f>
        <v>480</v>
      </c>
      <c r="J53" s="4" t="s">
        <v>56</v>
      </c>
      <c r="K53" s="4" t="s">
        <v>201</v>
      </c>
    </row>
    <row r="54" spans="8:11" x14ac:dyDescent="0.3">
      <c r="H54" s="4" t="s">
        <v>43</v>
      </c>
      <c r="I54" s="13">
        <f>I51-I6</f>
        <v>573.68869802103382</v>
      </c>
      <c r="J54" s="4" t="s">
        <v>56</v>
      </c>
      <c r="K54" s="4" t="s">
        <v>202</v>
      </c>
    </row>
    <row r="55" spans="8:11" x14ac:dyDescent="0.3">
      <c r="H55" s="4" t="s">
        <v>44</v>
      </c>
      <c r="I55" s="13">
        <f>I52-I7</f>
        <v>170.49264026623825</v>
      </c>
      <c r="J55" s="4" t="s">
        <v>56</v>
      </c>
      <c r="K55" s="4" t="s">
        <v>203</v>
      </c>
    </row>
    <row r="57" spans="8:11" x14ac:dyDescent="0.3">
      <c r="H57" s="34" t="s">
        <v>204</v>
      </c>
      <c r="I57" s="35"/>
      <c r="J57" s="35"/>
      <c r="K57" s="36"/>
    </row>
    <row r="58" spans="8:11" x14ac:dyDescent="0.3">
      <c r="H58" s="2" t="s">
        <v>105</v>
      </c>
      <c r="I58" s="2" t="s">
        <v>5</v>
      </c>
      <c r="J58" s="2" t="s">
        <v>6</v>
      </c>
      <c r="K58" s="2" t="s">
        <v>7</v>
      </c>
    </row>
    <row r="59" spans="8:11" x14ac:dyDescent="0.3">
      <c r="H59" s="18" t="s">
        <v>45</v>
      </c>
      <c r="I59" s="18">
        <f>2*(I53*I43+I54*I44+I55*I45)</f>
        <v>0</v>
      </c>
      <c r="J59" s="18" t="s">
        <v>180</v>
      </c>
      <c r="K59" s="17" t="s">
        <v>205</v>
      </c>
    </row>
    <row r="60" spans="8:11" x14ac:dyDescent="0.3">
      <c r="H60" s="18" t="s">
        <v>46</v>
      </c>
      <c r="I60" s="18">
        <f>2*(I53*I47+I54*I48+I55*I49)</f>
        <v>0</v>
      </c>
      <c r="J60" s="18" t="s">
        <v>180</v>
      </c>
      <c r="K60" s="17" t="s">
        <v>206</v>
      </c>
    </row>
    <row r="61" spans="8:11" x14ac:dyDescent="0.3">
      <c r="H61" s="18" t="s">
        <v>47</v>
      </c>
      <c r="I61" s="17">
        <f>I31^2-(I53^2+I54^2+I55^2)-I46^2</f>
        <v>-1.1641532182693481E-10</v>
      </c>
      <c r="J61" s="18" t="s">
        <v>180</v>
      </c>
      <c r="K61" s="17" t="s">
        <v>207</v>
      </c>
    </row>
    <row r="62" spans="8:11" x14ac:dyDescent="0.3">
      <c r="H62" s="17" t="s">
        <v>48</v>
      </c>
      <c r="I62" s="17">
        <f>SQRT(I59^2+I60^2)</f>
        <v>0</v>
      </c>
      <c r="J62" s="18" t="s">
        <v>180</v>
      </c>
      <c r="K62" s="17" t="s">
        <v>208</v>
      </c>
    </row>
    <row r="63" spans="8:11" x14ac:dyDescent="0.3">
      <c r="H63" s="17" t="s">
        <v>49</v>
      </c>
      <c r="I63" s="17" t="e">
        <f>DEGREES(ATAN2(I59,I60))</f>
        <v>#DIV/0!</v>
      </c>
      <c r="J63" s="17" t="s">
        <v>89</v>
      </c>
      <c r="K63" s="17" t="s">
        <v>209</v>
      </c>
    </row>
    <row r="64" spans="8:11" x14ac:dyDescent="0.3">
      <c r="H64" s="17" t="s">
        <v>50</v>
      </c>
      <c r="I64" s="17" t="e">
        <f>I63+I12*DEGREES(ACOS(I61/I62))</f>
        <v>#DIV/0!</v>
      </c>
      <c r="J64" s="17" t="s">
        <v>89</v>
      </c>
      <c r="K64" s="17" t="s">
        <v>210</v>
      </c>
    </row>
    <row r="65" spans="8:11" x14ac:dyDescent="0.3">
      <c r="H65" s="17" t="s">
        <v>51</v>
      </c>
      <c r="I65" s="17" t="e">
        <f>COS(RADIANS(I64))+I33^2*(1-COS(RADIANS(I64)))</f>
        <v>#DIV/0!</v>
      </c>
      <c r="J65" s="17" t="s">
        <v>211</v>
      </c>
      <c r="K65" s="17" t="s">
        <v>212</v>
      </c>
    </row>
    <row r="66" spans="8:11" x14ac:dyDescent="0.3">
      <c r="H66" s="17" t="s">
        <v>52</v>
      </c>
      <c r="I66" s="17" t="e">
        <f>I35*SIN(RADIANS(I64))+I33*I34*(1-COS(RADIANS(I64)))</f>
        <v>#DIV/0!</v>
      </c>
      <c r="J66" s="17" t="s">
        <v>211</v>
      </c>
      <c r="K66" s="17" t="s">
        <v>213</v>
      </c>
    </row>
    <row r="67" spans="8:11" x14ac:dyDescent="0.3">
      <c r="H67" s="17" t="s">
        <v>214</v>
      </c>
      <c r="I67" s="17" t="e">
        <f>I11+DEGREES(ATAN2(I65,I66))</f>
        <v>#DIV/0!</v>
      </c>
      <c r="J67" s="17" t="s">
        <v>89</v>
      </c>
      <c r="K67" s="17" t="s">
        <v>215</v>
      </c>
    </row>
  </sheetData>
  <mergeCells count="11">
    <mergeCell ref="H57:K57"/>
    <mergeCell ref="T3:BI3"/>
    <mergeCell ref="C38:F38"/>
    <mergeCell ref="M14:Q14"/>
    <mergeCell ref="M3:Q3"/>
    <mergeCell ref="M13:Q13"/>
    <mergeCell ref="H14:K14"/>
    <mergeCell ref="C18:F18"/>
    <mergeCell ref="C3:F3"/>
    <mergeCell ref="H3:K3"/>
    <mergeCell ref="H26:K2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A09F7-AFFE-4FAA-9CE4-97C04E33A609}">
  <dimension ref="A1"/>
  <sheetViews>
    <sheetView workbookViewId="0">
      <selection activeCell="Z19" sqref="Z19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7A78A-46E0-4FEF-B345-B0C31676BB10}">
  <dimension ref="B2:D39"/>
  <sheetViews>
    <sheetView zoomScale="160" zoomScaleNormal="160" workbookViewId="0">
      <selection activeCell="C11" sqref="C11"/>
    </sheetView>
  </sheetViews>
  <sheetFormatPr defaultRowHeight="14.4" x14ac:dyDescent="0.3"/>
  <cols>
    <col min="2" max="2" width="31.44140625" bestFit="1" customWidth="1"/>
    <col min="3" max="3" width="30.33203125" customWidth="1"/>
    <col min="6" max="6" width="31.44140625" bestFit="1" customWidth="1"/>
    <col min="7" max="7" width="12.6640625" bestFit="1" customWidth="1"/>
    <col min="8" max="8" width="4.88671875" bestFit="1" customWidth="1"/>
  </cols>
  <sheetData>
    <row r="2" spans="2:4" x14ac:dyDescent="0.3">
      <c r="B2" s="43" t="s">
        <v>326</v>
      </c>
      <c r="C2" s="43"/>
      <c r="D2" s="43"/>
    </row>
    <row r="3" spans="2:4" x14ac:dyDescent="0.3">
      <c r="B3" s="44" t="s">
        <v>223</v>
      </c>
      <c r="C3" s="44"/>
      <c r="D3" s="44"/>
    </row>
    <row r="4" spans="2:4" x14ac:dyDescent="0.3">
      <c r="B4" s="17" t="s">
        <v>8</v>
      </c>
      <c r="C4" s="17" t="s">
        <v>5</v>
      </c>
      <c r="D4" s="32" t="s">
        <v>6</v>
      </c>
    </row>
    <row r="5" spans="2:4" x14ac:dyDescent="0.3">
      <c r="B5" s="32" t="s">
        <v>331</v>
      </c>
      <c r="C5" s="32">
        <v>12</v>
      </c>
      <c r="D5" s="32" t="s">
        <v>56</v>
      </c>
    </row>
    <row r="6" spans="2:4" x14ac:dyDescent="0.3">
      <c r="B6" s="32" t="s">
        <v>243</v>
      </c>
      <c r="C6" s="32">
        <v>1.169</v>
      </c>
      <c r="D6" s="32" t="s">
        <v>56</v>
      </c>
    </row>
    <row r="7" spans="2:4" x14ac:dyDescent="0.3">
      <c r="B7" s="32" t="s">
        <v>290</v>
      </c>
      <c r="C7" s="32">
        <v>323</v>
      </c>
      <c r="D7" s="32" t="s">
        <v>227</v>
      </c>
    </row>
    <row r="8" spans="2:4" x14ac:dyDescent="0.3">
      <c r="B8" s="32" t="s">
        <v>327</v>
      </c>
      <c r="C8" s="32">
        <v>1.5</v>
      </c>
      <c r="D8" s="32" t="s">
        <v>221</v>
      </c>
    </row>
    <row r="9" spans="2:4" x14ac:dyDescent="0.3">
      <c r="B9" s="32" t="s">
        <v>328</v>
      </c>
      <c r="C9" s="32">
        <v>25</v>
      </c>
      <c r="D9" s="32" t="s">
        <v>233</v>
      </c>
    </row>
    <row r="10" spans="2:4" x14ac:dyDescent="0.3">
      <c r="B10" s="44" t="s">
        <v>249</v>
      </c>
      <c r="C10" s="44"/>
      <c r="D10" s="44"/>
    </row>
    <row r="11" spans="2:4" x14ac:dyDescent="0.3">
      <c r="B11" s="32" t="s">
        <v>329</v>
      </c>
      <c r="C11" s="32">
        <f>(C7*9.8*C8*(C9/100))/((C5/1000)*(C6/1000)*(2))/(10^6)</f>
        <v>42.309131736526943</v>
      </c>
      <c r="D11" s="32" t="s">
        <v>330</v>
      </c>
    </row>
    <row r="14" spans="2:4" x14ac:dyDescent="0.3">
      <c r="B14" s="43" t="s">
        <v>332</v>
      </c>
      <c r="C14" s="43"/>
      <c r="D14" s="43"/>
    </row>
    <row r="15" spans="2:4" x14ac:dyDescent="0.3">
      <c r="B15" s="44" t="s">
        <v>223</v>
      </c>
      <c r="C15" s="44"/>
      <c r="D15" s="44"/>
    </row>
    <row r="16" spans="2:4" x14ac:dyDescent="0.3">
      <c r="B16" s="17" t="s">
        <v>8</v>
      </c>
      <c r="C16" s="17" t="s">
        <v>5</v>
      </c>
      <c r="D16" s="32" t="s">
        <v>6</v>
      </c>
    </row>
    <row r="17" spans="2:4" x14ac:dyDescent="0.3">
      <c r="B17" s="32" t="s">
        <v>242</v>
      </c>
      <c r="C17" s="32">
        <v>12</v>
      </c>
      <c r="D17" s="32" t="s">
        <v>56</v>
      </c>
    </row>
    <row r="18" spans="2:4" x14ac:dyDescent="0.3">
      <c r="B18" s="32" t="s">
        <v>333</v>
      </c>
      <c r="C18" s="32">
        <v>85</v>
      </c>
      <c r="D18" s="32" t="s">
        <v>56</v>
      </c>
    </row>
    <row r="19" spans="2:4" x14ac:dyDescent="0.3">
      <c r="B19" s="32" t="s">
        <v>290</v>
      </c>
      <c r="C19" s="32">
        <v>323</v>
      </c>
      <c r="D19" s="32" t="s">
        <v>227</v>
      </c>
    </row>
    <row r="20" spans="2:4" x14ac:dyDescent="0.3">
      <c r="B20" s="32" t="s">
        <v>334</v>
      </c>
      <c r="C20" s="32">
        <v>1.5</v>
      </c>
      <c r="D20" s="32" t="s">
        <v>221</v>
      </c>
    </row>
    <row r="21" spans="2:4" x14ac:dyDescent="0.3">
      <c r="B21" s="32" t="s">
        <v>328</v>
      </c>
      <c r="C21" s="32">
        <v>30</v>
      </c>
      <c r="D21" s="32" t="s">
        <v>233</v>
      </c>
    </row>
    <row r="22" spans="2:4" x14ac:dyDescent="0.3">
      <c r="B22" s="44" t="s">
        <v>249</v>
      </c>
      <c r="C22" s="44"/>
      <c r="D22" s="44"/>
    </row>
    <row r="23" spans="2:4" x14ac:dyDescent="0.3">
      <c r="B23" s="5" t="s">
        <v>344</v>
      </c>
      <c r="C23" s="5">
        <f>(C19)*9.8*(C20)</f>
        <v>4748.1000000000004</v>
      </c>
      <c r="D23" s="5" t="s">
        <v>226</v>
      </c>
    </row>
    <row r="24" spans="2:4" x14ac:dyDescent="0.3">
      <c r="B24" s="5" t="s">
        <v>345</v>
      </c>
      <c r="C24" s="30">
        <f>C23-C37</f>
        <v>3.6539517215369415</v>
      </c>
      <c r="D24" s="5"/>
    </row>
    <row r="25" spans="2:4" x14ac:dyDescent="0.3">
      <c r="B25" s="5" t="s">
        <v>335</v>
      </c>
      <c r="C25" s="5">
        <f>(PI()*(C17/1000)^4) / 64</f>
        <v>1.0178760197630931E-9</v>
      </c>
      <c r="D25" s="5" t="s">
        <v>336</v>
      </c>
    </row>
    <row r="26" spans="2:4" x14ac:dyDescent="0.3">
      <c r="B26" s="32" t="s">
        <v>329</v>
      </c>
      <c r="C26" s="32">
        <f>((C24*(C21/100))*(C18/1000)*(C17/2000)/C25)/10^6</f>
        <v>0.54923645172942581</v>
      </c>
      <c r="D26" s="32" t="s">
        <v>330</v>
      </c>
    </row>
    <row r="28" spans="2:4" x14ac:dyDescent="0.3">
      <c r="B28" s="43" t="s">
        <v>337</v>
      </c>
      <c r="C28" s="43"/>
      <c r="D28" s="43"/>
    </row>
    <row r="29" spans="2:4" x14ac:dyDescent="0.3">
      <c r="B29" s="44" t="s">
        <v>223</v>
      </c>
      <c r="C29" s="44"/>
      <c r="D29" s="44"/>
    </row>
    <row r="30" spans="2:4" x14ac:dyDescent="0.3">
      <c r="B30" s="17" t="s">
        <v>8</v>
      </c>
      <c r="C30" s="17" t="s">
        <v>5</v>
      </c>
      <c r="D30" s="32" t="s">
        <v>6</v>
      </c>
    </row>
    <row r="31" spans="2:4" x14ac:dyDescent="0.3">
      <c r="B31" s="32" t="s">
        <v>338</v>
      </c>
      <c r="C31" s="32">
        <v>1.85</v>
      </c>
      <c r="D31" s="32" t="s">
        <v>56</v>
      </c>
    </row>
    <row r="32" spans="2:4" x14ac:dyDescent="0.3">
      <c r="B32" s="32" t="s">
        <v>339</v>
      </c>
      <c r="C32" s="32">
        <v>210</v>
      </c>
      <c r="D32" s="32" t="s">
        <v>342</v>
      </c>
    </row>
    <row r="33" spans="2:4" x14ac:dyDescent="0.3">
      <c r="B33" s="32" t="s">
        <v>343</v>
      </c>
      <c r="C33" s="32">
        <v>12</v>
      </c>
      <c r="D33" s="32" t="s">
        <v>56</v>
      </c>
    </row>
    <row r="34" spans="2:4" x14ac:dyDescent="0.3">
      <c r="B34" s="32" t="s">
        <v>340</v>
      </c>
      <c r="C34" s="32">
        <v>63</v>
      </c>
      <c r="D34" s="32" t="s">
        <v>56</v>
      </c>
    </row>
    <row r="35" spans="2:4" x14ac:dyDescent="0.3">
      <c r="B35" s="43" t="s">
        <v>249</v>
      </c>
      <c r="C35" s="43"/>
      <c r="D35" s="43"/>
    </row>
    <row r="36" spans="2:4" x14ac:dyDescent="0.3">
      <c r="B36" s="33" t="s">
        <v>335</v>
      </c>
      <c r="C36" s="33">
        <f>(PI()*(C33/1000)^4) / 64</f>
        <v>1.0178760197630931E-9</v>
      </c>
      <c r="D36" s="33" t="s">
        <v>336</v>
      </c>
    </row>
    <row r="37" spans="2:4" x14ac:dyDescent="0.3">
      <c r="B37" s="33" t="s">
        <v>341</v>
      </c>
      <c r="C37" s="5">
        <f>((C31/1000)*3*(C32*10^9)*(C36))/(C34/1000)^3</f>
        <v>4744.4460482784634</v>
      </c>
      <c r="D37" s="5" t="s">
        <v>226</v>
      </c>
    </row>
    <row r="38" spans="2:4" x14ac:dyDescent="0.3">
      <c r="B38" s="32"/>
      <c r="C38" s="32">
        <f>C37/9.8</f>
        <v>484.12714778351665</v>
      </c>
      <c r="D38" s="32"/>
    </row>
    <row r="39" spans="2:4" x14ac:dyDescent="0.3">
      <c r="C39">
        <f>C38*2.2</f>
        <v>1065.0797251237368</v>
      </c>
    </row>
  </sheetData>
  <mergeCells count="9">
    <mergeCell ref="B2:D2"/>
    <mergeCell ref="B3:D3"/>
    <mergeCell ref="B10:D10"/>
    <mergeCell ref="B14:D14"/>
    <mergeCell ref="B28:D28"/>
    <mergeCell ref="B29:D29"/>
    <mergeCell ref="B35:D35"/>
    <mergeCell ref="B15:D15"/>
    <mergeCell ref="B22:D2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BD15F-24D0-4D73-A089-9C6E4F7E1683}">
  <dimension ref="C3:K62"/>
  <sheetViews>
    <sheetView tabSelected="1" topLeftCell="E25" zoomScale="91" zoomScaleNormal="100" workbookViewId="0">
      <selection activeCell="J45" sqref="J45"/>
    </sheetView>
  </sheetViews>
  <sheetFormatPr defaultRowHeight="14.4" x14ac:dyDescent="0.3"/>
  <cols>
    <col min="3" max="3" width="32" bestFit="1" customWidth="1"/>
    <col min="4" max="4" width="14.33203125" customWidth="1"/>
    <col min="5" max="5" width="12.6640625" customWidth="1"/>
    <col min="6" max="6" width="8.44140625" bestFit="1" customWidth="1"/>
    <col min="9" max="9" width="39.88671875" bestFit="1" customWidth="1"/>
    <col min="10" max="10" width="12" bestFit="1" customWidth="1"/>
    <col min="11" max="11" width="5.88671875" bestFit="1" customWidth="1"/>
    <col min="15" max="15" width="32.33203125" bestFit="1" customWidth="1"/>
    <col min="16" max="16" width="9.33203125" customWidth="1"/>
    <col min="17" max="17" width="4.88671875" bestFit="1" customWidth="1"/>
  </cols>
  <sheetData>
    <row r="3" spans="3:11" x14ac:dyDescent="0.3">
      <c r="C3" s="45" t="s">
        <v>245</v>
      </c>
      <c r="D3" s="45"/>
      <c r="E3" s="45"/>
      <c r="F3" s="45"/>
      <c r="G3" s="26"/>
      <c r="I3" s="45" t="s">
        <v>290</v>
      </c>
      <c r="J3" s="45"/>
      <c r="K3" s="45"/>
    </row>
    <row r="4" spans="3:11" x14ac:dyDescent="0.3">
      <c r="C4" s="51" t="s">
        <v>8</v>
      </c>
      <c r="D4" s="51"/>
      <c r="E4" s="27" t="s">
        <v>5</v>
      </c>
      <c r="F4" s="27" t="s">
        <v>6</v>
      </c>
      <c r="I4" s="27" t="s">
        <v>291</v>
      </c>
      <c r="J4" s="27" t="s">
        <v>5</v>
      </c>
      <c r="K4" s="27" t="s">
        <v>292</v>
      </c>
    </row>
    <row r="5" spans="3:11" x14ac:dyDescent="0.3">
      <c r="C5" s="49" t="s">
        <v>223</v>
      </c>
      <c r="D5" s="49"/>
      <c r="E5" s="49"/>
      <c r="F5" s="49"/>
      <c r="I5" s="5" t="s">
        <v>293</v>
      </c>
      <c r="J5" s="30">
        <f>E13+E39+E50+(E62-E55)</f>
        <v>538.47126110604404</v>
      </c>
      <c r="K5" s="5" t="s">
        <v>252</v>
      </c>
    </row>
    <row r="6" spans="3:11" x14ac:dyDescent="0.3">
      <c r="C6" s="50" t="s">
        <v>240</v>
      </c>
      <c r="D6" s="50"/>
      <c r="E6" s="24">
        <v>0.28360000000000002</v>
      </c>
      <c r="F6" s="24" t="s">
        <v>283</v>
      </c>
      <c r="I6" s="5" t="s">
        <v>294</v>
      </c>
      <c r="J6" s="30">
        <f>J5/2.205</f>
        <v>244.20465356283177</v>
      </c>
      <c r="K6" s="5" t="s">
        <v>227</v>
      </c>
    </row>
    <row r="7" spans="3:11" x14ac:dyDescent="0.3">
      <c r="C7" s="50" t="s">
        <v>242</v>
      </c>
      <c r="D7" s="50"/>
      <c r="E7" s="24">
        <v>1</v>
      </c>
      <c r="F7" s="24" t="s">
        <v>244</v>
      </c>
      <c r="I7" s="5" t="s">
        <v>295</v>
      </c>
      <c r="J7" s="30">
        <f>E13+E39+E50+E62</f>
        <v>713.47126110604404</v>
      </c>
      <c r="K7" s="5" t="s">
        <v>252</v>
      </c>
    </row>
    <row r="8" spans="3:11" x14ac:dyDescent="0.3">
      <c r="C8" s="50" t="s">
        <v>243</v>
      </c>
      <c r="D8" s="50"/>
      <c r="E8" s="24">
        <v>8.3000000000000004E-2</v>
      </c>
      <c r="F8" s="24" t="s">
        <v>244</v>
      </c>
      <c r="I8" s="5" t="s">
        <v>296</v>
      </c>
      <c r="J8" s="30">
        <f>J7/2.205</f>
        <v>323.5697329279111</v>
      </c>
      <c r="K8" s="5" t="s">
        <v>227</v>
      </c>
    </row>
    <row r="9" spans="3:11" x14ac:dyDescent="0.3">
      <c r="C9" s="50" t="s">
        <v>246</v>
      </c>
      <c r="D9" s="50"/>
      <c r="E9" s="24">
        <v>157.21</v>
      </c>
      <c r="F9" s="24" t="s">
        <v>248</v>
      </c>
    </row>
    <row r="10" spans="3:11" x14ac:dyDescent="0.3">
      <c r="C10" s="46" t="s">
        <v>249</v>
      </c>
      <c r="D10" s="47"/>
      <c r="E10" s="47"/>
      <c r="F10" s="48"/>
      <c r="I10" s="54" t="s">
        <v>222</v>
      </c>
      <c r="J10" s="55"/>
      <c r="K10" s="56"/>
    </row>
    <row r="11" spans="3:11" x14ac:dyDescent="0.3">
      <c r="C11" s="50" t="s">
        <v>241</v>
      </c>
      <c r="D11" s="50"/>
      <c r="E11" s="24">
        <f>(E7-2*E8)</f>
        <v>0.83399999999999996</v>
      </c>
      <c r="F11" s="24" t="s">
        <v>244</v>
      </c>
      <c r="I11" s="27" t="s">
        <v>8</v>
      </c>
      <c r="J11" s="27" t="s">
        <v>5</v>
      </c>
      <c r="K11" s="27" t="s">
        <v>6</v>
      </c>
    </row>
    <row r="12" spans="3:11" x14ac:dyDescent="0.3">
      <c r="C12" s="50" t="s">
        <v>250</v>
      </c>
      <c r="D12" s="50"/>
      <c r="E12" s="28">
        <f>(PI()/4)*(E7^2-E11^2)</f>
        <v>0.23910975845737278</v>
      </c>
      <c r="F12" s="24" t="s">
        <v>251</v>
      </c>
      <c r="I12" s="46" t="s">
        <v>223</v>
      </c>
      <c r="J12" s="47"/>
      <c r="K12" s="48"/>
    </row>
    <row r="13" spans="3:11" x14ac:dyDescent="0.3">
      <c r="C13" s="51" t="s">
        <v>247</v>
      </c>
      <c r="D13" s="51"/>
      <c r="E13" s="31">
        <f>E12*E6*(E9*12)</f>
        <v>127.92780285649083</v>
      </c>
      <c r="F13" s="27" t="s">
        <v>252</v>
      </c>
      <c r="I13" s="24" t="s">
        <v>230</v>
      </c>
      <c r="J13" s="25">
        <f>J8</f>
        <v>323.5697329279111</v>
      </c>
      <c r="K13" s="24" t="s">
        <v>227</v>
      </c>
    </row>
    <row r="14" spans="3:11" x14ac:dyDescent="0.3">
      <c r="I14" s="24" t="s">
        <v>217</v>
      </c>
      <c r="J14" s="24">
        <v>873</v>
      </c>
      <c r="K14" s="24" t="s">
        <v>56</v>
      </c>
    </row>
    <row r="15" spans="3:11" x14ac:dyDescent="0.3">
      <c r="C15" s="45" t="s">
        <v>253</v>
      </c>
      <c r="D15" s="45"/>
      <c r="E15" s="45"/>
      <c r="F15" s="45"/>
      <c r="I15" s="24" t="s">
        <v>219</v>
      </c>
      <c r="J15" s="24">
        <v>947</v>
      </c>
      <c r="K15" s="24" t="s">
        <v>56</v>
      </c>
    </row>
    <row r="16" spans="3:11" x14ac:dyDescent="0.3">
      <c r="C16" s="51" t="s">
        <v>8</v>
      </c>
      <c r="D16" s="51"/>
      <c r="E16" s="27" t="s">
        <v>5</v>
      </c>
      <c r="F16" s="27" t="s">
        <v>6</v>
      </c>
      <c r="I16" s="24" t="s">
        <v>218</v>
      </c>
      <c r="J16" s="24">
        <v>330</v>
      </c>
      <c r="K16" s="24" t="s">
        <v>56</v>
      </c>
    </row>
    <row r="17" spans="3:11" x14ac:dyDescent="0.3">
      <c r="C17" s="49" t="s">
        <v>223</v>
      </c>
      <c r="D17" s="49"/>
      <c r="E17" s="49"/>
      <c r="F17" s="49"/>
      <c r="I17" s="24" t="s">
        <v>220</v>
      </c>
      <c r="J17" s="24">
        <v>1.5</v>
      </c>
      <c r="K17" s="24" t="s">
        <v>221</v>
      </c>
    </row>
    <row r="18" spans="3:11" x14ac:dyDescent="0.3">
      <c r="C18" s="52" t="s">
        <v>259</v>
      </c>
      <c r="D18" s="53"/>
      <c r="E18" s="24">
        <v>0.28360000000000002</v>
      </c>
      <c r="F18" s="24" t="s">
        <v>283</v>
      </c>
      <c r="I18" s="24" t="s">
        <v>235</v>
      </c>
      <c r="J18" s="24">
        <v>540</v>
      </c>
      <c r="K18" s="24" t="s">
        <v>56</v>
      </c>
    </row>
    <row r="19" spans="3:11" x14ac:dyDescent="0.3">
      <c r="C19" s="52" t="s">
        <v>284</v>
      </c>
      <c r="D19" s="53"/>
      <c r="E19" s="24">
        <v>15</v>
      </c>
      <c r="F19" s="24" t="s">
        <v>244</v>
      </c>
      <c r="I19" s="49" t="s">
        <v>234</v>
      </c>
      <c r="J19" s="49"/>
      <c r="K19" s="49"/>
    </row>
    <row r="20" spans="3:11" x14ac:dyDescent="0.3">
      <c r="C20" s="52" t="s">
        <v>260</v>
      </c>
      <c r="D20" s="53"/>
      <c r="E20" s="24">
        <v>1</v>
      </c>
      <c r="F20" s="24" t="s">
        <v>244</v>
      </c>
      <c r="I20" s="24" t="s">
        <v>224</v>
      </c>
      <c r="J20" s="25">
        <f>((J13*9.8)*(J14)/(J15+J14))</f>
        <v>1521.0266445557422</v>
      </c>
      <c r="K20" s="24" t="s">
        <v>226</v>
      </c>
    </row>
    <row r="21" spans="3:11" x14ac:dyDescent="0.3">
      <c r="C21" s="52" t="s">
        <v>261</v>
      </c>
      <c r="D21" s="53"/>
      <c r="E21" s="24">
        <v>8.3000000000000004E-2</v>
      </c>
      <c r="F21" s="24" t="s">
        <v>244</v>
      </c>
      <c r="I21" s="24" t="s">
        <v>225</v>
      </c>
      <c r="J21" s="25">
        <f>(J13*9.8)-J20</f>
        <v>1649.9567381377869</v>
      </c>
      <c r="K21" s="24" t="s">
        <v>226</v>
      </c>
    </row>
    <row r="22" spans="3:11" x14ac:dyDescent="0.3">
      <c r="C22" s="52" t="s">
        <v>288</v>
      </c>
      <c r="D22" s="53"/>
      <c r="E22" s="24">
        <v>20</v>
      </c>
      <c r="F22" s="24" t="s">
        <v>285</v>
      </c>
      <c r="I22" s="24" t="s">
        <v>228</v>
      </c>
      <c r="J22" s="25">
        <f>(J13*9.8)*(J14+J17*J16)/(J14+J15)</f>
        <v>2383.4644327059054</v>
      </c>
      <c r="K22" s="24" t="s">
        <v>226</v>
      </c>
    </row>
    <row r="23" spans="3:11" x14ac:dyDescent="0.3">
      <c r="C23" s="52" t="s">
        <v>262</v>
      </c>
      <c r="D23" s="53"/>
      <c r="E23" s="24">
        <v>0.15</v>
      </c>
      <c r="F23" s="24" t="s">
        <v>252</v>
      </c>
      <c r="I23" s="24" t="s">
        <v>229</v>
      </c>
      <c r="J23" s="25">
        <f>(J13*9.8)*(J15-J17*J16)/(J14+J15)</f>
        <v>787.51894998762373</v>
      </c>
      <c r="K23" s="24" t="s">
        <v>226</v>
      </c>
    </row>
    <row r="24" spans="3:11" x14ac:dyDescent="0.3">
      <c r="C24" s="52" t="s">
        <v>263</v>
      </c>
      <c r="D24" s="53"/>
      <c r="E24" s="24">
        <v>64</v>
      </c>
      <c r="F24" s="24" t="s">
        <v>285</v>
      </c>
      <c r="I24" s="24" t="s">
        <v>231</v>
      </c>
      <c r="J24" s="25">
        <f>(J22/(J13*9.8))*100</f>
        <v>75.164835164835168</v>
      </c>
      <c r="K24" s="24" t="s">
        <v>233</v>
      </c>
    </row>
    <row r="25" spans="3:11" x14ac:dyDescent="0.3">
      <c r="C25" s="52" t="s">
        <v>264</v>
      </c>
      <c r="D25" s="53"/>
      <c r="E25" s="24">
        <v>0.15</v>
      </c>
      <c r="F25" s="24" t="s">
        <v>252</v>
      </c>
      <c r="I25" s="24" t="s">
        <v>232</v>
      </c>
      <c r="J25" s="25">
        <f>(J23/(J13*9.8))*100</f>
        <v>24.835164835164836</v>
      </c>
      <c r="K25" s="24" t="s">
        <v>233</v>
      </c>
    </row>
    <row r="26" spans="3:11" x14ac:dyDescent="0.3">
      <c r="C26" s="52" t="s">
        <v>265</v>
      </c>
      <c r="D26" s="53"/>
      <c r="E26" s="24">
        <v>64</v>
      </c>
      <c r="F26" s="24" t="s">
        <v>285</v>
      </c>
      <c r="I26" s="46" t="s">
        <v>236</v>
      </c>
      <c r="J26" s="47"/>
      <c r="K26" s="48"/>
    </row>
    <row r="27" spans="3:11" x14ac:dyDescent="0.3">
      <c r="C27" s="52" t="s">
        <v>254</v>
      </c>
      <c r="D27" s="53"/>
      <c r="E27" s="24">
        <v>2.2000000000000002</v>
      </c>
      <c r="F27" s="24" t="s">
        <v>252</v>
      </c>
      <c r="I27" s="24" t="s">
        <v>237</v>
      </c>
      <c r="J27" s="25">
        <f>J22*(J18/2000)*J17</f>
        <v>965.30309524589188</v>
      </c>
      <c r="K27" s="24" t="s">
        <v>239</v>
      </c>
    </row>
    <row r="28" spans="3:11" x14ac:dyDescent="0.3">
      <c r="C28" s="52" t="s">
        <v>255</v>
      </c>
      <c r="D28" s="53"/>
      <c r="E28" s="24">
        <v>0.15</v>
      </c>
      <c r="F28" s="24" t="s">
        <v>252</v>
      </c>
      <c r="I28" s="24" t="s">
        <v>238</v>
      </c>
      <c r="J28" s="25">
        <f>J23*(J18/2000)*J17</f>
        <v>318.94517474498764</v>
      </c>
      <c r="K28" s="24" t="s">
        <v>239</v>
      </c>
    </row>
    <row r="29" spans="3:11" x14ac:dyDescent="0.3">
      <c r="C29" s="52" t="s">
        <v>256</v>
      </c>
      <c r="D29" s="53"/>
      <c r="E29" s="24">
        <v>1.5</v>
      </c>
      <c r="F29" s="24" t="s">
        <v>252</v>
      </c>
    </row>
    <row r="30" spans="3:11" x14ac:dyDescent="0.3">
      <c r="C30" s="52" t="s">
        <v>286</v>
      </c>
      <c r="D30" s="53"/>
      <c r="E30" s="24">
        <v>1</v>
      </c>
      <c r="F30" s="24" t="s">
        <v>252</v>
      </c>
      <c r="I30" s="45" t="s">
        <v>297</v>
      </c>
      <c r="J30" s="45"/>
      <c r="K30" s="45"/>
    </row>
    <row r="31" spans="3:11" x14ac:dyDescent="0.3">
      <c r="C31" s="52" t="s">
        <v>257</v>
      </c>
      <c r="D31" s="53"/>
      <c r="E31" s="24">
        <v>13</v>
      </c>
      <c r="F31" s="24" t="s">
        <v>252</v>
      </c>
      <c r="I31" s="27" t="s">
        <v>8</v>
      </c>
      <c r="J31" s="27" t="s">
        <v>5</v>
      </c>
      <c r="K31" s="27" t="s">
        <v>6</v>
      </c>
    </row>
    <row r="32" spans="3:11" x14ac:dyDescent="0.3">
      <c r="C32" s="52" t="s">
        <v>258</v>
      </c>
      <c r="D32" s="53"/>
      <c r="E32" s="24">
        <v>15</v>
      </c>
      <c r="F32" s="24" t="s">
        <v>252</v>
      </c>
      <c r="I32" s="49" t="s">
        <v>298</v>
      </c>
      <c r="J32" s="49"/>
      <c r="K32" s="49"/>
    </row>
    <row r="33" spans="3:11" x14ac:dyDescent="0.3">
      <c r="C33" s="52" t="s">
        <v>266</v>
      </c>
      <c r="D33" s="53"/>
      <c r="E33" s="24">
        <v>2.5</v>
      </c>
      <c r="F33" s="24" t="s">
        <v>252</v>
      </c>
      <c r="I33" s="24" t="s">
        <v>305</v>
      </c>
      <c r="J33" s="24">
        <v>0.45</v>
      </c>
      <c r="K33" s="24" t="s">
        <v>95</v>
      </c>
    </row>
    <row r="34" spans="3:11" x14ac:dyDescent="0.3">
      <c r="C34" s="52" t="s">
        <v>270</v>
      </c>
      <c r="D34" s="53"/>
      <c r="E34" s="24">
        <v>2</v>
      </c>
      <c r="F34" s="24" t="s">
        <v>252</v>
      </c>
      <c r="I34" s="24" t="s">
        <v>306</v>
      </c>
      <c r="J34" s="24">
        <v>0.45</v>
      </c>
      <c r="K34" s="24" t="s">
        <v>95</v>
      </c>
    </row>
    <row r="35" spans="3:11" x14ac:dyDescent="0.3">
      <c r="C35" s="49" t="s">
        <v>249</v>
      </c>
      <c r="D35" s="49"/>
      <c r="E35" s="49"/>
      <c r="F35" s="49"/>
      <c r="I35" s="24" t="s">
        <v>300</v>
      </c>
      <c r="J35" s="24">
        <v>96</v>
      </c>
      <c r="K35" s="24" t="s">
        <v>56</v>
      </c>
    </row>
    <row r="36" spans="3:11" x14ac:dyDescent="0.3">
      <c r="C36" s="52" t="s">
        <v>267</v>
      </c>
      <c r="D36" s="53"/>
      <c r="E36" s="24">
        <f>E20-2*E21</f>
        <v>0.83399999999999996</v>
      </c>
      <c r="F36" s="24" t="s">
        <v>252</v>
      </c>
      <c r="I36" s="24" t="s">
        <v>320</v>
      </c>
      <c r="J36" s="24">
        <v>1.23</v>
      </c>
      <c r="K36" s="24" t="s">
        <v>322</v>
      </c>
    </row>
    <row r="37" spans="3:11" x14ac:dyDescent="0.3">
      <c r="C37" s="52" t="s">
        <v>268</v>
      </c>
      <c r="D37" s="53"/>
      <c r="E37" s="28">
        <f>(PI()/4)*(E20^2-E36^2)</f>
        <v>0.23910975845737278</v>
      </c>
      <c r="F37" s="24" t="s">
        <v>252</v>
      </c>
      <c r="I37" s="24" t="s">
        <v>321</v>
      </c>
      <c r="J37" s="24">
        <v>1.23</v>
      </c>
      <c r="K37" s="24" t="s">
        <v>322</v>
      </c>
    </row>
    <row r="38" spans="3:11" x14ac:dyDescent="0.3">
      <c r="C38" s="52" t="s">
        <v>287</v>
      </c>
      <c r="D38" s="53"/>
      <c r="E38" s="28">
        <f>E37*E18*((E19*E22))</f>
        <v>20.343458249553276</v>
      </c>
      <c r="F38" s="24" t="s">
        <v>252</v>
      </c>
      <c r="I38" s="24" t="s">
        <v>318</v>
      </c>
      <c r="J38" s="24">
        <v>0.75</v>
      </c>
      <c r="K38" s="24" t="s">
        <v>322</v>
      </c>
    </row>
    <row r="39" spans="3:11" x14ac:dyDescent="0.3">
      <c r="C39" s="57" t="s">
        <v>269</v>
      </c>
      <c r="D39" s="58"/>
      <c r="E39" s="31">
        <f>E38 + E23*E24 + E25*E26 + E30*4 + E29*4 + E28*8 + E27*4 + E31*4 + E32*4 + E33 + E34</f>
        <v>176.04345824955328</v>
      </c>
      <c r="F39" s="27" t="s">
        <v>252</v>
      </c>
      <c r="I39" s="24" t="s">
        <v>319</v>
      </c>
      <c r="J39" s="24">
        <v>0.75</v>
      </c>
      <c r="K39" s="24" t="s">
        <v>322</v>
      </c>
    </row>
    <row r="40" spans="3:11" x14ac:dyDescent="0.3">
      <c r="I40" s="24" t="s">
        <v>301</v>
      </c>
      <c r="J40" s="24">
        <v>3</v>
      </c>
      <c r="K40" s="24" t="s">
        <v>95</v>
      </c>
    </row>
    <row r="41" spans="3:11" x14ac:dyDescent="0.3">
      <c r="C41" s="45" t="s">
        <v>271</v>
      </c>
      <c r="D41" s="45"/>
      <c r="E41" s="45"/>
      <c r="F41" s="45"/>
      <c r="I41" s="24" t="s">
        <v>299</v>
      </c>
      <c r="J41" s="24">
        <v>0.6</v>
      </c>
      <c r="K41" s="24" t="s">
        <v>95</v>
      </c>
    </row>
    <row r="42" spans="3:11" x14ac:dyDescent="0.3">
      <c r="C42" s="51" t="s">
        <v>8</v>
      </c>
      <c r="D42" s="51"/>
      <c r="E42" s="27" t="s">
        <v>5</v>
      </c>
      <c r="F42" s="27" t="s">
        <v>6</v>
      </c>
      <c r="I42" s="24" t="s">
        <v>310</v>
      </c>
      <c r="J42" s="24">
        <v>2000</v>
      </c>
      <c r="K42" s="24" t="s">
        <v>226</v>
      </c>
    </row>
    <row r="43" spans="3:11" x14ac:dyDescent="0.3">
      <c r="C43" s="49" t="s">
        <v>223</v>
      </c>
      <c r="D43" s="49"/>
      <c r="E43" s="49"/>
      <c r="F43" s="49"/>
      <c r="I43" s="46" t="s">
        <v>249</v>
      </c>
      <c r="J43" s="47"/>
      <c r="K43" s="48"/>
    </row>
    <row r="44" spans="3:11" x14ac:dyDescent="0.3">
      <c r="C44" s="52" t="s">
        <v>272</v>
      </c>
      <c r="D44" s="53"/>
      <c r="E44" s="24">
        <v>136</v>
      </c>
      <c r="F44" s="24" t="s">
        <v>252</v>
      </c>
      <c r="I44" s="24" t="s">
        <v>302</v>
      </c>
      <c r="J44" s="25">
        <f>2*J33*(J50*6894.76)*J46*(J35/1000)</f>
        <v>482.651547622946</v>
      </c>
      <c r="K44" s="24" t="s">
        <v>239</v>
      </c>
    </row>
    <row r="45" spans="3:11" x14ac:dyDescent="0.3">
      <c r="C45" s="52" t="s">
        <v>273</v>
      </c>
      <c r="D45" s="53"/>
      <c r="E45" s="24">
        <v>50</v>
      </c>
      <c r="F45" s="24" t="s">
        <v>252</v>
      </c>
      <c r="I45" s="24" t="s">
        <v>303</v>
      </c>
      <c r="J45" s="25">
        <f>2*J34*(J51*6894.76)*J47*(J35/1000)</f>
        <v>159.47258737249382</v>
      </c>
      <c r="K45" s="24" t="s">
        <v>239</v>
      </c>
    </row>
    <row r="46" spans="3:11" x14ac:dyDescent="0.3">
      <c r="C46" s="52" t="s">
        <v>274</v>
      </c>
      <c r="D46" s="53"/>
      <c r="E46" s="24">
        <v>11</v>
      </c>
      <c r="F46" s="24" t="s">
        <v>252</v>
      </c>
      <c r="I46" s="24" t="s">
        <v>304</v>
      </c>
      <c r="J46" s="29">
        <f>PI()/4*(J36*0.0254)^2</f>
        <v>7.6659774512660424E-4</v>
      </c>
      <c r="K46" s="24" t="s">
        <v>323</v>
      </c>
    </row>
    <row r="47" spans="3:11" x14ac:dyDescent="0.3">
      <c r="C47" s="52" t="s">
        <v>289</v>
      </c>
      <c r="D47" s="53"/>
      <c r="E47" s="24">
        <v>3</v>
      </c>
      <c r="F47" s="24" t="s">
        <v>285</v>
      </c>
      <c r="I47" s="24" t="s">
        <v>307</v>
      </c>
      <c r="J47" s="29">
        <f>PI()/4*(J37*0.0254)^2</f>
        <v>7.6659774512660424E-4</v>
      </c>
      <c r="K47" s="24" t="s">
        <v>323</v>
      </c>
    </row>
    <row r="48" spans="3:11" x14ac:dyDescent="0.3">
      <c r="C48" s="52" t="s">
        <v>270</v>
      </c>
      <c r="D48" s="53"/>
      <c r="E48" s="24">
        <v>5</v>
      </c>
      <c r="F48" s="24" t="s">
        <v>252</v>
      </c>
      <c r="I48" s="24" t="s">
        <v>308</v>
      </c>
      <c r="J48" s="29">
        <f>PI()/4*(J38*0.0254)^2</f>
        <v>2.8502295699234242E-4</v>
      </c>
      <c r="K48" s="24" t="s">
        <v>323</v>
      </c>
    </row>
    <row r="49" spans="3:11" x14ac:dyDescent="0.3">
      <c r="C49" s="49" t="s">
        <v>275</v>
      </c>
      <c r="D49" s="49"/>
      <c r="E49" s="49"/>
      <c r="F49" s="49"/>
      <c r="I49" s="24" t="s">
        <v>309</v>
      </c>
      <c r="J49" s="29">
        <f>PI()/4*(J39*0.0254)^2</f>
        <v>2.8502295699234242E-4</v>
      </c>
      <c r="K49" s="24" t="s">
        <v>323</v>
      </c>
    </row>
    <row r="50" spans="3:11" x14ac:dyDescent="0.3">
      <c r="C50" s="57" t="s">
        <v>276</v>
      </c>
      <c r="D50" s="58"/>
      <c r="E50" s="27">
        <f>E44+E45+(E46*E47)+E48</f>
        <v>224</v>
      </c>
      <c r="F50" s="27" t="s">
        <v>252</v>
      </c>
      <c r="I50" s="24" t="s">
        <v>311</v>
      </c>
      <c r="J50" s="25">
        <f>(J27/2)/(2*J33*(J35/1000)*J46)/6894.76</f>
        <v>1056.8984712855772</v>
      </c>
      <c r="K50" s="24" t="s">
        <v>324</v>
      </c>
    </row>
    <row r="51" spans="3:11" x14ac:dyDescent="0.3">
      <c r="I51" s="24" t="s">
        <v>312</v>
      </c>
      <c r="J51" s="25">
        <f>(J28/2)/(2*J34*(J35/1000)*J47)/6894.76</f>
        <v>349.20914402125794</v>
      </c>
      <c r="K51" s="24" t="s">
        <v>324</v>
      </c>
    </row>
    <row r="52" spans="3:11" x14ac:dyDescent="0.3">
      <c r="C52" s="45" t="s">
        <v>277</v>
      </c>
      <c r="D52" s="45"/>
      <c r="E52" s="45"/>
      <c r="F52" s="45"/>
      <c r="I52" s="24" t="s">
        <v>316</v>
      </c>
      <c r="J52" s="25">
        <f>J42*J40*J41/J48/6894.76</f>
        <v>1831.9073535403561</v>
      </c>
      <c r="K52" s="24" t="s">
        <v>324</v>
      </c>
    </row>
    <row r="53" spans="3:11" x14ac:dyDescent="0.3">
      <c r="C53" s="51" t="s">
        <v>8</v>
      </c>
      <c r="D53" s="51"/>
      <c r="E53" s="27" t="s">
        <v>5</v>
      </c>
      <c r="F53" s="27" t="s">
        <v>6</v>
      </c>
      <c r="I53" s="24" t="s">
        <v>317</v>
      </c>
      <c r="J53" s="25">
        <f>J42*J40*(1-J41)/J49/6894.76</f>
        <v>1221.271569026904</v>
      </c>
      <c r="K53" s="24" t="s">
        <v>324</v>
      </c>
    </row>
    <row r="54" spans="3:11" x14ac:dyDescent="0.3">
      <c r="C54" s="46" t="s">
        <v>223</v>
      </c>
      <c r="D54" s="47"/>
      <c r="E54" s="47"/>
      <c r="F54" s="48"/>
      <c r="I54" s="24" t="s">
        <v>313</v>
      </c>
      <c r="J54" s="25">
        <f>J50*6894.76*J48/(J40*J41)</f>
        <v>1153.8776447870121</v>
      </c>
      <c r="K54" s="24" t="s">
        <v>226</v>
      </c>
    </row>
    <row r="55" spans="3:11" x14ac:dyDescent="0.3">
      <c r="C55" s="52" t="s">
        <v>278</v>
      </c>
      <c r="D55" s="53"/>
      <c r="E55" s="24">
        <v>175</v>
      </c>
      <c r="F55" s="24" t="s">
        <v>252</v>
      </c>
      <c r="I55" s="24" t="s">
        <v>314</v>
      </c>
      <c r="J55" s="25">
        <f>J51*6894.76*J49/(J40*(1-J41))</f>
        <v>571.87795553040496</v>
      </c>
      <c r="K55" s="24" t="s">
        <v>226</v>
      </c>
    </row>
    <row r="56" spans="3:11" x14ac:dyDescent="0.3">
      <c r="C56" s="52" t="s">
        <v>279</v>
      </c>
      <c r="D56" s="53"/>
      <c r="E56" s="24">
        <v>5</v>
      </c>
      <c r="F56" s="24" t="s">
        <v>252</v>
      </c>
      <c r="I56" s="24" t="s">
        <v>315</v>
      </c>
      <c r="J56" s="25">
        <f>MAX(J54,J55)</f>
        <v>1153.8776447870121</v>
      </c>
      <c r="K56" s="24" t="s">
        <v>226</v>
      </c>
    </row>
    <row r="57" spans="3:11" x14ac:dyDescent="0.3">
      <c r="C57" s="52" t="s">
        <v>280</v>
      </c>
      <c r="D57" s="53"/>
      <c r="E57" s="24">
        <v>1</v>
      </c>
      <c r="F57" s="24" t="s">
        <v>252</v>
      </c>
      <c r="J57" t="s">
        <v>325</v>
      </c>
    </row>
    <row r="58" spans="3:11" x14ac:dyDescent="0.3">
      <c r="C58" s="52" t="s">
        <v>281</v>
      </c>
      <c r="D58" s="53"/>
      <c r="E58" s="24">
        <v>3</v>
      </c>
      <c r="F58" s="24" t="s">
        <v>252</v>
      </c>
    </row>
    <row r="59" spans="3:11" x14ac:dyDescent="0.3">
      <c r="C59" s="52" t="s">
        <v>282</v>
      </c>
      <c r="D59" s="53"/>
      <c r="E59" s="24">
        <v>1</v>
      </c>
      <c r="F59" s="24" t="s">
        <v>252</v>
      </c>
    </row>
    <row r="60" spans="3:11" x14ac:dyDescent="0.3">
      <c r="C60" s="52" t="s">
        <v>270</v>
      </c>
      <c r="D60" s="53"/>
      <c r="E60" s="24">
        <v>0.5</v>
      </c>
      <c r="F60" s="24" t="s">
        <v>252</v>
      </c>
    </row>
    <row r="61" spans="3:11" x14ac:dyDescent="0.3">
      <c r="C61" s="49" t="s">
        <v>275</v>
      </c>
      <c r="D61" s="49"/>
      <c r="E61" s="49"/>
      <c r="F61" s="49"/>
    </row>
    <row r="62" spans="3:11" x14ac:dyDescent="0.3">
      <c r="C62" s="57" t="s">
        <v>276</v>
      </c>
      <c r="D62" s="58"/>
      <c r="E62" s="31">
        <f>SUM(E55:E60)</f>
        <v>185.5</v>
      </c>
      <c r="F62" s="27" t="s">
        <v>252</v>
      </c>
    </row>
  </sheetData>
  <mergeCells count="65">
    <mergeCell ref="I19:K19"/>
    <mergeCell ref="I10:K10"/>
    <mergeCell ref="I30:K30"/>
    <mergeCell ref="C62:D62"/>
    <mergeCell ref="C30:D30"/>
    <mergeCell ref="C38:D38"/>
    <mergeCell ref="C46:D46"/>
    <mergeCell ref="I26:K26"/>
    <mergeCell ref="I32:K32"/>
    <mergeCell ref="I43:K43"/>
    <mergeCell ref="C18:D18"/>
    <mergeCell ref="C36:D36"/>
    <mergeCell ref="C37:D37"/>
    <mergeCell ref="C39:D39"/>
    <mergeCell ref="C55:D55"/>
    <mergeCell ref="C50:D50"/>
    <mergeCell ref="C52:F52"/>
    <mergeCell ref="C53:D53"/>
    <mergeCell ref="C54:F54"/>
    <mergeCell ref="C61:F61"/>
    <mergeCell ref="C56:D56"/>
    <mergeCell ref="C57:D57"/>
    <mergeCell ref="C58:D58"/>
    <mergeCell ref="C59:D59"/>
    <mergeCell ref="C60:D60"/>
    <mergeCell ref="C42:D42"/>
    <mergeCell ref="C43:F43"/>
    <mergeCell ref="C49:F49"/>
    <mergeCell ref="C44:D44"/>
    <mergeCell ref="C45:D45"/>
    <mergeCell ref="C47:D47"/>
    <mergeCell ref="C48:D48"/>
    <mergeCell ref="C32:D32"/>
    <mergeCell ref="C33:D33"/>
    <mergeCell ref="C34:D34"/>
    <mergeCell ref="C35:F35"/>
    <mergeCell ref="C41:F41"/>
    <mergeCell ref="C24:D24"/>
    <mergeCell ref="C25:D25"/>
    <mergeCell ref="C26:D26"/>
    <mergeCell ref="C29:D29"/>
    <mergeCell ref="C31:D31"/>
    <mergeCell ref="C27:D27"/>
    <mergeCell ref="C28:D28"/>
    <mergeCell ref="C19:D19"/>
    <mergeCell ref="C20:D20"/>
    <mergeCell ref="C21:D21"/>
    <mergeCell ref="C22:D22"/>
    <mergeCell ref="C23:D23"/>
    <mergeCell ref="C13:D13"/>
    <mergeCell ref="C15:F15"/>
    <mergeCell ref="C16:D16"/>
    <mergeCell ref="C17:F17"/>
    <mergeCell ref="C8:D8"/>
    <mergeCell ref="C9:D9"/>
    <mergeCell ref="C11:D11"/>
    <mergeCell ref="C10:F10"/>
    <mergeCell ref="I3:K3"/>
    <mergeCell ref="I12:K12"/>
    <mergeCell ref="C3:F3"/>
    <mergeCell ref="C5:F5"/>
    <mergeCell ref="C12:D12"/>
    <mergeCell ref="C4:D4"/>
    <mergeCell ref="C6:D6"/>
    <mergeCell ref="C7:D7"/>
  </mergeCells>
  <pageMargins left="0.7" right="0.7" top="0.75" bottom="0.75" header="0.3" footer="0.3"/>
  <pageSetup orientation="portrait" r:id="rId1"/>
  <ignoredErrors>
    <ignoredError sqref="J7" formula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F2AB9-CE9D-4BBF-B6CD-DA35E6C85917}">
  <dimension ref="A1"/>
  <sheetViews>
    <sheetView zoomScale="85" zoomScaleNormal="85" workbookViewId="0">
      <selection activeCell="X36" sqref="X36"/>
    </sheetView>
  </sheetViews>
  <sheetFormatPr defaultRowHeight="14.4" x14ac:dyDescent="0.3"/>
  <cols>
    <col min="2" max="2" width="28.6640625" bestFit="1" customWidth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Suspension Analyzer</vt:lpstr>
      <vt:lpstr>3d Suspweb Results</vt:lpstr>
      <vt:lpstr>Random Hand Calcs</vt:lpstr>
      <vt:lpstr>Brakes Hand Calcs</vt:lpstr>
      <vt:lpstr>Component Selection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Shareef Sayeed</dc:creator>
  <cp:lastModifiedBy>Shareef Sayeed</cp:lastModifiedBy>
  <dcterms:created xsi:type="dcterms:W3CDTF">2026-05-26T23:56:16Z</dcterms:created>
  <dcterms:modified xsi:type="dcterms:W3CDTF">2026-10-01T02:20:21Z</dcterms:modified>
</cp:coreProperties>
</file>