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re\OneDrive\Documents\Personal Projects\GOGO Kart\CAD\GOGO_KART_FSAE\Suspension\3D_Suspension_Analyzer\"/>
    </mc:Choice>
  </mc:AlternateContent>
  <xr:revisionPtr revIDLastSave="0" documentId="13_ncr:1_{29ABEC80-4971-4A07-B670-1DB9582C9F15}" xr6:coauthVersionLast="47" xr6:coauthVersionMax="47" xr10:uidLastSave="{00000000-0000-0000-0000-000000000000}"/>
  <bookViews>
    <workbookView xWindow="-120" yWindow="-120" windowWidth="38640" windowHeight="21120" xr2:uid="{9695B30A-B9BA-4C2C-80C9-40991A052BC6}"/>
  </bookViews>
  <sheets>
    <sheet name="Sheet 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9" i="2" l="1"/>
  <c r="I32" i="2"/>
  <c r="D24" i="2"/>
  <c r="D26" i="2" s="1"/>
  <c r="I33" i="2" s="1"/>
  <c r="D25" i="2"/>
  <c r="I28" i="2" s="1"/>
  <c r="D21" i="2"/>
  <c r="D23" i="2" s="1"/>
  <c r="D20" i="2"/>
  <c r="D22" i="2" s="1"/>
  <c r="I17" i="2" s="1"/>
  <c r="I18" i="2" l="1"/>
  <c r="I19" i="2" s="1"/>
  <c r="D27" i="2"/>
  <c r="D29" i="2"/>
  <c r="D28" i="2"/>
  <c r="I21" i="2" l="1"/>
  <c r="D31" i="2"/>
  <c r="I20" i="2"/>
  <c r="D30" i="2"/>
  <c r="D32" i="2" s="1"/>
  <c r="I22" i="2" l="1"/>
  <c r="I23" i="2" s="1"/>
  <c r="D34" i="2"/>
  <c r="D35" i="2" s="1"/>
  <c r="I34" i="2" s="1"/>
  <c r="I24" i="2" l="1"/>
  <c r="I30" i="2" s="1"/>
  <c r="D36" i="2"/>
  <c r="D40" i="2" s="1"/>
  <c r="I29" i="2"/>
  <c r="I36" i="2"/>
  <c r="I31" i="2" l="1"/>
  <c r="D41" i="2"/>
  <c r="I37" i="2" s="1"/>
  <c r="I38" i="2" s="1"/>
  <c r="I40" i="2" s="1"/>
  <c r="I35" i="2"/>
  <c r="D42" i="2"/>
  <c r="D43" i="2" s="1"/>
  <c r="D44" i="2" l="1"/>
  <c r="I41" i="2"/>
  <c r="I42" i="2" s="1"/>
  <c r="I47" i="2"/>
  <c r="I49" i="2"/>
  <c r="I48" i="2" l="1"/>
  <c r="I43" i="2"/>
  <c r="I50" i="2"/>
  <c r="I53" i="2" s="1"/>
  <c r="I51" i="2"/>
  <c r="I54" i="2" s="1"/>
  <c r="I52" i="2"/>
  <c r="I55" i="2" s="1"/>
  <c r="I44" i="2"/>
  <c r="I45" i="2"/>
  <c r="I46" i="2" l="1"/>
</calcChain>
</file>

<file path=xl/sharedStrings.xml><?xml version="1.0" encoding="utf-8"?>
<sst xmlns="http://schemas.openxmlformats.org/spreadsheetml/2006/main" count="281" uniqueCount="186">
  <si>
    <t>Value</t>
  </si>
  <si>
    <t>deg</t>
  </si>
  <si>
    <t>Unit</t>
  </si>
  <si>
    <t>Parameter Name</t>
  </si>
  <si>
    <t>Geometry Inputs</t>
  </si>
  <si>
    <t>Description</t>
  </si>
  <si>
    <t>Caluclated Final Values</t>
  </si>
  <si>
    <t>Y_U</t>
  </si>
  <si>
    <t>Z_U</t>
  </si>
  <si>
    <t>Y_L</t>
  </si>
  <si>
    <t>Z_L</t>
  </si>
  <si>
    <t>X_UOP</t>
  </si>
  <si>
    <t>X_LOP</t>
  </si>
  <si>
    <t>L_u</t>
  </si>
  <si>
    <t>X_uf</t>
  </si>
  <si>
    <t>X_lf</t>
  </si>
  <si>
    <t>X_ur</t>
  </si>
  <si>
    <t>X_lr</t>
  </si>
  <si>
    <t>mm</t>
  </si>
  <si>
    <t>Upper inboard pickup axis lateral position (from origin)</t>
  </si>
  <si>
    <t>Upper inboard pickup axis vertical position (from origin)</t>
  </si>
  <si>
    <t>Lower inboard pickup axis lateral position (from origin)</t>
  </si>
  <si>
    <t>Lower inboard pickup axis vertical position (from origin)</t>
  </si>
  <si>
    <t>dX</t>
  </si>
  <si>
    <t>L_U</t>
  </si>
  <si>
    <t>Upper arm member length</t>
  </si>
  <si>
    <t>L_L</t>
  </si>
  <si>
    <t>Lower arm member length</t>
  </si>
  <si>
    <t>Upright length (linear distance between upper and lower outboard rod end centers)</t>
  </si>
  <si>
    <t>Longitudinal position of the upper front pickup (from origin)</t>
  </si>
  <si>
    <t>Longitudinal position of the upper rear pickup (from origin)</t>
  </si>
  <si>
    <t>Longitudinal position of the lower front pickup (from origin)</t>
  </si>
  <si>
    <t>Longitudinal position of the lower rear pickup (from origin)</t>
  </si>
  <si>
    <t>base_U</t>
  </si>
  <si>
    <t>longitudinal spacing between the 2 upper inboard pickup points</t>
  </si>
  <si>
    <t>longitudinal spacing between the 2 lower inboard pickup points</t>
  </si>
  <si>
    <t>base_L</t>
  </si>
  <si>
    <t>upper arm swing radius</t>
  </si>
  <si>
    <t>lower arm swing radius</t>
  </si>
  <si>
    <t>logitudinal position of the upper outboard pivot on the upright</t>
  </si>
  <si>
    <t>logitudinal position of the lower outboard pivot on the upright</t>
  </si>
  <si>
    <t>longitudinal distance between upper and lower outboard pivots</t>
  </si>
  <si>
    <t>UOP_y</t>
  </si>
  <si>
    <t>lateral position of upper outboard pivot at current upper arm angle</t>
  </si>
  <si>
    <t>UOP_z</t>
  </si>
  <si>
    <t>vertical position of upper outboard pivot at current upper arm angle</t>
  </si>
  <si>
    <t>const</t>
  </si>
  <si>
    <t>caster</t>
  </si>
  <si>
    <t>side view angle of the steering axis from vertical</t>
  </si>
  <si>
    <t>KPI</t>
  </si>
  <si>
    <t>(Kingpin inclination) front view angle between the steering axis and horizontal</t>
  </si>
  <si>
    <t>IC_y</t>
  </si>
  <si>
    <t>IC_det</t>
  </si>
  <si>
    <t>IC_z</t>
  </si>
  <si>
    <t>determinant of the two arm direction vectors (0 when the arms are parallel and increasesd when they diverege)</t>
  </si>
  <si>
    <t>horizontal position of the instant center</t>
  </si>
  <si>
    <t>vertical position of the instant center</t>
  </si>
  <si>
    <t>D_1</t>
  </si>
  <si>
    <t>diagonal distance from lower inboard pivot to upper outboard point (splits the 4 bar linkage into 2 triangles)</t>
  </si>
  <si>
    <t>theta_1</t>
  </si>
  <si>
    <t>theta_U</t>
  </si>
  <si>
    <t>theta_2</t>
  </si>
  <si>
    <t>Angle from D1 to horizontal</t>
  </si>
  <si>
    <t>R_U</t>
  </si>
  <si>
    <t>R_L</t>
  </si>
  <si>
    <t>linear distance between upper and lower outboard points from a front view</t>
  </si>
  <si>
    <t>Angle from D1 to lower arm</t>
  </si>
  <si>
    <t>D_2</t>
  </si>
  <si>
    <t>the value of jeb tell us which of the 2 mathematically possible ways the linkage folds IRL</t>
  </si>
  <si>
    <t>theta_L</t>
  </si>
  <si>
    <t xml:space="preserve">Lower arm angle from horizontal </t>
  </si>
  <si>
    <t>Upper arm angle from horizontal</t>
  </si>
  <si>
    <t>LOP_Y</t>
  </si>
  <si>
    <t>LOP_Z</t>
  </si>
  <si>
    <t>lateral position of lower outboard pivot at current upper arm angle</t>
  </si>
  <si>
    <t>vertical position of lower outboard pivot at current upper arm angle</t>
  </si>
  <si>
    <t>mm^2</t>
  </si>
  <si>
    <t>X_TI</t>
  </si>
  <si>
    <t>Y_TI</t>
  </si>
  <si>
    <t>Z_TI</t>
  </si>
  <si>
    <t>Jeb_toe</t>
  </si>
  <si>
    <t>Jeb_main</t>
  </si>
  <si>
    <t>Tie rod inboard rod end center longitudinal position</t>
  </si>
  <si>
    <t>Tie rod inboard rod end center lateral position</t>
  </si>
  <si>
    <t>Tie rod inboard rod end center vertical position</t>
  </si>
  <si>
    <t>the value of toe jeb tell us which of the 2 mathematically possible ways the steering arm points IRL</t>
  </si>
  <si>
    <t>Suspension Arm Pivot Hardpoints (Inputs)</t>
  </si>
  <si>
    <t>Steering Hardpoints (Inputs)</t>
  </si>
  <si>
    <t>Calculated Intermediate Suspenion Values</t>
  </si>
  <si>
    <t>Calculated Intermediate Steering Values (3D rotations)</t>
  </si>
  <si>
    <t>L_tie</t>
  </si>
  <si>
    <t>L_dia</t>
  </si>
  <si>
    <t>k_x</t>
  </si>
  <si>
    <t>k_y</t>
  </si>
  <si>
    <t>k_z</t>
  </si>
  <si>
    <t>beta_0</t>
  </si>
  <si>
    <t>d_beta</t>
  </si>
  <si>
    <t>r_perp</t>
  </si>
  <si>
    <t>w_x</t>
  </si>
  <si>
    <t>w_y</t>
  </si>
  <si>
    <t>w_z</t>
  </si>
  <si>
    <t>arm_x</t>
  </si>
  <si>
    <t>arm_y</t>
  </si>
  <si>
    <t>arm_z</t>
  </si>
  <si>
    <t>static_toe</t>
  </si>
  <si>
    <t>static toe value at straight ahead steering wheel heading</t>
  </si>
  <si>
    <t>TO_x</t>
  </si>
  <si>
    <t>TO_y</t>
  </si>
  <si>
    <t>TO_z</t>
  </si>
  <si>
    <t>y coordinate of the outer steering rod end</t>
  </si>
  <si>
    <t>x coordinate of the outer steering rod end</t>
  </si>
  <si>
    <t>z coordiante of the outer steering rod end</t>
  </si>
  <si>
    <t>magnitude of the steering arm vector from LOP to TO (|arm_x, arm_y, arm_z|)</t>
  </si>
  <si>
    <t>arm_x_prime</t>
  </si>
  <si>
    <t>arm_y_prime</t>
  </si>
  <si>
    <t>arm_z_prime</t>
  </si>
  <si>
    <t>static steering arm vector x magnitude (from LOP to TO)</t>
  </si>
  <si>
    <t>static steering arm vector y magnitude (from LOP to TO)</t>
  </si>
  <si>
    <t>static steering arm vector z magnitude (from LOP to TO)</t>
  </si>
  <si>
    <t xml:space="preserve">beta </t>
  </si>
  <si>
    <t>KPI angle at reference suspension angle (0 deg upper arm angle?)</t>
  </si>
  <si>
    <t xml:space="preserve">instantaneous KPI value </t>
  </si>
  <si>
    <t xml:space="preserve">instantaneous anglular displacement of kingpin axis </t>
  </si>
  <si>
    <t>arm_prime_dot_k</t>
  </si>
  <si>
    <t>arm_prime_perp_x</t>
  </si>
  <si>
    <t>arm_prime_perp_y</t>
  </si>
  <si>
    <t>arm_prime_perp_z</t>
  </si>
  <si>
    <t>theta_U0</t>
  </si>
  <si>
    <t>UOP_y0</t>
  </si>
  <si>
    <t>UOP_z0</t>
  </si>
  <si>
    <t>D1_0</t>
  </si>
  <si>
    <t>theta_L0</t>
  </si>
  <si>
    <t>LOP_y0</t>
  </si>
  <si>
    <t>LOP_z0</t>
  </si>
  <si>
    <t>Suspension - Steering Reference Intermediate Values</t>
  </si>
  <si>
    <t>upper arm angle at static ride height</t>
  </si>
  <si>
    <t>vertical position of upper outboard pivot at static refernce arm angle</t>
  </si>
  <si>
    <t>diagonal distance from lower inboard pivot to upper outboard point (splits the 4 bar linkage into 2 triangles) at reference angle</t>
  </si>
  <si>
    <t>lateral position of lower outboard pivot at reference arm angle</t>
  </si>
  <si>
    <t>vertical position of lower outboard pivot at reference arm angle</t>
  </si>
  <si>
    <t>Lower arm angle from horizontal at reference arm angle</t>
  </si>
  <si>
    <t>theta_1_0</t>
  </si>
  <si>
    <t>theta_2_0</t>
  </si>
  <si>
    <t>Angle from D1 to horizontal at reference arm angle</t>
  </si>
  <si>
    <t>Angle from D1 to lower arm at reference angle</t>
  </si>
  <si>
    <t>tie rod length (distance between TI and TO)</t>
  </si>
  <si>
    <t>x component of the the perpendicular steering arm vector (corresponds to LM or R_perpendicular from Rodrigues Video)</t>
  </si>
  <si>
    <t>The projection of the carried arm vector onto the instantaneous kingpin axis (length of OL from Rodrigues video)</t>
  </si>
  <si>
    <t>instantaneous steering arm vector z component (corresponds to Rz from Rodriguez video)</t>
  </si>
  <si>
    <t>instantaneous steering arm vector y component (corresponds to Ry from Rodriguez video)</t>
  </si>
  <si>
    <t>instantaneous steering arm vector x component (corresponds to Rx from Rodriguez video)</t>
  </si>
  <si>
    <t>kingpin axis unit vector z magnitude at current suspension angle (corresponds to n_hat_z from Rodriguez video)</t>
  </si>
  <si>
    <t>kingpin axis unit vector y magnitude at current suspension angle (corresponds to n_hat_y from Rodriguez video)</t>
  </si>
  <si>
    <t>kingpin axis unit vector x component at current suspension angle (corresponds to n_hat_x from Rodriguez video)</t>
  </si>
  <si>
    <t>y component of the the perpendicular steering arm vector (LM)</t>
  </si>
  <si>
    <t>z component of the the perpendicular steering arm vector (LM)</t>
  </si>
  <si>
    <t>magnitude of the perpendicular steering arm vector (LM)</t>
  </si>
  <si>
    <t>x component of the cross product between k and arm_prime (corresponds to PN_x from Rodriguez Video)</t>
  </si>
  <si>
    <t>y component of the cross product between k and arm_prime (corresponds to PN_y  from the Rodrigues video)</t>
  </si>
  <si>
    <t>z component of the cross product between k and arm_prime (corresponds to PN_z from the Rodriguez Video</t>
  </si>
  <si>
    <t>F_x</t>
  </si>
  <si>
    <t>F_y</t>
  </si>
  <si>
    <t>F_z</t>
  </si>
  <si>
    <t>x coordinate of the point arounf which the steering arm rotates (L_x from the Rodriguez video)</t>
  </si>
  <si>
    <t>y coordinate of the point arounf which the steering arm rotates (L_y from the Rodriguez video)</t>
  </si>
  <si>
    <t>z coordinate of the point arounf which the steering arm rotates (L_z from the Rodriguez video)</t>
  </si>
  <si>
    <t>g_x</t>
  </si>
  <si>
    <t>g_y</t>
  </si>
  <si>
    <t>g_z</t>
  </si>
  <si>
    <t>x component of the vector from TI to point F</t>
  </si>
  <si>
    <t>y component of the vector from TI to point F</t>
  </si>
  <si>
    <t>z component of the vector from TI to point F</t>
  </si>
  <si>
    <t>Front Upper</t>
  </si>
  <si>
    <t>Front Lower</t>
  </si>
  <si>
    <t>Rear Upper</t>
  </si>
  <si>
    <t>Rear Lower</t>
  </si>
  <si>
    <t>Parameter</t>
  </si>
  <si>
    <t>Member Length (mm)</t>
  </si>
  <si>
    <t>Camber - KPI Offset</t>
  </si>
  <si>
    <t>Suspension Configuration (Input Values into Suspension Hardpoints)</t>
  </si>
  <si>
    <t>Front Pivot  Horizontal Position  (Approximate)</t>
  </si>
  <si>
    <t xml:space="preserve">Front Pivot Longitudinal Position </t>
  </si>
  <si>
    <t>Rear Pivot Horizontal Position  (Approximate)</t>
  </si>
  <si>
    <t xml:space="preserve">Rear Pivot Vertical Position </t>
  </si>
  <si>
    <t xml:space="preserve">Rear Pivot Longitudinal Position </t>
  </si>
  <si>
    <t xml:space="preserve">Front Pivot Vertical Position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</si>
</sst>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" x14ac:knownFonts="1">
    <font>
      <sz val="11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65" fontId="0" fillId="8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0" fontId="0" fillId="6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 applyAlignment="1">
      <alignment horizontal="center"/>
    </xf>
    <xf numFmtId="0" fontId="0" fillId="10" borderId="1" xfId="0" applyFill="1" applyBorder="1"/>
    <xf numFmtId="0" fontId="0" fillId="4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52</xdr:row>
      <xdr:rowOff>0</xdr:rowOff>
    </xdr:from>
    <xdr:to>
      <xdr:col>10</xdr:col>
      <xdr:colOff>304800</xdr:colOff>
      <xdr:row>53</xdr:row>
      <xdr:rowOff>114300</xdr:rowOff>
    </xdr:to>
    <xdr:sp macro="" textlink="">
      <xdr:nvSpPr>
        <xdr:cNvPr id="2051" name="AutoShape 3">
          <a:extLst>
            <a:ext uri="{FF2B5EF4-FFF2-40B4-BE49-F238E27FC236}">
              <a16:creationId xmlns:a16="http://schemas.microsoft.com/office/drawing/2014/main" id="{63C1941C-1508-D270-F2D4-837BFC47E8C0}"/>
            </a:ext>
          </a:extLst>
        </xdr:cNvPr>
        <xdr:cNvSpPr>
          <a:spLocks noChangeAspect="1" noChangeArrowheads="1"/>
        </xdr:cNvSpPr>
      </xdr:nvSpPr>
      <xdr:spPr bwMode="auto">
        <a:xfrm>
          <a:off x="16849725" y="838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51</xdr:row>
      <xdr:rowOff>0</xdr:rowOff>
    </xdr:from>
    <xdr:to>
      <xdr:col>8</xdr:col>
      <xdr:colOff>304800</xdr:colOff>
      <xdr:row>52</xdr:row>
      <xdr:rowOff>114300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3CE6C93E-9A9D-341F-135B-DA390B22B963}"/>
            </a:ext>
          </a:extLst>
        </xdr:cNvPr>
        <xdr:cNvSpPr>
          <a:spLocks noChangeAspect="1" noChangeArrowheads="1"/>
        </xdr:cNvSpPr>
      </xdr:nvSpPr>
      <xdr:spPr bwMode="auto">
        <a:xfrm>
          <a:off x="15687675" y="819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356347</xdr:colOff>
      <xdr:row>48</xdr:row>
      <xdr:rowOff>96371</xdr:rowOff>
    </xdr:from>
    <xdr:to>
      <xdr:col>5</xdr:col>
      <xdr:colOff>8950277</xdr:colOff>
      <xdr:row>84</xdr:row>
      <xdr:rowOff>40170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A4C17F-ECEC-7990-C850-2CD9F117B6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80229" y="9430871"/>
          <a:ext cx="9021434" cy="6801799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46</xdr:row>
      <xdr:rowOff>0</xdr:rowOff>
    </xdr:from>
    <xdr:to>
      <xdr:col>9</xdr:col>
      <xdr:colOff>302558</xdr:colOff>
      <xdr:row>47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B07DDBB8-CB76-D95F-F892-7E09C7D7A4ED}"/>
            </a:ext>
          </a:extLst>
        </xdr:cNvPr>
        <xdr:cNvSpPr>
          <a:spLocks noChangeAspect="1" noChangeArrowheads="1"/>
        </xdr:cNvSpPr>
      </xdr:nvSpPr>
      <xdr:spPr bwMode="auto">
        <a:xfrm>
          <a:off x="16240125" y="933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7</xdr:col>
      <xdr:colOff>708772</xdr:colOff>
      <xdr:row>61</xdr:row>
      <xdr:rowOff>140073</xdr:rowOff>
    </xdr:from>
    <xdr:to>
      <xdr:col>10</xdr:col>
      <xdr:colOff>5481693</xdr:colOff>
      <xdr:row>108</xdr:row>
      <xdr:rowOff>109742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79AAFC-3BA5-053E-7D0C-4532261A4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915154" y="11760573"/>
          <a:ext cx="6905625" cy="8911739"/>
        </a:xfrm>
        <a:prstGeom prst="rect">
          <a:avLst/>
        </a:prstGeom>
      </xdr:spPr>
    </xdr:pic>
    <xdr:clientData/>
  </xdr:twoCellAnchor>
  <xdr:oneCellAnchor>
    <xdr:from>
      <xdr:col>10</xdr:col>
      <xdr:colOff>0</xdr:colOff>
      <xdr:row>53</xdr:row>
      <xdr:rowOff>0</xdr:rowOff>
    </xdr:from>
    <xdr:ext cx="304800" cy="304800"/>
    <xdr:sp macro="" textlink="">
      <xdr:nvSpPr>
        <xdr:cNvPr id="3" name="AutoShape 3">
          <a:extLst>
            <a:ext uri="{FF2B5EF4-FFF2-40B4-BE49-F238E27FC236}">
              <a16:creationId xmlns:a16="http://schemas.microsoft.com/office/drawing/2014/main" id="{2DB34CB5-CCB4-41DA-A379-F5CFA023030B}"/>
            </a:ext>
          </a:extLst>
        </xdr:cNvPr>
        <xdr:cNvSpPr>
          <a:spLocks noChangeAspect="1" noChangeArrowheads="1"/>
        </xdr:cNvSpPr>
      </xdr:nvSpPr>
      <xdr:spPr bwMode="auto">
        <a:xfrm>
          <a:off x="17346706" y="990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10</xdr:col>
      <xdr:colOff>0</xdr:colOff>
      <xdr:row>54</xdr:row>
      <xdr:rowOff>0</xdr:rowOff>
    </xdr:from>
    <xdr:ext cx="304800" cy="304800"/>
    <xdr:sp macro="" textlink="">
      <xdr:nvSpPr>
        <xdr:cNvPr id="4" name="AutoShape 3">
          <a:extLst>
            <a:ext uri="{FF2B5EF4-FFF2-40B4-BE49-F238E27FC236}">
              <a16:creationId xmlns:a16="http://schemas.microsoft.com/office/drawing/2014/main" id="{6D394B20-58B5-4FC4-B8B9-D1CE79936907}"/>
            </a:ext>
          </a:extLst>
        </xdr:cNvPr>
        <xdr:cNvSpPr>
          <a:spLocks noChangeAspect="1" noChangeArrowheads="1"/>
        </xdr:cNvSpPr>
      </xdr:nvSpPr>
      <xdr:spPr bwMode="auto">
        <a:xfrm>
          <a:off x="17346706" y="990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D739CD9-ABFD-4B63-B8DD-28C733915B79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f2f4cfd-339d-469c-8dbf-bf985c60c9f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DEDE4-CF63-4BE7-9597-216ED5BF300E}">
  <dimension ref="C3:Q55"/>
  <sheetViews>
    <sheetView tabSelected="1" zoomScale="85" zoomScaleNormal="85" workbookViewId="0">
      <selection activeCell="I38" sqref="I38"/>
    </sheetView>
  </sheetViews>
  <sheetFormatPr defaultRowHeight="15" x14ac:dyDescent="0.25"/>
  <cols>
    <col min="3" max="3" width="16" bestFit="1" customWidth="1"/>
    <col min="4" max="4" width="15" bestFit="1" customWidth="1"/>
    <col min="5" max="5" width="6.5703125" bestFit="1" customWidth="1"/>
    <col min="6" max="6" width="159" bestFit="1" customWidth="1"/>
    <col min="7" max="7" width="13.7109375" customWidth="1"/>
    <col min="8" max="8" width="17.42578125" bestFit="1" customWidth="1"/>
    <col min="9" max="9" width="8.7109375" bestFit="1" customWidth="1"/>
    <col min="10" max="10" width="5.85546875" bestFit="1" customWidth="1"/>
    <col min="11" max="11" width="114.7109375" customWidth="1"/>
    <col min="12" max="12" width="9.42578125" customWidth="1"/>
    <col min="13" max="13" width="42.5703125" bestFit="1" customWidth="1"/>
    <col min="14" max="14" width="11.28515625" bestFit="1" customWidth="1"/>
    <col min="15" max="15" width="11.140625" bestFit="1" customWidth="1"/>
    <col min="16" max="17" width="10.7109375" bestFit="1" customWidth="1"/>
    <col min="20" max="20" width="18.7109375" bestFit="1" customWidth="1"/>
    <col min="21" max="21" width="15.5703125" bestFit="1" customWidth="1"/>
    <col min="22" max="22" width="9.140625" customWidth="1"/>
    <col min="23" max="23" width="9" bestFit="1" customWidth="1"/>
    <col min="24" max="24" width="11.85546875" bestFit="1" customWidth="1"/>
    <col min="25" max="26" width="9.42578125" bestFit="1" customWidth="1"/>
    <col min="27" max="27" width="32.28515625" bestFit="1" customWidth="1"/>
    <col min="28" max="28" width="43.42578125" bestFit="1" customWidth="1"/>
    <col min="29" max="29" width="41.140625" bestFit="1" customWidth="1"/>
    <col min="30" max="30" width="18.42578125" bestFit="1" customWidth="1"/>
  </cols>
  <sheetData>
    <row r="3" spans="3:17" x14ac:dyDescent="0.25">
      <c r="C3" s="19" t="s">
        <v>86</v>
      </c>
      <c r="D3" s="19"/>
      <c r="E3" s="19"/>
      <c r="F3" s="19"/>
      <c r="H3" s="19" t="s">
        <v>87</v>
      </c>
      <c r="I3" s="19"/>
      <c r="J3" s="19"/>
      <c r="K3" s="19"/>
      <c r="M3" s="17" t="s">
        <v>179</v>
      </c>
      <c r="N3" s="17"/>
      <c r="O3" s="17"/>
      <c r="P3" s="17"/>
      <c r="Q3" s="17"/>
    </row>
    <row r="4" spans="3:17" x14ac:dyDescent="0.25">
      <c r="C4" s="2" t="s">
        <v>4</v>
      </c>
      <c r="D4" s="2" t="s">
        <v>0</v>
      </c>
      <c r="E4" s="2" t="s">
        <v>2</v>
      </c>
      <c r="F4" s="2" t="s">
        <v>5</v>
      </c>
      <c r="H4" s="2" t="s">
        <v>4</v>
      </c>
      <c r="I4" s="2" t="s">
        <v>0</v>
      </c>
      <c r="J4" s="2" t="s">
        <v>2</v>
      </c>
      <c r="K4" s="2" t="s">
        <v>5</v>
      </c>
      <c r="M4" s="2" t="s">
        <v>176</v>
      </c>
      <c r="N4" s="2" t="s">
        <v>172</v>
      </c>
      <c r="O4" s="2" t="s">
        <v>173</v>
      </c>
      <c r="P4" s="2" t="s">
        <v>174</v>
      </c>
      <c r="Q4" s="2" t="s">
        <v>175</v>
      </c>
    </row>
    <row r="5" spans="3:17" x14ac:dyDescent="0.25">
      <c r="C5" s="4" t="s">
        <v>7</v>
      </c>
      <c r="D5" s="4">
        <v>100</v>
      </c>
      <c r="E5" s="4" t="s">
        <v>18</v>
      </c>
      <c r="F5" s="4" t="s">
        <v>19</v>
      </c>
      <c r="H5" s="4" t="s">
        <v>77</v>
      </c>
      <c r="I5" s="4">
        <v>150</v>
      </c>
      <c r="J5" s="4" t="s">
        <v>18</v>
      </c>
      <c r="K5" s="4" t="s">
        <v>82</v>
      </c>
      <c r="M5" s="6" t="s">
        <v>177</v>
      </c>
      <c r="N5" s="14">
        <v>370</v>
      </c>
      <c r="O5" s="14">
        <v>380</v>
      </c>
      <c r="P5" s="14">
        <v>390</v>
      </c>
      <c r="Q5" s="14">
        <v>400</v>
      </c>
    </row>
    <row r="6" spans="3:17" x14ac:dyDescent="0.25">
      <c r="C6" s="4" t="s">
        <v>8</v>
      </c>
      <c r="D6" s="4">
        <v>350</v>
      </c>
      <c r="E6" s="4" t="s">
        <v>18</v>
      </c>
      <c r="F6" s="4" t="s">
        <v>20</v>
      </c>
      <c r="H6" s="4" t="s">
        <v>78</v>
      </c>
      <c r="I6" s="4">
        <v>80</v>
      </c>
      <c r="J6" s="4" t="s">
        <v>18</v>
      </c>
      <c r="K6" s="4" t="s">
        <v>83</v>
      </c>
      <c r="M6" s="15" t="s">
        <v>180</v>
      </c>
      <c r="N6" s="16">
        <v>289</v>
      </c>
      <c r="O6" s="16">
        <v>274</v>
      </c>
      <c r="P6" s="16">
        <v>289</v>
      </c>
      <c r="Q6" s="16">
        <v>274</v>
      </c>
    </row>
    <row r="7" spans="3:17" x14ac:dyDescent="0.25">
      <c r="C7" s="4" t="s">
        <v>9</v>
      </c>
      <c r="D7" s="4">
        <v>80</v>
      </c>
      <c r="E7" s="4" t="s">
        <v>18</v>
      </c>
      <c r="F7" s="4" t="s">
        <v>21</v>
      </c>
      <c r="H7" s="4" t="s">
        <v>79</v>
      </c>
      <c r="I7" s="4">
        <v>30</v>
      </c>
      <c r="J7" s="4" t="s">
        <v>18</v>
      </c>
      <c r="K7" s="4" t="s">
        <v>84</v>
      </c>
      <c r="M7" s="15" t="s">
        <v>185</v>
      </c>
      <c r="N7" s="16">
        <v>350</v>
      </c>
      <c r="O7" s="16">
        <v>350</v>
      </c>
      <c r="P7" s="16">
        <v>350</v>
      </c>
      <c r="Q7" s="16">
        <v>350</v>
      </c>
    </row>
    <row r="8" spans="3:17" x14ac:dyDescent="0.25">
      <c r="C8" s="4" t="s">
        <v>10</v>
      </c>
      <c r="D8" s="4">
        <v>200</v>
      </c>
      <c r="E8" s="4" t="s">
        <v>18</v>
      </c>
      <c r="F8" s="4" t="s">
        <v>22</v>
      </c>
      <c r="H8" s="4" t="s">
        <v>101</v>
      </c>
      <c r="I8" s="4">
        <v>-10</v>
      </c>
      <c r="J8" s="4" t="s">
        <v>18</v>
      </c>
      <c r="K8" s="4" t="s">
        <v>116</v>
      </c>
      <c r="M8" s="15" t="s">
        <v>181</v>
      </c>
      <c r="N8" s="16">
        <v>360</v>
      </c>
      <c r="O8" s="16">
        <v>350</v>
      </c>
      <c r="P8" s="16">
        <v>2180</v>
      </c>
      <c r="Q8" s="16">
        <v>2180</v>
      </c>
    </row>
    <row r="9" spans="3:17" x14ac:dyDescent="0.25">
      <c r="C9" s="4" t="s">
        <v>24</v>
      </c>
      <c r="D9" s="4">
        <v>370</v>
      </c>
      <c r="E9" s="4" t="s">
        <v>18</v>
      </c>
      <c r="F9" s="4" t="s">
        <v>25</v>
      </c>
      <c r="H9" s="4" t="s">
        <v>102</v>
      </c>
      <c r="I9" s="4">
        <v>-10</v>
      </c>
      <c r="J9" s="4" t="s">
        <v>18</v>
      </c>
      <c r="K9" s="4" t="s">
        <v>117</v>
      </c>
      <c r="M9" s="15" t="s">
        <v>182</v>
      </c>
      <c r="N9" s="16">
        <v>289</v>
      </c>
      <c r="O9" s="16">
        <v>274</v>
      </c>
      <c r="P9" s="16">
        <v>289</v>
      </c>
      <c r="Q9" s="16">
        <v>274</v>
      </c>
    </row>
    <row r="10" spans="3:17" x14ac:dyDescent="0.25">
      <c r="C10" s="4" t="s">
        <v>26</v>
      </c>
      <c r="D10" s="4">
        <v>380</v>
      </c>
      <c r="E10" s="4" t="s">
        <v>18</v>
      </c>
      <c r="F10" s="4" t="s">
        <v>27</v>
      </c>
      <c r="H10" s="4" t="s">
        <v>103</v>
      </c>
      <c r="I10" s="4">
        <v>10</v>
      </c>
      <c r="J10" s="4" t="s">
        <v>18</v>
      </c>
      <c r="K10" s="4" t="s">
        <v>118</v>
      </c>
      <c r="M10" s="15" t="s">
        <v>183</v>
      </c>
      <c r="N10" s="16">
        <v>350</v>
      </c>
      <c r="O10" s="16">
        <v>350</v>
      </c>
      <c r="P10" s="16">
        <v>350</v>
      </c>
      <c r="Q10" s="16">
        <v>350</v>
      </c>
    </row>
    <row r="11" spans="3:17" x14ac:dyDescent="0.25">
      <c r="C11" s="4" t="s">
        <v>13</v>
      </c>
      <c r="D11" s="4">
        <v>220</v>
      </c>
      <c r="E11" s="4" t="s">
        <v>18</v>
      </c>
      <c r="F11" s="4" t="s">
        <v>28</v>
      </c>
      <c r="H11" s="4" t="s">
        <v>104</v>
      </c>
      <c r="I11" s="4">
        <v>0</v>
      </c>
      <c r="J11" s="4" t="s">
        <v>1</v>
      </c>
      <c r="K11" s="4" t="s">
        <v>105</v>
      </c>
      <c r="M11" s="15" t="s">
        <v>184</v>
      </c>
      <c r="N11" s="16">
        <v>620</v>
      </c>
      <c r="O11" s="16">
        <v>610</v>
      </c>
      <c r="P11" s="16">
        <v>2440</v>
      </c>
      <c r="Q11" s="16">
        <v>2440</v>
      </c>
    </row>
    <row r="12" spans="3:17" x14ac:dyDescent="0.25">
      <c r="C12" s="4" t="s">
        <v>14</v>
      </c>
      <c r="D12" s="4">
        <v>50</v>
      </c>
      <c r="E12" s="4" t="s">
        <v>18</v>
      </c>
      <c r="F12" s="4" t="s">
        <v>29</v>
      </c>
      <c r="H12" s="4" t="s">
        <v>80</v>
      </c>
      <c r="I12" s="4">
        <v>-1</v>
      </c>
      <c r="J12" s="4" t="s">
        <v>46</v>
      </c>
      <c r="K12" s="4" t="s">
        <v>85</v>
      </c>
    </row>
    <row r="13" spans="3:17" x14ac:dyDescent="0.25">
      <c r="C13" s="4" t="s">
        <v>16</v>
      </c>
      <c r="D13" s="4">
        <v>310</v>
      </c>
      <c r="E13" s="4" t="s">
        <v>18</v>
      </c>
      <c r="F13" s="4" t="s">
        <v>30</v>
      </c>
      <c r="M13" s="17" t="s">
        <v>178</v>
      </c>
      <c r="N13" s="17"/>
      <c r="O13" s="17"/>
      <c r="P13" s="17"/>
      <c r="Q13" s="17"/>
    </row>
    <row r="14" spans="3:17" x14ac:dyDescent="0.25">
      <c r="C14" s="4" t="s">
        <v>15</v>
      </c>
      <c r="D14" s="4">
        <v>30</v>
      </c>
      <c r="E14" s="4" t="s">
        <v>18</v>
      </c>
      <c r="F14" s="4" t="s">
        <v>31</v>
      </c>
      <c r="H14" s="20" t="s">
        <v>134</v>
      </c>
      <c r="I14" s="21"/>
      <c r="J14" s="21"/>
      <c r="K14" s="22"/>
      <c r="M14" s="18">
        <v>0</v>
      </c>
      <c r="N14" s="18"/>
      <c r="O14" s="18"/>
      <c r="P14" s="18"/>
      <c r="Q14" s="18"/>
    </row>
    <row r="15" spans="3:17" x14ac:dyDescent="0.25">
      <c r="C15" s="4" t="s">
        <v>17</v>
      </c>
      <c r="D15" s="4">
        <v>290</v>
      </c>
      <c r="E15" s="4" t="s">
        <v>18</v>
      </c>
      <c r="F15" s="4" t="s">
        <v>32</v>
      </c>
      <c r="H15" s="1" t="s">
        <v>3</v>
      </c>
      <c r="I15" s="1" t="s">
        <v>0</v>
      </c>
      <c r="J15" s="1" t="s">
        <v>2</v>
      </c>
      <c r="K15" s="1" t="s">
        <v>5</v>
      </c>
    </row>
    <row r="16" spans="3:17" x14ac:dyDescent="0.25">
      <c r="C16" s="4" t="s">
        <v>60</v>
      </c>
      <c r="D16" s="4">
        <v>0</v>
      </c>
      <c r="E16" s="4" t="s">
        <v>1</v>
      </c>
      <c r="F16" s="4" t="s">
        <v>71</v>
      </c>
      <c r="H16" s="5" t="s">
        <v>127</v>
      </c>
      <c r="I16" s="5">
        <v>0</v>
      </c>
      <c r="J16" s="5" t="s">
        <v>1</v>
      </c>
      <c r="K16" s="5" t="s">
        <v>135</v>
      </c>
    </row>
    <row r="17" spans="3:11" x14ac:dyDescent="0.25">
      <c r="H17" s="5" t="s">
        <v>128</v>
      </c>
      <c r="I17" s="7">
        <f>D5+D22*COS(RADIANS(I16))</f>
        <v>446.41016151377545</v>
      </c>
      <c r="J17" s="5" t="s">
        <v>18</v>
      </c>
      <c r="K17" s="5" t="s">
        <v>136</v>
      </c>
    </row>
    <row r="18" spans="3:11" x14ac:dyDescent="0.25">
      <c r="C18" s="20" t="s">
        <v>88</v>
      </c>
      <c r="D18" s="21"/>
      <c r="E18" s="21"/>
      <c r="F18" s="22"/>
      <c r="H18" s="5" t="s">
        <v>129</v>
      </c>
      <c r="I18" s="7">
        <f>D6+D22*SIN(RADIANS(I16))</f>
        <v>350</v>
      </c>
      <c r="J18" s="5" t="s">
        <v>18</v>
      </c>
      <c r="K18" s="5" t="s">
        <v>136</v>
      </c>
    </row>
    <row r="19" spans="3:11" x14ac:dyDescent="0.25">
      <c r="C19" s="2" t="s">
        <v>3</v>
      </c>
      <c r="D19" s="2" t="s">
        <v>0</v>
      </c>
      <c r="E19" s="2" t="s">
        <v>2</v>
      </c>
      <c r="F19" s="2" t="s">
        <v>5</v>
      </c>
      <c r="H19" s="5" t="s">
        <v>130</v>
      </c>
      <c r="I19" s="7">
        <f>SQRT((I17-D7)^2 + (I18-D8)^2)</f>
        <v>395.92474848202028</v>
      </c>
      <c r="J19" s="5" t="s">
        <v>18</v>
      </c>
      <c r="K19" s="5" t="s">
        <v>137</v>
      </c>
    </row>
    <row r="20" spans="3:11" x14ac:dyDescent="0.25">
      <c r="C20" s="3" t="s">
        <v>33</v>
      </c>
      <c r="D20" s="9">
        <f>(D13-D12)</f>
        <v>260</v>
      </c>
      <c r="E20" s="3" t="s">
        <v>18</v>
      </c>
      <c r="F20" s="3" t="s">
        <v>34</v>
      </c>
      <c r="H20" s="5" t="s">
        <v>141</v>
      </c>
      <c r="I20" s="8">
        <f>DEGREES(ATAN((I18-D8)/(I17-D7)))</f>
        <v>22.263078447401128</v>
      </c>
      <c r="J20" s="5" t="s">
        <v>1</v>
      </c>
      <c r="K20" s="5" t="s">
        <v>143</v>
      </c>
    </row>
    <row r="21" spans="3:11" x14ac:dyDescent="0.25">
      <c r="C21" s="3" t="s">
        <v>36</v>
      </c>
      <c r="D21" s="9">
        <f>(D15-D14)</f>
        <v>260</v>
      </c>
      <c r="E21" s="3" t="s">
        <v>18</v>
      </c>
      <c r="F21" s="3" t="s">
        <v>35</v>
      </c>
      <c r="H21" s="5" t="s">
        <v>142</v>
      </c>
      <c r="I21" s="5">
        <f>DEGREES(ACOS((D23^2 + I19^2 - D27^2)/(2*D23*I19)))</f>
        <v>33.324157300390048</v>
      </c>
      <c r="J21" s="5" t="s">
        <v>1</v>
      </c>
      <c r="K21" s="5" t="s">
        <v>144</v>
      </c>
    </row>
    <row r="22" spans="3:11" x14ac:dyDescent="0.25">
      <c r="C22" s="3" t="s">
        <v>63</v>
      </c>
      <c r="D22" s="9">
        <f>SQRT((D9)^2-(D20/2)^2)</f>
        <v>346.41016151377545</v>
      </c>
      <c r="E22" s="3" t="s">
        <v>18</v>
      </c>
      <c r="F22" s="3" t="s">
        <v>37</v>
      </c>
      <c r="H22" s="5" t="s">
        <v>131</v>
      </c>
      <c r="I22" s="8">
        <f>I20+(I12*I21)</f>
        <v>-11.061078852988921</v>
      </c>
      <c r="J22" s="5" t="s">
        <v>1</v>
      </c>
      <c r="K22" s="5" t="s">
        <v>140</v>
      </c>
    </row>
    <row r="23" spans="3:11" x14ac:dyDescent="0.25">
      <c r="C23" s="3" t="s">
        <v>64</v>
      </c>
      <c r="D23" s="9">
        <f>SQRT((D10)^2-(D21/2)^2)</f>
        <v>357.07142142714252</v>
      </c>
      <c r="E23" s="3" t="s">
        <v>18</v>
      </c>
      <c r="F23" s="3" t="s">
        <v>38</v>
      </c>
      <c r="H23" s="5" t="s">
        <v>132</v>
      </c>
      <c r="I23" s="5">
        <f>D7+(D23)*(COS(RADIANS(I22)))</f>
        <v>430.43818353042815</v>
      </c>
      <c r="J23" s="5" t="s">
        <v>18</v>
      </c>
      <c r="K23" s="5" t="s">
        <v>138</v>
      </c>
    </row>
    <row r="24" spans="3:11" x14ac:dyDescent="0.25">
      <c r="C24" s="3" t="s">
        <v>11</v>
      </c>
      <c r="D24" s="9">
        <f>(D12+D13)/2</f>
        <v>180</v>
      </c>
      <c r="E24" s="3" t="s">
        <v>18</v>
      </c>
      <c r="F24" s="3" t="s">
        <v>39</v>
      </c>
      <c r="H24" s="5" t="s">
        <v>133</v>
      </c>
      <c r="I24" s="5">
        <f>D8+(D23)*(SIN(RADIANS(I22)))</f>
        <v>131.49394534864837</v>
      </c>
      <c r="J24" s="5" t="s">
        <v>18</v>
      </c>
      <c r="K24" s="5" t="s">
        <v>139</v>
      </c>
    </row>
    <row r="25" spans="3:11" x14ac:dyDescent="0.25">
      <c r="C25" s="3" t="s">
        <v>12</v>
      </c>
      <c r="D25" s="9">
        <f>(D14+D15)/2</f>
        <v>160</v>
      </c>
      <c r="E25" s="3" t="s">
        <v>18</v>
      </c>
      <c r="F25" s="3" t="s">
        <v>40</v>
      </c>
    </row>
    <row r="26" spans="3:11" x14ac:dyDescent="0.25">
      <c r="C26" s="3" t="s">
        <v>23</v>
      </c>
      <c r="D26" s="9">
        <f>D24-D25</f>
        <v>20</v>
      </c>
      <c r="E26" s="3" t="s">
        <v>18</v>
      </c>
      <c r="F26" s="3" t="s">
        <v>41</v>
      </c>
      <c r="H26" s="24" t="s">
        <v>89</v>
      </c>
      <c r="I26" s="25"/>
      <c r="J26" s="25"/>
      <c r="K26" s="26"/>
    </row>
    <row r="27" spans="3:11" x14ac:dyDescent="0.25">
      <c r="C27" s="3" t="s">
        <v>67</v>
      </c>
      <c r="D27" s="9">
        <f>SQRT((D11^2)-(D26^2))</f>
        <v>219.08902300206645</v>
      </c>
      <c r="E27" s="3" t="s">
        <v>18</v>
      </c>
      <c r="F27" s="3" t="s">
        <v>65</v>
      </c>
      <c r="H27" s="2" t="s">
        <v>3</v>
      </c>
      <c r="I27" s="2" t="s">
        <v>0</v>
      </c>
      <c r="J27" s="2" t="s">
        <v>2</v>
      </c>
      <c r="K27" s="2" t="s">
        <v>5</v>
      </c>
    </row>
    <row r="28" spans="3:11" x14ac:dyDescent="0.25">
      <c r="C28" s="3" t="s">
        <v>42</v>
      </c>
      <c r="D28" s="9">
        <f>D5+D22*COS(RADIANS(D16))</f>
        <v>446.41016151377545</v>
      </c>
      <c r="E28" s="3" t="s">
        <v>18</v>
      </c>
      <c r="F28" s="3" t="s">
        <v>43</v>
      </c>
      <c r="H28" s="3" t="s">
        <v>106</v>
      </c>
      <c r="I28" s="9">
        <f>D25+I8</f>
        <v>150</v>
      </c>
      <c r="J28" s="3" t="s">
        <v>18</v>
      </c>
      <c r="K28" s="3" t="s">
        <v>110</v>
      </c>
    </row>
    <row r="29" spans="3:11" x14ac:dyDescent="0.25">
      <c r="C29" s="3" t="s">
        <v>44</v>
      </c>
      <c r="D29" s="9">
        <f>D6+D22*SIN(RADIANS(D16))</f>
        <v>350</v>
      </c>
      <c r="E29" s="3" t="s">
        <v>18</v>
      </c>
      <c r="F29" s="3" t="s">
        <v>45</v>
      </c>
      <c r="H29" s="3" t="s">
        <v>107</v>
      </c>
      <c r="I29" s="3">
        <f>I23+I9</f>
        <v>420.43818353042815</v>
      </c>
      <c r="J29" s="3" t="s">
        <v>18</v>
      </c>
      <c r="K29" s="3" t="s">
        <v>109</v>
      </c>
    </row>
    <row r="30" spans="3:11" x14ac:dyDescent="0.25">
      <c r="C30" s="3" t="s">
        <v>57</v>
      </c>
      <c r="D30" s="9">
        <f>SQRT((D28-D7)^2 + (D29-D8)^2)</f>
        <v>395.92474848202028</v>
      </c>
      <c r="E30" s="3" t="s">
        <v>18</v>
      </c>
      <c r="F30" s="3" t="s">
        <v>58</v>
      </c>
      <c r="H30" s="3" t="s">
        <v>108</v>
      </c>
      <c r="I30" s="3">
        <f>I24+I10</f>
        <v>141.49394534864837</v>
      </c>
      <c r="J30" s="3" t="s">
        <v>18</v>
      </c>
      <c r="K30" s="3" t="s">
        <v>111</v>
      </c>
    </row>
    <row r="31" spans="3:11" x14ac:dyDescent="0.25">
      <c r="C31" s="3" t="s">
        <v>59</v>
      </c>
      <c r="D31" s="9">
        <f>DEGREES(ATAN(((D29-D8)/(D28-D7))))</f>
        <v>22.263078447401128</v>
      </c>
      <c r="E31" s="3" t="s">
        <v>1</v>
      </c>
      <c r="F31" s="3" t="s">
        <v>62</v>
      </c>
      <c r="H31" s="3" t="s">
        <v>90</v>
      </c>
      <c r="I31" s="3">
        <f>SQRT((I28-I5)^2+(I29-I6)^2+(I30-I7)^2)</f>
        <v>358.23045188105499</v>
      </c>
      <c r="J31" s="3" t="s">
        <v>18</v>
      </c>
      <c r="K31" s="3" t="s">
        <v>145</v>
      </c>
    </row>
    <row r="32" spans="3:11" x14ac:dyDescent="0.25">
      <c r="C32" s="3" t="s">
        <v>61</v>
      </c>
      <c r="D32" s="9">
        <f>DEGREES(ACOS((D23^2 + D30^2 - D27^2)/(2*D23*D30)))</f>
        <v>33.324157300390048</v>
      </c>
      <c r="E32" s="3" t="s">
        <v>1</v>
      </c>
      <c r="F32" s="3" t="s">
        <v>66</v>
      </c>
      <c r="H32" s="3" t="s">
        <v>91</v>
      </c>
      <c r="I32" s="3">
        <f>SQRT(I8^2+I9^2+I10^2)</f>
        <v>17.320508075688775</v>
      </c>
      <c r="J32" s="3" t="s">
        <v>18</v>
      </c>
      <c r="K32" s="3" t="s">
        <v>112</v>
      </c>
    </row>
    <row r="33" spans="3:11" x14ac:dyDescent="0.25">
      <c r="C33" s="3" t="s">
        <v>81</v>
      </c>
      <c r="D33" s="3">
        <v>-1</v>
      </c>
      <c r="E33" s="3" t="s">
        <v>46</v>
      </c>
      <c r="F33" s="3" t="s">
        <v>68</v>
      </c>
      <c r="H33" s="4" t="s">
        <v>92</v>
      </c>
      <c r="I33" s="11">
        <f>D26/D11</f>
        <v>9.0909090909090912E-2</v>
      </c>
      <c r="J33" s="4" t="s">
        <v>18</v>
      </c>
      <c r="K33" s="4" t="s">
        <v>153</v>
      </c>
    </row>
    <row r="34" spans="3:11" x14ac:dyDescent="0.25">
      <c r="C34" s="3" t="s">
        <v>69</v>
      </c>
      <c r="D34" s="9">
        <f>D31+(D33*D32)</f>
        <v>-11.061078852988921</v>
      </c>
      <c r="E34" s="3" t="s">
        <v>1</v>
      </c>
      <c r="F34" s="3" t="s">
        <v>70</v>
      </c>
      <c r="H34" s="4" t="s">
        <v>93</v>
      </c>
      <c r="I34" s="11">
        <f>(D28-D35)/D11</f>
        <v>7.2599899924305919E-2</v>
      </c>
      <c r="J34" s="4" t="s">
        <v>18</v>
      </c>
      <c r="K34" s="4" t="s">
        <v>152</v>
      </c>
    </row>
    <row r="35" spans="3:11" x14ac:dyDescent="0.25">
      <c r="C35" s="3" t="s">
        <v>72</v>
      </c>
      <c r="D35" s="9">
        <f>D7+(D23)*(COS(RADIANS(D34)))</f>
        <v>430.43818353042815</v>
      </c>
      <c r="E35" s="3" t="s">
        <v>18</v>
      </c>
      <c r="F35" s="3" t="s">
        <v>74</v>
      </c>
      <c r="H35" s="4" t="s">
        <v>94</v>
      </c>
      <c r="I35" s="11">
        <f>(D29-D36)/D11</f>
        <v>0.99320933932432565</v>
      </c>
      <c r="J35" s="4" t="s">
        <v>18</v>
      </c>
      <c r="K35" s="4" t="s">
        <v>151</v>
      </c>
    </row>
    <row r="36" spans="3:11" x14ac:dyDescent="0.25">
      <c r="C36" s="3" t="s">
        <v>73</v>
      </c>
      <c r="D36" s="9">
        <f>D8+(D23)*(SIN(RADIANS(D34)))</f>
        <v>131.49394534864837</v>
      </c>
      <c r="E36" s="3" t="s">
        <v>18</v>
      </c>
      <c r="F36" s="3" t="s">
        <v>75</v>
      </c>
      <c r="H36" s="4" t="s">
        <v>95</v>
      </c>
      <c r="I36" s="4">
        <f>-DEGREES(ATAN((I17-I23)/(I18-I24)))</f>
        <v>-4.1806725892062859</v>
      </c>
      <c r="J36" s="4" t="s">
        <v>1</v>
      </c>
      <c r="K36" s="4" t="s">
        <v>120</v>
      </c>
    </row>
    <row r="37" spans="3:11" x14ac:dyDescent="0.25">
      <c r="H37" s="4" t="s">
        <v>119</v>
      </c>
      <c r="I37" s="11">
        <f>D41</f>
        <v>-4.1806725892062859</v>
      </c>
      <c r="J37" s="4" t="s">
        <v>1</v>
      </c>
      <c r="K37" s="4" t="s">
        <v>121</v>
      </c>
    </row>
    <row r="38" spans="3:11" x14ac:dyDescent="0.25">
      <c r="C38" s="23" t="s">
        <v>6</v>
      </c>
      <c r="D38" s="23"/>
      <c r="E38" s="23"/>
      <c r="F38" s="23"/>
      <c r="H38" s="4" t="s">
        <v>96</v>
      </c>
      <c r="I38" s="11">
        <f>I37-I36</f>
        <v>0</v>
      </c>
      <c r="J38" s="4" t="s">
        <v>1</v>
      </c>
      <c r="K38" s="4" t="s">
        <v>122</v>
      </c>
    </row>
    <row r="39" spans="3:11" x14ac:dyDescent="0.25">
      <c r="C39" s="2" t="s">
        <v>3</v>
      </c>
      <c r="D39" s="2" t="s">
        <v>0</v>
      </c>
      <c r="E39" s="2" t="s">
        <v>2</v>
      </c>
      <c r="F39" s="2" t="s">
        <v>5</v>
      </c>
      <c r="H39" s="4" t="s">
        <v>113</v>
      </c>
      <c r="I39" s="4">
        <f>I8</f>
        <v>-10</v>
      </c>
      <c r="J39" s="4" t="s">
        <v>18</v>
      </c>
      <c r="K39" s="4" t="s">
        <v>150</v>
      </c>
    </row>
    <row r="40" spans="3:11" x14ac:dyDescent="0.25">
      <c r="C40" s="6" t="s">
        <v>47</v>
      </c>
      <c r="D40" s="10">
        <f>DEGREES(ATAN(D26/(D29-D36)))</f>
        <v>5.2297474141121247</v>
      </c>
      <c r="E40" s="6" t="s">
        <v>1</v>
      </c>
      <c r="F40" s="6" t="s">
        <v>48</v>
      </c>
      <c r="H40" s="4" t="s">
        <v>114</v>
      </c>
      <c r="I40" s="4">
        <f>I9*COS(RADIANS(I38))-I10*SIN(RADIANS(I38))</f>
        <v>-10</v>
      </c>
      <c r="J40" s="4" t="s">
        <v>18</v>
      </c>
      <c r="K40" s="4" t="s">
        <v>149</v>
      </c>
    </row>
    <row r="41" spans="3:11" x14ac:dyDescent="0.25">
      <c r="C41" s="6" t="s">
        <v>49</v>
      </c>
      <c r="D41" s="10">
        <f>-DEGREES(ATAN((D28-D35)/(D29-D36)))</f>
        <v>-4.1806725892062859</v>
      </c>
      <c r="E41" s="6" t="s">
        <v>1</v>
      </c>
      <c r="F41" s="6" t="s">
        <v>50</v>
      </c>
      <c r="H41" s="4" t="s">
        <v>115</v>
      </c>
      <c r="I41" s="4">
        <f>I9*SIN(RADIANS(I38))+I10*COS(RADIANS(I38))</f>
        <v>10</v>
      </c>
      <c r="J41" s="4" t="s">
        <v>18</v>
      </c>
      <c r="K41" s="4" t="s">
        <v>148</v>
      </c>
    </row>
    <row r="42" spans="3:11" x14ac:dyDescent="0.25">
      <c r="C42" s="6" t="s">
        <v>52</v>
      </c>
      <c r="D42" s="10">
        <f>(D28-D5)*(D36-D8)-(D29-D6)*(D35-D7)</f>
        <v>-23731.193456446246</v>
      </c>
      <c r="E42" s="6" t="s">
        <v>76</v>
      </c>
      <c r="F42" s="6" t="s">
        <v>54</v>
      </c>
      <c r="H42" s="3" t="s">
        <v>123</v>
      </c>
      <c r="I42" s="9">
        <f>I39*I33+I40*I34+I41*I35</f>
        <v>8.297003484909288</v>
      </c>
      <c r="J42" s="3" t="s">
        <v>18</v>
      </c>
      <c r="K42" s="3" t="s">
        <v>147</v>
      </c>
    </row>
    <row r="43" spans="3:11" x14ac:dyDescent="0.25">
      <c r="C43" s="6" t="s">
        <v>51</v>
      </c>
      <c r="D43" s="10">
        <f>D5 + (((D7-D5)*(D36-D8)-(D8-D6)*(D35-D7))/D42)*(D28-D5)</f>
        <v>-687.3150613779668</v>
      </c>
      <c r="E43" s="6" t="s">
        <v>18</v>
      </c>
      <c r="F43" s="6" t="s">
        <v>55</v>
      </c>
      <c r="H43" s="3" t="s">
        <v>124</v>
      </c>
      <c r="I43" s="12">
        <f>I39-I42*I33</f>
        <v>-10.754273044082662</v>
      </c>
      <c r="J43" s="3" t="s">
        <v>18</v>
      </c>
      <c r="K43" s="3" t="s">
        <v>146</v>
      </c>
    </row>
    <row r="44" spans="3:11" x14ac:dyDescent="0.25">
      <c r="C44" s="6" t="s">
        <v>53</v>
      </c>
      <c r="D44" s="6">
        <f>D6 + (((D7-D5)*(D36-D8)-(D8-D6)*(D35-D7))/D42)*(D29-D6)</f>
        <v>350</v>
      </c>
      <c r="E44" s="6" t="s">
        <v>18</v>
      </c>
      <c r="F44" s="6" t="s">
        <v>56</v>
      </c>
      <c r="H44" s="3" t="s">
        <v>125</v>
      </c>
      <c r="I44" s="12">
        <f>I40-I42*I34</f>
        <v>-10.602361622676032</v>
      </c>
      <c r="J44" s="3" t="s">
        <v>18</v>
      </c>
      <c r="K44" s="3" t="s">
        <v>154</v>
      </c>
    </row>
    <row r="45" spans="3:11" x14ac:dyDescent="0.25">
      <c r="H45" s="3" t="s">
        <v>126</v>
      </c>
      <c r="I45" s="12">
        <f>I41-I42*I35</f>
        <v>1.7593386503816184</v>
      </c>
      <c r="J45" s="3" t="s">
        <v>18</v>
      </c>
      <c r="K45" s="3" t="s">
        <v>155</v>
      </c>
    </row>
    <row r="46" spans="3:11" x14ac:dyDescent="0.25">
      <c r="H46" s="3" t="s">
        <v>97</v>
      </c>
      <c r="I46" s="3">
        <f>SQRT(I43^2+I44^2+I45^2)</f>
        <v>15.203938081017141</v>
      </c>
      <c r="J46" s="3" t="s">
        <v>18</v>
      </c>
      <c r="K46" s="3" t="s">
        <v>156</v>
      </c>
    </row>
    <row r="47" spans="3:11" x14ac:dyDescent="0.25">
      <c r="H47" s="3" t="s">
        <v>98</v>
      </c>
      <c r="I47" s="12">
        <f>I34*I41-I35*I40</f>
        <v>10.658092392486315</v>
      </c>
      <c r="J47" s="3" t="s">
        <v>18</v>
      </c>
      <c r="K47" s="3" t="s">
        <v>157</v>
      </c>
    </row>
    <row r="48" spans="3:11" x14ac:dyDescent="0.25">
      <c r="H48" s="3" t="s">
        <v>99</v>
      </c>
      <c r="I48" s="12">
        <f>I35*I39-I33*I41</f>
        <v>-10.841184302334167</v>
      </c>
      <c r="J48" s="3" t="s">
        <v>18</v>
      </c>
      <c r="K48" s="3" t="s">
        <v>158</v>
      </c>
    </row>
    <row r="49" spans="8:11" x14ac:dyDescent="0.25">
      <c r="H49" s="3" t="s">
        <v>100</v>
      </c>
      <c r="I49" s="12">
        <f>I33*I40-I34*I39</f>
        <v>-0.18309190984784995</v>
      </c>
      <c r="J49" s="3" t="s">
        <v>18</v>
      </c>
      <c r="K49" s="3" t="s">
        <v>159</v>
      </c>
    </row>
    <row r="50" spans="8:11" x14ac:dyDescent="0.25">
      <c r="H50" s="4" t="s">
        <v>160</v>
      </c>
      <c r="I50" s="13">
        <f>D25+I42*I33</f>
        <v>160.75427304408265</v>
      </c>
      <c r="J50" s="4" t="s">
        <v>18</v>
      </c>
      <c r="K50" s="4" t="s">
        <v>163</v>
      </c>
    </row>
    <row r="51" spans="8:11" x14ac:dyDescent="0.25">
      <c r="H51" s="4" t="s">
        <v>161</v>
      </c>
      <c r="I51" s="13">
        <f>D35+I42*I34</f>
        <v>431.04054515310418</v>
      </c>
      <c r="J51" s="4" t="s">
        <v>18</v>
      </c>
      <c r="K51" s="4" t="s">
        <v>164</v>
      </c>
    </row>
    <row r="52" spans="8:11" x14ac:dyDescent="0.25">
      <c r="H52" s="4" t="s">
        <v>162</v>
      </c>
      <c r="I52" s="13">
        <f>D36+I42*I35</f>
        <v>139.73460669826676</v>
      </c>
      <c r="J52" s="4" t="s">
        <v>18</v>
      </c>
      <c r="K52" s="4" t="s">
        <v>165</v>
      </c>
    </row>
    <row r="53" spans="8:11" x14ac:dyDescent="0.25">
      <c r="H53" s="4" t="s">
        <v>166</v>
      </c>
      <c r="I53" s="13">
        <f>I50-I5</f>
        <v>10.754273044082652</v>
      </c>
      <c r="J53" s="4" t="s">
        <v>18</v>
      </c>
      <c r="K53" s="4" t="s">
        <v>169</v>
      </c>
    </row>
    <row r="54" spans="8:11" x14ac:dyDescent="0.25">
      <c r="H54" s="4" t="s">
        <v>167</v>
      </c>
      <c r="I54" s="13">
        <f>I51-I6</f>
        <v>351.04054515310418</v>
      </c>
      <c r="J54" s="4" t="s">
        <v>18</v>
      </c>
      <c r="K54" s="4" t="s">
        <v>170</v>
      </c>
    </row>
    <row r="55" spans="8:11" x14ac:dyDescent="0.25">
      <c r="H55" s="4" t="s">
        <v>168</v>
      </c>
      <c r="I55" s="13">
        <f>I52-I7</f>
        <v>109.73460669826676</v>
      </c>
      <c r="J55" s="4" t="s">
        <v>18</v>
      </c>
      <c r="K55" s="4" t="s">
        <v>171</v>
      </c>
    </row>
  </sheetData>
  <mergeCells count="9">
    <mergeCell ref="C38:F38"/>
    <mergeCell ref="H3:K3"/>
    <mergeCell ref="H14:K14"/>
    <mergeCell ref="H26:K26"/>
    <mergeCell ref="M3:Q3"/>
    <mergeCell ref="M13:Q13"/>
    <mergeCell ref="M14:Q14"/>
    <mergeCell ref="C3:F3"/>
    <mergeCell ref="C18:F1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Shareef Sayeed</dc:creator>
  <cp:lastModifiedBy>Shareef Sayeed</cp:lastModifiedBy>
  <dcterms:created xsi:type="dcterms:W3CDTF">2026-05-26T23:56:16Z</dcterms:created>
  <dcterms:modified xsi:type="dcterms:W3CDTF">2026-07-16T02:13:28Z</dcterms:modified>
</cp:coreProperties>
</file>